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39.xml" ContentType="application/vnd.openxmlformats-officedocument.drawing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27.xml" ContentType="application/vnd.openxmlformats-officedocument.spreadsheetml.externalLink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comments10.xml" ContentType="application/vnd.openxmlformats-officedocument.spreadsheetml.comments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39.xml" ContentType="application/vnd.openxmlformats-officedocument.spreadsheetml.externalLink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comments9.xml" ContentType="application/vnd.openxmlformats-officedocument.spreadsheetml.comment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37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comments2.xml" ContentType="application/vnd.openxmlformats-officedocument.spreadsheetml.comments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21.xml" ContentType="application/vnd.openxmlformats-officedocument.spreadsheetml.externalLink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comments12.xml" ContentType="application/vnd.openxmlformats-officedocument.spreadsheetml.comment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37.xml" ContentType="application/vnd.openxmlformats-officedocument.spreadsheetml.externalLink+xml"/>
  <Default Extension="jpeg" ContentType="image/jpeg"/>
  <Override PartName="/xl/drawings/drawing5.xml" ContentType="application/vnd.openxmlformats-officedocument.drawing+xml"/>
  <Override PartName="/xl/drawings/drawing27.xml" ContentType="application/vnd.openxmlformats-officedocument.drawing+xml"/>
  <Override PartName="/xl/comments7.xml" ContentType="application/vnd.openxmlformats-officedocument.spreadsheetml.comments+xml"/>
  <Override PartName="/xl/charts/chart3.xml" ContentType="application/vnd.openxmlformats-officedocument.drawingml.chart+xml"/>
  <Override PartName="/xl/drawings/drawing45.xml" ContentType="application/vnd.openxmlformats-officedocument.drawing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3.xml" ContentType="application/vnd.openxmlformats-officedocument.drawing+xml"/>
  <Override PartName="/xl/drawings/drawing4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270" yWindow="135" windowWidth="11580" windowHeight="9300" tabRatio="840" firstSheet="1" activeTab="10"/>
  </bookViews>
  <sheets>
    <sheet name="PPAS Banding" sheetId="136" r:id="rId1"/>
    <sheet name="PPAS Rutin" sheetId="111" r:id="rId2"/>
    <sheet name="PPAS" sheetId="85" r:id="rId3"/>
    <sheet name="Rekap" sheetId="78" r:id="rId4"/>
    <sheet name="BTL17 (3)" sheetId="131" r:id="rId5"/>
    <sheet name="BTL17 (4)" sheetId="132" r:id="rId6"/>
    <sheet name="Pendapatan" sheetId="84" r:id="rId7"/>
    <sheet name="Surat" sheetId="42" r:id="rId8"/>
    <sheet name="Komunikasi" sheetId="25" r:id="rId9"/>
    <sheet name="Kebersihan" sheetId="2" r:id="rId10"/>
    <sheet name="ATK" sheetId="91" r:id="rId11"/>
    <sheet name="Listrik" sheetId="43" r:id="rId12"/>
    <sheet name="Kantor" sheetId="3" r:id="rId13"/>
    <sheet name="RT" sheetId="12" r:id="rId14"/>
    <sheet name="Bacaan" sheetId="27" r:id="rId15"/>
    <sheet name="Makan" sheetId="22" r:id="rId16"/>
    <sheet name="Rapat" sheetId="15" r:id="rId17"/>
    <sheet name="ADM kantor" sheetId="58" r:id="rId18"/>
    <sheet name="mbl jabatan" sheetId="60" r:id="rId19"/>
    <sheet name="Perleng Rmh dinas" sheetId="59" r:id="rId20"/>
    <sheet name="P. Kendaraaan " sheetId="30" r:id="rId21"/>
    <sheet name="Pakaian" sheetId="14" r:id="rId22"/>
    <sheet name="Agama" sheetId="76" r:id="rId23"/>
    <sheet name="Pembangunan RS" sheetId="8" r:id="rId24"/>
    <sheet name="R.Rawat Inap" sheetId="128" r:id="rId25"/>
    <sheet name="Rehabilitasi" sheetId="19" r:id="rId26"/>
    <sheet name="Alkes" sheetId="129" r:id="rId27"/>
    <sheet name="Ambulance" sheetId="130" r:id="rId28"/>
    <sheet name="Mebeleur" sheetId="48" r:id="rId29"/>
    <sheet name="Cetak&amp;Penggandaan" sheetId="10" r:id="rId30"/>
    <sheet name="Pel.rs" sheetId="77" r:id="rId31"/>
    <sheet name="Pem.limbah" sheetId="33" r:id="rId32"/>
    <sheet name="Pem.alkes" sheetId="34" r:id="rId33"/>
    <sheet name="Pem.per.RS" sheetId="31" r:id="rId34"/>
    <sheet name="IGD" sheetId="93" r:id="rId35"/>
    <sheet name="COT" sheetId="64" r:id="rId36"/>
    <sheet name="I.Anak" sheetId="65" r:id="rId37"/>
    <sheet name="I.Dewasa" sheetId="66" r:id="rId38"/>
    <sheet name="R.Jalan" sheetId="67" r:id="rId39"/>
    <sheet name="R.Inap" sheetId="68" r:id="rId40"/>
    <sheet name="Radiologi" sheetId="70" r:id="rId41"/>
    <sheet name="Gizi" sheetId="40" r:id="rId42"/>
    <sheet name="Laundry" sheetId="49" r:id="rId43"/>
    <sheet name="pelatihan" sheetId="83" r:id="rId44"/>
    <sheet name="Pelatihan (2)" sheetId="145" r:id="rId45"/>
    <sheet name="J.Layanan" sheetId="81" r:id="rId46"/>
    <sheet name="Sheet3" sheetId="127" r:id="rId47"/>
    <sheet name="Penda 2017" sheetId="133" r:id="rId48"/>
    <sheet name="Penda 2017 (2)" sheetId="146" r:id="rId49"/>
    <sheet name="Real listrik" sheetId="134" r:id="rId50"/>
    <sheet name="Sheet1" sheetId="138" r:id="rId51"/>
    <sheet name="Sheet2" sheetId="139" r:id="rId52"/>
    <sheet name="Sheet4" sheetId="140" r:id="rId53"/>
    <sheet name="Sheet5" sheetId="141" r:id="rId54"/>
    <sheet name="Sheet6" sheetId="142" r:id="rId55"/>
    <sheet name="Sheet7" sheetId="143" r:id="rId56"/>
    <sheet name="Sheet8" sheetId="144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_shared_2_0_0" localSheetId="2">#REF!+#REF!</definedName>
    <definedName name="__shared_2_0_0" localSheetId="0">#REF!+#REF!</definedName>
    <definedName name="__shared_2_0_0" localSheetId="1">#REF!+#REF!</definedName>
    <definedName name="__shared_2_0_0_2" localSheetId="2">#REF!+#REF!</definedName>
    <definedName name="__shared_2_0_0_2" localSheetId="0">#REF!+#REF!</definedName>
    <definedName name="__shared_2_0_0_2" localSheetId="1">#REF!+#REF!</definedName>
    <definedName name="__shared_2_0_0_4" localSheetId="2">#REF!+#REF!</definedName>
    <definedName name="__shared_2_0_0_4" localSheetId="0">#REF!+#REF!</definedName>
    <definedName name="__shared_2_0_0_4" localSheetId="1">#REF!+#REF!</definedName>
    <definedName name="__shared_2_0_1" localSheetId="2">#REF!+#REF!</definedName>
    <definedName name="__shared_2_0_1" localSheetId="0">#REF!+#REF!</definedName>
    <definedName name="__shared_2_0_1" localSheetId="1">#REF!+#REF!</definedName>
    <definedName name="__shared_2_0_1_2" localSheetId="2">#REF!+#REF!</definedName>
    <definedName name="__shared_2_0_1_2" localSheetId="0">#REF!+#REF!</definedName>
    <definedName name="__shared_2_0_1_2" localSheetId="1">#REF!+#REF!</definedName>
    <definedName name="__shared_2_0_1_4" localSheetId="2">#REF!+#REF!</definedName>
    <definedName name="__shared_2_0_1_4" localSheetId="0">#REF!+#REF!</definedName>
    <definedName name="__shared_2_0_1_4" localSheetId="1">#REF!+#REF!</definedName>
    <definedName name="_Fill" localSheetId="26" hidden="1">#REF!</definedName>
    <definedName name="_Fill" localSheetId="27" hidden="1">#REF!</definedName>
    <definedName name="_Fill" localSheetId="10" hidden="1">#REF!</definedName>
    <definedName name="_Fill" localSheetId="5" hidden="1">#REF!</definedName>
    <definedName name="_Fill" localSheetId="34" hidden="1">#REF!</definedName>
    <definedName name="_Fill" localSheetId="44" hidden="1">#REF!</definedName>
    <definedName name="_Fill" localSheetId="48" hidden="1">#REF!</definedName>
    <definedName name="_Fill" localSheetId="2" hidden="1">#REF!</definedName>
    <definedName name="_Fill" localSheetId="0" hidden="1">#REF!</definedName>
    <definedName name="_Fill" localSheetId="1" hidden="1">#REF!</definedName>
    <definedName name="_Fill" localSheetId="24" hidden="1">#REF!</definedName>
    <definedName name="_Fill" hidden="1">#REF!</definedName>
    <definedName name="_xlnm._FilterDatabase" localSheetId="2" hidden="1">PPAS!$A$9:$F$61</definedName>
    <definedName name="_xlnm._FilterDatabase" localSheetId="0" hidden="1">'PPAS Banding'!$A$9:$F$72</definedName>
    <definedName name="_xlnm._FilterDatabase" localSheetId="1" hidden="1">'PPAS Rutin'!$A$9:$D$57</definedName>
    <definedName name="a" localSheetId="26" hidden="1">#REF!</definedName>
    <definedName name="a" localSheetId="27" hidden="1">#REF!</definedName>
    <definedName name="a" localSheetId="10" hidden="1">#REF!</definedName>
    <definedName name="a" localSheetId="5" hidden="1">#REF!</definedName>
    <definedName name="a" localSheetId="34" hidden="1">#REF!</definedName>
    <definedName name="a" localSheetId="44" hidden="1">#REF!</definedName>
    <definedName name="a" localSheetId="48" hidden="1">#REF!</definedName>
    <definedName name="a" localSheetId="2">#REF!</definedName>
    <definedName name="a" localSheetId="0">#REF!</definedName>
    <definedName name="a" localSheetId="1">#REF!</definedName>
    <definedName name="a" localSheetId="24" hidden="1">#REF!</definedName>
    <definedName name="a" hidden="1">#REF!</definedName>
    <definedName name="A1_Anggaran" localSheetId="44">[1]A1!$B$4</definedName>
    <definedName name="A1_Anggaran">[2]A1!$B$4</definedName>
    <definedName name="A1_LokasiTT" localSheetId="44">[3]A1!$B$9</definedName>
    <definedName name="A1_LokasiTT">[4]A1!$B$9</definedName>
    <definedName name="A1_Propinsi" localSheetId="44">[3]A1!$B$5</definedName>
    <definedName name="A1_Propinsi">[4]A1!$B$5</definedName>
    <definedName name="A1_SingkatSKPD" localSheetId="44">[1]A1!$B$6</definedName>
    <definedName name="A1_SingkatSKPD">[2]A1!$B$6</definedName>
    <definedName name="A1_SKPD" localSheetId="44">[1]A1!$A$6</definedName>
    <definedName name="A1_SKPD">[2]A1!$A$6</definedName>
    <definedName name="A1_TahapanAnggaran" localSheetId="44">[3]A1!$B$3</definedName>
    <definedName name="A1_TahapanAnggaran">[4]A1!$B$3</definedName>
    <definedName name="A1_TahunAnggaran" localSheetId="44">[1]A1!$B$7</definedName>
    <definedName name="A1_TahunAnggaran">[2]A1!$B$7</definedName>
    <definedName name="A1_TanggalTTD" localSheetId="44">[3]A1!$B$8</definedName>
    <definedName name="A1_TanggalTTD">[4]A1!$B$8</definedName>
    <definedName name="A1_TglTeken" localSheetId="44">[1]A1!$M$78</definedName>
    <definedName name="A1_TglTeken">[2]A1!$M$78</definedName>
    <definedName name="aa" localSheetId="2" hidden="1">#REF!</definedName>
    <definedName name="aa" localSheetId="0" hidden="1">#REF!</definedName>
    <definedName name="aa" localSheetId="1" hidden="1">#REF!</definedName>
    <definedName name="aaa" localSheetId="2" hidden="1">#REF!</definedName>
    <definedName name="aaa" localSheetId="0" hidden="1">#REF!</definedName>
    <definedName name="aaa" localSheetId="1" hidden="1">#REF!</definedName>
    <definedName name="aaaa" localSheetId="2">#REF!</definedName>
    <definedName name="aaaa" localSheetId="0">#REF!</definedName>
    <definedName name="aaaa" localSheetId="1">#REF!</definedName>
    <definedName name="aaaaa" localSheetId="2">#REF!</definedName>
    <definedName name="aaaaa" localSheetId="0">#REF!</definedName>
    <definedName name="aaaaa" localSheetId="1">#REF!</definedName>
    <definedName name="aaaaaa" localSheetId="2">#REF!</definedName>
    <definedName name="aaaaaa" localSheetId="0">#REF!</definedName>
    <definedName name="aaaaaa" localSheetId="1">#REF!</definedName>
    <definedName name="aaaaaaa" localSheetId="2">#REF!</definedName>
    <definedName name="aaaaaaa" localSheetId="0">#REF!</definedName>
    <definedName name="aaaaaaa" localSheetId="1">#REF!</definedName>
    <definedName name="aaaaaaaa" localSheetId="2">#REF!</definedName>
    <definedName name="aaaaaaaa" localSheetId="0">#REF!</definedName>
    <definedName name="aaaaaaaa" localSheetId="1">#REF!</definedName>
    <definedName name="aaaaaaaaa" localSheetId="2">#REF!</definedName>
    <definedName name="aaaaaaaaa" localSheetId="0">#REF!</definedName>
    <definedName name="aaaaaaaaa" localSheetId="1">#REF!</definedName>
    <definedName name="aaaaaaaaaa" localSheetId="2">#REF!</definedName>
    <definedName name="aaaaaaaaaa" localSheetId="0">#REF!</definedName>
    <definedName name="aaaaaaaaaa" localSheetId="1">#REF!</definedName>
    <definedName name="aaaaaaaaaaa" localSheetId="2">#REF!</definedName>
    <definedName name="aaaaaaaaaaa" localSheetId="0">#REF!</definedName>
    <definedName name="aaaaaaaaaaa" localSheetId="1">#REF!</definedName>
    <definedName name="AG" localSheetId="2">'[5]LAP-BLN DES2003'!#REF!</definedName>
    <definedName name="AG" localSheetId="0">'[5]LAP-BLN DES2003'!#REF!</definedName>
    <definedName name="AG" localSheetId="1">'[5]LAP-BLN DES2003'!#REF!</definedName>
    <definedName name="agust1" localSheetId="2">#REF!</definedName>
    <definedName name="agust1" localSheetId="0">#REF!</definedName>
    <definedName name="agust1" localSheetId="1">#REF!</definedName>
    <definedName name="agust2" localSheetId="44">[6]Foto!$C$90</definedName>
    <definedName name="agust2">[7]Foto!$C$90</definedName>
    <definedName name="agust3" localSheetId="2">#REF!</definedName>
    <definedName name="agust3" localSheetId="0">#REF!</definedName>
    <definedName name="agust3" localSheetId="1">#REF!</definedName>
    <definedName name="agust4" localSheetId="44">[6]Foto!$C$92</definedName>
    <definedName name="agust4">[7]Foto!$C$92</definedName>
    <definedName name="alamat" localSheetId="44">[6]Foto!$C$24</definedName>
    <definedName name="alamat">[7]Foto!$C$24</definedName>
    <definedName name="alamatpengguna" localSheetId="44">[6]Foto!$C$40</definedName>
    <definedName name="alamatpengguna">[7]Foto!$C$40</definedName>
    <definedName name="april1" localSheetId="2">#REF!</definedName>
    <definedName name="april1" localSheetId="0">#REF!</definedName>
    <definedName name="april1" localSheetId="1">#REF!</definedName>
    <definedName name="april2" localSheetId="2">#REF!</definedName>
    <definedName name="april2" localSheetId="0">#REF!</definedName>
    <definedName name="april2" localSheetId="1">#REF!</definedName>
    <definedName name="april3" localSheetId="2">#REF!</definedName>
    <definedName name="april3" localSheetId="0">#REF!</definedName>
    <definedName name="april3" localSheetId="1">#REF!</definedName>
    <definedName name="april4" localSheetId="2">#REF!</definedName>
    <definedName name="april4" localSheetId="0">#REF!</definedName>
    <definedName name="april4" localSheetId="1">#REF!</definedName>
    <definedName name="area_print" localSheetId="2">#REF!</definedName>
    <definedName name="area_print" localSheetId="0">#REF!</definedName>
    <definedName name="area_print" localSheetId="1">#REF!</definedName>
    <definedName name="areaprint" localSheetId="2">#REF!</definedName>
    <definedName name="areaprint" localSheetId="0">#REF!</definedName>
    <definedName name="areaprint" localSheetId="1">#REF!</definedName>
    <definedName name="asaadasd" localSheetId="2" hidden="1">#REF!</definedName>
    <definedName name="asaadasd" localSheetId="0" hidden="1">#REF!</definedName>
    <definedName name="asaadasd" localSheetId="1" hidden="1">#REF!</definedName>
    <definedName name="asdfghjk" localSheetId="2" hidden="1">#REF!</definedName>
    <definedName name="asdfghjk" localSheetId="0" hidden="1">#REF!</definedName>
    <definedName name="asdfghjk" localSheetId="1" hidden="1">#REF!</definedName>
    <definedName name="Aspal" localSheetId="2">#REF!</definedName>
    <definedName name="Aspal" localSheetId="0">#REF!</definedName>
    <definedName name="Aspal" localSheetId="1">#REF!</definedName>
    <definedName name="aspal8" localSheetId="2">#REF!</definedName>
    <definedName name="aspal8" localSheetId="0">#REF!</definedName>
    <definedName name="aspal8" localSheetId="1">#REF!</definedName>
    <definedName name="Aspali" localSheetId="2">#REF!</definedName>
    <definedName name="Aspali" localSheetId="0">#REF!</definedName>
    <definedName name="Aspali" localSheetId="1">#REF!</definedName>
    <definedName name="ATB" localSheetId="2">#REF!</definedName>
    <definedName name="ATB" localSheetId="0">#REF!</definedName>
    <definedName name="ATB" localSheetId="1">#REF!</definedName>
    <definedName name="ATBL" localSheetId="2">#REF!</definedName>
    <definedName name="ATBL" localSheetId="0">#REF!</definedName>
    <definedName name="ATBL" localSheetId="1">#REF!</definedName>
    <definedName name="B.Aparatur" localSheetId="2">#REF!</definedName>
    <definedName name="B.Aparatur" localSheetId="0">#REF!</definedName>
    <definedName name="B.Aparatur" localSheetId="1">#REF!</definedName>
    <definedName name="B.Publik" localSheetId="2">#REF!</definedName>
    <definedName name="B.Publik" localSheetId="0">#REF!</definedName>
    <definedName name="B.Publik" localSheetId="1">#REF!</definedName>
    <definedName name="B_Aparatur" localSheetId="2">#REF!</definedName>
    <definedName name="B_Aparatur" localSheetId="0">#REF!</definedName>
    <definedName name="B_Aparatur" localSheetId="1">#REF!</definedName>
    <definedName name="B_Publik" localSheetId="2">#REF!</definedName>
    <definedName name="B_Publik" localSheetId="0">#REF!</definedName>
    <definedName name="B_Publik" localSheetId="1">#REF!</definedName>
    <definedName name="baitumal" localSheetId="2" hidden="1">#REF!</definedName>
    <definedName name="baitumal" localSheetId="0" hidden="1">#REF!</definedName>
    <definedName name="baitumal" localSheetId="1" hidden="1">#REF!</definedName>
    <definedName name="Baja.Tulangan" localSheetId="2">#REF!</definedName>
    <definedName name="Baja.Tulangan" localSheetId="0">#REF!</definedName>
    <definedName name="Baja.Tulangan" localSheetId="1">#REF!</definedName>
    <definedName name="Baja_Tulangan" localSheetId="2">#REF!</definedName>
    <definedName name="Baja_Tulangan" localSheetId="0">#REF!</definedName>
    <definedName name="Baja_Tulangan" localSheetId="1">#REF!</definedName>
    <definedName name="BarisIdx" localSheetId="44">[6]Foto!$C$7</definedName>
    <definedName name="BarisIdx">[7]Foto!$C$7</definedName>
    <definedName name="baru" localSheetId="2" hidden="1">#REF!</definedName>
    <definedName name="baru" localSheetId="0" hidden="1">#REF!</definedName>
    <definedName name="baru" localSheetId="1" hidden="1">#REF!</definedName>
    <definedName name="Bitumen.Residual.Utk.Pek.Minoor" localSheetId="2">#REF!</definedName>
    <definedName name="Bitumen.Residual.Utk.Pek.Minoor" localSheetId="0">#REF!</definedName>
    <definedName name="Bitumen.Residual.Utk.Pek.Minoor" localSheetId="1">#REF!</definedName>
    <definedName name="Bitumen_Residual_Utk_Pek_Minoor" localSheetId="2">#REF!</definedName>
    <definedName name="Bitumen_Residual_Utk_Pek_Minoor" localSheetId="0">#REF!</definedName>
    <definedName name="Bitumen_Residual_Utk_Pek_Minoor" localSheetId="1">#REF!</definedName>
    <definedName name="bn" localSheetId="2" hidden="1">#REF!</definedName>
    <definedName name="bn" localSheetId="0" hidden="1">#REF!</definedName>
    <definedName name="bn" localSheetId="1" hidden="1">#REF!</definedName>
    <definedName name="budi" localSheetId="2">'[8]LAP-BLN DES2003'!#REF!</definedName>
    <definedName name="budi" localSheetId="0">'[8]LAP-BLN DES2003'!#REF!</definedName>
    <definedName name="budi" localSheetId="1">'[8]LAP-BLN DES2003'!#REF!</definedName>
    <definedName name="Camp.Aspal.Panas.Utk.Pek.Minor" localSheetId="2">#REF!</definedName>
    <definedName name="Camp.Aspal.Panas.Utk.Pek.Minor" localSheetId="0">#REF!</definedName>
    <definedName name="Camp.Aspal.Panas.Utk.Pek.Minor" localSheetId="1">#REF!</definedName>
    <definedName name="Camp_Aspal_Panas_Utk_Pek_Minor" localSheetId="2">#REF!</definedName>
    <definedName name="Camp_Aspal_Panas_Utk_Pek_Minor" localSheetId="0">#REF!</definedName>
    <definedName name="Camp_Aspal_Panas_Utk_Pek_Minor" localSheetId="1">#REF!</definedName>
    <definedName name="CCC" localSheetId="2">#REF!</definedName>
    <definedName name="CCC" localSheetId="0">#REF!</definedName>
    <definedName name="CCC" localSheetId="1">#REF!</definedName>
    <definedName name="ccccccc" localSheetId="2">#REF!</definedName>
    <definedName name="ccccccc" localSheetId="0">#REF!</definedName>
    <definedName name="ccccccc" localSheetId="1">#REF!</definedName>
    <definedName name="cccccccc" localSheetId="2">#REF!</definedName>
    <definedName name="cccccccc" localSheetId="0">#REF!</definedName>
    <definedName name="cccccccc" localSheetId="1">#REF!</definedName>
    <definedName name="ccccccccc" localSheetId="2">#REF!</definedName>
    <definedName name="ccccccccc" localSheetId="0">#REF!</definedName>
    <definedName name="ccccccccc" localSheetId="1">#REF!</definedName>
    <definedName name="ccccccccccc" localSheetId="2">#REF!</definedName>
    <definedName name="ccccccccccc" localSheetId="0">#REF!</definedName>
    <definedName name="ccccccccccc" localSheetId="1">#REF!</definedName>
    <definedName name="ccxccccccc" localSheetId="2" hidden="1">#REF!</definedName>
    <definedName name="ccxccccccc" localSheetId="0" hidden="1">#REF!</definedName>
    <definedName name="ccxccccccc" localSheetId="1" hidden="1">#REF!</definedName>
    <definedName name="copi" localSheetId="2">'[9]LAP-BLN DES2003'!#REF!</definedName>
    <definedName name="copi" localSheetId="0">'[9]LAP-BLN DES2003'!#REF!</definedName>
    <definedName name="copi" localSheetId="1">'[9]LAP-BLN DES2003'!#REF!</definedName>
    <definedName name="_xlnm.Criteria" localSheetId="26">#REF!</definedName>
    <definedName name="_xlnm.Criteria" localSheetId="27">#REF!</definedName>
    <definedName name="_xlnm.Criteria" localSheetId="10">#REF!</definedName>
    <definedName name="_xlnm.Criteria" localSheetId="5">#REF!</definedName>
    <definedName name="_xlnm.Criteria" localSheetId="34">#REF!</definedName>
    <definedName name="_xlnm.Criteria" localSheetId="44">#REF!</definedName>
    <definedName name="_xlnm.Criteria" localSheetId="48">#REF!</definedName>
    <definedName name="_xlnm.Criteria" localSheetId="2">#REF!</definedName>
    <definedName name="_xlnm.Criteria" localSheetId="0">#REF!</definedName>
    <definedName name="_xlnm.Criteria" localSheetId="1">#REF!</definedName>
    <definedName name="_xlnm.Criteria" localSheetId="24">#REF!</definedName>
    <definedName name="_xlnm.Criteria">#REF!</definedName>
    <definedName name="d" localSheetId="2">#REF!</definedName>
    <definedName name="d" localSheetId="0">#REF!</definedName>
    <definedName name="d" localSheetId="1">#REF!</definedName>
    <definedName name="daerah" localSheetId="44">'[10]Data KK'!$E$9:$U$378</definedName>
    <definedName name="daerah" localSheetId="0">'[11]Data KK'!$E$9:$U$378</definedName>
    <definedName name="daerah">'[11]Data KK'!$E$9:$U$378</definedName>
    <definedName name="DAK">[12]DAK!$B$6:$C$472</definedName>
    <definedName name="data" localSheetId="2">#REF!</definedName>
    <definedName name="data" localSheetId="0">#REF!</definedName>
    <definedName name="data" localSheetId="1">#REF!</definedName>
    <definedName name="Data_AwaL" localSheetId="2">#REF!</definedName>
    <definedName name="Data_AwaL" localSheetId="0">#REF!</definedName>
    <definedName name="Data_AwaL" localSheetId="1">#REF!</definedName>
    <definedName name="DDDDDD" localSheetId="2">#REF!</definedName>
    <definedName name="DDDDDD" localSheetId="0">#REF!</definedName>
    <definedName name="DDDDDD" localSheetId="1">#REF!</definedName>
    <definedName name="decs1" localSheetId="2">#REF!</definedName>
    <definedName name="decs1" localSheetId="0">#REF!</definedName>
    <definedName name="decs1" localSheetId="1">#REF!</definedName>
    <definedName name="decs2" localSheetId="44">[6]Foto!$C$106</definedName>
    <definedName name="decs2">[7]Foto!$C$106</definedName>
    <definedName name="decs3" localSheetId="2">#REF!</definedName>
    <definedName name="decs3" localSheetId="0">#REF!</definedName>
    <definedName name="decs3" localSheetId="1">#REF!</definedName>
    <definedName name="decs4" localSheetId="44">[6]Foto!$C$108</definedName>
    <definedName name="decs4">[7]Foto!$C$108</definedName>
    <definedName name="desa" localSheetId="44">[6]Foto!$C$19</definedName>
    <definedName name="desa">[7]Foto!$C$19</definedName>
    <definedName name="dfasd" localSheetId="2">#REF!</definedName>
    <definedName name="dfasd" localSheetId="0">#REF!</definedName>
    <definedName name="dfasd" localSheetId="1">#REF!</definedName>
    <definedName name="DPKAA3" localSheetId="2">#REF!</definedName>
    <definedName name="DPKAA3" localSheetId="0">#REF!</definedName>
    <definedName name="DPKAA3" localSheetId="1">#REF!</definedName>
    <definedName name="DPKAA4" localSheetId="2">#REF!</definedName>
    <definedName name="DPKAA4" localSheetId="0">#REF!</definedName>
    <definedName name="DPKAA4" localSheetId="1">#REF!</definedName>
    <definedName name="dtdrh" localSheetId="44">'[13]DATA Input'!$G$11:$FQ$494</definedName>
    <definedName name="dtdrh" localSheetId="0">'[14]DATA Input'!$G$11:$FQ$494</definedName>
    <definedName name="dtdrh">'[14]DATA Input'!$G$11:$FQ$494</definedName>
    <definedName name="dwd" localSheetId="26" hidden="1">#REF!</definedName>
    <definedName name="dwd" localSheetId="27" hidden="1">#REF!</definedName>
    <definedName name="dwd" localSheetId="10" hidden="1">#REF!</definedName>
    <definedName name="dwd" localSheetId="5" hidden="1">#REF!</definedName>
    <definedName name="dwd" localSheetId="34" hidden="1">#REF!</definedName>
    <definedName name="dwd" localSheetId="44" hidden="1">#REF!</definedName>
    <definedName name="dwd" localSheetId="48" hidden="1">#REF!</definedName>
    <definedName name="dwd" localSheetId="2" hidden="1">#REF!</definedName>
    <definedName name="dwd" localSheetId="0" hidden="1">#REF!</definedName>
    <definedName name="dwd" localSheetId="1" hidden="1">#REF!</definedName>
    <definedName name="dwd" localSheetId="24" hidden="1">#REF!</definedName>
    <definedName name="dwd" hidden="1">#REF!</definedName>
    <definedName name="edit" localSheetId="2" hidden="1">#REF!</definedName>
    <definedName name="edit" localSheetId="0" hidden="1">#REF!</definedName>
    <definedName name="edit" localSheetId="1" hidden="1">#REF!</definedName>
    <definedName name="eeee" localSheetId="2">'[9]LAP-BLN DES2003'!#REF!</definedName>
    <definedName name="eeee" localSheetId="0">'[9]LAP-BLN DES2003'!#REF!</definedName>
    <definedName name="eeee" localSheetId="1">'[9]LAP-BLN DES2003'!#REF!</definedName>
    <definedName name="Excel_BuiltIn__FilterDatabase_3" localSheetId="2">'[15]33'!#REF!</definedName>
    <definedName name="Excel_BuiltIn__FilterDatabase_3" localSheetId="0">'[15]33'!#REF!</definedName>
    <definedName name="Excel_BuiltIn__FilterDatabase_3" localSheetId="1">'[15]33'!#REF!</definedName>
    <definedName name="FGGGGGGGG" localSheetId="2">#REF!</definedName>
    <definedName name="FGGGGGGGG" localSheetId="0">#REF!</definedName>
    <definedName name="FGGGGGGGG" localSheetId="1">#REF!</definedName>
    <definedName name="final" localSheetId="2">#REF!</definedName>
    <definedName name="final" localSheetId="0">#REF!</definedName>
    <definedName name="final" localSheetId="1">#REF!</definedName>
    <definedName name="fmei1" localSheetId="2">#REF!</definedName>
    <definedName name="fmei1" localSheetId="0">#REF!</definedName>
    <definedName name="fmei1" localSheetId="1">#REF!</definedName>
    <definedName name="fmei2" localSheetId="44">[6]Foto!$C$78</definedName>
    <definedName name="fmei2">[7]Foto!$C$78</definedName>
    <definedName name="fmei3" localSheetId="2">#REF!</definedName>
    <definedName name="fmei3" localSheetId="0">#REF!</definedName>
    <definedName name="fmei3" localSheetId="1">#REF!</definedName>
    <definedName name="fmei4" localSheetId="44">[6]Foto!$C$80</definedName>
    <definedName name="fmei4">[7]Foto!$C$80</definedName>
    <definedName name="formasi" localSheetId="44">'[16]formasi 2004'!$D$5:$G$474</definedName>
    <definedName name="formasi" localSheetId="0">'[17]formasi 2004'!$D$5:$G$474</definedName>
    <definedName name="formasi">'[17]formasi 2004'!$D$5:$G$474</definedName>
    <definedName name="fotoku0" localSheetId="2">#REF!</definedName>
    <definedName name="fotoku0" localSheetId="0">#REF!</definedName>
    <definedName name="fotoku0" localSheetId="1">#REF!</definedName>
    <definedName name="fotoku1" localSheetId="2">#REF!</definedName>
    <definedName name="fotoku1" localSheetId="0">#REF!</definedName>
    <definedName name="fotoku1" localSheetId="1">#REF!</definedName>
    <definedName name="fotoku2" localSheetId="2">#REF!</definedName>
    <definedName name="fotoku2" localSheetId="0">#REF!</definedName>
    <definedName name="fotoku2" localSheetId="1">#REF!</definedName>
    <definedName name="fotoku3" localSheetId="2">#REF!</definedName>
    <definedName name="fotoku3" localSheetId="0">#REF!</definedName>
    <definedName name="fotoku3" localSheetId="1">#REF!</definedName>
    <definedName name="G" localSheetId="2">#REF!</definedName>
    <definedName name="G" localSheetId="0">#REF!</definedName>
    <definedName name="G" localSheetId="1">#REF!</definedName>
    <definedName name="G.Batuan" localSheetId="2">#REF!</definedName>
    <definedName name="G.Batuan" localSheetId="0">#REF!</definedName>
    <definedName name="G.Batuan" localSheetId="1">#REF!</definedName>
    <definedName name="G.Biasa" localSheetId="2">#REF!</definedName>
    <definedName name="G.Biasa" localSheetId="0">#REF!</definedName>
    <definedName name="G.Biasa" localSheetId="1">#REF!</definedName>
    <definedName name="G_Batuan" localSheetId="2">#REF!</definedName>
    <definedName name="G_Batuan" localSheetId="0">#REF!</definedName>
    <definedName name="G_Batuan" localSheetId="1">#REF!</definedName>
    <definedName name="G_Biasa" localSheetId="2">#REF!</definedName>
    <definedName name="G_Biasa" localSheetId="0">#REF!</definedName>
    <definedName name="G_Biasa" localSheetId="1">#REF!</definedName>
    <definedName name="GAJIJUNI">[18]juni!$B$7:$P$473</definedName>
    <definedName name="Galian.utk.drainase" localSheetId="2">#REF!</definedName>
    <definedName name="Galian.utk.drainase" localSheetId="0">#REF!</definedName>
    <definedName name="Galian.utk.drainase" localSheetId="1">#REF!</definedName>
    <definedName name="Galian_utk_drainase" localSheetId="2">#REF!</definedName>
    <definedName name="Galian_utk_drainase" localSheetId="0">#REF!</definedName>
    <definedName name="Galian_utk_drainase" localSheetId="1">#REF!</definedName>
    <definedName name="gg" localSheetId="26" hidden="1">#REF!</definedName>
    <definedName name="gg" localSheetId="27" hidden="1">#REF!</definedName>
    <definedName name="gg" localSheetId="10" hidden="1">#REF!</definedName>
    <definedName name="gg" localSheetId="5" hidden="1">#REF!</definedName>
    <definedName name="gg" localSheetId="34" hidden="1">#REF!</definedName>
    <definedName name="gg" localSheetId="44" hidden="1">#REF!</definedName>
    <definedName name="gg" localSheetId="48" hidden="1">#REF!</definedName>
    <definedName name="gg" localSheetId="2" hidden="1">#REF!</definedName>
    <definedName name="gg" localSheetId="0" hidden="1">#REF!</definedName>
    <definedName name="gg" localSheetId="1" hidden="1">#REF!</definedName>
    <definedName name="gg" localSheetId="24" hidden="1">#REF!</definedName>
    <definedName name="gg" hidden="1">#REF!</definedName>
    <definedName name="ggggggg" localSheetId="2">#REF!</definedName>
    <definedName name="ggggggg" localSheetId="0">#REF!</definedName>
    <definedName name="ggggggg" localSheetId="1">#REF!</definedName>
    <definedName name="her" localSheetId="2" hidden="1">#REF!</definedName>
    <definedName name="her" localSheetId="0" hidden="1">#REF!</definedName>
    <definedName name="her" localSheetId="1" hidden="1">#REF!</definedName>
    <definedName name="herman" localSheetId="2">#REF!</definedName>
    <definedName name="herman" localSheetId="0">#REF!</definedName>
    <definedName name="herman" localSheetId="1">#REF!</definedName>
    <definedName name="HH" localSheetId="44">[19]BOBOT!$A$7:$F$36</definedName>
    <definedName name="HH" localSheetId="0">[20]BOBOT!$A$7:$F$36</definedName>
    <definedName name="HH">[20]BOBOT!$A$7:$F$36</definedName>
    <definedName name="HPSNilai" localSheetId="44">[6]Foto!$C$139</definedName>
    <definedName name="HPSNilai">[7]Foto!$C$139</definedName>
    <definedName name="iu" localSheetId="2">#REF!</definedName>
    <definedName name="iu" localSheetId="0">#REF!</definedName>
    <definedName name="iu" localSheetId="1">#REF!</definedName>
    <definedName name="j" localSheetId="2">'[8]LAP-BLN DES2003'!#REF!</definedName>
    <definedName name="j" localSheetId="0">'[8]LAP-BLN DES2003'!#REF!</definedName>
    <definedName name="j" localSheetId="1">'[8]LAP-BLN DES2003'!#REF!</definedName>
    <definedName name="JabatanKepala" localSheetId="2">#REF!</definedName>
    <definedName name="JabatanKepala" localSheetId="0">#REF!</definedName>
    <definedName name="JabatanKepala" localSheetId="1">#REF!</definedName>
    <definedName name="jabatanpengguna" localSheetId="44">[6]Foto!$C$39</definedName>
    <definedName name="jabatanpengguna">[7]Foto!$C$39</definedName>
    <definedName name="jikl" localSheetId="2" hidden="1">#REF!</definedName>
    <definedName name="jikl" localSheetId="0" hidden="1">#REF!</definedName>
    <definedName name="jikl" localSheetId="1" hidden="1">#REF!</definedName>
    <definedName name="JJJJ" localSheetId="2">#REF!</definedName>
    <definedName name="JJJJ" localSheetId="0">#REF!</definedName>
    <definedName name="JJJJ" localSheetId="1">#REF!</definedName>
    <definedName name="jjjjj" localSheetId="2">#REF!+#REF!</definedName>
    <definedName name="jjjjj" localSheetId="0">#REF!+#REF!</definedName>
    <definedName name="jjjjj" localSheetId="1">#REF!+#REF!</definedName>
    <definedName name="jjjjjjjjjjj" localSheetId="2" hidden="1">#REF!</definedName>
    <definedName name="jjjjjjjjjjj" localSheetId="0" hidden="1">#REF!</definedName>
    <definedName name="jjjjjjjjjjj" localSheetId="1" hidden="1">#REF!</definedName>
    <definedName name="jkjkklkjljkljkl" localSheetId="2">#REF!</definedName>
    <definedName name="jkjkklkjljkljkl" localSheetId="0">#REF!</definedName>
    <definedName name="jkjkklkjljkljkl" localSheetId="1">#REF!</definedName>
    <definedName name="jmlslide" localSheetId="2">#REF!</definedName>
    <definedName name="jmlslide" localSheetId="0">#REF!</definedName>
    <definedName name="jmlslide" localSheetId="1">#REF!</definedName>
    <definedName name="juli1" localSheetId="2">#REF!</definedName>
    <definedName name="juli1" localSheetId="0">#REF!</definedName>
    <definedName name="juli1" localSheetId="1">#REF!</definedName>
    <definedName name="juli2" localSheetId="44">[6]Foto!$C$86</definedName>
    <definedName name="juli2">[7]Foto!$C$86</definedName>
    <definedName name="juli3" localSheetId="2">#REF!</definedName>
    <definedName name="juli3" localSheetId="0">#REF!</definedName>
    <definedName name="juli3" localSheetId="1">#REF!</definedName>
    <definedName name="juli4" localSheetId="44">[6]Foto!$C$88</definedName>
    <definedName name="juli4">[7]Foto!$C$88</definedName>
    <definedName name="juni1" localSheetId="2">#REF!</definedName>
    <definedName name="juni1" localSheetId="0">#REF!</definedName>
    <definedName name="juni1" localSheetId="1">#REF!</definedName>
    <definedName name="juni2" localSheetId="44">[6]Foto!$C$82</definedName>
    <definedName name="juni2">[7]Foto!$C$82</definedName>
    <definedName name="juni3" localSheetId="2">#REF!</definedName>
    <definedName name="juni3" localSheetId="0">#REF!</definedName>
    <definedName name="juni3" localSheetId="1">#REF!</definedName>
    <definedName name="juni4" localSheetId="44">[6]Foto!$C$84</definedName>
    <definedName name="juni4">[7]Foto!$C$84</definedName>
    <definedName name="k" localSheetId="2">#REF!</definedName>
    <definedName name="k" localSheetId="0">#REF!</definedName>
    <definedName name="k" localSheetId="1">#REF!</definedName>
    <definedName name="kabkota" localSheetId="44">[6]Foto!$D$21</definedName>
    <definedName name="kabkota">[7]Foto!$D$21</definedName>
    <definedName name="kabupaten" localSheetId="44">[6]Foto!$C$21</definedName>
    <definedName name="kabupaten">[7]Foto!$C$21</definedName>
    <definedName name="kasmawati" localSheetId="2">#REF!</definedName>
    <definedName name="kasmawati" localSheetId="0">#REF!</definedName>
    <definedName name="kasmawati" localSheetId="1">#REF!</definedName>
    <definedName name="Kategori" localSheetId="2">#REF!</definedName>
    <definedName name="Kategori" localSheetId="0">#REF!</definedName>
    <definedName name="Kategori" localSheetId="1">#REF!</definedName>
    <definedName name="Kecamatan" localSheetId="44">'[21]renja PU'!$Q$4:$Q$150</definedName>
    <definedName name="Kecamatan" localSheetId="0">'[22]renja PU'!$Q$4:$Q$150</definedName>
    <definedName name="Kecamatan">'[22]renja PU'!$Q$4:$Q$150</definedName>
    <definedName name="kesepakatan" localSheetId="2">#REF!</definedName>
    <definedName name="kesepakatan" localSheetId="0">#REF!</definedName>
    <definedName name="kesepakatan" localSheetId="1">#REF!</definedName>
    <definedName name="kffffffff" localSheetId="2">#REF!</definedName>
    <definedName name="kffffffff" localSheetId="0">#REF!</definedName>
    <definedName name="kffffffff" localSheetId="1">#REF!</definedName>
    <definedName name="kjjk" localSheetId="2">#REF!</definedName>
    <definedName name="kjjk" localSheetId="0">#REF!</definedName>
    <definedName name="kjjk" localSheetId="1">#REF!</definedName>
    <definedName name="kk" localSheetId="2" hidden="1">#REF!</definedName>
    <definedName name="kk" localSheetId="0" hidden="1">#REF!</definedName>
    <definedName name="kk" localSheetId="1" hidden="1">#REF!</definedName>
    <definedName name="kkkk" localSheetId="2">#REF!+#REF!</definedName>
    <definedName name="kkkk" localSheetId="0">#REF!+#REF!</definedName>
    <definedName name="kkkk" localSheetId="1">#REF!+#REF!</definedName>
    <definedName name="kkkkk" localSheetId="2" hidden="1">#REF!</definedName>
    <definedName name="kkkkk" localSheetId="0" hidden="1">#REF!</definedName>
    <definedName name="kkkkk" localSheetId="1" hidden="1">#REF!</definedName>
    <definedName name="kllljklj" localSheetId="2">'[8]LAP-BLN DES2003'!#REF!</definedName>
    <definedName name="kllljklj" localSheetId="0">'[8]LAP-BLN DES2003'!#REF!</definedName>
    <definedName name="kllljklj" localSheetId="1">'[8]LAP-BLN DES2003'!#REF!</definedName>
    <definedName name="kodepaket" localSheetId="44">[6]Foto!$C$15</definedName>
    <definedName name="kodepaket">[7]Foto!$C$15</definedName>
    <definedName name="KPA" localSheetId="2">#REF!</definedName>
    <definedName name="KPA" localSheetId="0">#REF!</definedName>
    <definedName name="KPA" localSheetId="1">#REF!</definedName>
    <definedName name="KppJkt" localSheetId="2">#REF!</definedName>
    <definedName name="KppJkt" localSheetId="0">#REF!</definedName>
    <definedName name="KppJkt" localSheetId="1">#REF!</definedName>
    <definedName name="l" localSheetId="2">#REF!</definedName>
    <definedName name="l" localSheetId="0">#REF!</definedName>
    <definedName name="l" localSheetId="1">#REF!</definedName>
    <definedName name="Lap.Perekat" localSheetId="2">#REF!</definedName>
    <definedName name="Lap.Perekat" localSheetId="0">#REF!</definedName>
    <definedName name="Lap.Perekat" localSheetId="1">#REF!</definedName>
    <definedName name="Lap.Resap.Pengikat" localSheetId="2">#REF!</definedName>
    <definedName name="Lap.Resap.Pengikat" localSheetId="0">#REF!</definedName>
    <definedName name="Lap.Resap.Pengikat" localSheetId="1">#REF!</definedName>
    <definedName name="Lap_Perekat" localSheetId="2">#REF!</definedName>
    <definedName name="Lap_Perekat" localSheetId="0">#REF!</definedName>
    <definedName name="Lap_Perekat" localSheetId="1">#REF!</definedName>
    <definedName name="Lap_Resap_Pengikat" localSheetId="2">#REF!</definedName>
    <definedName name="Lap_Resap_Pengikat" localSheetId="0">#REF!</definedName>
    <definedName name="Lap_Resap_Pengikat" localSheetId="1">#REF!</definedName>
    <definedName name="Laston.AC" localSheetId="2">#REF!</definedName>
    <definedName name="Laston.AC" localSheetId="0">#REF!</definedName>
    <definedName name="Laston.AC" localSheetId="1">#REF!</definedName>
    <definedName name="Laston_AC" localSheetId="2">#REF!</definedName>
    <definedName name="Laston_AC" localSheetId="0">#REF!</definedName>
    <definedName name="Laston_AC" localSheetId="1">#REF!</definedName>
    <definedName name="leubeh" localSheetId="2">#REF!</definedName>
    <definedName name="leubeh" localSheetId="0">#REF!</definedName>
    <definedName name="leubeh" localSheetId="1">#REF!</definedName>
    <definedName name="leubeh1" localSheetId="2">#REF!</definedName>
    <definedName name="leubeh1" localSheetId="0">#REF!</definedName>
    <definedName name="leubeh1" localSheetId="1">#REF!</definedName>
    <definedName name="ListJenisPengadaan" localSheetId="44">[3]Lokasi!$N$3:$N$6</definedName>
    <definedName name="ListJenisPengadaan">[4]Lokasi!$N$3:$N$6</definedName>
    <definedName name="ListKelompokBelanja" localSheetId="44">[3]Lokasi!$Q$3:$Q$8</definedName>
    <definedName name="ListKelompokBelanja">[4]Lokasi!$Q$3:$Q$8</definedName>
    <definedName name="ListLokasi" localSheetId="44">[3]Lokasi!$C$3:$C$27</definedName>
    <definedName name="ListLokasi">[4]Lokasi!$C$3:$C$27</definedName>
    <definedName name="ListNamaKPA" localSheetId="44">[3]KPA!$C$3:$C$39</definedName>
    <definedName name="ListNamaKPA">[4]KPA!$C$3:$C$39</definedName>
    <definedName name="ListOfSKPD" localSheetId="44">[3]SKPD!$B$3:$B$63</definedName>
    <definedName name="ListOfSKPD">[4]SKPD!$B$3:$B$63</definedName>
    <definedName name="ListSumberDana" localSheetId="44">[3]Lokasi!$K$3:$K$10</definedName>
    <definedName name="ListSumberDana">[4]Lokasi!$K$3:$K$10</definedName>
    <definedName name="LLL" localSheetId="2">#REF!</definedName>
    <definedName name="LLL" localSheetId="0">#REF!</definedName>
    <definedName name="LLL" localSheetId="1">#REF!</definedName>
    <definedName name="LLLL" localSheetId="2">'[23]LAP-BLN DES2003'!#REF!</definedName>
    <definedName name="LLLL" localSheetId="0">'[23]LAP-BLN DES2003'!#REF!</definedName>
    <definedName name="LLLL" localSheetId="1">'[23]LAP-BLN DES2003'!#REF!</definedName>
    <definedName name="lllll" localSheetId="2">#REF!+#REF!</definedName>
    <definedName name="lllll" localSheetId="0">#REF!+#REF!</definedName>
    <definedName name="lllll" localSheetId="1">#REF!+#REF!</definedName>
    <definedName name="medan" localSheetId="2" hidden="1">#REF!</definedName>
    <definedName name="medan" localSheetId="0" hidden="1">#REF!</definedName>
    <definedName name="medan" localSheetId="1" hidden="1">#REF!</definedName>
    <definedName name="Mekanisme" localSheetId="2">#REF!</definedName>
    <definedName name="Mekanisme" localSheetId="0">#REF!</definedName>
    <definedName name="Mekanisme" localSheetId="1">#REF!</definedName>
    <definedName name="MIGAS" localSheetId="2">#REF!</definedName>
    <definedName name="MIGAS" localSheetId="0">#REF!</definedName>
    <definedName name="MIGAS" localSheetId="1">#REF!</definedName>
    <definedName name="mioio0k" localSheetId="2">#REF!</definedName>
    <definedName name="mioio0k" localSheetId="0">#REF!</definedName>
    <definedName name="mioio0k" localSheetId="1">#REF!</definedName>
    <definedName name="mm" localSheetId="2">'[15]33'!#REF!</definedName>
    <definedName name="mm" localSheetId="0">'[15]33'!#REF!</definedName>
    <definedName name="mm" localSheetId="1">'[15]33'!#REF!</definedName>
    <definedName name="mmmmm" localSheetId="2">#REF!</definedName>
    <definedName name="mmmmm" localSheetId="0">#REF!</definedName>
    <definedName name="mmmmm" localSheetId="1">#REF!</definedName>
    <definedName name="mmmmmmmmmmmmmmmmmmmm" localSheetId="2">#REF!</definedName>
    <definedName name="mmmmmmmmmmmmmmmmmmmm" localSheetId="0">#REF!</definedName>
    <definedName name="mmmmmmmmmmmmmmmmmmmm" localSheetId="1">#REF!</definedName>
    <definedName name="Mobilisasi" localSheetId="2">#REF!</definedName>
    <definedName name="Mobilisasi" localSheetId="0">#REF!</definedName>
    <definedName name="Mobilisasi" localSheetId="1">#REF!</definedName>
    <definedName name="mokjh" localSheetId="2">#REF!</definedName>
    <definedName name="mokjh" localSheetId="0">#REF!</definedName>
    <definedName name="mokjh" localSheetId="1">#REF!</definedName>
    <definedName name="MPD_Edit" localSheetId="2">'[9]LAP-BLN DES2003'!#REF!</definedName>
    <definedName name="MPD_Edit" localSheetId="0">'[9]LAP-BLN DES2003'!#REF!</definedName>
    <definedName name="MPD_Edit" localSheetId="1">'[9]LAP-BLN DES2003'!#REF!</definedName>
    <definedName name="MyDelay" localSheetId="2">#REF!</definedName>
    <definedName name="MyDelay" localSheetId="0">#REF!</definedName>
    <definedName name="MyDelay" localSheetId="1">#REF!</definedName>
    <definedName name="MySlide" localSheetId="2">#REF!</definedName>
    <definedName name="MySlide" localSheetId="0">#REF!</definedName>
    <definedName name="MySlide" localSheetId="1">#REF!</definedName>
    <definedName name="MyTemporary" localSheetId="2">#REF!</definedName>
    <definedName name="MyTemporary" localSheetId="0">#REF!</definedName>
    <definedName name="MyTemporary" localSheetId="1">#REF!</definedName>
    <definedName name="n" localSheetId="2">#REF!</definedName>
    <definedName name="n" localSheetId="0">#REF!</definedName>
    <definedName name="n" localSheetId="1">#REF!</definedName>
    <definedName name="NAD_KL_KPI" localSheetId="2">#REF!</definedName>
    <definedName name="NAD_KL_KPI" localSheetId="0">#REF!</definedName>
    <definedName name="NAD_KL_KPI" localSheetId="1">#REF!</definedName>
    <definedName name="namabendahara" localSheetId="44">[6]Foto!$C$28</definedName>
    <definedName name="namabendahara">[7]Foto!$C$28</definedName>
    <definedName name="NamaKabid1" localSheetId="44">[1]A1!$M$79</definedName>
    <definedName name="NamaKabid1">[2]A1!$M$79</definedName>
    <definedName name="NamaKabid2" localSheetId="44">[1]A1!$M$83</definedName>
    <definedName name="NamaKabid2">[2]A1!$M$83</definedName>
    <definedName name="NamaKabid3" localSheetId="44">[1]A1!$M$84</definedName>
    <definedName name="NamaKabid3">[2]A1!$M$84</definedName>
    <definedName name="NamaKadis1" localSheetId="44">[1]A1!$D$79</definedName>
    <definedName name="NamaKadis1">[2]A1!$D$79</definedName>
    <definedName name="NamaKadis2" localSheetId="44">[1]A1!$D$83</definedName>
    <definedName name="NamaKadis2">[2]A1!$D$83</definedName>
    <definedName name="NamaKadis3" localSheetId="44">[1]A1!$D$84</definedName>
    <definedName name="NamaKadis3">[2]A1!$D$84</definedName>
    <definedName name="NamaKepala" localSheetId="2">#REF!</definedName>
    <definedName name="NamaKepala" localSheetId="0">#REF!</definedName>
    <definedName name="NamaKepala" localSheetId="1">#REF!</definedName>
    <definedName name="namakpa" localSheetId="44">[6]Foto!$C$27</definedName>
    <definedName name="namakpa">[7]Foto!$C$27</definedName>
    <definedName name="namapaket" localSheetId="44">[6]Foto!$C$16</definedName>
    <definedName name="namapaket">[7]Foto!$C$16</definedName>
    <definedName name="namapengguna" localSheetId="44">[6]Foto!$C$38</definedName>
    <definedName name="namapengguna">[7]Foto!$C$38</definedName>
    <definedName name="namapho11" localSheetId="44">[6]Foto!$C$41</definedName>
    <definedName name="namapho11">[7]Foto!$C$41</definedName>
    <definedName name="namapho12" localSheetId="44">[6]Foto!$C$42</definedName>
    <definedName name="namapho12">[7]Foto!$C$42</definedName>
    <definedName name="namapho21" localSheetId="44">[6]Foto!$C$43</definedName>
    <definedName name="namapho21">[7]Foto!$C$43</definedName>
    <definedName name="namapho22" localSheetId="44">[6]Foto!$C$44</definedName>
    <definedName name="namapho22">[7]Foto!$C$44</definedName>
    <definedName name="namapho31" localSheetId="44">[6]Foto!$C$45</definedName>
    <definedName name="namapho31">[7]Foto!$C$45</definedName>
    <definedName name="namapho32" localSheetId="44">[6]Foto!$C$46</definedName>
    <definedName name="namapho32">[7]Foto!$C$46</definedName>
    <definedName name="namapho41" localSheetId="44">[6]Foto!$C$47</definedName>
    <definedName name="namapho41">[7]Foto!$C$47</definedName>
    <definedName name="namapho42" localSheetId="44">[6]Foto!$C$48</definedName>
    <definedName name="namapho42">[7]Foto!$C$48</definedName>
    <definedName name="namapho51" localSheetId="44">[6]Foto!$C$49</definedName>
    <definedName name="namapho51">[7]Foto!$C$49</definedName>
    <definedName name="namapho52" localSheetId="44">[6]Foto!$C$50</definedName>
    <definedName name="namapho52">[7]Foto!$C$50</definedName>
    <definedName name="namapptk" localSheetId="44">[6]Foto!$C$29</definedName>
    <definedName name="namapptk">[7]Foto!$C$29</definedName>
    <definedName name="namaskpa" localSheetId="44">[6]Foto!$C$22</definedName>
    <definedName name="namaskpa">[7]Foto!$C$22</definedName>
    <definedName name="namaskpd" localSheetId="44">[6]Foto!$C$23</definedName>
    <definedName name="namaskpd">[7]Foto!$C$23</definedName>
    <definedName name="NipKepala" localSheetId="2">#REF!</definedName>
    <definedName name="NipKepala" localSheetId="0">#REF!</definedName>
    <definedName name="NipKepala" localSheetId="1">#REF!</definedName>
    <definedName name="nn" localSheetId="2">#REF!</definedName>
    <definedName name="nn" localSheetId="0">#REF!</definedName>
    <definedName name="nn" localSheetId="1">#REF!</definedName>
    <definedName name="nnn" localSheetId="2">#REF!</definedName>
    <definedName name="nnn" localSheetId="0">#REF!</definedName>
    <definedName name="nnn" localSheetId="1">#REF!</definedName>
    <definedName name="nnnnn" localSheetId="2">#REF!</definedName>
    <definedName name="nnnnn" localSheetId="0">#REF!</definedName>
    <definedName name="nnnnn" localSheetId="1">#REF!</definedName>
    <definedName name="nnnnnnnnnnnnnn" localSheetId="2">#REF!</definedName>
    <definedName name="nnnnnnnnnnnnnn" localSheetId="0">#REF!</definedName>
    <definedName name="nnnnnnnnnnnnnn" localSheetId="1">#REF!</definedName>
    <definedName name="novem1" localSheetId="2">#REF!</definedName>
    <definedName name="novem1" localSheetId="0">#REF!</definedName>
    <definedName name="novem1" localSheetId="1">#REF!</definedName>
    <definedName name="novem2" localSheetId="44">[6]Foto!$C$102</definedName>
    <definedName name="novem2">[7]Foto!$C$102</definedName>
    <definedName name="novem3" localSheetId="2">#REF!</definedName>
    <definedName name="novem3" localSheetId="0">#REF!</definedName>
    <definedName name="novem3" localSheetId="1">#REF!</definedName>
    <definedName name="novem4" localSheetId="44">[6]Foto!$C$104</definedName>
    <definedName name="novem4">[7]Foto!$C$104</definedName>
    <definedName name="okto1" localSheetId="2">#REF!</definedName>
    <definedName name="okto1" localSheetId="0">#REF!</definedName>
    <definedName name="okto1" localSheetId="1">#REF!</definedName>
    <definedName name="okto2" localSheetId="44">[6]Foto!$C$98</definedName>
    <definedName name="okto2">[7]Foto!$C$98</definedName>
    <definedName name="okto3" localSheetId="2">#REF!</definedName>
    <definedName name="okto3" localSheetId="0">#REF!</definedName>
    <definedName name="okto3" localSheetId="1">#REF!</definedName>
    <definedName name="okto4" localSheetId="44">[6]Foto!$C$100</definedName>
    <definedName name="okto4">[7]Foto!$C$100</definedName>
    <definedName name="on" localSheetId="2">#REF!</definedName>
    <definedName name="on" localSheetId="0">#REF!</definedName>
    <definedName name="on" localSheetId="1">#REF!</definedName>
    <definedName name="oy" localSheetId="2">'[8]LAP-BLN DES2003'!#REF!</definedName>
    <definedName name="oy" localSheetId="0">'[8]LAP-BLN DES2003'!#REF!</definedName>
    <definedName name="oy" localSheetId="1">'[8]LAP-BLN DES2003'!#REF!</definedName>
    <definedName name="papanarah" localSheetId="44">[6]Foto!$C$72</definedName>
    <definedName name="papanarah">[7]Foto!$C$72</definedName>
    <definedName name="papanproyek" localSheetId="44">[6]Foto!$C$71</definedName>
    <definedName name="papanproyek">[7]Foto!$C$71</definedName>
    <definedName name="Pas.Batu.dgn.mortar" localSheetId="2">#REF!</definedName>
    <definedName name="Pas.Batu.dgn.mortar" localSheetId="0">#REF!</definedName>
    <definedName name="Pas.Batu.dgn.mortar" localSheetId="1">#REF!</definedName>
    <definedName name="Pas.Batu.Mekanik" localSheetId="2">#REF!</definedName>
    <definedName name="Pas.Batu.Mekanik" localSheetId="0">#REF!</definedName>
    <definedName name="Pas.Batu.Mekanik" localSheetId="1">#REF!</definedName>
    <definedName name="Pas_Batu_dgn_mortar" localSheetId="2">#REF!</definedName>
    <definedName name="Pas_Batu_dgn_mortar" localSheetId="0">#REF!</definedName>
    <definedName name="Pas_Batu_dgn_mortar" localSheetId="1">#REF!</definedName>
    <definedName name="Pas_Batu_Mekanik" localSheetId="2">#REF!</definedName>
    <definedName name="Pas_Batu_Mekanik" localSheetId="0">#REF!</definedName>
    <definedName name="Pas_Batu_Mekanik" localSheetId="1">#REF!</definedName>
    <definedName name="paskpa" localSheetId="44">[6]Foto!$C$26</definedName>
    <definedName name="paskpa">[7]Foto!$C$26</definedName>
    <definedName name="PatchFotoDenah" localSheetId="44">'[6]LINK FOTO'!$R$5</definedName>
    <definedName name="PatchFotoDenah">'[7]LINK FOTO'!$R$5</definedName>
    <definedName name="PatchFotoKunlap" localSheetId="2">#REF!</definedName>
    <definedName name="PatchFotoKunlap" localSheetId="0">#REF!</definedName>
    <definedName name="PatchFotoKunlap" localSheetId="1">#REF!</definedName>
    <definedName name="PatchFotoKunlap1" localSheetId="44">'[6]LINK FOTO'!$R$7</definedName>
    <definedName name="PatchFotoKunlap1">'[7]LINK FOTO'!$R$7</definedName>
    <definedName name="PatchFotoKunlap2" localSheetId="44">'[6]LINK FOTO'!$R$8</definedName>
    <definedName name="PatchFotoKunlap2">'[7]LINK FOTO'!$R$8</definedName>
    <definedName name="PatchFotoKunlapURL" localSheetId="2">#REF!</definedName>
    <definedName name="PatchFotoKunlapURL" localSheetId="0">#REF!</definedName>
    <definedName name="PatchFotoKunlapURL" localSheetId="1">#REF!</definedName>
    <definedName name="PatchFotoNol" localSheetId="44">'[6]LINK FOTO'!$R$6</definedName>
    <definedName name="PatchFotoNol">'[7]LINK FOTO'!$R$6</definedName>
    <definedName name="PatchFotoNolURL" localSheetId="2">#REF!</definedName>
    <definedName name="PatchFotoNolURL" localSheetId="0">#REF!</definedName>
    <definedName name="PatchFotoNolURL" localSheetId="1">#REF!</definedName>
    <definedName name="Pb">'[18]Taksiran Gaji'!$B$10:$AF$476</definedName>
    <definedName name="pelaksana11" localSheetId="44">[6]Foto!$C$62</definedName>
    <definedName name="pelaksana11">[7]Foto!$C$62</definedName>
    <definedName name="pelaksana111" localSheetId="44">[6]Foto!$C$70</definedName>
    <definedName name="pelaksana111">[7]Foto!$C$70</definedName>
    <definedName name="pelaksana12" localSheetId="44">[6]Foto!$C$63</definedName>
    <definedName name="pelaksana12">[7]Foto!$C$63</definedName>
    <definedName name="pelaksana13" localSheetId="44">[6]Foto!$C$64</definedName>
    <definedName name="pelaksana13">[7]Foto!$C$64</definedName>
    <definedName name="pelaksana14" localSheetId="44">[6]Foto!$C$65</definedName>
    <definedName name="pelaksana14">[7]Foto!$C$65</definedName>
    <definedName name="pelaksana16" localSheetId="44">[6]Foto!$C$66</definedName>
    <definedName name="pelaksana16">[7]Foto!$C$66</definedName>
    <definedName name="pelaksana17" localSheetId="44">[6]Foto!$C$67</definedName>
    <definedName name="pelaksana17">[7]Foto!$C$67</definedName>
    <definedName name="pelaksana18" localSheetId="44">[6]Foto!$C$68</definedName>
    <definedName name="pelaksana18">[7]Foto!$C$68</definedName>
    <definedName name="pelaksana19" localSheetId="44">[6]Foto!$C$69</definedName>
    <definedName name="pelaksana19">[7]Foto!$C$69</definedName>
    <definedName name="pengawas11" localSheetId="44">[6]Foto!$C$57</definedName>
    <definedName name="pengawas11">[7]Foto!$C$57</definedName>
    <definedName name="pengawas12" localSheetId="44">[6]Foto!$C$58</definedName>
    <definedName name="pengawas12">[7]Foto!$C$58</definedName>
    <definedName name="pengawas13" localSheetId="44">[6]Foto!$C$59</definedName>
    <definedName name="pengawas13">[7]Foto!$C$59</definedName>
    <definedName name="pengawas14" localSheetId="44">[6]Foto!$C$60</definedName>
    <definedName name="pengawas14">[7]Foto!$C$60</definedName>
    <definedName name="pengawas15" localSheetId="44">[6]Foto!$C$61</definedName>
    <definedName name="pengawas15">[7]Foto!$C$61</definedName>
    <definedName name="pengelola11" localSheetId="44">[6]Foto!$C$30</definedName>
    <definedName name="pengelola11">[7]Foto!$C$30</definedName>
    <definedName name="pengelola12" localSheetId="44">[6]Foto!$C$31</definedName>
    <definedName name="pengelola12">[7]Foto!$C$31</definedName>
    <definedName name="pengelola21" localSheetId="44">[6]Foto!$C$32</definedName>
    <definedName name="pengelola21">[7]Foto!$C$32</definedName>
    <definedName name="pengelola22" localSheetId="44">[6]Foto!$C$33</definedName>
    <definedName name="pengelola22">[7]Foto!$C$33</definedName>
    <definedName name="pengelola31" localSheetId="44">[6]Foto!$C$34</definedName>
    <definedName name="pengelola31">[7]Foto!$C$34</definedName>
    <definedName name="pengelola32" localSheetId="44">[6]Foto!$C$35</definedName>
    <definedName name="pengelola32">[7]Foto!$C$35</definedName>
    <definedName name="pengelola41" localSheetId="44">[6]Foto!$C$36</definedName>
    <definedName name="pengelola41">[7]Foto!$C$36</definedName>
    <definedName name="pengelola42" localSheetId="44">[6]Foto!$C$37</definedName>
    <definedName name="pengelola42">[7]Foto!$C$37</definedName>
    <definedName name="perencana11" localSheetId="44">[6]Foto!$C$51</definedName>
    <definedName name="perencana11">[7]Foto!$C$51</definedName>
    <definedName name="perencana12" localSheetId="44">[6]Foto!$C$52</definedName>
    <definedName name="perencana12">[7]Foto!$C$52</definedName>
    <definedName name="perencana13" localSheetId="44">[6]Foto!$C$53</definedName>
    <definedName name="perencana13">[7]Foto!$C$53</definedName>
    <definedName name="perencana14" localSheetId="44">[6]Foto!$C$54</definedName>
    <definedName name="perencana14">[7]Foto!$C$54</definedName>
    <definedName name="perencana15" localSheetId="44">[6]Foto!$C$55</definedName>
    <definedName name="perencana15">[7]Foto!$C$55</definedName>
    <definedName name="Pond.Klas.A" localSheetId="2">#REF!</definedName>
    <definedName name="Pond.Klas.A" localSheetId="0">#REF!</definedName>
    <definedName name="Pond.Klas.A" localSheetId="1">#REF!</definedName>
    <definedName name="Pond.Klas.B" localSheetId="2">#REF!</definedName>
    <definedName name="Pond.Klas.B" localSheetId="0">#REF!</definedName>
    <definedName name="Pond.Klas.B" localSheetId="1">#REF!</definedName>
    <definedName name="Pond_Klas_A" localSheetId="2">#REF!</definedName>
    <definedName name="Pond_Klas_A" localSheetId="0">#REF!</definedName>
    <definedName name="Pond_Klas_A" localSheetId="1">#REF!</definedName>
    <definedName name="Pond_Klas_B" localSheetId="2">#REF!</definedName>
    <definedName name="Pond_Klas_B" localSheetId="0">#REF!</definedName>
    <definedName name="Pond_Klas_B" localSheetId="1">#REF!</definedName>
    <definedName name="PPP" localSheetId="2">#REF!</definedName>
    <definedName name="PPP" localSheetId="0">#REF!</definedName>
    <definedName name="PPP" localSheetId="1">#REF!</definedName>
    <definedName name="pppp" localSheetId="2">#REF!</definedName>
    <definedName name="pppp" localSheetId="0">#REF!</definedName>
    <definedName name="pppp" localSheetId="1">#REF!</definedName>
    <definedName name="print" localSheetId="2">#REF!</definedName>
    <definedName name="print" localSheetId="0">#REF!</definedName>
    <definedName name="print" localSheetId="1">#REF!</definedName>
    <definedName name="_xlnm.Print_Area" localSheetId="17">'ADM kantor'!$A$1:$K$98</definedName>
    <definedName name="_xlnm.Print_Area" localSheetId="22">Agama!$A$1:$K$57</definedName>
    <definedName name="_xlnm.Print_Area" localSheetId="26">Alkes!$A$1:$K$104</definedName>
    <definedName name="_xlnm.Print_Area" localSheetId="27">Ambulance!$A$1:$K$38</definedName>
    <definedName name="_xlnm.Print_Area" localSheetId="10">ATK!$A$1:$K$124</definedName>
    <definedName name="_xlnm.Print_Area" localSheetId="14">Bacaan!$A$1:$K$38</definedName>
    <definedName name="_xlnm.Print_Area" localSheetId="4">'BTL17 (3)'!$A$1:$AG$114</definedName>
    <definedName name="_xlnm.Print_Area" localSheetId="5">'BTL17 (4)'!$A$1:$AG$113</definedName>
    <definedName name="_xlnm.Print_Area" localSheetId="29">'Cetak&amp;Penggandaan'!$A$1:$J$201</definedName>
    <definedName name="_xlnm.Print_Area" localSheetId="35">COT!$A$1:$K$45</definedName>
    <definedName name="_xlnm.Print_Area" localSheetId="41">Gizi!$A$1:$K$38</definedName>
    <definedName name="_xlnm.Print_Area" localSheetId="36">I.Anak!$A$1:$K$50</definedName>
    <definedName name="_xlnm.Print_Area" localSheetId="37">I.Dewasa!$A$1:$K$44</definedName>
    <definedName name="_xlnm.Print_Area" localSheetId="34">IGD!$A$1:$K$43</definedName>
    <definedName name="_xlnm.Print_Area" localSheetId="45">J.Layanan!$A$1:$K$254</definedName>
    <definedName name="_xlnm.Print_Area" localSheetId="12">Kantor!$A$1:$K$87</definedName>
    <definedName name="_xlnm.Print_Area" localSheetId="9">Kebersihan!$A$1:$K$58</definedName>
    <definedName name="_xlnm.Print_Area" localSheetId="8">Komunikasi!$A$1:$K$53</definedName>
    <definedName name="_xlnm.Print_Area" localSheetId="42">Laundry!$A$1:$K$50</definedName>
    <definedName name="_xlnm.Print_Area" localSheetId="11">Listrik!$A$1:$K$95</definedName>
    <definedName name="_xlnm.Print_Area" localSheetId="15">Makan!$A$1:$K$45</definedName>
    <definedName name="_xlnm.Print_Area" localSheetId="18">'mbl jabatan'!$A$1:$K$39</definedName>
    <definedName name="_xlnm.Print_Area" localSheetId="28">Mebeleur!$A$1:$K$50</definedName>
    <definedName name="_xlnm.Print_Area" localSheetId="20">'P. Kendaraaan '!$A$1:$K$50</definedName>
    <definedName name="_xlnm.Print_Area" localSheetId="21">Pakaian!$A$1:$K$53</definedName>
    <definedName name="_xlnm.Print_Area" localSheetId="30">Pel.rs!$A$1:$K$50</definedName>
    <definedName name="_xlnm.Print_Area" localSheetId="43">pelatihan!$A$1:$K$174</definedName>
    <definedName name="_xlnm.Print_Area" localSheetId="44">'Pelatihan (2)'!$A$1:$Q$183</definedName>
    <definedName name="_xlnm.Print_Area" localSheetId="32">Pem.alkes!$A$1:$K$71</definedName>
    <definedName name="_xlnm.Print_Area" localSheetId="31">Pem.limbah!$A$1:$K$111</definedName>
    <definedName name="_xlnm.Print_Area" localSheetId="33">Pem.per.RS!$A$1:$K$94</definedName>
    <definedName name="_xlnm.Print_Area" localSheetId="48">'[24]LAP-BLN DES2003'!#REF!</definedName>
    <definedName name="_xlnm.Print_Area" localSheetId="6">Pendapatan!$A$1:$K$29</definedName>
    <definedName name="_xlnm.Print_Area" localSheetId="19">'Perleng Rmh dinas'!$A$1:$K$38</definedName>
    <definedName name="_xlnm.Print_Area" localSheetId="2">PPAS!$B$1:$H$72</definedName>
    <definedName name="_xlnm.Print_Area" localSheetId="0">'PPAS Banding'!$B$1:$O$82</definedName>
    <definedName name="_xlnm.Print_Area" localSheetId="1">'PPAS Rutin'!$B$1:$K$67</definedName>
    <definedName name="_xlnm.Print_Area" localSheetId="39">R.Inap!$A$1:$K$104</definedName>
    <definedName name="_xlnm.Print_Area" localSheetId="38">R.Jalan!$A$1:$K$77</definedName>
    <definedName name="_xlnm.Print_Area" localSheetId="24">'R.Rawat Inap'!$A$1:$K$38</definedName>
    <definedName name="_xlnm.Print_Area" localSheetId="40">Radiologi!$A$1:$K$38</definedName>
    <definedName name="_xlnm.Print_Area" localSheetId="16">Rapat!$A$1:$K$58</definedName>
    <definedName name="_xlnm.Print_Area" localSheetId="25">Rehabilitasi!$A$1:$K$65</definedName>
    <definedName name="_xlnm.Print_Area" localSheetId="3">Rekap!$A$1:$J$89</definedName>
    <definedName name="_xlnm.Print_Area" localSheetId="13">RT!$A$1:$K$53</definedName>
    <definedName name="_xlnm.Print_Area" localSheetId="7">Surat!$A$1:$K$44</definedName>
    <definedName name="_xlnm.Print_Area">'[24]LAP-BLN DES2003'!#REF!</definedName>
    <definedName name="Print_Area_MI" localSheetId="2">#REF!</definedName>
    <definedName name="Print_Area_MI" localSheetId="0">#REF!</definedName>
    <definedName name="Print_Area_MI" localSheetId="1">#REF!</definedName>
    <definedName name="_xlnm.Print_Titles" localSheetId="17">'ADM kantor'!$21:$23</definedName>
    <definedName name="_xlnm.Print_Titles" localSheetId="26">Alkes!$21:$23</definedName>
    <definedName name="_xlnm.Print_Titles" localSheetId="10">ATK!$21:$23</definedName>
    <definedName name="_xlnm.Print_Titles" localSheetId="29">'Cetak&amp;Penggandaan'!$21:$23</definedName>
    <definedName name="_xlnm.Print_Titles" localSheetId="45">J.Layanan!$21:$23</definedName>
    <definedName name="_xlnm.Print_Titles" localSheetId="12">Kantor!$21:$23</definedName>
    <definedName name="_xlnm.Print_Titles" localSheetId="11">Listrik!$21:$23</definedName>
    <definedName name="_xlnm.Print_Titles" localSheetId="43">pelatihan!$21:$23</definedName>
    <definedName name="_xlnm.Print_Titles" localSheetId="44">'Pelatihan (2)'!$20:$23</definedName>
    <definedName name="_xlnm.Print_Titles" localSheetId="31">Pem.limbah!$21:$23</definedName>
    <definedName name="_xlnm.Print_Titles" localSheetId="33">Pem.per.RS!$21:$23</definedName>
    <definedName name="_xlnm.Print_Titles" localSheetId="2">PPAS!$7:$8</definedName>
    <definedName name="_xlnm.Print_Titles" localSheetId="0">'PPAS Banding'!$7:$8</definedName>
    <definedName name="_xlnm.Print_Titles" localSheetId="1">'PPAS Rutin'!$7:$8</definedName>
    <definedName name="_xlnm.Print_Titles" localSheetId="39">R.Inap!$21:$23</definedName>
    <definedName name="_xlnm.Print_Titles" localSheetId="38">R.Jalan!$21:$23</definedName>
    <definedName name="_xlnm.Print_Titles" localSheetId="25">Rehabilitasi!$21:$23</definedName>
    <definedName name="_xlnm.Print_Titles" localSheetId="3">Rekap!$10:$14</definedName>
    <definedName name="_xlnm.Print_Titles" localSheetId="55">Sheet7!$4:$4</definedName>
    <definedName name="pro" localSheetId="2">#REF!</definedName>
    <definedName name="pro" localSheetId="0">#REF!</definedName>
    <definedName name="pro" localSheetId="1">#REF!</definedName>
    <definedName name="Program" localSheetId="2">#REF!</definedName>
    <definedName name="Program" localSheetId="0">#REF!</definedName>
    <definedName name="Program" localSheetId="1">#REF!</definedName>
    <definedName name="PROV" localSheetId="44">[25]Data!$A$10:$Q$39</definedName>
    <definedName name="PROV" localSheetId="0">[26]Data!$A$10:$Q$39</definedName>
    <definedName name="PROV">[26]Data!$A$10:$Q$39</definedName>
    <definedName name="QRY.3" localSheetId="44" hidden="1">'[27]Agregat Halus &amp; Kasar'!$I$12:$I$20</definedName>
    <definedName name="QRY.3" localSheetId="0" hidden="1">'[28]Agregat Halus &amp; Kasar'!$I$12:$I$20</definedName>
    <definedName name="QRY.3" hidden="1">'[28]Agregat Halus &amp; Kasar'!$I$12:$I$20</definedName>
    <definedName name="RekapBobot1" localSheetId="44">[6]Foto!$C$116</definedName>
    <definedName name="RekapBobot1">[7]Foto!$C$116</definedName>
    <definedName name="RekapBobot2" localSheetId="44">[6]Foto!$C$119</definedName>
    <definedName name="RekapBobot2">[7]Foto!$C$119</definedName>
    <definedName name="RekapBobot3" localSheetId="44">[6]Foto!$C$122</definedName>
    <definedName name="RekapBobot3">[7]Foto!$C$122</definedName>
    <definedName name="RekapBobot4" localSheetId="44">[6]Foto!$C$125</definedName>
    <definedName name="RekapBobot4">[7]Foto!$C$125</definedName>
    <definedName name="RekapBobot5" localSheetId="44">[6]Foto!$C$128</definedName>
    <definedName name="RekapBobot5">[7]Foto!$C$128</definedName>
    <definedName name="RekapBobot6" localSheetId="44">[6]Foto!$C$131</definedName>
    <definedName name="RekapBobot6">[7]Foto!$C$131</definedName>
    <definedName name="RekapPekerjaan1" localSheetId="44">[6]Foto!$C$115</definedName>
    <definedName name="RekapPekerjaan1">[7]Foto!$C$115</definedName>
    <definedName name="RekapPekerjaan2" localSheetId="44">[6]Foto!$C$118</definedName>
    <definedName name="RekapPekerjaan2">[7]Foto!$C$118</definedName>
    <definedName name="RekapPekerjaan3" localSheetId="44">[6]Foto!$C$121</definedName>
    <definedName name="RekapPekerjaan3">[7]Foto!$C$121</definedName>
    <definedName name="RekapPekerjaan4" localSheetId="44">[6]Foto!$C$124</definedName>
    <definedName name="RekapPekerjaan4">[7]Foto!$C$124</definedName>
    <definedName name="RekapPekerjaan5" localSheetId="44">[6]Foto!$C$127</definedName>
    <definedName name="RekapPekerjaan5">[7]Foto!$C$127</definedName>
    <definedName name="RekapPekerjaan6" localSheetId="44">[6]Foto!$C$130</definedName>
    <definedName name="RekapPekerjaan6">[7]Foto!$C$130</definedName>
    <definedName name="RekapStatus1" localSheetId="44">[6]Foto!$C$117</definedName>
    <definedName name="RekapStatus1">[7]Foto!$C$117</definedName>
    <definedName name="RekapStatus2" localSheetId="44">[6]Foto!$C$120</definedName>
    <definedName name="RekapStatus2">[7]Foto!$C$120</definedName>
    <definedName name="RekapStatus3" localSheetId="44">[6]Foto!$C$123</definedName>
    <definedName name="RekapStatus3">[7]Foto!$C$123</definedName>
    <definedName name="RekapStatus4" localSheetId="44">[6]Foto!$C$126</definedName>
    <definedName name="RekapStatus4">[7]Foto!$C$126</definedName>
    <definedName name="RekapStatus5" localSheetId="44">[6]Foto!$C$129</definedName>
    <definedName name="RekapStatus5">[7]Foto!$C$129</definedName>
    <definedName name="RekapStatus6" localSheetId="44">[6]Foto!$C$132</definedName>
    <definedName name="RekapStatus6">[7]Foto!$C$132</definedName>
    <definedName name="s" localSheetId="2">#REF!</definedName>
    <definedName name="s" localSheetId="0">#REF!</definedName>
    <definedName name="s" localSheetId="1">#REF!</definedName>
    <definedName name="SAS" localSheetId="2">#REF!</definedName>
    <definedName name="SAS" localSheetId="0">#REF!</definedName>
    <definedName name="SAS" localSheetId="1">#REF!</definedName>
    <definedName name="Satker51" localSheetId="2">#REF!</definedName>
    <definedName name="Satker51" localSheetId="0">#REF!</definedName>
    <definedName name="Satker51" localSheetId="1">#REF!</definedName>
    <definedName name="Satker52" localSheetId="2">#REF!</definedName>
    <definedName name="Satker52" localSheetId="0">#REF!</definedName>
    <definedName name="Satker52" localSheetId="1">#REF!</definedName>
    <definedName name="Satker54" localSheetId="2">#REF!</definedName>
    <definedName name="Satker54" localSheetId="0">#REF!</definedName>
    <definedName name="Satker54" localSheetId="1">#REF!</definedName>
    <definedName name="Satker55" localSheetId="2">#REF!</definedName>
    <definedName name="Satker55" localSheetId="0">#REF!</definedName>
    <definedName name="Satker55" localSheetId="1">#REF!</definedName>
    <definedName name="Satker56" localSheetId="2">#REF!</definedName>
    <definedName name="Satker56" localSheetId="0">#REF!</definedName>
    <definedName name="Satker56" localSheetId="1">#REF!</definedName>
    <definedName name="Satker57" localSheetId="2">#REF!</definedName>
    <definedName name="Satker57" localSheetId="0">#REF!</definedName>
    <definedName name="Satker57" localSheetId="1">#REF!</definedName>
    <definedName name="Satker58" localSheetId="2">#REF!</definedName>
    <definedName name="Satker58" localSheetId="0">#REF!</definedName>
    <definedName name="Satker58" localSheetId="1">#REF!</definedName>
    <definedName name="Satker59" localSheetId="2">#REF!</definedName>
    <definedName name="Satker59" localSheetId="0">#REF!</definedName>
    <definedName name="Satker59" localSheetId="1">#REF!</definedName>
    <definedName name="Satker60" localSheetId="2">#REF!</definedName>
    <definedName name="Satker60" localSheetId="0">#REF!</definedName>
    <definedName name="Satker60" localSheetId="1">#REF!</definedName>
    <definedName name="Satker62" localSheetId="2">#REF!</definedName>
    <definedName name="Satker62" localSheetId="0">#REF!</definedName>
    <definedName name="Satker62" localSheetId="1">#REF!</definedName>
    <definedName name="Semen" localSheetId="2">#REF!</definedName>
    <definedName name="Semen" localSheetId="0">#REF!</definedName>
    <definedName name="Semen" localSheetId="1">#REF!</definedName>
    <definedName name="sept1" localSheetId="2">#REF!</definedName>
    <definedName name="sept1" localSheetId="0">#REF!</definedName>
    <definedName name="sept1" localSheetId="1">#REF!</definedName>
    <definedName name="sept2" localSheetId="44">[6]Foto!$C$94</definedName>
    <definedName name="sept2">[7]Foto!$C$94</definedName>
    <definedName name="sept3" localSheetId="2">#REF!</definedName>
    <definedName name="sept3" localSheetId="0">#REF!</definedName>
    <definedName name="sept3" localSheetId="1">#REF!</definedName>
    <definedName name="sept4" localSheetId="44">[6]Foto!$C$96</definedName>
    <definedName name="sept4">[7]Foto!$C$96</definedName>
    <definedName name="SingkatSKPA" localSheetId="44">'[29]Nama SKPA'!$B:$B</definedName>
    <definedName name="SingkatSKPA" localSheetId="0">'[30]Nama SKPA'!$B:$B</definedName>
    <definedName name="SingkatSKPA">'[30]Nama SKPA'!$B:$B</definedName>
    <definedName name="SKPA">[31]TREF!$A$23:$A$76</definedName>
    <definedName name="SKPD">[32]Data8.Urusan!$D$46:$D$47,[32]Data8.Urusan!$D$52:$D$54</definedName>
    <definedName name="solusi1" localSheetId="44">[6]Foto!$C$134</definedName>
    <definedName name="solusi1">[7]Foto!$C$134</definedName>
    <definedName name="ss" localSheetId="2">#REF!</definedName>
    <definedName name="ss" localSheetId="0">#REF!</definedName>
    <definedName name="ss" localSheetId="1">#REF!</definedName>
    <definedName name="SSS" localSheetId="2">#REF!</definedName>
    <definedName name="SSS" localSheetId="0">#REF!</definedName>
    <definedName name="SSS" localSheetId="1">#REF!</definedName>
    <definedName name="SSSS" localSheetId="2">'[9]LAP-BLN DES2003'!#REF!</definedName>
    <definedName name="SSSS" localSheetId="0">'[9]LAP-BLN DES2003'!#REF!</definedName>
    <definedName name="SSSS" localSheetId="1">'[9]LAP-BLN DES2003'!#REF!</definedName>
    <definedName name="statussekarang1" localSheetId="44">[33]Foto!$C$133</definedName>
    <definedName name="statussekarang1">[34]Foto!$C$133</definedName>
    <definedName name="Subkegiatan" localSheetId="2">#REF!</definedName>
    <definedName name="Subkegiatan" localSheetId="0">#REF!</definedName>
    <definedName name="Subkegiatan" localSheetId="1">#REF!</definedName>
    <definedName name="tabel1" localSheetId="2">#REF!</definedName>
    <definedName name="tabel1" localSheetId="0">#REF!</definedName>
    <definedName name="tabel1" localSheetId="1">#REF!</definedName>
    <definedName name="TahunAPBA" localSheetId="44">[6]Foto!$C$9</definedName>
    <definedName name="TahunAPBA">[7]Foto!$C$9</definedName>
    <definedName name="tanggaldata" localSheetId="44">[6]Foto!$C$25</definedName>
    <definedName name="tanggaldata">[7]Foto!$C$25</definedName>
    <definedName name="Tender" localSheetId="2">#REF!</definedName>
    <definedName name="Tender" localSheetId="0">#REF!</definedName>
    <definedName name="Tender" localSheetId="1">#REF!</definedName>
    <definedName name="tglkondisi" localSheetId="44">[6]Foto!$C$109</definedName>
    <definedName name="tglkondisi">[7]Foto!$C$109</definedName>
    <definedName name="tglkondisi2" localSheetId="44">[6]Foto!$C$144</definedName>
    <definedName name="tglkondisi2">[7]Foto!$C$144</definedName>
    <definedName name="tglperesmian" localSheetId="2">#REF!</definedName>
    <definedName name="tglperesmian" localSheetId="0">#REF!</definedName>
    <definedName name="tglperesmian" localSheetId="1">#REF!</definedName>
    <definedName name="Timb.Biasa" localSheetId="2">#REF!</definedName>
    <definedName name="Timb.Biasa" localSheetId="0">#REF!</definedName>
    <definedName name="Timb.Biasa" localSheetId="1">#REF!</definedName>
    <definedName name="Timb_Biasa" localSheetId="2">#REF!</definedName>
    <definedName name="Timb_Biasa" localSheetId="0">#REF!</definedName>
    <definedName name="Timb_Biasa" localSheetId="1">#REF!</definedName>
    <definedName name="TimTeknisP2K" localSheetId="2">#REF!</definedName>
    <definedName name="TimTeknisP2K" localSheetId="0">#REF!</definedName>
    <definedName name="TimTeknisP2K" localSheetId="1">#REF!</definedName>
    <definedName name="TimTeknisP2KHP" localSheetId="2">#REF!</definedName>
    <definedName name="TimTeknisP2KHP" localSheetId="0">#REF!</definedName>
    <definedName name="TimTeknisP2KHP" localSheetId="1">#REF!</definedName>
    <definedName name="tujuh" localSheetId="44">'[35]REKAP - GAB'!$A$9:$G$38</definedName>
    <definedName name="tujuh" localSheetId="0">'[36]REKAP - GAB'!$A$9:$G$38</definedName>
    <definedName name="tujuh">'[36]REKAP - GAB'!$A$9:$G$38</definedName>
    <definedName name="u" localSheetId="2">'[5]LAP-BLN DES2003'!#REF!</definedName>
    <definedName name="u" localSheetId="0">'[5]LAP-BLN DES2003'!#REF!</definedName>
    <definedName name="u" localSheetId="1">'[5]LAP-BLN DES2003'!#REF!</definedName>
    <definedName name="uu" localSheetId="26" hidden="1">#REF!</definedName>
    <definedName name="uu" localSheetId="27" hidden="1">#REF!</definedName>
    <definedName name="uu" localSheetId="10" hidden="1">#REF!</definedName>
    <definedName name="uu" localSheetId="5" hidden="1">#REF!</definedName>
    <definedName name="uu" localSheetId="34" hidden="1">#REF!</definedName>
    <definedName name="uu" localSheetId="44" hidden="1">#REF!</definedName>
    <definedName name="uu" localSheetId="48" hidden="1">#REF!</definedName>
    <definedName name="uu" localSheetId="0" hidden="1">#REF!</definedName>
    <definedName name="uu" localSheetId="1" hidden="1">#REF!</definedName>
    <definedName name="uu" localSheetId="24" hidden="1">#REF!</definedName>
    <definedName name="uu" hidden="1">#REF!</definedName>
    <definedName name="volume" localSheetId="44">[6]Foto!$C$17</definedName>
    <definedName name="volume">[7]Foto!$C$17</definedName>
    <definedName name="VolumeSatuan" localSheetId="44">[6]Foto!$C$18</definedName>
    <definedName name="VolumeSatuan">[7]Foto!$C$18</definedName>
    <definedName name="VVVV" localSheetId="2">#REF!</definedName>
    <definedName name="VVVV" localSheetId="0">#REF!</definedName>
    <definedName name="VVVV" localSheetId="1">#REF!</definedName>
    <definedName name="VVVVV" localSheetId="2">#REF!</definedName>
    <definedName name="VVVVV" localSheetId="0">#REF!</definedName>
    <definedName name="VVVVV" localSheetId="1">#REF!</definedName>
    <definedName name="wertet" localSheetId="2" hidden="1">#REF!</definedName>
    <definedName name="wertet" localSheetId="0" hidden="1">#REF!</definedName>
    <definedName name="wertet" localSheetId="1" hidden="1">#REF!</definedName>
    <definedName name="ww" localSheetId="2" hidden="1">#REF!</definedName>
    <definedName name="ww" localSheetId="0" hidden="1">#REF!</definedName>
    <definedName name="ww" localSheetId="1" hidden="1">#REF!</definedName>
    <definedName name="wwwww" localSheetId="2" hidden="1">#REF!</definedName>
    <definedName name="wwwww" localSheetId="0" hidden="1">#REF!</definedName>
    <definedName name="wwwww" localSheetId="1" hidden="1">#REF!</definedName>
    <definedName name="wwwwww" localSheetId="2">'[5]LAP-BLN DES2003'!#REF!</definedName>
    <definedName name="wwwwww" localSheetId="0">'[5]LAP-BLN DES2003'!#REF!</definedName>
    <definedName name="wwwwww" localSheetId="1">'[5]LAP-BLN DES2003'!#REF!</definedName>
    <definedName name="Z" localSheetId="2">'[23]LAP-BLN DES2003'!#REF!</definedName>
    <definedName name="Z" localSheetId="0">'[23]LAP-BLN DES2003'!#REF!</definedName>
    <definedName name="Z" localSheetId="1">'[23]LAP-BLN DES2003'!#REF!</definedName>
    <definedName name="zemi" localSheetId="2">#REF!</definedName>
    <definedName name="zemi" localSheetId="0">#REF!</definedName>
    <definedName name="zemi" localSheetId="1">#REF!</definedName>
    <definedName name="zzzzz" localSheetId="2">#REF!</definedName>
    <definedName name="zzzzz" localSheetId="0">#REF!</definedName>
    <definedName name="zzzzz" localSheetId="1">#REF!</definedName>
  </definedNames>
  <calcPr calcId="125725"/>
</workbook>
</file>

<file path=xl/calcChain.xml><?xml version="1.0" encoding="utf-8"?>
<calcChain xmlns="http://schemas.openxmlformats.org/spreadsheetml/2006/main">
  <c r="J126" i="81"/>
  <c r="I65" i="85"/>
  <c r="W20" i="146"/>
  <c r="W21"/>
  <c r="U24"/>
  <c r="U19"/>
  <c r="T19"/>
  <c r="T24" s="1"/>
  <c r="V19" l="1"/>
  <c r="V24" l="1"/>
  <c r="W19"/>
  <c r="F23" l="1"/>
  <c r="F21" s="1"/>
  <c r="E23"/>
  <c r="E21" s="1"/>
  <c r="C23"/>
  <c r="D23"/>
  <c r="O25"/>
  <c r="O24"/>
  <c r="O22"/>
  <c r="N21"/>
  <c r="M21"/>
  <c r="L21"/>
  <c r="K21"/>
  <c r="J21"/>
  <c r="I21"/>
  <c r="H21"/>
  <c r="G21"/>
  <c r="D21"/>
  <c r="C21"/>
  <c r="O20"/>
  <c r="N19"/>
  <c r="N26" s="1"/>
  <c r="M19"/>
  <c r="M26" s="1"/>
  <c r="L19"/>
  <c r="L26" s="1"/>
  <c r="K19"/>
  <c r="K26" s="1"/>
  <c r="J19"/>
  <c r="J26" s="1"/>
  <c r="I19"/>
  <c r="I26" s="1"/>
  <c r="H19"/>
  <c r="H26" s="1"/>
  <c r="G19"/>
  <c r="G26" s="1"/>
  <c r="F19"/>
  <c r="E19"/>
  <c r="D19"/>
  <c r="C19"/>
  <c r="D6"/>
  <c r="F6"/>
  <c r="G6"/>
  <c r="I6"/>
  <c r="J6"/>
  <c r="K6"/>
  <c r="L6"/>
  <c r="M6"/>
  <c r="N6"/>
  <c r="C6"/>
  <c r="H7"/>
  <c r="H6" s="1"/>
  <c r="E7"/>
  <c r="O10"/>
  <c r="O9"/>
  <c r="N8"/>
  <c r="M8"/>
  <c r="M13" s="1"/>
  <c r="L8"/>
  <c r="K8"/>
  <c r="J8"/>
  <c r="I8"/>
  <c r="I13" s="1"/>
  <c r="H8"/>
  <c r="G8"/>
  <c r="F8"/>
  <c r="E8"/>
  <c r="D8"/>
  <c r="C8"/>
  <c r="O12"/>
  <c r="O11"/>
  <c r="O7"/>
  <c r="I6" i="133"/>
  <c r="J226" i="81"/>
  <c r="K194"/>
  <c r="K193" s="1"/>
  <c r="K192" s="1"/>
  <c r="K204"/>
  <c r="K206"/>
  <c r="Q206" s="1"/>
  <c r="S206" s="1"/>
  <c r="I32" i="14"/>
  <c r="H32"/>
  <c r="J184" i="81"/>
  <c r="O23" i="146" l="1"/>
  <c r="F26"/>
  <c r="E26"/>
  <c r="C26"/>
  <c r="D26"/>
  <c r="O21"/>
  <c r="O19"/>
  <c r="D13"/>
  <c r="K13"/>
  <c r="F13"/>
  <c r="J13"/>
  <c r="N13"/>
  <c r="H13"/>
  <c r="L13"/>
  <c r="G13"/>
  <c r="C13"/>
  <c r="E6"/>
  <c r="E13" s="1"/>
  <c r="O8"/>
  <c r="Q194" i="81"/>
  <c r="S194" s="1"/>
  <c r="K205"/>
  <c r="K126"/>
  <c r="Q126" s="1"/>
  <c r="T126" s="1"/>
  <c r="K216"/>
  <c r="Q216" s="1"/>
  <c r="S216" s="1"/>
  <c r="K202"/>
  <c r="Q202" s="1"/>
  <c r="S202" s="1"/>
  <c r="K197"/>
  <c r="K198"/>
  <c r="H141"/>
  <c r="K141" s="1"/>
  <c r="H142"/>
  <c r="K142" s="1"/>
  <c r="Q142" s="1"/>
  <c r="T142" s="1"/>
  <c r="K234"/>
  <c r="Q234" s="1"/>
  <c r="S234" s="1"/>
  <c r="K235"/>
  <c r="K233"/>
  <c r="K29"/>
  <c r="Q29" s="1"/>
  <c r="T29" s="1"/>
  <c r="K30"/>
  <c r="Q30" s="1"/>
  <c r="T30" s="1"/>
  <c r="K31"/>
  <c r="Q31" s="1"/>
  <c r="T31" s="1"/>
  <c r="K32"/>
  <c r="Q32" s="1"/>
  <c r="T32" s="1"/>
  <c r="K33"/>
  <c r="Q33" s="1"/>
  <c r="T33" s="1"/>
  <c r="K34"/>
  <c r="Q34" s="1"/>
  <c r="T34" s="1"/>
  <c r="K35"/>
  <c r="Q35" s="1"/>
  <c r="T35" s="1"/>
  <c r="K36"/>
  <c r="Q36" s="1"/>
  <c r="T36" s="1"/>
  <c r="K37"/>
  <c r="Q37" s="1"/>
  <c r="T37" s="1"/>
  <c r="K38"/>
  <c r="Q38" s="1"/>
  <c r="T38" s="1"/>
  <c r="H39"/>
  <c r="K39" s="1"/>
  <c r="K40"/>
  <c r="Q40" s="1"/>
  <c r="T40" s="1"/>
  <c r="K41"/>
  <c r="Q41" s="1"/>
  <c r="T41" s="1"/>
  <c r="K42"/>
  <c r="Q42" s="1"/>
  <c r="T42" s="1"/>
  <c r="K43"/>
  <c r="Q43" s="1"/>
  <c r="T43" s="1"/>
  <c r="K44"/>
  <c r="Q44" s="1"/>
  <c r="T44" s="1"/>
  <c r="K48"/>
  <c r="Q48" s="1"/>
  <c r="T48" s="1"/>
  <c r="K49"/>
  <c r="Q49" s="1"/>
  <c r="T49" s="1"/>
  <c r="K50"/>
  <c r="Q50" s="1"/>
  <c r="T50" s="1"/>
  <c r="K51"/>
  <c r="Q51" s="1"/>
  <c r="T51" s="1"/>
  <c r="K52"/>
  <c r="Q52" s="1"/>
  <c r="T52" s="1"/>
  <c r="K74"/>
  <c r="Q74" s="1"/>
  <c r="T74" s="1"/>
  <c r="K75"/>
  <c r="Q75" s="1"/>
  <c r="T75" s="1"/>
  <c r="K76"/>
  <c r="Q76" s="1"/>
  <c r="T76" s="1"/>
  <c r="K77"/>
  <c r="Q77" s="1"/>
  <c r="T77" s="1"/>
  <c r="K81"/>
  <c r="Q81" s="1"/>
  <c r="T81" s="1"/>
  <c r="K82"/>
  <c r="Q82" s="1"/>
  <c r="T82" s="1"/>
  <c r="K83"/>
  <c r="Q83" s="1"/>
  <c r="T83" s="1"/>
  <c r="J88"/>
  <c r="K88"/>
  <c r="Q88" s="1"/>
  <c r="T88" s="1"/>
  <c r="K93"/>
  <c r="Q93" s="1"/>
  <c r="T93" s="1"/>
  <c r="K94"/>
  <c r="Q94" s="1"/>
  <c r="T94" s="1"/>
  <c r="K95"/>
  <c r="Q95" s="1"/>
  <c r="T95" s="1"/>
  <c r="K96"/>
  <c r="Q96" s="1"/>
  <c r="T96" s="1"/>
  <c r="K97"/>
  <c r="Q97" s="1"/>
  <c r="T97" s="1"/>
  <c r="K98"/>
  <c r="Q98" s="1"/>
  <c r="T98" s="1"/>
  <c r="K99"/>
  <c r="Q99" s="1"/>
  <c r="T99" s="1"/>
  <c r="K100"/>
  <c r="Q100" s="1"/>
  <c r="T100" s="1"/>
  <c r="K101"/>
  <c r="Q101" s="1"/>
  <c r="T101" s="1"/>
  <c r="K107"/>
  <c r="Q107" s="1"/>
  <c r="T107" s="1"/>
  <c r="K115"/>
  <c r="Q115" s="1"/>
  <c r="T115" s="1"/>
  <c r="K121"/>
  <c r="Q121" s="1"/>
  <c r="T121" s="1"/>
  <c r="K124"/>
  <c r="Q124" s="1"/>
  <c r="T124" s="1"/>
  <c r="K125"/>
  <c r="Q125" s="1"/>
  <c r="T125" s="1"/>
  <c r="K134"/>
  <c r="Q134" s="1"/>
  <c r="T134" s="1"/>
  <c r="K145"/>
  <c r="Q145" s="1"/>
  <c r="T145" s="1"/>
  <c r="K146"/>
  <c r="Q146" s="1"/>
  <c r="T146" s="1"/>
  <c r="K184"/>
  <c r="J180"/>
  <c r="K71"/>
  <c r="Q71" s="1"/>
  <c r="S71" s="1"/>
  <c r="K70"/>
  <c r="Q70" s="1"/>
  <c r="S70" s="1"/>
  <c r="K69"/>
  <c r="Q69" s="1"/>
  <c r="S69" s="1"/>
  <c r="K68"/>
  <c r="Q68" s="1"/>
  <c r="S68" s="1"/>
  <c r="K67"/>
  <c r="Q67" s="1"/>
  <c r="S67" s="1"/>
  <c r="K66"/>
  <c r="Q66" s="1"/>
  <c r="S66" s="1"/>
  <c r="K65"/>
  <c r="Q65" s="1"/>
  <c r="S65" s="1"/>
  <c r="K64"/>
  <c r="Q64"/>
  <c r="S64" s="1"/>
  <c r="K63"/>
  <c r="Q63" s="1"/>
  <c r="S63" s="1"/>
  <c r="K62"/>
  <c r="Q62" s="1"/>
  <c r="S62" s="1"/>
  <c r="K61"/>
  <c r="Q61" s="1"/>
  <c r="S61" s="1"/>
  <c r="K60"/>
  <c r="Q60" s="1"/>
  <c r="S60" s="1"/>
  <c r="K59"/>
  <c r="Q59" s="1"/>
  <c r="S59" s="1"/>
  <c r="K58"/>
  <c r="Q58" s="1"/>
  <c r="S58" s="1"/>
  <c r="K57"/>
  <c r="Q57" s="1"/>
  <c r="S57" s="1"/>
  <c r="K104"/>
  <c r="Q104" s="1"/>
  <c r="S104" s="1"/>
  <c r="K112"/>
  <c r="Q112" s="1"/>
  <c r="S112" s="1"/>
  <c r="K118"/>
  <c r="Q118" s="1"/>
  <c r="S118" s="1"/>
  <c r="K130"/>
  <c r="Q130" s="1"/>
  <c r="S130" s="1"/>
  <c r="K151"/>
  <c r="Q151" s="1"/>
  <c r="S151" s="1"/>
  <c r="K170"/>
  <c r="Q170" s="1"/>
  <c r="S170" s="1"/>
  <c r="K174"/>
  <c r="Q174" s="1"/>
  <c r="S174" s="1"/>
  <c r="H140"/>
  <c r="K140" s="1"/>
  <c r="Q140" s="1"/>
  <c r="S140" s="1"/>
  <c r="H139"/>
  <c r="K139" s="1"/>
  <c r="Q139" s="1"/>
  <c r="S139" s="1"/>
  <c r="H138"/>
  <c r="K138" s="1"/>
  <c r="Q158"/>
  <c r="S158" s="1"/>
  <c r="H157"/>
  <c r="K157"/>
  <c r="Q157" s="1"/>
  <c r="S157" s="1"/>
  <c r="H156"/>
  <c r="K156" s="1"/>
  <c r="K155"/>
  <c r="Q155" s="1"/>
  <c r="S155" s="1"/>
  <c r="H179"/>
  <c r="K179" s="1"/>
  <c r="K178"/>
  <c r="Q178" s="1"/>
  <c r="S178" s="1"/>
  <c r="K180"/>
  <c r="Q180" s="1"/>
  <c r="S180" s="1"/>
  <c r="H166"/>
  <c r="K166" s="1"/>
  <c r="Q166" s="1"/>
  <c r="S166" s="1"/>
  <c r="H165"/>
  <c r="K165" s="1"/>
  <c r="Q165" s="1"/>
  <c r="S165" s="1"/>
  <c r="H164"/>
  <c r="K164" s="1"/>
  <c r="Q164" s="1"/>
  <c r="S164" s="1"/>
  <c r="H163"/>
  <c r="K163" s="1"/>
  <c r="Q163" s="1"/>
  <c r="S163" s="1"/>
  <c r="H162"/>
  <c r="K162" s="1"/>
  <c r="Q162" s="1"/>
  <c r="S162" s="1"/>
  <c r="H161"/>
  <c r="K161" s="1"/>
  <c r="Q161" s="1"/>
  <c r="S161" s="1"/>
  <c r="H160"/>
  <c r="K160" s="1"/>
  <c r="Q160" s="1"/>
  <c r="S160" s="1"/>
  <c r="K159"/>
  <c r="Q159" s="1"/>
  <c r="S159" s="1"/>
  <c r="K78"/>
  <c r="Q78" s="1"/>
  <c r="S78" s="1"/>
  <c r="J84"/>
  <c r="K84" s="1"/>
  <c r="K89"/>
  <c r="K87" s="1"/>
  <c r="K108"/>
  <c r="Q108" s="1"/>
  <c r="S108" s="1"/>
  <c r="K147"/>
  <c r="Q147" s="1"/>
  <c r="S147" s="1"/>
  <c r="J185"/>
  <c r="K185" s="1"/>
  <c r="K190"/>
  <c r="Q190" s="1"/>
  <c r="S190" s="1"/>
  <c r="K210"/>
  <c r="Q210" s="1"/>
  <c r="S210" s="1"/>
  <c r="K211"/>
  <c r="Q211" s="1"/>
  <c r="S211" s="1"/>
  <c r="K212"/>
  <c r="Q212" s="1"/>
  <c r="S212" s="1"/>
  <c r="K220"/>
  <c r="Q220" s="1"/>
  <c r="S220" s="1"/>
  <c r="K223"/>
  <c r="Q223" s="1"/>
  <c r="S223" s="1"/>
  <c r="K226"/>
  <c r="Q226" s="1"/>
  <c r="S226" s="1"/>
  <c r="K229"/>
  <c r="Q229" s="1"/>
  <c r="S229" s="1"/>
  <c r="K239"/>
  <c r="Q239" s="1"/>
  <c r="S239" s="1"/>
  <c r="J240"/>
  <c r="K240" s="1"/>
  <c r="J241"/>
  <c r="K241" s="1"/>
  <c r="Q241" s="1"/>
  <c r="S241" s="1"/>
  <c r="K242"/>
  <c r="Q242" s="1"/>
  <c r="S242" s="1"/>
  <c r="K243"/>
  <c r="Q243" s="1"/>
  <c r="S243" s="1"/>
  <c r="K91"/>
  <c r="K106"/>
  <c r="K111"/>
  <c r="K114"/>
  <c r="K117"/>
  <c r="K129"/>
  <c r="K128" s="1"/>
  <c r="K133"/>
  <c r="K132" s="1"/>
  <c r="K169"/>
  <c r="K168" s="1"/>
  <c r="K173"/>
  <c r="K172" s="1"/>
  <c r="K222"/>
  <c r="K228"/>
  <c r="H43" i="15"/>
  <c r="H42"/>
  <c r="H41"/>
  <c r="H38"/>
  <c r="H37"/>
  <c r="G76" i="85"/>
  <c r="H75"/>
  <c r="K43" i="129"/>
  <c r="M43"/>
  <c r="Q101" i="132"/>
  <c r="H48" i="67"/>
  <c r="J6" i="85"/>
  <c r="K42" i="129"/>
  <c r="M42"/>
  <c r="J64"/>
  <c r="J47" i="3"/>
  <c r="H28" i="66"/>
  <c r="H44" i="68"/>
  <c r="K44"/>
  <c r="W170" i="145"/>
  <c r="N58" i="85"/>
  <c r="V170" i="145"/>
  <c r="M58" i="85"/>
  <c r="U170" i="145"/>
  <c r="L58" i="85"/>
  <c r="T170" i="145"/>
  <c r="K58" i="85"/>
  <c r="R170" i="145"/>
  <c r="I58" i="85"/>
  <c r="L168" i="145"/>
  <c r="O168"/>
  <c r="H168"/>
  <c r="K168"/>
  <c r="L167"/>
  <c r="O167"/>
  <c r="H167"/>
  <c r="K167"/>
  <c r="L166"/>
  <c r="O166"/>
  <c r="H166"/>
  <c r="K166"/>
  <c r="L165"/>
  <c r="O165"/>
  <c r="H165"/>
  <c r="K165"/>
  <c r="L164"/>
  <c r="O164"/>
  <c r="H164"/>
  <c r="K164"/>
  <c r="O160"/>
  <c r="S160"/>
  <c r="K160"/>
  <c r="O159"/>
  <c r="S159"/>
  <c r="K159"/>
  <c r="O158"/>
  <c r="S158"/>
  <c r="K158"/>
  <c r="O157"/>
  <c r="S157"/>
  <c r="K157"/>
  <c r="O156"/>
  <c r="S156"/>
  <c r="K156"/>
  <c r="P156"/>
  <c r="O155"/>
  <c r="S155"/>
  <c r="K155"/>
  <c r="N154"/>
  <c r="O154"/>
  <c r="S154"/>
  <c r="J154"/>
  <c r="K154"/>
  <c r="O153"/>
  <c r="K153"/>
  <c r="L152"/>
  <c r="O152"/>
  <c r="H152"/>
  <c r="K152"/>
  <c r="P151"/>
  <c r="O151"/>
  <c r="S151"/>
  <c r="K151"/>
  <c r="L150"/>
  <c r="O150"/>
  <c r="S150"/>
  <c r="H150"/>
  <c r="K150"/>
  <c r="O149"/>
  <c r="S149"/>
  <c r="K149"/>
  <c r="N148"/>
  <c r="O148"/>
  <c r="J148"/>
  <c r="K148"/>
  <c r="N147"/>
  <c r="O147"/>
  <c r="J147"/>
  <c r="K147"/>
  <c r="N146"/>
  <c r="O146"/>
  <c r="J146"/>
  <c r="K146"/>
  <c r="L142"/>
  <c r="O142"/>
  <c r="P142"/>
  <c r="L141"/>
  <c r="O141"/>
  <c r="P141"/>
  <c r="O140"/>
  <c r="P140"/>
  <c r="S139"/>
  <c r="P139"/>
  <c r="L138"/>
  <c r="O138"/>
  <c r="S138"/>
  <c r="H138"/>
  <c r="K138"/>
  <c r="L137"/>
  <c r="O137"/>
  <c r="H137"/>
  <c r="K137"/>
  <c r="L136"/>
  <c r="O136"/>
  <c r="S136"/>
  <c r="H136"/>
  <c r="K136"/>
  <c r="L135"/>
  <c r="O135"/>
  <c r="H135"/>
  <c r="K135"/>
  <c r="L134"/>
  <c r="O134"/>
  <c r="S134"/>
  <c r="H134"/>
  <c r="K134"/>
  <c r="L133"/>
  <c r="O133"/>
  <c r="H133"/>
  <c r="K133"/>
  <c r="L132"/>
  <c r="O132"/>
  <c r="S132"/>
  <c r="H132"/>
  <c r="K132"/>
  <c r="N131"/>
  <c r="O131"/>
  <c r="K131"/>
  <c r="S130"/>
  <c r="P130"/>
  <c r="L129"/>
  <c r="O129"/>
  <c r="S129"/>
  <c r="H129"/>
  <c r="K129"/>
  <c r="L128"/>
  <c r="O128"/>
  <c r="K128"/>
  <c r="L127"/>
  <c r="O127"/>
  <c r="S127"/>
  <c r="H127"/>
  <c r="K127"/>
  <c r="L126"/>
  <c r="O126"/>
  <c r="K126"/>
  <c r="O125"/>
  <c r="K125"/>
  <c r="S124"/>
  <c r="P124"/>
  <c r="L123"/>
  <c r="O123"/>
  <c r="S123"/>
  <c r="H123"/>
  <c r="K123"/>
  <c r="L122"/>
  <c r="O122"/>
  <c r="K122"/>
  <c r="H122"/>
  <c r="O121"/>
  <c r="S121"/>
  <c r="K121"/>
  <c r="S120"/>
  <c r="P120"/>
  <c r="L119"/>
  <c r="O119"/>
  <c r="H119"/>
  <c r="K119"/>
  <c r="L118"/>
  <c r="O118"/>
  <c r="S118"/>
  <c r="H118"/>
  <c r="K118"/>
  <c r="O117"/>
  <c r="K117"/>
  <c r="L116"/>
  <c r="O116"/>
  <c r="H116"/>
  <c r="K116"/>
  <c r="L115"/>
  <c r="O115"/>
  <c r="S115"/>
  <c r="H115"/>
  <c r="K115"/>
  <c r="O114"/>
  <c r="P114"/>
  <c r="K114"/>
  <c r="O113"/>
  <c r="H113"/>
  <c r="K113"/>
  <c r="O112"/>
  <c r="S112"/>
  <c r="H112"/>
  <c r="K112"/>
  <c r="O111"/>
  <c r="S111"/>
  <c r="K111"/>
  <c r="L110"/>
  <c r="O110"/>
  <c r="S110"/>
  <c r="H110"/>
  <c r="K110"/>
  <c r="L109"/>
  <c r="O109"/>
  <c r="K109"/>
  <c r="H109"/>
  <c r="O108"/>
  <c r="S108"/>
  <c r="K108"/>
  <c r="O107"/>
  <c r="S107"/>
  <c r="L107"/>
  <c r="H107"/>
  <c r="K107"/>
  <c r="L106"/>
  <c r="O106"/>
  <c r="H106"/>
  <c r="K106"/>
  <c r="O105"/>
  <c r="K105"/>
  <c r="P104"/>
  <c r="P102"/>
  <c r="L101"/>
  <c r="O101"/>
  <c r="K101"/>
  <c r="H101"/>
  <c r="L100"/>
  <c r="O100"/>
  <c r="S100"/>
  <c r="H100"/>
  <c r="K100"/>
  <c r="S99"/>
  <c r="O99"/>
  <c r="K99"/>
  <c r="O98"/>
  <c r="K98"/>
  <c r="P95"/>
  <c r="L94"/>
  <c r="O94"/>
  <c r="H94"/>
  <c r="K94"/>
  <c r="L93"/>
  <c r="O93"/>
  <c r="H93"/>
  <c r="K93"/>
  <c r="L92"/>
  <c r="O92"/>
  <c r="H92"/>
  <c r="K92"/>
  <c r="L91"/>
  <c r="O91"/>
  <c r="H91"/>
  <c r="K91"/>
  <c r="L90"/>
  <c r="O90"/>
  <c r="H90"/>
  <c r="K90"/>
  <c r="L89"/>
  <c r="O89"/>
  <c r="H89"/>
  <c r="K89"/>
  <c r="O88"/>
  <c r="S88"/>
  <c r="H88"/>
  <c r="K88"/>
  <c r="O87"/>
  <c r="S87"/>
  <c r="H87"/>
  <c r="K87"/>
  <c r="L86"/>
  <c r="O86"/>
  <c r="H86"/>
  <c r="K86"/>
  <c r="L85"/>
  <c r="O85"/>
  <c r="H85"/>
  <c r="K85"/>
  <c r="L84"/>
  <c r="O84"/>
  <c r="H84"/>
  <c r="K84"/>
  <c r="L83"/>
  <c r="O83"/>
  <c r="H83"/>
  <c r="K83"/>
  <c r="L82"/>
  <c r="O82"/>
  <c r="H82"/>
  <c r="K82"/>
  <c r="L81"/>
  <c r="O81"/>
  <c r="H81"/>
  <c r="K81"/>
  <c r="L80"/>
  <c r="O80"/>
  <c r="H80"/>
  <c r="K80"/>
  <c r="L79"/>
  <c r="O79"/>
  <c r="H79"/>
  <c r="K79"/>
  <c r="L78"/>
  <c r="O78"/>
  <c r="H78"/>
  <c r="K78"/>
  <c r="L77"/>
  <c r="O77"/>
  <c r="H77"/>
  <c r="K77"/>
  <c r="L76"/>
  <c r="O76"/>
  <c r="H76"/>
  <c r="K76"/>
  <c r="L75"/>
  <c r="O75"/>
  <c r="H75"/>
  <c r="K75"/>
  <c r="P72"/>
  <c r="O71"/>
  <c r="K71"/>
  <c r="K70"/>
  <c r="P69"/>
  <c r="O68"/>
  <c r="K68"/>
  <c r="K67"/>
  <c r="O67"/>
  <c r="P65"/>
  <c r="N64"/>
  <c r="O64"/>
  <c r="K64"/>
  <c r="S63"/>
  <c r="O63"/>
  <c r="H63"/>
  <c r="K63"/>
  <c r="L62"/>
  <c r="O62"/>
  <c r="H62"/>
  <c r="K62"/>
  <c r="L61"/>
  <c r="O61"/>
  <c r="S61"/>
  <c r="H61"/>
  <c r="K61"/>
  <c r="L60"/>
  <c r="O60"/>
  <c r="H60"/>
  <c r="K60"/>
  <c r="L59"/>
  <c r="O59"/>
  <c r="S59"/>
  <c r="H59"/>
  <c r="K59"/>
  <c r="L58"/>
  <c r="O58"/>
  <c r="H58"/>
  <c r="K58"/>
  <c r="L57"/>
  <c r="O57"/>
  <c r="S57"/>
  <c r="H57"/>
  <c r="K57"/>
  <c r="O56"/>
  <c r="H56"/>
  <c r="K56"/>
  <c r="L55"/>
  <c r="O55"/>
  <c r="S55"/>
  <c r="H55"/>
  <c r="K55"/>
  <c r="L54"/>
  <c r="O54"/>
  <c r="H54"/>
  <c r="K54"/>
  <c r="P52"/>
  <c r="O51"/>
  <c r="S51"/>
  <c r="K51"/>
  <c r="K50"/>
  <c r="P48"/>
  <c r="O47"/>
  <c r="K47"/>
  <c r="K46"/>
  <c r="K45"/>
  <c r="P44"/>
  <c r="N43"/>
  <c r="O43"/>
  <c r="K43"/>
  <c r="K42"/>
  <c r="K41"/>
  <c r="P39"/>
  <c r="P38"/>
  <c r="O37"/>
  <c r="P37"/>
  <c r="K37"/>
  <c r="O36"/>
  <c r="S36"/>
  <c r="K36"/>
  <c r="O35"/>
  <c r="K35"/>
  <c r="S34"/>
  <c r="O34"/>
  <c r="K34"/>
  <c r="O33"/>
  <c r="K33"/>
  <c r="O32"/>
  <c r="S32"/>
  <c r="K32"/>
  <c r="O31"/>
  <c r="S31"/>
  <c r="K31"/>
  <c r="O30"/>
  <c r="P30"/>
  <c r="K30"/>
  <c r="O29"/>
  <c r="K29"/>
  <c r="S28"/>
  <c r="O28"/>
  <c r="K28"/>
  <c r="P98"/>
  <c r="P111"/>
  <c r="S98"/>
  <c r="P105"/>
  <c r="P108"/>
  <c r="P129"/>
  <c r="P155"/>
  <c r="S30"/>
  <c r="P33"/>
  <c r="K27"/>
  <c r="K26"/>
  <c r="K25"/>
  <c r="P35"/>
  <c r="P68"/>
  <c r="P71"/>
  <c r="P110"/>
  <c r="P159"/>
  <c r="P29"/>
  <c r="P31"/>
  <c r="P34"/>
  <c r="S35"/>
  <c r="P47"/>
  <c r="S68"/>
  <c r="S71"/>
  <c r="P88"/>
  <c r="P115"/>
  <c r="P160"/>
  <c r="P117"/>
  <c r="P121"/>
  <c r="P125"/>
  <c r="P149"/>
  <c r="P153"/>
  <c r="P158"/>
  <c r="P56"/>
  <c r="P57"/>
  <c r="P61"/>
  <c r="P63"/>
  <c r="K74"/>
  <c r="K73"/>
  <c r="S105"/>
  <c r="P150"/>
  <c r="P154"/>
  <c r="K163"/>
  <c r="K162"/>
  <c r="P167"/>
  <c r="P59"/>
  <c r="P28"/>
  <c r="S29"/>
  <c r="P32"/>
  <c r="S33"/>
  <c r="P36"/>
  <c r="S37"/>
  <c r="O70"/>
  <c r="P70"/>
  <c r="K97"/>
  <c r="P99"/>
  <c r="P107"/>
  <c r="P113"/>
  <c r="P118"/>
  <c r="P123"/>
  <c r="S153"/>
  <c r="P157"/>
  <c r="P116"/>
  <c r="S116"/>
  <c r="O42"/>
  <c r="P43"/>
  <c r="S43"/>
  <c r="P60"/>
  <c r="S60"/>
  <c r="P64"/>
  <c r="S64"/>
  <c r="K66"/>
  <c r="P67"/>
  <c r="P76"/>
  <c r="S76"/>
  <c r="P78"/>
  <c r="S78"/>
  <c r="P80"/>
  <c r="S80"/>
  <c r="P82"/>
  <c r="S82"/>
  <c r="P84"/>
  <c r="S84"/>
  <c r="P86"/>
  <c r="S86"/>
  <c r="P89"/>
  <c r="S89"/>
  <c r="P91"/>
  <c r="S91"/>
  <c r="P93"/>
  <c r="S93"/>
  <c r="P133"/>
  <c r="S133"/>
  <c r="P137"/>
  <c r="S137"/>
  <c r="S146"/>
  <c r="O145"/>
  <c r="P146"/>
  <c r="S148"/>
  <c r="P148"/>
  <c r="P164"/>
  <c r="S164"/>
  <c r="O163"/>
  <c r="P168"/>
  <c r="S168"/>
  <c r="K53"/>
  <c r="K49"/>
  <c r="S152"/>
  <c r="P152"/>
  <c r="P101"/>
  <c r="S101"/>
  <c r="P106"/>
  <c r="S106"/>
  <c r="O103"/>
  <c r="P122"/>
  <c r="S122"/>
  <c r="K145"/>
  <c r="K144"/>
  <c r="P165"/>
  <c r="P58"/>
  <c r="S58"/>
  <c r="P126"/>
  <c r="S126"/>
  <c r="P54"/>
  <c r="S54"/>
  <c r="O53"/>
  <c r="O74"/>
  <c r="P75"/>
  <c r="S75"/>
  <c r="P77"/>
  <c r="S77"/>
  <c r="P79"/>
  <c r="S79"/>
  <c r="P81"/>
  <c r="S81"/>
  <c r="P83"/>
  <c r="S83"/>
  <c r="P85"/>
  <c r="S85"/>
  <c r="P90"/>
  <c r="S90"/>
  <c r="P92"/>
  <c r="S92"/>
  <c r="P94"/>
  <c r="S94"/>
  <c r="P109"/>
  <c r="S109"/>
  <c r="P119"/>
  <c r="S119"/>
  <c r="P128"/>
  <c r="S128"/>
  <c r="P131"/>
  <c r="S131"/>
  <c r="P135"/>
  <c r="S135"/>
  <c r="P147"/>
  <c r="S147"/>
  <c r="P166"/>
  <c r="S166"/>
  <c r="P62"/>
  <c r="P87"/>
  <c r="K103"/>
  <c r="K96"/>
  <c r="O50"/>
  <c r="P51"/>
  <c r="P55"/>
  <c r="P100"/>
  <c r="P112"/>
  <c r="P127"/>
  <c r="P132"/>
  <c r="P134"/>
  <c r="P136"/>
  <c r="P138"/>
  <c r="S165"/>
  <c r="S167"/>
  <c r="O27"/>
  <c r="S47"/>
  <c r="S56"/>
  <c r="S62"/>
  <c r="O97"/>
  <c r="S113"/>
  <c r="S114"/>
  <c r="S117"/>
  <c r="S125"/>
  <c r="S140"/>
  <c r="S141"/>
  <c r="S142"/>
  <c r="O46"/>
  <c r="O66"/>
  <c r="P66"/>
  <c r="P53"/>
  <c r="S170"/>
  <c r="K40"/>
  <c r="K24"/>
  <c r="P74"/>
  <c r="O73"/>
  <c r="P73"/>
  <c r="O162"/>
  <c r="P163"/>
  <c r="P46"/>
  <c r="O45"/>
  <c r="P45"/>
  <c r="P97"/>
  <c r="O96"/>
  <c r="P96"/>
  <c r="P27"/>
  <c r="O26"/>
  <c r="P50"/>
  <c r="O49"/>
  <c r="P49"/>
  <c r="P145"/>
  <c r="O144"/>
  <c r="P42"/>
  <c r="O41"/>
  <c r="P103"/>
  <c r="X170"/>
  <c r="J58" i="85"/>
  <c r="P41" i="145"/>
  <c r="O40"/>
  <c r="P26"/>
  <c r="O25"/>
  <c r="G70" i="78"/>
  <c r="L15" i="145"/>
  <c r="K170"/>
  <c r="P40"/>
  <c r="H70" i="78"/>
  <c r="P25" i="145"/>
  <c r="O24"/>
  <c r="P24"/>
  <c r="P170"/>
  <c r="O15"/>
  <c r="O170"/>
  <c r="G58" i="85"/>
  <c r="H52" i="67"/>
  <c r="H47"/>
  <c r="H42"/>
  <c r="K42"/>
  <c r="N42"/>
  <c r="H40"/>
  <c r="H77" i="31"/>
  <c r="H74"/>
  <c r="H73"/>
  <c r="H67" i="58"/>
  <c r="H68"/>
  <c r="H66"/>
  <c r="H31" i="15"/>
  <c r="H30"/>
  <c r="K65" i="129"/>
  <c r="K41"/>
  <c r="M41"/>
  <c r="G40" i="66"/>
  <c r="G39"/>
  <c r="G41"/>
  <c r="K28"/>
  <c r="M28"/>
  <c r="M36"/>
  <c r="K29" i="19"/>
  <c r="L29"/>
  <c r="K28"/>
  <c r="N28"/>
  <c r="K27"/>
  <c r="K26"/>
  <c r="K25"/>
  <c r="H44" i="78"/>
  <c r="M65" i="129"/>
  <c r="K27" i="66"/>
  <c r="K26"/>
  <c r="K25"/>
  <c r="G60" i="78"/>
  <c r="Q265" i="81"/>
  <c r="G34" i="60"/>
  <c r="O20" i="133"/>
  <c r="E9"/>
  <c r="O28"/>
  <c r="O27"/>
  <c r="N26"/>
  <c r="M26"/>
  <c r="L26"/>
  <c r="K26"/>
  <c r="J26"/>
  <c r="I26"/>
  <c r="H26"/>
  <c r="G26"/>
  <c r="F26"/>
  <c r="E26"/>
  <c r="D26"/>
  <c r="C26"/>
  <c r="O25"/>
  <c r="O24"/>
  <c r="O23"/>
  <c r="O22"/>
  <c r="O21"/>
  <c r="N19"/>
  <c r="M19"/>
  <c r="M29"/>
  <c r="L19"/>
  <c r="K19"/>
  <c r="J19"/>
  <c r="I19"/>
  <c r="I29"/>
  <c r="H19"/>
  <c r="G19"/>
  <c r="F19"/>
  <c r="E19"/>
  <c r="E29"/>
  <c r="D19"/>
  <c r="C19"/>
  <c r="O7"/>
  <c r="P7"/>
  <c r="O12"/>
  <c r="M6"/>
  <c r="K6"/>
  <c r="L6"/>
  <c r="N6"/>
  <c r="K13"/>
  <c r="L13"/>
  <c r="M13"/>
  <c r="N13"/>
  <c r="J13"/>
  <c r="J6"/>
  <c r="I13"/>
  <c r="G32"/>
  <c r="F6"/>
  <c r="G6"/>
  <c r="L83" i="67"/>
  <c r="N83"/>
  <c r="N82"/>
  <c r="D5" i="144"/>
  <c r="D29" i="133"/>
  <c r="H29"/>
  <c r="L29"/>
  <c r="O26"/>
  <c r="N84" i="67"/>
  <c r="N87"/>
  <c r="P12" i="133"/>
  <c r="I16"/>
  <c r="G29"/>
  <c r="K29"/>
  <c r="N29"/>
  <c r="O19"/>
  <c r="F29"/>
  <c r="J29"/>
  <c r="C29"/>
  <c r="N16"/>
  <c r="M16"/>
  <c r="L16"/>
  <c r="K16"/>
  <c r="J16"/>
  <c r="AB60" i="132"/>
  <c r="O29" i="133"/>
  <c r="C24" i="143"/>
  <c r="F24"/>
  <c r="C23"/>
  <c r="F23"/>
  <c r="C22"/>
  <c r="F22"/>
  <c r="C21"/>
  <c r="F21"/>
  <c r="C20"/>
  <c r="F20"/>
  <c r="C19"/>
  <c r="F19"/>
  <c r="C18"/>
  <c r="F18"/>
  <c r="F17"/>
  <c r="C9"/>
  <c r="F9"/>
  <c r="C8"/>
  <c r="F8"/>
  <c r="F7"/>
  <c r="C65"/>
  <c r="F65"/>
  <c r="C64"/>
  <c r="F64"/>
  <c r="C63"/>
  <c r="F63"/>
  <c r="C62"/>
  <c r="F62"/>
  <c r="C61"/>
  <c r="F61"/>
  <c r="C60"/>
  <c r="F60"/>
  <c r="C59"/>
  <c r="F59"/>
  <c r="F58"/>
  <c r="C56"/>
  <c r="F56"/>
  <c r="C55"/>
  <c r="F55"/>
  <c r="F54"/>
  <c r="C53"/>
  <c r="F53"/>
  <c r="C52"/>
  <c r="F52"/>
  <c r="F51"/>
  <c r="C50"/>
  <c r="F50"/>
  <c r="C49"/>
  <c r="F49"/>
  <c r="F48"/>
  <c r="C47"/>
  <c r="F47"/>
  <c r="C46"/>
  <c r="F46"/>
  <c r="F45"/>
  <c r="C44"/>
  <c r="F44"/>
  <c r="C43"/>
  <c r="F43"/>
  <c r="F42"/>
  <c r="C41"/>
  <c r="F41"/>
  <c r="C40"/>
  <c r="F40"/>
  <c r="F39"/>
  <c r="C38"/>
  <c r="F38"/>
  <c r="C37"/>
  <c r="F37"/>
  <c r="F36"/>
  <c r="C13"/>
  <c r="F13"/>
  <c r="C12"/>
  <c r="F12"/>
  <c r="F11"/>
  <c r="C33"/>
  <c r="F33"/>
  <c r="C32"/>
  <c r="F32"/>
  <c r="F31"/>
  <c r="F26"/>
  <c r="F27"/>
  <c r="F28"/>
  <c r="K68" i="85"/>
  <c r="J88" i="68"/>
  <c r="H83"/>
  <c r="Q79" i="132"/>
  <c r="J141" i="83"/>
  <c r="K64"/>
  <c r="M64"/>
  <c r="H134"/>
  <c r="H133"/>
  <c r="H132"/>
  <c r="H131"/>
  <c r="H137"/>
  <c r="H136"/>
  <c r="H135"/>
  <c r="H63"/>
  <c r="K63"/>
  <c r="M63"/>
  <c r="H62"/>
  <c r="K62"/>
  <c r="M62"/>
  <c r="H61"/>
  <c r="K61"/>
  <c r="M61"/>
  <c r="H60"/>
  <c r="K60"/>
  <c r="M60"/>
  <c r="H59"/>
  <c r="K59"/>
  <c r="M59"/>
  <c r="H58"/>
  <c r="K58"/>
  <c r="M58"/>
  <c r="H57"/>
  <c r="K57"/>
  <c r="M57"/>
  <c r="H56"/>
  <c r="K56"/>
  <c r="M56"/>
  <c r="H114"/>
  <c r="H113"/>
  <c r="H120"/>
  <c r="H119"/>
  <c r="H116"/>
  <c r="H117"/>
  <c r="H162"/>
  <c r="H163"/>
  <c r="J149"/>
  <c r="H84"/>
  <c r="H83"/>
  <c r="H88"/>
  <c r="H87"/>
  <c r="H94"/>
  <c r="H93"/>
  <c r="H92"/>
  <c r="H91"/>
  <c r="H90"/>
  <c r="H89"/>
  <c r="H82"/>
  <c r="H81"/>
  <c r="H80"/>
  <c r="H79"/>
  <c r="K37"/>
  <c r="M37"/>
  <c r="H78"/>
  <c r="H77"/>
  <c r="M15" i="142"/>
  <c r="M14"/>
  <c r="H76" i="83"/>
  <c r="H75"/>
  <c r="K71"/>
  <c r="K70"/>
  <c r="F26" i="142"/>
  <c r="K15"/>
  <c r="K14"/>
  <c r="K13"/>
  <c r="K12"/>
  <c r="K11"/>
  <c r="K10"/>
  <c r="K9"/>
  <c r="K8"/>
  <c r="K7"/>
  <c r="K6"/>
  <c r="J15"/>
  <c r="J14"/>
  <c r="J13"/>
  <c r="J12"/>
  <c r="J11"/>
  <c r="J10"/>
  <c r="J9"/>
  <c r="J8"/>
  <c r="J7"/>
  <c r="J6"/>
  <c r="P13"/>
  <c r="M12"/>
  <c r="F12"/>
  <c r="F25"/>
  <c r="F27"/>
  <c r="M11"/>
  <c r="M10"/>
  <c r="M9"/>
  <c r="M8"/>
  <c r="P10"/>
  <c r="Q62"/>
  <c r="Q61"/>
  <c r="Q60"/>
  <c r="Q59"/>
  <c r="Q58"/>
  <c r="Q57"/>
  <c r="Q56"/>
  <c r="Q55"/>
  <c r="I54"/>
  <c r="Q54"/>
  <c r="I53"/>
  <c r="Q53"/>
  <c r="I52"/>
  <c r="Q52"/>
  <c r="I51"/>
  <c r="F51"/>
  <c r="Q51"/>
  <c r="I50"/>
  <c r="Q50"/>
  <c r="I49"/>
  <c r="Q49"/>
  <c r="I48"/>
  <c r="Q48"/>
  <c r="I47"/>
  <c r="Q47"/>
  <c r="I46"/>
  <c r="Q46"/>
  <c r="I45"/>
  <c r="Q45"/>
  <c r="F29" i="143"/>
  <c r="F25"/>
  <c r="F34"/>
  <c r="F16"/>
  <c r="F10"/>
  <c r="F6"/>
  <c r="M71" i="83"/>
  <c r="H36" i="30"/>
  <c r="K31" i="14"/>
  <c r="N31"/>
  <c r="K30"/>
  <c r="N30"/>
  <c r="K29"/>
  <c r="N29"/>
  <c r="K28"/>
  <c r="N28"/>
  <c r="F15" i="143"/>
  <c r="F5"/>
  <c r="K27" i="14"/>
  <c r="K26"/>
  <c r="H28" i="93"/>
  <c r="F67" i="143"/>
  <c r="Q103" i="132"/>
  <c r="K37" i="129"/>
  <c r="M37"/>
  <c r="K34" i="19"/>
  <c r="M34"/>
  <c r="J36"/>
  <c r="K36"/>
  <c r="M36"/>
  <c r="J35"/>
  <c r="K35"/>
  <c r="AR105" i="132"/>
  <c r="Q105"/>
  <c r="AB105"/>
  <c r="AR104"/>
  <c r="Q104"/>
  <c r="AB104"/>
  <c r="AR103"/>
  <c r="AB103"/>
  <c r="Q76"/>
  <c r="M35" i="19"/>
  <c r="K33"/>
  <c r="E10" i="141"/>
  <c r="F14"/>
  <c r="D14"/>
  <c r="C14"/>
  <c r="E5"/>
  <c r="E6"/>
  <c r="E7"/>
  <c r="E8"/>
  <c r="E9"/>
  <c r="E14"/>
  <c r="K83" i="129"/>
  <c r="K82"/>
  <c r="L82"/>
  <c r="J81"/>
  <c r="K81"/>
  <c r="L81"/>
  <c r="J64" i="3"/>
  <c r="K69" i="31"/>
  <c r="N69"/>
  <c r="J68" i="68"/>
  <c r="K80" i="129"/>
  <c r="L83"/>
  <c r="N68" i="85"/>
  <c r="J68"/>
  <c r="I68"/>
  <c r="K88" i="68"/>
  <c r="J64"/>
  <c r="K64"/>
  <c r="N64"/>
  <c r="J63"/>
  <c r="K63"/>
  <c r="N63"/>
  <c r="J62"/>
  <c r="K62"/>
  <c r="N62"/>
  <c r="J61"/>
  <c r="K37" i="2"/>
  <c r="L37"/>
  <c r="K36"/>
  <c r="L36"/>
  <c r="K35"/>
  <c r="L35"/>
  <c r="K34"/>
  <c r="L34"/>
  <c r="K51" i="31"/>
  <c r="N51"/>
  <c r="K50"/>
  <c r="N50"/>
  <c r="K49"/>
  <c r="N49"/>
  <c r="K87" i="68"/>
  <c r="N88"/>
  <c r="K48" i="31"/>
  <c r="H40" i="15"/>
  <c r="H39"/>
  <c r="J94" i="129"/>
  <c r="K94"/>
  <c r="L94"/>
  <c r="J93"/>
  <c r="K93"/>
  <c r="L93"/>
  <c r="J92"/>
  <c r="K92"/>
  <c r="L92"/>
  <c r="E31" i="140"/>
  <c r="E32"/>
  <c r="E25"/>
  <c r="E24"/>
  <c r="E21"/>
  <c r="E20"/>
  <c r="E17"/>
  <c r="E16"/>
  <c r="C10"/>
  <c r="B10"/>
  <c r="K36" i="129"/>
  <c r="H52" i="34"/>
  <c r="H51"/>
  <c r="K33" i="25"/>
  <c r="L33"/>
  <c r="J29"/>
  <c r="K29"/>
  <c r="L29"/>
  <c r="K42"/>
  <c r="L42"/>
  <c r="K37"/>
  <c r="L37"/>
  <c r="K47" i="67"/>
  <c r="M47"/>
  <c r="H53"/>
  <c r="K53"/>
  <c r="M53"/>
  <c r="H128" i="83"/>
  <c r="K128"/>
  <c r="M128"/>
  <c r="H127"/>
  <c r="K127"/>
  <c r="M127"/>
  <c r="K126"/>
  <c r="M126"/>
  <c r="M125"/>
  <c r="K151"/>
  <c r="M151"/>
  <c r="K29" i="76"/>
  <c r="N29"/>
  <c r="J33"/>
  <c r="K33"/>
  <c r="K32"/>
  <c r="K31"/>
  <c r="K28"/>
  <c r="J142" i="83"/>
  <c r="M36" i="129"/>
  <c r="K27" i="76"/>
  <c r="K26"/>
  <c r="E18" i="140"/>
  <c r="G19"/>
  <c r="G20"/>
  <c r="K55" i="25"/>
  <c r="E22" i="140"/>
  <c r="E33"/>
  <c r="E26"/>
  <c r="N28" i="76"/>
  <c r="N33"/>
  <c r="J55" i="129"/>
  <c r="G33" i="140"/>
  <c r="G34"/>
  <c r="E28"/>
  <c r="E29"/>
  <c r="G28"/>
  <c r="G29"/>
  <c r="K52" i="129"/>
  <c r="L52"/>
  <c r="K51"/>
  <c r="L51"/>
  <c r="K50"/>
  <c r="K52" i="67"/>
  <c r="M52"/>
  <c r="K36" i="83"/>
  <c r="M36"/>
  <c r="K35"/>
  <c r="M35"/>
  <c r="K163"/>
  <c r="K162"/>
  <c r="K34"/>
  <c r="H161"/>
  <c r="K161"/>
  <c r="K33"/>
  <c r="K32"/>
  <c r="H160"/>
  <c r="K160"/>
  <c r="K31"/>
  <c r="H159"/>
  <c r="K159"/>
  <c r="K30"/>
  <c r="H55"/>
  <c r="K55"/>
  <c r="K29"/>
  <c r="H54"/>
  <c r="K54"/>
  <c r="K28"/>
  <c r="K43"/>
  <c r="K51"/>
  <c r="K50"/>
  <c r="K94"/>
  <c r="M94"/>
  <c r="K93"/>
  <c r="M93"/>
  <c r="K92"/>
  <c r="K91"/>
  <c r="K90"/>
  <c r="K89"/>
  <c r="K88"/>
  <c r="K87"/>
  <c r="H86"/>
  <c r="K86"/>
  <c r="H85"/>
  <c r="K85"/>
  <c r="K84"/>
  <c r="K83"/>
  <c r="K82"/>
  <c r="K81"/>
  <c r="K80"/>
  <c r="K79"/>
  <c r="K78"/>
  <c r="K77"/>
  <c r="K76"/>
  <c r="K75"/>
  <c r="K137"/>
  <c r="M137"/>
  <c r="K136"/>
  <c r="M136"/>
  <c r="K135"/>
  <c r="M135"/>
  <c r="K134"/>
  <c r="M134"/>
  <c r="K133"/>
  <c r="M133"/>
  <c r="K132"/>
  <c r="M132"/>
  <c r="K131"/>
  <c r="K130"/>
  <c r="H124"/>
  <c r="K124"/>
  <c r="H123"/>
  <c r="K123"/>
  <c r="K122"/>
  <c r="K120"/>
  <c r="K119"/>
  <c r="M119"/>
  <c r="K118"/>
  <c r="M118"/>
  <c r="K117"/>
  <c r="M117"/>
  <c r="K116"/>
  <c r="M116"/>
  <c r="K115"/>
  <c r="M115"/>
  <c r="K114"/>
  <c r="K113"/>
  <c r="K112"/>
  <c r="H111"/>
  <c r="K111"/>
  <c r="H110"/>
  <c r="K110"/>
  <c r="K109"/>
  <c r="H108"/>
  <c r="K108"/>
  <c r="H107"/>
  <c r="K107"/>
  <c r="K106"/>
  <c r="K155"/>
  <c r="M155"/>
  <c r="K154"/>
  <c r="K153"/>
  <c r="K152"/>
  <c r="K150"/>
  <c r="K149"/>
  <c r="K148"/>
  <c r="H147"/>
  <c r="K147"/>
  <c r="K146"/>
  <c r="H145"/>
  <c r="K145"/>
  <c r="K144"/>
  <c r="J143"/>
  <c r="K143"/>
  <c r="K142"/>
  <c r="K141"/>
  <c r="K53"/>
  <c r="K74"/>
  <c r="K73"/>
  <c r="K140"/>
  <c r="K104"/>
  <c r="K158"/>
  <c r="K27"/>
  <c r="K49"/>
  <c r="K157"/>
  <c r="K49" i="129"/>
  <c r="L50"/>
  <c r="K42" i="83"/>
  <c r="M51"/>
  <c r="L16" i="78"/>
  <c r="L29"/>
  <c r="L34"/>
  <c r="L37"/>
  <c r="L40"/>
  <c r="L49"/>
  <c r="L55"/>
  <c r="L63"/>
  <c r="L68"/>
  <c r="L71"/>
  <c r="K15"/>
  <c r="H81" i="58"/>
  <c r="H80"/>
  <c r="K40" i="48"/>
  <c r="L40"/>
  <c r="K35"/>
  <c r="L35"/>
  <c r="K72" i="129"/>
  <c r="L72"/>
  <c r="J77" i="3"/>
  <c r="K77"/>
  <c r="L77"/>
  <c r="K76"/>
  <c r="L76"/>
  <c r="K75"/>
  <c r="L75"/>
  <c r="K74"/>
  <c r="L74"/>
  <c r="T67"/>
  <c r="U67"/>
  <c r="K67"/>
  <c r="L67"/>
  <c r="T70"/>
  <c r="U70"/>
  <c r="K70"/>
  <c r="L70"/>
  <c r="T69"/>
  <c r="U69"/>
  <c r="K69"/>
  <c r="L69"/>
  <c r="T68"/>
  <c r="U68"/>
  <c r="K68"/>
  <c r="L68"/>
  <c r="T64"/>
  <c r="U64"/>
  <c r="K64"/>
  <c r="L64"/>
  <c r="T61"/>
  <c r="U61"/>
  <c r="K61"/>
  <c r="L61"/>
  <c r="K60"/>
  <c r="L60"/>
  <c r="K59"/>
  <c r="L59"/>
  <c r="T55"/>
  <c r="U55"/>
  <c r="K55"/>
  <c r="L55"/>
  <c r="K52"/>
  <c r="L52"/>
  <c r="K48"/>
  <c r="L48"/>
  <c r="K47"/>
  <c r="L47"/>
  <c r="K46"/>
  <c r="L46"/>
  <c r="K66"/>
  <c r="M79"/>
  <c r="K73"/>
  <c r="K72"/>
  <c r="K63"/>
  <c r="K58"/>
  <c r="K54"/>
  <c r="K45"/>
  <c r="K44"/>
  <c r="K51"/>
  <c r="K50"/>
  <c r="K57"/>
  <c r="K43"/>
  <c r="I23" i="78"/>
  <c r="J43" i="19"/>
  <c r="Q37" i="64"/>
  <c r="P37"/>
  <c r="M37"/>
  <c r="M75" i="78"/>
  <c r="H28" i="64"/>
  <c r="K28"/>
  <c r="N28"/>
  <c r="N37"/>
  <c r="K68" i="31"/>
  <c r="N68"/>
  <c r="H33" i="30"/>
  <c r="H34"/>
  <c r="P11" i="138"/>
  <c r="P12"/>
  <c r="K27" i="64"/>
  <c r="K26"/>
  <c r="K25"/>
  <c r="L37"/>
  <c r="Q76" i="131"/>
  <c r="Q104"/>
  <c r="AB104"/>
  <c r="Q105"/>
  <c r="AB105"/>
  <c r="Q103"/>
  <c r="AB103"/>
  <c r="AR105"/>
  <c r="AR104"/>
  <c r="AR103"/>
  <c r="H79" i="68"/>
  <c r="H77"/>
  <c r="H78"/>
  <c r="G58" i="78"/>
  <c r="M12" i="138"/>
  <c r="B9"/>
  <c r="M9"/>
  <c r="M10"/>
  <c r="M11"/>
  <c r="M8"/>
  <c r="M7"/>
  <c r="M6"/>
  <c r="F5"/>
  <c r="J5"/>
  <c r="H56" i="68"/>
  <c r="H55"/>
  <c r="H35"/>
  <c r="H34"/>
  <c r="M5" i="138"/>
  <c r="M13"/>
  <c r="J91" i="129"/>
  <c r="K91"/>
  <c r="L91"/>
  <c r="K88"/>
  <c r="L88"/>
  <c r="K89"/>
  <c r="L89"/>
  <c r="K90"/>
  <c r="L90"/>
  <c r="G52" i="10"/>
  <c r="G51"/>
  <c r="G54"/>
  <c r="G53"/>
  <c r="I46"/>
  <c r="J161"/>
  <c r="L161"/>
  <c r="J162"/>
  <c r="L162"/>
  <c r="J163"/>
  <c r="L163"/>
  <c r="J164"/>
  <c r="L164"/>
  <c r="J165"/>
  <c r="L165"/>
  <c r="J166"/>
  <c r="L166"/>
  <c r="J167"/>
  <c r="L167"/>
  <c r="J168"/>
  <c r="L168"/>
  <c r="J169"/>
  <c r="L169"/>
  <c r="J170"/>
  <c r="L170"/>
  <c r="J171"/>
  <c r="L171"/>
  <c r="J172"/>
  <c r="L172"/>
  <c r="J173"/>
  <c r="L173"/>
  <c r="J174"/>
  <c r="L174"/>
  <c r="J175"/>
  <c r="L175"/>
  <c r="J176"/>
  <c r="L176"/>
  <c r="J177"/>
  <c r="L177"/>
  <c r="J178"/>
  <c r="L178"/>
  <c r="J179"/>
  <c r="L179"/>
  <c r="J180"/>
  <c r="L180"/>
  <c r="J181"/>
  <c r="L181"/>
  <c r="K36" i="3"/>
  <c r="L36"/>
  <c r="J53" i="10"/>
  <c r="L53"/>
  <c r="J54"/>
  <c r="L54"/>
  <c r="J51"/>
  <c r="L51"/>
  <c r="J52"/>
  <c r="L52"/>
  <c r="J56"/>
  <c r="L56"/>
  <c r="J57"/>
  <c r="L57"/>
  <c r="J58"/>
  <c r="L58"/>
  <c r="K34" i="66"/>
  <c r="O34"/>
  <c r="K64" i="129"/>
  <c r="K81" i="58"/>
  <c r="L81"/>
  <c r="K80"/>
  <c r="L80"/>
  <c r="K82"/>
  <c r="L82"/>
  <c r="M64" i="129"/>
  <c r="K79" i="58"/>
  <c r="K78"/>
  <c r="K77"/>
  <c r="K75"/>
  <c r="L75"/>
  <c r="K87"/>
  <c r="L87"/>
  <c r="K88"/>
  <c r="L88"/>
  <c r="K86"/>
  <c r="J158" i="10"/>
  <c r="L158"/>
  <c r="J159"/>
  <c r="L159"/>
  <c r="J160"/>
  <c r="L160"/>
  <c r="K85" i="58"/>
  <c r="K84"/>
  <c r="L86"/>
  <c r="M142" i="83"/>
  <c r="M90"/>
  <c r="M89"/>
  <c r="M163"/>
  <c r="M34"/>
  <c r="M162"/>
  <c r="M88"/>
  <c r="M87"/>
  <c r="M114"/>
  <c r="M113"/>
  <c r="M112"/>
  <c r="M149"/>
  <c r="M161"/>
  <c r="M33"/>
  <c r="M86"/>
  <c r="M85"/>
  <c r="M148"/>
  <c r="M84"/>
  <c r="M83"/>
  <c r="M32"/>
  <c r="M82"/>
  <c r="M81"/>
  <c r="M160"/>
  <c r="M31"/>
  <c r="M146"/>
  <c r="M159"/>
  <c r="M55"/>
  <c r="M29"/>
  <c r="M78"/>
  <c r="M77"/>
  <c r="M111"/>
  <c r="M110"/>
  <c r="M109"/>
  <c r="M144"/>
  <c r="M54"/>
  <c r="M147"/>
  <c r="E107" i="136"/>
  <c r="R73"/>
  <c r="P73"/>
  <c r="U71"/>
  <c r="T71"/>
  <c r="S71"/>
  <c r="R71"/>
  <c r="Q71"/>
  <c r="P71"/>
  <c r="V70"/>
  <c r="I70"/>
  <c r="H70"/>
  <c r="G70"/>
  <c r="U69"/>
  <c r="T69"/>
  <c r="S69"/>
  <c r="R69"/>
  <c r="Q69"/>
  <c r="P69"/>
  <c r="V68"/>
  <c r="I68"/>
  <c r="H68"/>
  <c r="G68"/>
  <c r="U66"/>
  <c r="T66"/>
  <c r="S66"/>
  <c r="R66"/>
  <c r="Q66"/>
  <c r="P66"/>
  <c r="U65"/>
  <c r="T65"/>
  <c r="S65"/>
  <c r="R65"/>
  <c r="Q65"/>
  <c r="P65"/>
  <c r="U64"/>
  <c r="T64"/>
  <c r="S64"/>
  <c r="R64"/>
  <c r="Q64"/>
  <c r="P64"/>
  <c r="V63"/>
  <c r="I63"/>
  <c r="H63"/>
  <c r="G63"/>
  <c r="U59"/>
  <c r="T59"/>
  <c r="S59"/>
  <c r="R59"/>
  <c r="Q59"/>
  <c r="P59"/>
  <c r="U56"/>
  <c r="T56"/>
  <c r="S56"/>
  <c r="R56"/>
  <c r="Q56"/>
  <c r="P56"/>
  <c r="U55"/>
  <c r="T55"/>
  <c r="S55"/>
  <c r="R55"/>
  <c r="Q55"/>
  <c r="P55"/>
  <c r="U54"/>
  <c r="T54"/>
  <c r="S54"/>
  <c r="R54"/>
  <c r="Q54"/>
  <c r="P54"/>
  <c r="U52"/>
  <c r="T52"/>
  <c r="S52"/>
  <c r="R52"/>
  <c r="Q52"/>
  <c r="P52"/>
  <c r="U48"/>
  <c r="T48"/>
  <c r="S48"/>
  <c r="R48"/>
  <c r="Q48"/>
  <c r="P48"/>
  <c r="V47"/>
  <c r="I47"/>
  <c r="H47"/>
  <c r="G47"/>
  <c r="U46"/>
  <c r="T46"/>
  <c r="S46"/>
  <c r="R46"/>
  <c r="Q46"/>
  <c r="P46"/>
  <c r="U45"/>
  <c r="T45"/>
  <c r="S45"/>
  <c r="R45"/>
  <c r="Q45"/>
  <c r="P45"/>
  <c r="U44"/>
  <c r="T44"/>
  <c r="S44"/>
  <c r="R44"/>
  <c r="Q44"/>
  <c r="P44"/>
  <c r="U43"/>
  <c r="T43"/>
  <c r="S43"/>
  <c r="R43"/>
  <c r="Q43"/>
  <c r="P43"/>
  <c r="V42"/>
  <c r="I42"/>
  <c r="H42"/>
  <c r="G42"/>
  <c r="U41"/>
  <c r="T41"/>
  <c r="S41"/>
  <c r="R41"/>
  <c r="Q41"/>
  <c r="P41"/>
  <c r="U40"/>
  <c r="T40"/>
  <c r="S40"/>
  <c r="R40"/>
  <c r="Q40"/>
  <c r="P40"/>
  <c r="U39"/>
  <c r="T39"/>
  <c r="S39"/>
  <c r="R39"/>
  <c r="Q39"/>
  <c r="P39"/>
  <c r="U38"/>
  <c r="T38"/>
  <c r="S38"/>
  <c r="R38"/>
  <c r="Q38"/>
  <c r="P38"/>
  <c r="U37"/>
  <c r="T37"/>
  <c r="S37"/>
  <c r="R37"/>
  <c r="Q37"/>
  <c r="P37"/>
  <c r="U36"/>
  <c r="T36"/>
  <c r="S36"/>
  <c r="R36"/>
  <c r="Q36"/>
  <c r="P36"/>
  <c r="U35"/>
  <c r="T35"/>
  <c r="S35"/>
  <c r="R35"/>
  <c r="Q35"/>
  <c r="P35"/>
  <c r="V34"/>
  <c r="I34"/>
  <c r="H34"/>
  <c r="G34"/>
  <c r="U33"/>
  <c r="T33"/>
  <c r="S33"/>
  <c r="R33"/>
  <c r="Q33"/>
  <c r="P33"/>
  <c r="V32"/>
  <c r="I32"/>
  <c r="H32"/>
  <c r="G32"/>
  <c r="U31"/>
  <c r="T31"/>
  <c r="S31"/>
  <c r="R31"/>
  <c r="Q31"/>
  <c r="P31"/>
  <c r="V30"/>
  <c r="I30"/>
  <c r="H30"/>
  <c r="G30"/>
  <c r="U29"/>
  <c r="T29"/>
  <c r="S29"/>
  <c r="R29"/>
  <c r="Q29"/>
  <c r="P29"/>
  <c r="U28"/>
  <c r="T28"/>
  <c r="S28"/>
  <c r="R28"/>
  <c r="Q28"/>
  <c r="P28"/>
  <c r="U27"/>
  <c r="T27"/>
  <c r="S27"/>
  <c r="R27"/>
  <c r="Q27"/>
  <c r="P27"/>
  <c r="V26"/>
  <c r="I26"/>
  <c r="H26"/>
  <c r="G26"/>
  <c r="U25"/>
  <c r="T25"/>
  <c r="S25"/>
  <c r="R25"/>
  <c r="Q25"/>
  <c r="P25"/>
  <c r="U24"/>
  <c r="T24"/>
  <c r="S24"/>
  <c r="R24"/>
  <c r="Q24"/>
  <c r="P24"/>
  <c r="U23"/>
  <c r="T23"/>
  <c r="S23"/>
  <c r="R23"/>
  <c r="Q23"/>
  <c r="P23"/>
  <c r="U22"/>
  <c r="T22"/>
  <c r="S22"/>
  <c r="R22"/>
  <c r="Q22"/>
  <c r="P22"/>
  <c r="U21"/>
  <c r="T21"/>
  <c r="S21"/>
  <c r="R21"/>
  <c r="Q21"/>
  <c r="P21"/>
  <c r="U20"/>
  <c r="T20"/>
  <c r="S20"/>
  <c r="R20"/>
  <c r="Q20"/>
  <c r="P20"/>
  <c r="U19"/>
  <c r="T19"/>
  <c r="S19"/>
  <c r="R19"/>
  <c r="Q19"/>
  <c r="P19"/>
  <c r="U18"/>
  <c r="T18"/>
  <c r="S18"/>
  <c r="R18"/>
  <c r="Q18"/>
  <c r="P18"/>
  <c r="U17"/>
  <c r="T17"/>
  <c r="S17"/>
  <c r="R17"/>
  <c r="Q17"/>
  <c r="P17"/>
  <c r="U16"/>
  <c r="T16"/>
  <c r="S16"/>
  <c r="R16"/>
  <c r="Q16"/>
  <c r="P16"/>
  <c r="U15"/>
  <c r="T15"/>
  <c r="S15"/>
  <c r="R15"/>
  <c r="Q15"/>
  <c r="P15"/>
  <c r="I14"/>
  <c r="H14"/>
  <c r="G14"/>
  <c r="V12"/>
  <c r="Y12"/>
  <c r="Y14"/>
  <c r="K12"/>
  <c r="K11"/>
  <c r="J11"/>
  <c r="I11"/>
  <c r="H11"/>
  <c r="G11"/>
  <c r="U10"/>
  <c r="T10"/>
  <c r="S10"/>
  <c r="R10"/>
  <c r="Q10"/>
  <c r="P10"/>
  <c r="V10"/>
  <c r="G10"/>
  <c r="V73"/>
  <c r="I13"/>
  <c r="I72"/>
  <c r="G13"/>
  <c r="G72"/>
  <c r="R72"/>
  <c r="V21"/>
  <c r="W21"/>
  <c r="V66"/>
  <c r="W66"/>
  <c r="V17"/>
  <c r="W17"/>
  <c r="H13"/>
  <c r="H10"/>
  <c r="W10"/>
  <c r="U72"/>
  <c r="V40"/>
  <c r="W40"/>
  <c r="S72"/>
  <c r="V46"/>
  <c r="W46"/>
  <c r="Q72"/>
  <c r="V48"/>
  <c r="W48"/>
  <c r="P72"/>
  <c r="T72"/>
  <c r="V56"/>
  <c r="W56"/>
  <c r="V28"/>
  <c r="W28"/>
  <c r="V33"/>
  <c r="W33"/>
  <c r="V43"/>
  <c r="W43"/>
  <c r="V25"/>
  <c r="W25"/>
  <c r="V38"/>
  <c r="W38"/>
  <c r="V39"/>
  <c r="W39"/>
  <c r="V29"/>
  <c r="W29"/>
  <c r="V52"/>
  <c r="W52"/>
  <c r="V59"/>
  <c r="W59"/>
  <c r="V16"/>
  <c r="W16"/>
  <c r="V37"/>
  <c r="W37"/>
  <c r="V18"/>
  <c r="W18"/>
  <c r="V22"/>
  <c r="W22"/>
  <c r="V41"/>
  <c r="W41"/>
  <c r="V44"/>
  <c r="W44"/>
  <c r="V54"/>
  <c r="W54"/>
  <c r="V65"/>
  <c r="W65"/>
  <c r="V19"/>
  <c r="W19"/>
  <c r="V23"/>
  <c r="W23"/>
  <c r="V45"/>
  <c r="W45"/>
  <c r="V55"/>
  <c r="W55"/>
  <c r="W12"/>
  <c r="V20"/>
  <c r="W20"/>
  <c r="V24"/>
  <c r="W24"/>
  <c r="V27"/>
  <c r="W27"/>
  <c r="V35"/>
  <c r="W35"/>
  <c r="V69"/>
  <c r="W69"/>
  <c r="V31"/>
  <c r="W31"/>
  <c r="V36"/>
  <c r="W36"/>
  <c r="V64"/>
  <c r="W64"/>
  <c r="V71"/>
  <c r="W71"/>
  <c r="V15"/>
  <c r="W15"/>
  <c r="H72"/>
  <c r="I10"/>
  <c r="V72"/>
  <c r="W72"/>
  <c r="K41" i="14"/>
  <c r="K42"/>
  <c r="K36" i="30"/>
  <c r="L36"/>
  <c r="H32"/>
  <c r="K81" i="43"/>
  <c r="L81"/>
  <c r="K80"/>
  <c r="L80"/>
  <c r="K79"/>
  <c r="L79"/>
  <c r="K78"/>
  <c r="L78"/>
  <c r="K77"/>
  <c r="L77"/>
  <c r="K76"/>
  <c r="L76"/>
  <c r="K82"/>
  <c r="L82"/>
  <c r="K83"/>
  <c r="L83"/>
  <c r="K84"/>
  <c r="L84"/>
  <c r="K85"/>
  <c r="L85"/>
  <c r="K73"/>
  <c r="L73"/>
  <c r="K74"/>
  <c r="L74"/>
  <c r="K75"/>
  <c r="L75"/>
  <c r="K28" i="8"/>
  <c r="N28"/>
  <c r="H35" i="14"/>
  <c r="L27" i="2"/>
  <c r="K61" i="68"/>
  <c r="N61"/>
  <c r="K87" i="129"/>
  <c r="L87"/>
  <c r="K86"/>
  <c r="K41" i="3"/>
  <c r="L41"/>
  <c r="K40"/>
  <c r="L40"/>
  <c r="K63" i="129"/>
  <c r="M63"/>
  <c r="K47"/>
  <c r="L47"/>
  <c r="K46"/>
  <c r="L46"/>
  <c r="K33"/>
  <c r="M33"/>
  <c r="K78"/>
  <c r="K77"/>
  <c r="K76"/>
  <c r="L76"/>
  <c r="K68"/>
  <c r="K67"/>
  <c r="K75"/>
  <c r="K71"/>
  <c r="K55"/>
  <c r="L55"/>
  <c r="K70"/>
  <c r="K54"/>
  <c r="K39"/>
  <c r="M39"/>
  <c r="K61"/>
  <c r="K40"/>
  <c r="M40"/>
  <c r="K62"/>
  <c r="M62"/>
  <c r="K66"/>
  <c r="M66"/>
  <c r="K38"/>
  <c r="K60"/>
  <c r="M61"/>
  <c r="M38"/>
  <c r="K27" i="8"/>
  <c r="K26"/>
  <c r="K25"/>
  <c r="K46" i="31"/>
  <c r="N46"/>
  <c r="K41" i="34"/>
  <c r="N41"/>
  <c r="K42"/>
  <c r="N42"/>
  <c r="K40" i="14"/>
  <c r="L40"/>
  <c r="K36"/>
  <c r="L36"/>
  <c r="J39" i="19"/>
  <c r="K39"/>
  <c r="M39"/>
  <c r="J38"/>
  <c r="K38"/>
  <c r="M38"/>
  <c r="J42"/>
  <c r="K42"/>
  <c r="M42"/>
  <c r="J41"/>
  <c r="K41"/>
  <c r="M41"/>
  <c r="K40" i="77"/>
  <c r="T28" i="65"/>
  <c r="U28"/>
  <c r="K28"/>
  <c r="N28"/>
  <c r="K39" i="77"/>
  <c r="K38"/>
  <c r="N40"/>
  <c r="K27" i="65"/>
  <c r="K26"/>
  <c r="Q36" i="66"/>
  <c r="P36"/>
  <c r="N36"/>
  <c r="L36"/>
  <c r="K85" i="129"/>
  <c r="Q79" i="3"/>
  <c r="P79"/>
  <c r="O79"/>
  <c r="K39"/>
  <c r="K38"/>
  <c r="K39" i="14"/>
  <c r="L39"/>
  <c r="K68" i="68"/>
  <c r="N68"/>
  <c r="K67"/>
  <c r="K55" i="19"/>
  <c r="M55"/>
  <c r="K79" i="129"/>
  <c r="K59"/>
  <c r="M59"/>
  <c r="K58"/>
  <c r="L58"/>
  <c r="K45"/>
  <c r="K57"/>
  <c r="K58" i="67"/>
  <c r="K57"/>
  <c r="O58"/>
  <c r="K32" i="64"/>
  <c r="K94" i="68"/>
  <c r="O94"/>
  <c r="K93"/>
  <c r="O93"/>
  <c r="K92"/>
  <c r="O92"/>
  <c r="K68" i="67"/>
  <c r="K64"/>
  <c r="K63"/>
  <c r="K61"/>
  <c r="K33" i="66"/>
  <c r="O33"/>
  <c r="K60" i="67"/>
  <c r="K56"/>
  <c r="K67"/>
  <c r="K66"/>
  <c r="O61"/>
  <c r="O64"/>
  <c r="O68"/>
  <c r="K38" i="65"/>
  <c r="O38"/>
  <c r="K37"/>
  <c r="O37"/>
  <c r="K36"/>
  <c r="O36"/>
  <c r="K35"/>
  <c r="O35"/>
  <c r="K34"/>
  <c r="O34"/>
  <c r="K33"/>
  <c r="O33"/>
  <c r="K32"/>
  <c r="O35" i="64"/>
  <c r="O34"/>
  <c r="O33"/>
  <c r="K33" i="93"/>
  <c r="O33"/>
  <c r="O37" i="64"/>
  <c r="K55" i="67"/>
  <c r="O32" i="65"/>
  <c r="K31"/>
  <c r="O14" i="133"/>
  <c r="P14"/>
  <c r="O15"/>
  <c r="P15"/>
  <c r="O11"/>
  <c r="P11"/>
  <c r="O10"/>
  <c r="P10"/>
  <c r="O9"/>
  <c r="P9"/>
  <c r="O8"/>
  <c r="P8"/>
  <c r="H6"/>
  <c r="H13"/>
  <c r="H102" i="83"/>
  <c r="H101"/>
  <c r="G184" i="10"/>
  <c r="H37" i="76"/>
  <c r="H16" i="133"/>
  <c r="M154" i="83"/>
  <c r="M153"/>
  <c r="M152"/>
  <c r="M150"/>
  <c r="K47"/>
  <c r="K68"/>
  <c r="M43"/>
  <c r="M30"/>
  <c r="M131"/>
  <c r="M130"/>
  <c r="M129"/>
  <c r="M124"/>
  <c r="M123"/>
  <c r="M122"/>
  <c r="M121"/>
  <c r="M120"/>
  <c r="M68"/>
  <c r="K67"/>
  <c r="K66"/>
  <c r="M47"/>
  <c r="K46"/>
  <c r="K45"/>
  <c r="M141"/>
  <c r="M143"/>
  <c r="M145"/>
  <c r="M92"/>
  <c r="M91"/>
  <c r="M80"/>
  <c r="M79"/>
  <c r="M76"/>
  <c r="M75"/>
  <c r="M28"/>
  <c r="K30" i="58"/>
  <c r="L30"/>
  <c r="K29"/>
  <c r="L29"/>
  <c r="H31"/>
  <c r="K31"/>
  <c r="L31"/>
  <c r="K29" i="60"/>
  <c r="L29"/>
  <c r="K26" i="83"/>
  <c r="K25"/>
  <c r="M108"/>
  <c r="M107"/>
  <c r="M106"/>
  <c r="K102"/>
  <c r="M102"/>
  <c r="K101"/>
  <c r="M101"/>
  <c r="K100"/>
  <c r="M100"/>
  <c r="K99"/>
  <c r="K68" i="2"/>
  <c r="H64"/>
  <c r="H28" i="27"/>
  <c r="K28"/>
  <c r="J54" i="19"/>
  <c r="K54"/>
  <c r="M54"/>
  <c r="J53"/>
  <c r="K53"/>
  <c r="M53"/>
  <c r="K52"/>
  <c r="M52"/>
  <c r="C6" i="133"/>
  <c r="C32"/>
  <c r="D33"/>
  <c r="E33"/>
  <c r="F33"/>
  <c r="G33"/>
  <c r="C33"/>
  <c r="D32"/>
  <c r="E32"/>
  <c r="F32"/>
  <c r="L8" i="134"/>
  <c r="M8"/>
  <c r="L7"/>
  <c r="M7"/>
  <c r="N7"/>
  <c r="L6"/>
  <c r="M6"/>
  <c r="N6"/>
  <c r="J10"/>
  <c r="K10"/>
  <c r="L5"/>
  <c r="M5"/>
  <c r="B9"/>
  <c r="C8"/>
  <c r="B8"/>
  <c r="C7"/>
  <c r="B7"/>
  <c r="C6"/>
  <c r="B6"/>
  <c r="C5"/>
  <c r="F10"/>
  <c r="D10"/>
  <c r="G8"/>
  <c r="E8"/>
  <c r="G7"/>
  <c r="E7"/>
  <c r="G6"/>
  <c r="E6"/>
  <c r="G5"/>
  <c r="E5"/>
  <c r="X28" i="25"/>
  <c r="X32"/>
  <c r="Z32"/>
  <c r="X36"/>
  <c r="Z36"/>
  <c r="X40"/>
  <c r="Z40"/>
  <c r="Z28"/>
  <c r="E13" i="133"/>
  <c r="D13"/>
  <c r="G13"/>
  <c r="F13"/>
  <c r="F16"/>
  <c r="C13"/>
  <c r="E6"/>
  <c r="D6"/>
  <c r="O6"/>
  <c r="P6"/>
  <c r="M99" i="83"/>
  <c r="K98"/>
  <c r="K97"/>
  <c r="M166"/>
  <c r="C34" i="133"/>
  <c r="C36"/>
  <c r="C38"/>
  <c r="C40"/>
  <c r="E16"/>
  <c r="C35"/>
  <c r="C37"/>
  <c r="C39"/>
  <c r="C41"/>
  <c r="D16"/>
  <c r="D34"/>
  <c r="D36"/>
  <c r="D38"/>
  <c r="D40"/>
  <c r="G16"/>
  <c r="O13"/>
  <c r="E34"/>
  <c r="E36"/>
  <c r="E38"/>
  <c r="E40"/>
  <c r="E35"/>
  <c r="E37"/>
  <c r="E39"/>
  <c r="E41"/>
  <c r="D35"/>
  <c r="D37"/>
  <c r="D39"/>
  <c r="D41"/>
  <c r="G69" i="78"/>
  <c r="C16" i="133"/>
  <c r="F34"/>
  <c r="F36"/>
  <c r="F38"/>
  <c r="F40"/>
  <c r="G34"/>
  <c r="G36"/>
  <c r="G38"/>
  <c r="G40"/>
  <c r="G35"/>
  <c r="G37"/>
  <c r="G39"/>
  <c r="G41"/>
  <c r="F35"/>
  <c r="F37"/>
  <c r="F39"/>
  <c r="F41"/>
  <c r="N10" i="134"/>
  <c r="G10"/>
  <c r="M10"/>
  <c r="E10"/>
  <c r="C10"/>
  <c r="B5"/>
  <c r="B10"/>
  <c r="L10"/>
  <c r="P29" i="84"/>
  <c r="Q29"/>
  <c r="R29"/>
  <c r="S29"/>
  <c r="O29"/>
  <c r="S39"/>
  <c r="S37"/>
  <c r="R39"/>
  <c r="R37"/>
  <c r="S31"/>
  <c r="R31"/>
  <c r="Q39"/>
  <c r="Q37"/>
  <c r="O39"/>
  <c r="O37"/>
  <c r="P39"/>
  <c r="P37"/>
  <c r="P31"/>
  <c r="Q31"/>
  <c r="O31"/>
  <c r="K41" i="25"/>
  <c r="L41"/>
  <c r="S40"/>
  <c r="S36"/>
  <c r="S32"/>
  <c r="S28"/>
  <c r="H39" i="132"/>
  <c r="G29"/>
  <c r="G23"/>
  <c r="G19"/>
  <c r="H44"/>
  <c r="Q16"/>
  <c r="AB16"/>
  <c r="Q17"/>
  <c r="AB17"/>
  <c r="Q18"/>
  <c r="AB18"/>
  <c r="Q21"/>
  <c r="AB21"/>
  <c r="Q22"/>
  <c r="AB22"/>
  <c r="Q25"/>
  <c r="AB25"/>
  <c r="Q26"/>
  <c r="AB26"/>
  <c r="Q27"/>
  <c r="AB27"/>
  <c r="Q28"/>
  <c r="AB28"/>
  <c r="Q31"/>
  <c r="AB31"/>
  <c r="Q32"/>
  <c r="AB32"/>
  <c r="Q33"/>
  <c r="AB33"/>
  <c r="Q36"/>
  <c r="AB36"/>
  <c r="Q37"/>
  <c r="AB37"/>
  <c r="Q38"/>
  <c r="AB38"/>
  <c r="Q41"/>
  <c r="AB41"/>
  <c r="W42"/>
  <c r="AB42"/>
  <c r="J99"/>
  <c r="Q99"/>
  <c r="AB99"/>
  <c r="J100"/>
  <c r="Q100"/>
  <c r="AB100"/>
  <c r="AB101"/>
  <c r="Q82"/>
  <c r="AB82"/>
  <c r="Q83"/>
  <c r="AB83"/>
  <c r="Q84"/>
  <c r="AB84"/>
  <c r="Q85"/>
  <c r="AB85"/>
  <c r="Q87"/>
  <c r="AB87"/>
  <c r="Q88"/>
  <c r="AB88"/>
  <c r="Q89"/>
  <c r="AB89"/>
  <c r="Q90"/>
  <c r="AB90"/>
  <c r="Q91"/>
  <c r="AB91"/>
  <c r="Q92"/>
  <c r="AB92"/>
  <c r="Q93"/>
  <c r="AB93"/>
  <c r="Q94"/>
  <c r="AB94"/>
  <c r="Q95"/>
  <c r="AB95"/>
  <c r="Q96"/>
  <c r="AB96"/>
  <c r="AB61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O86"/>
  <c r="C84"/>
  <c r="C83"/>
  <c r="O82"/>
  <c r="C82"/>
  <c r="AR44"/>
  <c r="G34"/>
  <c r="AR38"/>
  <c r="AR37"/>
  <c r="AR36"/>
  <c r="AI35"/>
  <c r="AR33"/>
  <c r="AR32"/>
  <c r="AR31"/>
  <c r="AI30"/>
  <c r="AV24"/>
  <c r="AI24"/>
  <c r="AR22"/>
  <c r="AR21"/>
  <c r="AI20"/>
  <c r="AR18"/>
  <c r="AR17"/>
  <c r="AR16"/>
  <c r="AI14"/>
  <c r="AN3"/>
  <c r="Q16" i="131"/>
  <c r="AB16"/>
  <c r="Q17"/>
  <c r="AB17"/>
  <c r="Q18"/>
  <c r="AB18"/>
  <c r="Q21"/>
  <c r="AB21"/>
  <c r="Q22"/>
  <c r="AB22"/>
  <c r="Q25"/>
  <c r="AB25"/>
  <c r="Q26"/>
  <c r="AB26"/>
  <c r="Q27"/>
  <c r="AB27"/>
  <c r="Q28"/>
  <c r="AB28"/>
  <c r="Q31"/>
  <c r="AB31"/>
  <c r="Q32"/>
  <c r="AB32"/>
  <c r="Q33"/>
  <c r="AB33"/>
  <c r="Q36"/>
  <c r="AB36"/>
  <c r="Q37"/>
  <c r="AB37"/>
  <c r="Q38"/>
  <c r="AB38"/>
  <c r="Q41"/>
  <c r="AB41"/>
  <c r="G19"/>
  <c r="K50"/>
  <c r="J99"/>
  <c r="Q99"/>
  <c r="AB99"/>
  <c r="J100"/>
  <c r="Q100"/>
  <c r="AB100"/>
  <c r="Q101"/>
  <c r="AB101"/>
  <c r="Q82"/>
  <c r="AB82"/>
  <c r="Q83"/>
  <c r="AB83"/>
  <c r="Q84"/>
  <c r="AB84"/>
  <c r="Q85"/>
  <c r="AB85"/>
  <c r="Q87"/>
  <c r="AB87"/>
  <c r="Q88"/>
  <c r="AB88"/>
  <c r="Q89"/>
  <c r="AB89"/>
  <c r="Q90"/>
  <c r="AB90"/>
  <c r="Q91"/>
  <c r="AB91"/>
  <c r="Q92"/>
  <c r="AB92"/>
  <c r="Q93"/>
  <c r="AB93"/>
  <c r="Q94"/>
  <c r="AB94"/>
  <c r="Q95"/>
  <c r="AB95"/>
  <c r="Q96"/>
  <c r="AB96"/>
  <c r="AB60"/>
  <c r="AB61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O86"/>
  <c r="C84"/>
  <c r="C83"/>
  <c r="O82"/>
  <c r="C82"/>
  <c r="AR44"/>
  <c r="G29"/>
  <c r="G34"/>
  <c r="H39"/>
  <c r="AR38"/>
  <c r="AR37"/>
  <c r="AR36"/>
  <c r="AI35"/>
  <c r="AR33"/>
  <c r="AR32"/>
  <c r="AR31"/>
  <c r="AI30"/>
  <c r="AV24"/>
  <c r="AI24"/>
  <c r="G23"/>
  <c r="AR22"/>
  <c r="AR21"/>
  <c r="AI20"/>
  <c r="AR18"/>
  <c r="AR17"/>
  <c r="AR16"/>
  <c r="AI14"/>
  <c r="AN3"/>
  <c r="K28" i="67"/>
  <c r="K29"/>
  <c r="L29"/>
  <c r="K30"/>
  <c r="L30"/>
  <c r="K31"/>
  <c r="L31"/>
  <c r="H32"/>
  <c r="K32"/>
  <c r="L32"/>
  <c r="K33"/>
  <c r="L33"/>
  <c r="K34"/>
  <c r="L34"/>
  <c r="K35"/>
  <c r="L35"/>
  <c r="K36"/>
  <c r="L36"/>
  <c r="H37"/>
  <c r="K37"/>
  <c r="L37"/>
  <c r="K40"/>
  <c r="H41"/>
  <c r="K41"/>
  <c r="N41"/>
  <c r="K46"/>
  <c r="M46"/>
  <c r="K48"/>
  <c r="K49"/>
  <c r="M49"/>
  <c r="K50"/>
  <c r="M50"/>
  <c r="K51"/>
  <c r="M51"/>
  <c r="K35" i="66"/>
  <c r="K32" i="93"/>
  <c r="K31"/>
  <c r="K30"/>
  <c r="K28" i="34"/>
  <c r="N28"/>
  <c r="K29"/>
  <c r="N29"/>
  <c r="K30"/>
  <c r="N30"/>
  <c r="K31"/>
  <c r="N31"/>
  <c r="K32"/>
  <c r="N32"/>
  <c r="K33"/>
  <c r="N33"/>
  <c r="K34"/>
  <c r="N34"/>
  <c r="K35"/>
  <c r="N35"/>
  <c r="K36"/>
  <c r="N36"/>
  <c r="K37"/>
  <c r="K40"/>
  <c r="K45"/>
  <c r="K50"/>
  <c r="N50"/>
  <c r="K51"/>
  <c r="N51"/>
  <c r="K52"/>
  <c r="N52"/>
  <c r="K57"/>
  <c r="K58"/>
  <c r="O58"/>
  <c r="K59"/>
  <c r="O59"/>
  <c r="K60"/>
  <c r="O60"/>
  <c r="K61"/>
  <c r="O61"/>
  <c r="K28" i="48"/>
  <c r="L28"/>
  <c r="K29"/>
  <c r="L29"/>
  <c r="K32"/>
  <c r="L32"/>
  <c r="K33"/>
  <c r="L33"/>
  <c r="K34"/>
  <c r="L34"/>
  <c r="K38"/>
  <c r="L38"/>
  <c r="K39"/>
  <c r="L39"/>
  <c r="K28" i="129"/>
  <c r="K29"/>
  <c r="M29"/>
  <c r="K30"/>
  <c r="M30"/>
  <c r="K31"/>
  <c r="K32"/>
  <c r="M32"/>
  <c r="K34"/>
  <c r="M34"/>
  <c r="K35"/>
  <c r="M35"/>
  <c r="K33" i="8"/>
  <c r="M33"/>
  <c r="J34"/>
  <c r="K34"/>
  <c r="J35"/>
  <c r="K35"/>
  <c r="M35"/>
  <c r="K28" i="130"/>
  <c r="K27"/>
  <c r="K26"/>
  <c r="K25"/>
  <c r="K28" i="128"/>
  <c r="L28"/>
  <c r="K28" i="43"/>
  <c r="L28"/>
  <c r="K29"/>
  <c r="L29"/>
  <c r="K30"/>
  <c r="L30"/>
  <c r="K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K48"/>
  <c r="L48"/>
  <c r="K49"/>
  <c r="L49"/>
  <c r="K50"/>
  <c r="L50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K64"/>
  <c r="L64"/>
  <c r="K65"/>
  <c r="L65"/>
  <c r="K66"/>
  <c r="L66"/>
  <c r="K67"/>
  <c r="L67"/>
  <c r="K68"/>
  <c r="L68"/>
  <c r="K69"/>
  <c r="L69"/>
  <c r="K70"/>
  <c r="L70"/>
  <c r="K71"/>
  <c r="L71"/>
  <c r="K72"/>
  <c r="L72"/>
  <c r="K28" i="2"/>
  <c r="L28"/>
  <c r="K29"/>
  <c r="L29"/>
  <c r="J30"/>
  <c r="K30"/>
  <c r="K46"/>
  <c r="K38"/>
  <c r="L38"/>
  <c r="K39"/>
  <c r="L39"/>
  <c r="K40"/>
  <c r="L40"/>
  <c r="K41"/>
  <c r="L41"/>
  <c r="K42"/>
  <c r="L42"/>
  <c r="K28" i="91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K56"/>
  <c r="L56"/>
  <c r="K57"/>
  <c r="L57"/>
  <c r="K58"/>
  <c r="L58"/>
  <c r="K59"/>
  <c r="L59"/>
  <c r="K60"/>
  <c r="L60"/>
  <c r="K61"/>
  <c r="L61"/>
  <c r="K62"/>
  <c r="L62"/>
  <c r="K63"/>
  <c r="L63"/>
  <c r="K64"/>
  <c r="L64"/>
  <c r="K65"/>
  <c r="L65"/>
  <c r="K66"/>
  <c r="L66"/>
  <c r="K67"/>
  <c r="L67"/>
  <c r="K68"/>
  <c r="L68"/>
  <c r="K69"/>
  <c r="L69"/>
  <c r="K70"/>
  <c r="L70"/>
  <c r="K71"/>
  <c r="L71"/>
  <c r="K72"/>
  <c r="L72"/>
  <c r="K73"/>
  <c r="L73"/>
  <c r="K74"/>
  <c r="L74"/>
  <c r="K75"/>
  <c r="L75"/>
  <c r="K76"/>
  <c r="L76"/>
  <c r="K77"/>
  <c r="L77"/>
  <c r="K78"/>
  <c r="L78"/>
  <c r="K79"/>
  <c r="L79"/>
  <c r="K80"/>
  <c r="L80"/>
  <c r="K81"/>
  <c r="L81"/>
  <c r="K82"/>
  <c r="L82"/>
  <c r="K83"/>
  <c r="L83"/>
  <c r="K84"/>
  <c r="L84"/>
  <c r="K85"/>
  <c r="L85"/>
  <c r="K86"/>
  <c r="L86"/>
  <c r="K87"/>
  <c r="K88"/>
  <c r="L88"/>
  <c r="K89"/>
  <c r="L89"/>
  <c r="K90"/>
  <c r="L90"/>
  <c r="K91"/>
  <c r="L91"/>
  <c r="K92"/>
  <c r="L92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102"/>
  <c r="L102"/>
  <c r="K103"/>
  <c r="L103"/>
  <c r="K104"/>
  <c r="L104"/>
  <c r="K105"/>
  <c r="L105"/>
  <c r="K106"/>
  <c r="L106"/>
  <c r="K107"/>
  <c r="L107"/>
  <c r="K108"/>
  <c r="L108"/>
  <c r="K109"/>
  <c r="L109"/>
  <c r="K110"/>
  <c r="L110"/>
  <c r="K111"/>
  <c r="L111"/>
  <c r="K112"/>
  <c r="L112"/>
  <c r="K113"/>
  <c r="L113"/>
  <c r="K28" i="3"/>
  <c r="N28"/>
  <c r="K29"/>
  <c r="N29"/>
  <c r="K32"/>
  <c r="K33"/>
  <c r="L33"/>
  <c r="K34"/>
  <c r="L34"/>
  <c r="K35"/>
  <c r="L35"/>
  <c r="J28" i="12"/>
  <c r="K28"/>
  <c r="J29"/>
  <c r="K29"/>
  <c r="L29"/>
  <c r="K30"/>
  <c r="L30"/>
  <c r="K31"/>
  <c r="K32"/>
  <c r="L32"/>
  <c r="K33"/>
  <c r="L33"/>
  <c r="K36"/>
  <c r="K35"/>
  <c r="K40"/>
  <c r="L40"/>
  <c r="K41"/>
  <c r="L41"/>
  <c r="K42"/>
  <c r="L42"/>
  <c r="K43"/>
  <c r="L43"/>
  <c r="K44"/>
  <c r="K27" i="27"/>
  <c r="K26"/>
  <c r="K25"/>
  <c r="K28" i="58"/>
  <c r="H33"/>
  <c r="K33"/>
  <c r="L33"/>
  <c r="K34"/>
  <c r="L34"/>
  <c r="K36"/>
  <c r="K37"/>
  <c r="L37"/>
  <c r="K38"/>
  <c r="L38"/>
  <c r="K39"/>
  <c r="L39"/>
  <c r="K40"/>
  <c r="K41"/>
  <c r="L41"/>
  <c r="K42"/>
  <c r="L42"/>
  <c r="K44"/>
  <c r="L44"/>
  <c r="K45"/>
  <c r="L45"/>
  <c r="K48"/>
  <c r="L48"/>
  <c r="K49"/>
  <c r="L49"/>
  <c r="H50"/>
  <c r="K50"/>
  <c r="L50"/>
  <c r="H54"/>
  <c r="K54"/>
  <c r="L54"/>
  <c r="H55"/>
  <c r="K55"/>
  <c r="H56"/>
  <c r="K56"/>
  <c r="L56"/>
  <c r="H57"/>
  <c r="K57"/>
  <c r="L57"/>
  <c r="H58"/>
  <c r="K58"/>
  <c r="L58"/>
  <c r="H59"/>
  <c r="K59"/>
  <c r="L59"/>
  <c r="K60"/>
  <c r="L60"/>
  <c r="K61"/>
  <c r="L61"/>
  <c r="K62"/>
  <c r="L62"/>
  <c r="K66"/>
  <c r="L66"/>
  <c r="K67"/>
  <c r="K68"/>
  <c r="L68"/>
  <c r="K73"/>
  <c r="K74"/>
  <c r="L74"/>
  <c r="K28" i="60"/>
  <c r="L28"/>
  <c r="L31"/>
  <c r="I26" i="85"/>
  <c r="K28" i="59"/>
  <c r="M28"/>
  <c r="K35" i="14"/>
  <c r="K37" i="76"/>
  <c r="N37"/>
  <c r="K38"/>
  <c r="N38"/>
  <c r="H42"/>
  <c r="K42"/>
  <c r="N42"/>
  <c r="H43"/>
  <c r="K43"/>
  <c r="N43"/>
  <c r="K47"/>
  <c r="K37" i="19"/>
  <c r="K40"/>
  <c r="M40"/>
  <c r="K43"/>
  <c r="M43"/>
  <c r="J44"/>
  <c r="K44"/>
  <c r="M44"/>
  <c r="J45"/>
  <c r="K45"/>
  <c r="M45"/>
  <c r="K46"/>
  <c r="M46"/>
  <c r="J47"/>
  <c r="K47"/>
  <c r="M47"/>
  <c r="J48"/>
  <c r="K48"/>
  <c r="M48"/>
  <c r="K49"/>
  <c r="M49"/>
  <c r="J50"/>
  <c r="K50"/>
  <c r="M50"/>
  <c r="J51"/>
  <c r="K51"/>
  <c r="M51"/>
  <c r="K28" i="77"/>
  <c r="K33"/>
  <c r="N33"/>
  <c r="K34"/>
  <c r="N34"/>
  <c r="K35"/>
  <c r="N35"/>
  <c r="K36"/>
  <c r="N36"/>
  <c r="H28" i="33"/>
  <c r="K28"/>
  <c r="L28"/>
  <c r="H29"/>
  <c r="K29"/>
  <c r="L29"/>
  <c r="H30"/>
  <c r="K30"/>
  <c r="L30"/>
  <c r="K35"/>
  <c r="N35"/>
  <c r="K36"/>
  <c r="N36"/>
  <c r="K37"/>
  <c r="N37"/>
  <c r="K38"/>
  <c r="N38"/>
  <c r="K39"/>
  <c r="N39"/>
  <c r="K40"/>
  <c r="N40"/>
  <c r="K41"/>
  <c r="N41"/>
  <c r="K42"/>
  <c r="N42"/>
  <c r="K43"/>
  <c r="N43"/>
  <c r="K44"/>
  <c r="N44"/>
  <c r="K45"/>
  <c r="N45"/>
  <c r="K46"/>
  <c r="N46"/>
  <c r="K47"/>
  <c r="N47"/>
  <c r="K48"/>
  <c r="N48"/>
  <c r="K49"/>
  <c r="N49"/>
  <c r="K50"/>
  <c r="N50"/>
  <c r="K51"/>
  <c r="N51"/>
  <c r="K52"/>
  <c r="N52"/>
  <c r="K53"/>
  <c r="N53"/>
  <c r="K54"/>
  <c r="N54"/>
  <c r="K55"/>
  <c r="N55"/>
  <c r="K56"/>
  <c r="N56"/>
  <c r="K57"/>
  <c r="N57"/>
  <c r="K58"/>
  <c r="N58"/>
  <c r="K59"/>
  <c r="N59"/>
  <c r="K60"/>
  <c r="N60"/>
  <c r="K61"/>
  <c r="N61"/>
  <c r="K62"/>
  <c r="N62"/>
  <c r="K63"/>
  <c r="N63"/>
  <c r="K64"/>
  <c r="N64"/>
  <c r="K65"/>
  <c r="N65"/>
  <c r="K66"/>
  <c r="N66"/>
  <c r="K67"/>
  <c r="N67"/>
  <c r="K68"/>
  <c r="N68"/>
  <c r="K69"/>
  <c r="N69"/>
  <c r="K70"/>
  <c r="N70"/>
  <c r="K71"/>
  <c r="N71"/>
  <c r="K72"/>
  <c r="N72"/>
  <c r="K73"/>
  <c r="N73"/>
  <c r="K74"/>
  <c r="N74"/>
  <c r="K75"/>
  <c r="N75"/>
  <c r="K76"/>
  <c r="N76"/>
  <c r="K77"/>
  <c r="N77"/>
  <c r="K78"/>
  <c r="N78"/>
  <c r="K79"/>
  <c r="N79"/>
  <c r="K80"/>
  <c r="N80"/>
  <c r="K81"/>
  <c r="N81"/>
  <c r="K82"/>
  <c r="N82"/>
  <c r="K83"/>
  <c r="N83"/>
  <c r="K84"/>
  <c r="N84"/>
  <c r="K88"/>
  <c r="N88"/>
  <c r="K89"/>
  <c r="N89"/>
  <c r="K90"/>
  <c r="N90"/>
  <c r="K91"/>
  <c r="N91"/>
  <c r="K94"/>
  <c r="N94"/>
  <c r="K95"/>
  <c r="N95"/>
  <c r="K96"/>
  <c r="N96"/>
  <c r="K101"/>
  <c r="K100" s="1"/>
  <c r="K99" s="1"/>
  <c r="K98" s="1"/>
  <c r="K28" i="93"/>
  <c r="M28"/>
  <c r="M35"/>
  <c r="N42" i="111"/>
  <c r="K28" i="68"/>
  <c r="M28"/>
  <c r="K29"/>
  <c r="M29"/>
  <c r="K30"/>
  <c r="M30"/>
  <c r="K31"/>
  <c r="M31"/>
  <c r="K32"/>
  <c r="M32"/>
  <c r="K33"/>
  <c r="M33"/>
  <c r="K34"/>
  <c r="M34"/>
  <c r="K35"/>
  <c r="M35"/>
  <c r="K36"/>
  <c r="M36"/>
  <c r="K37"/>
  <c r="M37"/>
  <c r="K38"/>
  <c r="M38"/>
  <c r="K39"/>
  <c r="M39"/>
  <c r="H43"/>
  <c r="K43"/>
  <c r="M43"/>
  <c r="H45"/>
  <c r="K45"/>
  <c r="M45"/>
  <c r="K46"/>
  <c r="M46"/>
  <c r="K49"/>
  <c r="M49"/>
  <c r="K50"/>
  <c r="M50"/>
  <c r="K51"/>
  <c r="M51"/>
  <c r="K52"/>
  <c r="M52"/>
  <c r="K53"/>
  <c r="M53"/>
  <c r="K54"/>
  <c r="M54"/>
  <c r="K55"/>
  <c r="M55"/>
  <c r="K56"/>
  <c r="M56"/>
  <c r="K71"/>
  <c r="N71"/>
  <c r="K72"/>
  <c r="N72"/>
  <c r="K73"/>
  <c r="N73"/>
  <c r="K77"/>
  <c r="K78"/>
  <c r="M78"/>
  <c r="K79"/>
  <c r="M79"/>
  <c r="H80"/>
  <c r="K80"/>
  <c r="M80"/>
  <c r="K83"/>
  <c r="N83"/>
  <c r="K28" i="70"/>
  <c r="K28" i="40"/>
  <c r="K27"/>
  <c r="K26"/>
  <c r="K25"/>
  <c r="K28" i="49"/>
  <c r="N28"/>
  <c r="K29"/>
  <c r="N29"/>
  <c r="K34"/>
  <c r="N34"/>
  <c r="K35"/>
  <c r="N35"/>
  <c r="K36"/>
  <c r="N36"/>
  <c r="J37"/>
  <c r="K37"/>
  <c r="N37"/>
  <c r="K36" i="25"/>
  <c r="L31" i="43"/>
  <c r="L47"/>
  <c r="L63"/>
  <c r="L31" i="12"/>
  <c r="L28" i="27"/>
  <c r="L30"/>
  <c r="L32" i="58"/>
  <c r="L36"/>
  <c r="L40"/>
  <c r="L73"/>
  <c r="L30" i="59"/>
  <c r="I27" i="85"/>
  <c r="L49" i="76"/>
  <c r="I32" i="85"/>
  <c r="L37" i="8"/>
  <c r="I34" i="85"/>
  <c r="L30" i="128"/>
  <c r="I35" i="85"/>
  <c r="L57" i="19"/>
  <c r="I36" i="85"/>
  <c r="L96" i="129"/>
  <c r="I37" i="85"/>
  <c r="L30" i="130"/>
  <c r="I38" i="85"/>
  <c r="I40"/>
  <c r="L42" i="77"/>
  <c r="I42" i="85"/>
  <c r="L64" i="34"/>
  <c r="K28" i="31"/>
  <c r="H29"/>
  <c r="K29"/>
  <c r="H30"/>
  <c r="K30"/>
  <c r="L30"/>
  <c r="H31"/>
  <c r="K31"/>
  <c r="L31"/>
  <c r="L40" i="65"/>
  <c r="I49" i="85"/>
  <c r="I50"/>
  <c r="L30" i="70"/>
  <c r="I54" i="85"/>
  <c r="I55"/>
  <c r="I60"/>
  <c r="I62"/>
  <c r="K62"/>
  <c r="N30" i="130"/>
  <c r="K38" i="85"/>
  <c r="O30" i="130"/>
  <c r="L38" i="85"/>
  <c r="P30" i="130"/>
  <c r="M38" i="85"/>
  <c r="Q30" i="130"/>
  <c r="N38" i="85"/>
  <c r="O96" i="129"/>
  <c r="L37" i="85"/>
  <c r="N96" i="129"/>
  <c r="K37" i="85"/>
  <c r="P96" i="129"/>
  <c r="M37" i="85"/>
  <c r="Q96" i="129"/>
  <c r="N37" i="85"/>
  <c r="N30" i="128"/>
  <c r="K35" i="85"/>
  <c r="O30" i="128"/>
  <c r="L35" i="85"/>
  <c r="P30" i="128"/>
  <c r="M35" i="85"/>
  <c r="Q30" i="128"/>
  <c r="N35" i="85"/>
  <c r="J42" i="130"/>
  <c r="J108" i="129"/>
  <c r="J42" i="128"/>
  <c r="K47" i="15"/>
  <c r="K46"/>
  <c r="H30" i="22"/>
  <c r="K30"/>
  <c r="L30"/>
  <c r="H29"/>
  <c r="K29"/>
  <c r="L29"/>
  <c r="L19" i="85"/>
  <c r="O86" i="31"/>
  <c r="L45" i="85"/>
  <c r="O35" i="93"/>
  <c r="L47" i="85"/>
  <c r="O30" i="70"/>
  <c r="O49" i="2"/>
  <c r="L16" i="85"/>
  <c r="O115" i="91"/>
  <c r="L17" i="85"/>
  <c r="O87" i="43"/>
  <c r="L18" i="85"/>
  <c r="O45" i="12"/>
  <c r="L20" i="85"/>
  <c r="O30" i="27"/>
  <c r="L21" i="85"/>
  <c r="O90" i="58"/>
  <c r="L24" i="85"/>
  <c r="O31" i="60"/>
  <c r="L26" i="85"/>
  <c r="O30" i="59"/>
  <c r="L27" i="85"/>
  <c r="O45" i="14"/>
  <c r="P31" i="111"/>
  <c r="O49" i="76"/>
  <c r="L32" i="85"/>
  <c r="O37" i="8"/>
  <c r="L34" i="85"/>
  <c r="O57" i="19"/>
  <c r="L36" i="85"/>
  <c r="O42" i="48"/>
  <c r="L39" i="85"/>
  <c r="L40"/>
  <c r="O42" i="77"/>
  <c r="L42" i="85"/>
  <c r="O103" i="33"/>
  <c r="L48" i="85"/>
  <c r="O40" i="65"/>
  <c r="L49" i="85"/>
  <c r="L55"/>
  <c r="O42" i="49"/>
  <c r="L56" i="85"/>
  <c r="L60"/>
  <c r="K36" i="31"/>
  <c r="N36"/>
  <c r="K37"/>
  <c r="N37"/>
  <c r="K38"/>
  <c r="N38"/>
  <c r="K39"/>
  <c r="N39"/>
  <c r="K40"/>
  <c r="N40"/>
  <c r="K41"/>
  <c r="N41"/>
  <c r="K42"/>
  <c r="N42"/>
  <c r="K43"/>
  <c r="N43"/>
  <c r="K44"/>
  <c r="N44"/>
  <c r="K45"/>
  <c r="N45"/>
  <c r="K56"/>
  <c r="K57"/>
  <c r="N57"/>
  <c r="K58"/>
  <c r="N58"/>
  <c r="K59"/>
  <c r="N59"/>
  <c r="K60"/>
  <c r="N60"/>
  <c r="K61"/>
  <c r="N61"/>
  <c r="K62"/>
  <c r="N62"/>
  <c r="K63"/>
  <c r="N63"/>
  <c r="K64"/>
  <c r="N64"/>
  <c r="K65"/>
  <c r="N65"/>
  <c r="K66"/>
  <c r="N66"/>
  <c r="K67"/>
  <c r="N67"/>
  <c r="K72"/>
  <c r="K73"/>
  <c r="N73"/>
  <c r="K74"/>
  <c r="N74"/>
  <c r="K75"/>
  <c r="N75"/>
  <c r="K76"/>
  <c r="N76"/>
  <c r="K77"/>
  <c r="N77"/>
  <c r="K78"/>
  <c r="N78"/>
  <c r="K79"/>
  <c r="N79"/>
  <c r="K80"/>
  <c r="N80"/>
  <c r="K81"/>
  <c r="N81"/>
  <c r="K82"/>
  <c r="N82"/>
  <c r="K83"/>
  <c r="N83"/>
  <c r="K84"/>
  <c r="N84"/>
  <c r="K32" i="25"/>
  <c r="K31"/>
  <c r="K28"/>
  <c r="K27"/>
  <c r="K34" i="22"/>
  <c r="L34"/>
  <c r="K35"/>
  <c r="L35"/>
  <c r="K37" i="15"/>
  <c r="L37"/>
  <c r="K38"/>
  <c r="L38"/>
  <c r="K35"/>
  <c r="K39"/>
  <c r="L39"/>
  <c r="K40"/>
  <c r="L40"/>
  <c r="K41"/>
  <c r="L41"/>
  <c r="K42"/>
  <c r="L42"/>
  <c r="K43"/>
  <c r="L43"/>
  <c r="G10" i="85"/>
  <c r="Q85" i="81"/>
  <c r="Q109"/>
  <c r="P70" i="67"/>
  <c r="Q46" i="111"/>
  <c r="Q70" i="67"/>
  <c r="N51" i="85"/>
  <c r="P86" i="31"/>
  <c r="M45" i="85"/>
  <c r="Q86" i="31"/>
  <c r="R40" i="111"/>
  <c r="P64" i="34"/>
  <c r="Q64"/>
  <c r="T38" i="2"/>
  <c r="U38"/>
  <c r="T39"/>
  <c r="U39"/>
  <c r="T40"/>
  <c r="U40"/>
  <c r="T41"/>
  <c r="U41"/>
  <c r="T42"/>
  <c r="U42"/>
  <c r="J81" i="67"/>
  <c r="G17" i="111"/>
  <c r="G18"/>
  <c r="G19"/>
  <c r="G20"/>
  <c r="G21"/>
  <c r="G22"/>
  <c r="G24"/>
  <c r="G25"/>
  <c r="G26"/>
  <c r="G27"/>
  <c r="G29"/>
  <c r="G37"/>
  <c r="G39"/>
  <c r="G42"/>
  <c r="G43"/>
  <c r="G44"/>
  <c r="G45"/>
  <c r="G46"/>
  <c r="G50"/>
  <c r="G51"/>
  <c r="F14"/>
  <c r="F13"/>
  <c r="F10"/>
  <c r="G12"/>
  <c r="G11"/>
  <c r="E56"/>
  <c r="E55" s="1"/>
  <c r="E54"/>
  <c r="G54" s="1"/>
  <c r="E52"/>
  <c r="G52"/>
  <c r="E47"/>
  <c r="G47"/>
  <c r="E40"/>
  <c r="G40"/>
  <c r="E38"/>
  <c r="G38"/>
  <c r="E35"/>
  <c r="E34" s="1"/>
  <c r="G34" s="1"/>
  <c r="E33"/>
  <c r="G33" s="1"/>
  <c r="E31"/>
  <c r="E30" s="1"/>
  <c r="E28"/>
  <c r="E23"/>
  <c r="G23"/>
  <c r="E14"/>
  <c r="E13"/>
  <c r="L47"/>
  <c r="L57"/>
  <c r="P42" i="49"/>
  <c r="M56" i="85"/>
  <c r="Q42" i="49"/>
  <c r="R52" i="111"/>
  <c r="K39" i="30"/>
  <c r="L39"/>
  <c r="K64" i="2"/>
  <c r="L64"/>
  <c r="J65"/>
  <c r="K65"/>
  <c r="L65"/>
  <c r="H60"/>
  <c r="K60"/>
  <c r="K61"/>
  <c r="L61"/>
  <c r="E45" i="127"/>
  <c r="E44"/>
  <c r="E43"/>
  <c r="E42"/>
  <c r="E41"/>
  <c r="E40"/>
  <c r="E38"/>
  <c r="E37"/>
  <c r="E36"/>
  <c r="E35"/>
  <c r="E34"/>
  <c r="E33"/>
  <c r="E32"/>
  <c r="E31"/>
  <c r="E30"/>
  <c r="E29"/>
  <c r="E28"/>
  <c r="E27"/>
  <c r="E25"/>
  <c r="E24"/>
  <c r="E23"/>
  <c r="E22"/>
  <c r="E21"/>
  <c r="E20"/>
  <c r="E19"/>
  <c r="E18"/>
  <c r="E17"/>
  <c r="E16"/>
  <c r="E14"/>
  <c r="E13"/>
  <c r="E12"/>
  <c r="E11"/>
  <c r="E9"/>
  <c r="E8"/>
  <c r="E7"/>
  <c r="E6"/>
  <c r="E5"/>
  <c r="E4"/>
  <c r="N103" i="58"/>
  <c r="N104"/>
  <c r="J152" i="10"/>
  <c r="L152"/>
  <c r="G204"/>
  <c r="J204"/>
  <c r="G203"/>
  <c r="J203"/>
  <c r="I94" i="78"/>
  <c r="M115" i="91"/>
  <c r="J17" i="85"/>
  <c r="N37" i="8"/>
  <c r="K34" i="85"/>
  <c r="K219" i="83"/>
  <c r="K218"/>
  <c r="K217"/>
  <c r="K216"/>
  <c r="K214"/>
  <c r="K213"/>
  <c r="K212"/>
  <c r="K211"/>
  <c r="K210"/>
  <c r="K209"/>
  <c r="K206"/>
  <c r="K205"/>
  <c r="K204"/>
  <c r="K203"/>
  <c r="K202"/>
  <c r="K199"/>
  <c r="K198"/>
  <c r="K197"/>
  <c r="K196"/>
  <c r="K193"/>
  <c r="K192"/>
  <c r="K191"/>
  <c r="K190"/>
  <c r="K187"/>
  <c r="K186"/>
  <c r="K185"/>
  <c r="K184"/>
  <c r="Q166"/>
  <c r="R54" i="111"/>
  <c r="P166" i="83"/>
  <c r="O166"/>
  <c r="N166"/>
  <c r="O54" i="111"/>
  <c r="L166" i="83"/>
  <c r="J57" i="40"/>
  <c r="J58"/>
  <c r="H49"/>
  <c r="H56"/>
  <c r="I56"/>
  <c r="J43"/>
  <c r="K43"/>
  <c r="K49" i="70"/>
  <c r="K41"/>
  <c r="K43"/>
  <c r="K44"/>
  <c r="K45"/>
  <c r="Q30"/>
  <c r="N54" i="85"/>
  <c r="P30" i="70"/>
  <c r="Q50" i="111"/>
  <c r="M29" i="70"/>
  <c r="K113" i="68"/>
  <c r="Q96"/>
  <c r="N52" i="85"/>
  <c r="P96" i="68"/>
  <c r="Q47" i="111"/>
  <c r="N65" i="68"/>
  <c r="T34"/>
  <c r="N50" i="85"/>
  <c r="K50"/>
  <c r="K53" i="65"/>
  <c r="K54"/>
  <c r="Q40"/>
  <c r="R44" i="111"/>
  <c r="P40" i="65"/>
  <c r="M49" i="85"/>
  <c r="N40" i="65"/>
  <c r="K49" i="85"/>
  <c r="G51" i="64"/>
  <c r="G52"/>
  <c r="R43" i="111"/>
  <c r="Q35" i="93"/>
  <c r="P35"/>
  <c r="M47" i="85"/>
  <c r="Q103" i="33"/>
  <c r="R38" i="111"/>
  <c r="P103" i="33"/>
  <c r="Q42" i="77"/>
  <c r="N42" i="85"/>
  <c r="P42" i="77"/>
  <c r="M42" i="85"/>
  <c r="J191" i="10"/>
  <c r="M191"/>
  <c r="J190"/>
  <c r="M190"/>
  <c r="J189"/>
  <c r="M189"/>
  <c r="J186"/>
  <c r="M186"/>
  <c r="J185"/>
  <c r="M185"/>
  <c r="J184"/>
  <c r="M184"/>
  <c r="J157"/>
  <c r="L157"/>
  <c r="J156"/>
  <c r="L156"/>
  <c r="J155"/>
  <c r="L155"/>
  <c r="J154"/>
  <c r="L154"/>
  <c r="J153"/>
  <c r="L153"/>
  <c r="J151"/>
  <c r="L151"/>
  <c r="J150"/>
  <c r="L150"/>
  <c r="J149"/>
  <c r="L149"/>
  <c r="J148"/>
  <c r="L148"/>
  <c r="J147"/>
  <c r="L147"/>
  <c r="J146"/>
  <c r="L146"/>
  <c r="J145"/>
  <c r="L145"/>
  <c r="J144"/>
  <c r="L144"/>
  <c r="J143"/>
  <c r="L143"/>
  <c r="J142"/>
  <c r="L142"/>
  <c r="J141"/>
  <c r="L141"/>
  <c r="J140"/>
  <c r="L140"/>
  <c r="J139"/>
  <c r="L139"/>
  <c r="J138"/>
  <c r="L138"/>
  <c r="J137"/>
  <c r="L137"/>
  <c r="J136"/>
  <c r="L136"/>
  <c r="J135"/>
  <c r="L135"/>
  <c r="J134"/>
  <c r="L134"/>
  <c r="J133"/>
  <c r="L133"/>
  <c r="J132"/>
  <c r="L132"/>
  <c r="J131"/>
  <c r="L131"/>
  <c r="J130"/>
  <c r="L130"/>
  <c r="J129"/>
  <c r="L129"/>
  <c r="J128"/>
  <c r="L128"/>
  <c r="J127"/>
  <c r="L127"/>
  <c r="J126"/>
  <c r="L126"/>
  <c r="J125"/>
  <c r="L125"/>
  <c r="J124"/>
  <c r="L124"/>
  <c r="J123"/>
  <c r="L123"/>
  <c r="J122"/>
  <c r="L122"/>
  <c r="J121"/>
  <c r="L121"/>
  <c r="J120"/>
  <c r="L120"/>
  <c r="J119"/>
  <c r="L119"/>
  <c r="J118"/>
  <c r="L118"/>
  <c r="J117"/>
  <c r="L117"/>
  <c r="J116"/>
  <c r="L116"/>
  <c r="J115"/>
  <c r="L115"/>
  <c r="J114"/>
  <c r="L114"/>
  <c r="J113"/>
  <c r="L113"/>
  <c r="J112"/>
  <c r="L112"/>
  <c r="J111"/>
  <c r="L111"/>
  <c r="J110"/>
  <c r="L110"/>
  <c r="J109"/>
  <c r="L109"/>
  <c r="J108"/>
  <c r="L108"/>
  <c r="J107"/>
  <c r="L107"/>
  <c r="J106"/>
  <c r="L106"/>
  <c r="J105"/>
  <c r="L105"/>
  <c r="J104"/>
  <c r="L104"/>
  <c r="J103"/>
  <c r="L103"/>
  <c r="J102"/>
  <c r="L102"/>
  <c r="J101"/>
  <c r="L101"/>
  <c r="J100"/>
  <c r="L100"/>
  <c r="J99"/>
  <c r="L99"/>
  <c r="J98"/>
  <c r="L98"/>
  <c r="J97"/>
  <c r="L97"/>
  <c r="J96"/>
  <c r="L96"/>
  <c r="J95"/>
  <c r="L95"/>
  <c r="J94"/>
  <c r="L94"/>
  <c r="J93"/>
  <c r="L93"/>
  <c r="J92"/>
  <c r="L92"/>
  <c r="J91"/>
  <c r="L91"/>
  <c r="J90"/>
  <c r="L90"/>
  <c r="J89"/>
  <c r="L89"/>
  <c r="J88"/>
  <c r="L88"/>
  <c r="J87"/>
  <c r="L87"/>
  <c r="J86"/>
  <c r="L86"/>
  <c r="J85"/>
  <c r="L85"/>
  <c r="J84"/>
  <c r="L84"/>
  <c r="J83"/>
  <c r="L83"/>
  <c r="J82"/>
  <c r="L82"/>
  <c r="J81"/>
  <c r="L81"/>
  <c r="J80"/>
  <c r="L80"/>
  <c r="J79"/>
  <c r="L79"/>
  <c r="J78"/>
  <c r="L78"/>
  <c r="J77"/>
  <c r="L77"/>
  <c r="J76"/>
  <c r="L76"/>
  <c r="J75"/>
  <c r="L75"/>
  <c r="J74"/>
  <c r="L74"/>
  <c r="J73"/>
  <c r="L73"/>
  <c r="J72"/>
  <c r="L72"/>
  <c r="J71"/>
  <c r="L71"/>
  <c r="J70"/>
  <c r="L70"/>
  <c r="J69"/>
  <c r="L69"/>
  <c r="J68"/>
  <c r="L68"/>
  <c r="J67"/>
  <c r="L67"/>
  <c r="J66"/>
  <c r="L66"/>
  <c r="J65"/>
  <c r="L65"/>
  <c r="J55"/>
  <c r="L55"/>
  <c r="J60"/>
  <c r="L60"/>
  <c r="J59"/>
  <c r="L59"/>
  <c r="J64"/>
  <c r="L64"/>
  <c r="J63"/>
  <c r="L63"/>
  <c r="J62"/>
  <c r="L62"/>
  <c r="J61"/>
  <c r="L61"/>
  <c r="J50"/>
  <c r="L50"/>
  <c r="J49"/>
  <c r="L49"/>
  <c r="J48"/>
  <c r="L48"/>
  <c r="J47"/>
  <c r="L47"/>
  <c r="J46"/>
  <c r="L46"/>
  <c r="J45"/>
  <c r="L45"/>
  <c r="J44"/>
  <c r="L44"/>
  <c r="J43"/>
  <c r="L43"/>
  <c r="J42"/>
  <c r="L42"/>
  <c r="J41"/>
  <c r="L41"/>
  <c r="J40"/>
  <c r="L40"/>
  <c r="J39"/>
  <c r="L39"/>
  <c r="J38"/>
  <c r="L38"/>
  <c r="J37"/>
  <c r="L37"/>
  <c r="J36"/>
  <c r="L36"/>
  <c r="J35"/>
  <c r="L35"/>
  <c r="J34"/>
  <c r="L34"/>
  <c r="J33"/>
  <c r="L33"/>
  <c r="J32"/>
  <c r="L32"/>
  <c r="J31"/>
  <c r="L31"/>
  <c r="J30"/>
  <c r="L30"/>
  <c r="J29"/>
  <c r="L10"/>
  <c r="Q42" i="48"/>
  <c r="N39" i="85"/>
  <c r="P42" i="48"/>
  <c r="M39" i="85"/>
  <c r="T39" i="48"/>
  <c r="U39"/>
  <c r="T33"/>
  <c r="U33"/>
  <c r="J69" i="19"/>
  <c r="Q57"/>
  <c r="N36" i="85"/>
  <c r="P57" i="19"/>
  <c r="M36" i="85"/>
  <c r="N57" i="19"/>
  <c r="K36" i="85"/>
  <c r="Q37" i="8"/>
  <c r="N34" i="85"/>
  <c r="P37" i="8"/>
  <c r="M34" i="85"/>
  <c r="Q49" i="76"/>
  <c r="R33" i="111"/>
  <c r="P49" i="76"/>
  <c r="Q33" i="111"/>
  <c r="M49" i="76"/>
  <c r="J32" i="85"/>
  <c r="Q45" i="14"/>
  <c r="N30" i="85"/>
  <c r="P45" i="14"/>
  <c r="M30" i="85"/>
  <c r="M45" i="14"/>
  <c r="J30" i="85"/>
  <c r="Q42" i="30"/>
  <c r="R29" i="111"/>
  <c r="P42" i="30"/>
  <c r="M28" i="85"/>
  <c r="O42" i="30"/>
  <c r="L28" i="85"/>
  <c r="N41" i="30"/>
  <c r="K40"/>
  <c r="L40"/>
  <c r="H35"/>
  <c r="K35"/>
  <c r="L35"/>
  <c r="K34"/>
  <c r="L34"/>
  <c r="K33"/>
  <c r="L33"/>
  <c r="K32"/>
  <c r="L32"/>
  <c r="K29"/>
  <c r="L29"/>
  <c r="J28"/>
  <c r="K28"/>
  <c r="Q30" i="59"/>
  <c r="N27" i="85"/>
  <c r="P30" i="59"/>
  <c r="M27" i="85"/>
  <c r="N30" i="59"/>
  <c r="K27" i="85"/>
  <c r="M29" i="59"/>
  <c r="M10"/>
  <c r="Q31" i="60"/>
  <c r="N26" i="85"/>
  <c r="P31" i="60"/>
  <c r="M26" i="85"/>
  <c r="Q90" i="58"/>
  <c r="R27" i="111"/>
  <c r="P90" i="58"/>
  <c r="M24" i="85"/>
  <c r="S66" i="58"/>
  <c r="Q50" i="15"/>
  <c r="N23" i="85"/>
  <c r="P50" i="15"/>
  <c r="M23" i="85"/>
  <c r="O50" i="15"/>
  <c r="L23" i="85"/>
  <c r="M50" i="15"/>
  <c r="J23" i="85"/>
  <c r="K36" i="15"/>
  <c r="L36"/>
  <c r="K31"/>
  <c r="L31"/>
  <c r="K30"/>
  <c r="K29"/>
  <c r="L29"/>
  <c r="K28"/>
  <c r="L28"/>
  <c r="L47"/>
  <c r="Q37" i="22"/>
  <c r="R25" i="111"/>
  <c r="P37" i="22"/>
  <c r="M22" i="85"/>
  <c r="O37" i="22"/>
  <c r="L22" i="85"/>
  <c r="M37" i="22"/>
  <c r="J22" i="85"/>
  <c r="K33" i="22"/>
  <c r="K28"/>
  <c r="Q30" i="27"/>
  <c r="N21" i="85"/>
  <c r="P30" i="27"/>
  <c r="M21" i="85"/>
  <c r="M30" i="27"/>
  <c r="J21" i="85"/>
  <c r="M10" i="27"/>
  <c r="Q45" i="12"/>
  <c r="N20" i="85"/>
  <c r="P45" i="12"/>
  <c r="Q23" i="111"/>
  <c r="S42" i="12"/>
  <c r="N19" i="85"/>
  <c r="M19"/>
  <c r="Q87" i="43"/>
  <c r="R21" i="111"/>
  <c r="P87" i="43"/>
  <c r="M18" i="85"/>
  <c r="Q115" i="91"/>
  <c r="N17" i="85"/>
  <c r="P115" i="91"/>
  <c r="M17" i="85"/>
  <c r="L87" i="91"/>
  <c r="L55"/>
  <c r="L28"/>
  <c r="M10"/>
  <c r="Q49" i="2"/>
  <c r="N16" i="85"/>
  <c r="P49" i="2"/>
  <c r="M16" i="85"/>
  <c r="Q44" i="25"/>
  <c r="N15" i="85"/>
  <c r="P44" i="25"/>
  <c r="Q18" i="111"/>
  <c r="O44" i="25"/>
  <c r="L15" i="85"/>
  <c r="K40" i="25"/>
  <c r="Q35" i="42"/>
  <c r="R17" i="111"/>
  <c r="P35" i="42"/>
  <c r="M14" i="85"/>
  <c r="O35" i="42"/>
  <c r="L14" i="85"/>
  <c r="M35" i="42"/>
  <c r="J14" i="85"/>
  <c r="K33" i="42"/>
  <c r="L33"/>
  <c r="K29"/>
  <c r="L29"/>
  <c r="K28"/>
  <c r="L28"/>
  <c r="T10"/>
  <c r="K17" i="84"/>
  <c r="K16"/>
  <c r="K15"/>
  <c r="K14"/>
  <c r="K13"/>
  <c r="R89" i="78"/>
  <c r="G41"/>
  <c r="I38"/>
  <c r="I35"/>
  <c r="G35"/>
  <c r="G30"/>
  <c r="E97" i="85"/>
  <c r="M60"/>
  <c r="M61" s="1"/>
  <c r="K60"/>
  <c r="K61" s="1"/>
  <c r="K69" s="1"/>
  <c r="J60"/>
  <c r="O59"/>
  <c r="O57"/>
  <c r="N55"/>
  <c r="M55"/>
  <c r="O53"/>
  <c r="M50"/>
  <c r="M48"/>
  <c r="N47"/>
  <c r="O46"/>
  <c r="O41"/>
  <c r="N40"/>
  <c r="M40"/>
  <c r="O33"/>
  <c r="O31"/>
  <c r="O29"/>
  <c r="O25"/>
  <c r="O11"/>
  <c r="P11"/>
  <c r="Q56" i="111"/>
  <c r="Q57" s="1"/>
  <c r="P56"/>
  <c r="P57" s="1"/>
  <c r="O56"/>
  <c r="N56"/>
  <c r="M56"/>
  <c r="M57" s="1"/>
  <c r="S55"/>
  <c r="S53"/>
  <c r="R51"/>
  <c r="Q51"/>
  <c r="P51"/>
  <c r="M51"/>
  <c r="S49"/>
  <c r="F49"/>
  <c r="R45"/>
  <c r="Q45"/>
  <c r="M45"/>
  <c r="Q43"/>
  <c r="R42"/>
  <c r="S41"/>
  <c r="F41"/>
  <c r="S36"/>
  <c r="F36"/>
  <c r="R35"/>
  <c r="Q35"/>
  <c r="P35"/>
  <c r="M35"/>
  <c r="S34"/>
  <c r="P33"/>
  <c r="S32"/>
  <c r="S30"/>
  <c r="S28"/>
  <c r="F28"/>
  <c r="N24"/>
  <c r="Q22"/>
  <c r="P22"/>
  <c r="F16"/>
  <c r="S11"/>
  <c r="T11"/>
  <c r="N44" i="25"/>
  <c r="K15" i="85"/>
  <c r="L28" i="25"/>
  <c r="N35" i="93"/>
  <c r="O42" i="111"/>
  <c r="K48" i="85"/>
  <c r="N30" i="70"/>
  <c r="K54" i="85"/>
  <c r="M90" i="58"/>
  <c r="N27" i="111"/>
  <c r="N30" i="40"/>
  <c r="O51" i="111"/>
  <c r="O45"/>
  <c r="N49" i="2"/>
  <c r="O19" i="111"/>
  <c r="N45" i="12"/>
  <c r="K20" i="85"/>
  <c r="N115" i="91"/>
  <c r="K17" i="85"/>
  <c r="N50" i="15"/>
  <c r="O26" i="111"/>
  <c r="M87" i="43"/>
  <c r="N21" i="111"/>
  <c r="N37" i="22"/>
  <c r="O25" i="111"/>
  <c r="N90" i="58"/>
  <c r="O27" i="111"/>
  <c r="N87" i="43"/>
  <c r="O21" i="111"/>
  <c r="N30" i="27"/>
  <c r="K21" i="85"/>
  <c r="M40" i="65"/>
  <c r="N44" i="111"/>
  <c r="M31" i="60"/>
  <c r="J50" i="85"/>
  <c r="J48"/>
  <c r="N35" i="42"/>
  <c r="K14" i="85"/>
  <c r="M45" i="12"/>
  <c r="J20" i="85"/>
  <c r="P44" i="111"/>
  <c r="P43"/>
  <c r="L60" i="25"/>
  <c r="L61"/>
  <c r="N45" i="111"/>
  <c r="M44" i="25"/>
  <c r="J15" i="85"/>
  <c r="G38" i="78"/>
  <c r="J15"/>
  <c r="L15"/>
  <c r="R20" i="111"/>
  <c r="R31"/>
  <c r="N14" i="85"/>
  <c r="N40" i="67"/>
  <c r="N70"/>
  <c r="K51" i="85"/>
  <c r="K39" i="67"/>
  <c r="N56" i="85"/>
  <c r="L42" i="48"/>
  <c r="I39" i="85"/>
  <c r="M31" i="129"/>
  <c r="K27"/>
  <c r="M48" i="67"/>
  <c r="K45"/>
  <c r="K44"/>
  <c r="K32" i="66"/>
  <c r="K31"/>
  <c r="K30"/>
  <c r="M44" i="68"/>
  <c r="M54" i="85"/>
  <c r="M101" i="33"/>
  <c r="AB59" i="132"/>
  <c r="M32" i="85"/>
  <c r="P13" i="133"/>
  <c r="O31"/>
  <c r="Q17" i="111"/>
  <c r="N103" i="33"/>
  <c r="K43" i="85"/>
  <c r="M70" i="67"/>
  <c r="N46" i="111"/>
  <c r="M44" i="85"/>
  <c r="N44"/>
  <c r="I44"/>
  <c r="L43"/>
  <c r="N43"/>
  <c r="Q38" i="111"/>
  <c r="O16" i="133"/>
  <c r="P16"/>
  <c r="Q16"/>
  <c r="K39" i="34"/>
  <c r="N40"/>
  <c r="J18" i="85"/>
  <c r="O18" i="111"/>
  <c r="N32" i="85"/>
  <c r="O35" i="66"/>
  <c r="O36"/>
  <c r="L50" i="85"/>
  <c r="O50"/>
  <c r="K27" i="77"/>
  <c r="K26"/>
  <c r="K25"/>
  <c r="H51" i="78"/>
  <c r="N28" i="77"/>
  <c r="N42"/>
  <c r="K42" i="85"/>
  <c r="N17" i="111"/>
  <c r="O24"/>
  <c r="P29"/>
  <c r="P23"/>
  <c r="P38"/>
  <c r="L28" i="30"/>
  <c r="L42"/>
  <c r="K27"/>
  <c r="N79" i="3"/>
  <c r="K44" i="34"/>
  <c r="N45"/>
  <c r="L35" i="15"/>
  <c r="K33"/>
  <c r="K33" i="2"/>
  <c r="K34" i="14"/>
  <c r="L35"/>
  <c r="L45"/>
  <c r="I30" i="85"/>
  <c r="N56" i="31"/>
  <c r="N86"/>
  <c r="K45" i="85"/>
  <c r="K54" i="31"/>
  <c r="S54"/>
  <c r="K39" i="132"/>
  <c r="W23"/>
  <c r="AB23"/>
  <c r="AB20"/>
  <c r="N42" i="48"/>
  <c r="K39" i="85"/>
  <c r="K35" i="31"/>
  <c r="K34"/>
  <c r="P19" i="111"/>
  <c r="K71" i="31"/>
  <c r="L28"/>
  <c r="K27"/>
  <c r="K31" i="30"/>
  <c r="N25" i="111"/>
  <c r="E41"/>
  <c r="G41"/>
  <c r="M52" i="85"/>
  <c r="L96" i="68"/>
  <c r="I52" i="85"/>
  <c r="N18" i="111"/>
  <c r="P17"/>
  <c r="Q19"/>
  <c r="R26"/>
  <c r="M50"/>
  <c r="M15" i="85"/>
  <c r="N22"/>
  <c r="J44" i="40"/>
  <c r="J45"/>
  <c r="G28" i="111"/>
  <c r="Q52"/>
  <c r="Q24"/>
  <c r="M44"/>
  <c r="N18" i="85"/>
  <c r="M43"/>
  <c r="N49"/>
  <c r="L32" i="25"/>
  <c r="K32" i="22"/>
  <c r="M28" i="40"/>
  <c r="M30"/>
  <c r="M28" i="130"/>
  <c r="M30"/>
  <c r="O81" i="132"/>
  <c r="P42" i="111"/>
  <c r="R19"/>
  <c r="Q27"/>
  <c r="M37"/>
  <c r="M20" i="85"/>
  <c r="O44" i="111"/>
  <c r="O23"/>
  <c r="P26"/>
  <c r="Q31"/>
  <c r="N33"/>
  <c r="Q42"/>
  <c r="E3" i="127"/>
  <c r="E26"/>
  <c r="E39"/>
  <c r="K87" i="33"/>
  <c r="M103"/>
  <c r="P18" i="111"/>
  <c r="N28" i="85"/>
  <c r="E15" i="127"/>
  <c r="L37" i="22"/>
  <c r="I22" i="85"/>
  <c r="O62"/>
  <c r="O81" i="131"/>
  <c r="N20" i="111"/>
  <c r="K32" i="42"/>
  <c r="K31"/>
  <c r="Q25" i="111"/>
  <c r="M33"/>
  <c r="K39" i="12"/>
  <c r="K38"/>
  <c r="K37" i="48"/>
  <c r="K31"/>
  <c r="J47" i="85"/>
  <c r="K55"/>
  <c r="O50" i="111"/>
  <c r="L36" i="25"/>
  <c r="K35"/>
  <c r="O17" i="111"/>
  <c r="P21"/>
  <c r="Q29"/>
  <c r="O37"/>
  <c r="R18"/>
  <c r="Q21"/>
  <c r="P24"/>
  <c r="P25"/>
  <c r="Q26"/>
  <c r="R37"/>
  <c r="R50"/>
  <c r="M42" i="49"/>
  <c r="J56" i="85"/>
  <c r="K45" i="2"/>
  <c r="K44"/>
  <c r="K32"/>
  <c r="K25"/>
  <c r="K24"/>
  <c r="M46"/>
  <c r="M49"/>
  <c r="J16" i="85"/>
  <c r="K27" i="34"/>
  <c r="K26"/>
  <c r="W34" i="132"/>
  <c r="AB34"/>
  <c r="AB30"/>
  <c r="L42" i="49"/>
  <c r="I56" i="85"/>
  <c r="M28" i="129"/>
  <c r="P100" i="132"/>
  <c r="AB97"/>
  <c r="AO97"/>
  <c r="K22" i="85"/>
  <c r="K27" i="42"/>
  <c r="K26"/>
  <c r="N26" i="111"/>
  <c r="R23"/>
  <c r="R24"/>
  <c r="Q44"/>
  <c r="N24" i="85"/>
  <c r="L40" i="25"/>
  <c r="L44"/>
  <c r="I15" i="85"/>
  <c r="K39" i="25"/>
  <c r="K27" i="22"/>
  <c r="E10" i="127"/>
  <c r="E36" i="111"/>
  <c r="G36"/>
  <c r="L36" i="12"/>
  <c r="K34" i="33"/>
  <c r="K33"/>
  <c r="K36" i="76"/>
  <c r="K35"/>
  <c r="K27" i="60"/>
  <c r="K26"/>
  <c r="K25"/>
  <c r="K24"/>
  <c r="N31"/>
  <c r="K26" i="85"/>
  <c r="Q39" i="111"/>
  <c r="P20"/>
  <c r="R46"/>
  <c r="M54"/>
  <c r="AB80" i="132"/>
  <c r="AJ80"/>
  <c r="K27" i="49"/>
  <c r="K26"/>
  <c r="K25"/>
  <c r="K93" i="33"/>
  <c r="AB59" i="131"/>
  <c r="O20" i="111"/>
  <c r="E49"/>
  <c r="G49"/>
  <c r="N42" i="49"/>
  <c r="K56" i="85"/>
  <c r="K27" i="33"/>
  <c r="K26"/>
  <c r="K25"/>
  <c r="G52" i="78"/>
  <c r="L103" i="33"/>
  <c r="K70" i="68"/>
  <c r="K66"/>
  <c r="K27" i="91"/>
  <c r="K26"/>
  <c r="K25"/>
  <c r="H21" i="78"/>
  <c r="J21"/>
  <c r="AB97" i="131"/>
  <c r="G14" i="111"/>
  <c r="K31" i="3"/>
  <c r="N23" i="111"/>
  <c r="L30" i="85"/>
  <c r="N45" i="14"/>
  <c r="K53" i="131"/>
  <c r="Q50"/>
  <c r="AB50"/>
  <c r="AN50"/>
  <c r="K39"/>
  <c r="H44"/>
  <c r="N48" i="85"/>
  <c r="K33" i="49"/>
  <c r="K32"/>
  <c r="K31"/>
  <c r="I67" i="78"/>
  <c r="P52" i="111"/>
  <c r="J188" i="10"/>
  <c r="J27"/>
  <c r="R29"/>
  <c r="Q20" i="111"/>
  <c r="Q40"/>
  <c r="M64" i="34"/>
  <c r="N64"/>
  <c r="K38"/>
  <c r="K72" i="58"/>
  <c r="K71"/>
  <c r="K70"/>
  <c r="P27" i="111"/>
  <c r="K201" i="83"/>
  <c r="J183" i="10"/>
  <c r="J205"/>
  <c r="M193"/>
  <c r="O35" i="111"/>
  <c r="R30" i="40"/>
  <c r="N51" i="111"/>
  <c r="S51"/>
  <c r="T51"/>
  <c r="J55" i="85"/>
  <c r="K60" i="68"/>
  <c r="K59"/>
  <c r="L29" i="10"/>
  <c r="L193"/>
  <c r="J24" i="85"/>
  <c r="Q54" i="111"/>
  <c r="R39"/>
  <c r="M39"/>
  <c r="K56" i="34"/>
  <c r="K55"/>
  <c r="K54"/>
  <c r="I53" i="78"/>
  <c r="O57" i="34"/>
  <c r="O64"/>
  <c r="Q37" i="111"/>
  <c r="P37"/>
  <c r="K46" i="70"/>
  <c r="K47"/>
  <c r="K183" i="83"/>
  <c r="K189"/>
  <c r="K38" i="14"/>
  <c r="N31" i="111"/>
  <c r="K38" i="30"/>
  <c r="K26"/>
  <c r="K18" i="85"/>
  <c r="K27" i="43"/>
  <c r="K26"/>
  <c r="K25"/>
  <c r="L87"/>
  <c r="R87"/>
  <c r="J26" i="85"/>
  <c r="K32" i="8"/>
  <c r="K31"/>
  <c r="K30"/>
  <c r="I42" i="78"/>
  <c r="M34" i="8"/>
  <c r="M37"/>
  <c r="W19" i="132"/>
  <c r="AB19"/>
  <c r="AB15"/>
  <c r="W39"/>
  <c r="AB39"/>
  <c r="AB35"/>
  <c r="K27" i="59"/>
  <c r="K26"/>
  <c r="K25"/>
  <c r="M30"/>
  <c r="G13" i="111"/>
  <c r="E10"/>
  <c r="G10"/>
  <c r="J38" i="85"/>
  <c r="O38"/>
  <c r="R30" i="130"/>
  <c r="I43" i="85"/>
  <c r="R103" i="33"/>
  <c r="M38" i="111"/>
  <c r="H64" i="78"/>
  <c r="H42"/>
  <c r="W51" i="131"/>
  <c r="AB51"/>
  <c r="AB49"/>
  <c r="W29"/>
  <c r="AB29"/>
  <c r="AB24"/>
  <c r="L35" i="42"/>
  <c r="K41" i="76"/>
  <c r="K40"/>
  <c r="K27" i="48"/>
  <c r="K26"/>
  <c r="K25"/>
  <c r="N52" i="111"/>
  <c r="G67" i="78"/>
  <c r="K46" i="76"/>
  <c r="K45"/>
  <c r="N47"/>
  <c r="N49"/>
  <c r="K24" i="130"/>
  <c r="I46" i="78"/>
  <c r="J46"/>
  <c r="N42" i="30"/>
  <c r="L56" i="131"/>
  <c r="AN53"/>
  <c r="Q53"/>
  <c r="AB53"/>
  <c r="W42"/>
  <c r="AB42"/>
  <c r="AB40"/>
  <c r="AB39"/>
  <c r="AB35"/>
  <c r="M42" i="30"/>
  <c r="K24" i="40"/>
  <c r="I66" i="78"/>
  <c r="K27" i="12"/>
  <c r="K26"/>
  <c r="K25"/>
  <c r="L28"/>
  <c r="W29" i="132"/>
  <c r="AB29"/>
  <c r="AB24"/>
  <c r="Q44"/>
  <c r="AB44"/>
  <c r="H47"/>
  <c r="Q47"/>
  <c r="AB47"/>
  <c r="AB80" i="131"/>
  <c r="W19"/>
  <c r="AB19"/>
  <c r="AB15"/>
  <c r="AB40" i="132"/>
  <c r="E16" i="111"/>
  <c r="G16"/>
  <c r="K47" i="58"/>
  <c r="P100" i="131"/>
  <c r="W34"/>
  <c r="AB34"/>
  <c r="AB30"/>
  <c r="K50" i="132"/>
  <c r="K27" i="70"/>
  <c r="K26"/>
  <c r="K25"/>
  <c r="K24"/>
  <c r="M28"/>
  <c r="M30"/>
  <c r="R30"/>
  <c r="K48" i="34"/>
  <c r="K47"/>
  <c r="W23" i="131"/>
  <c r="AB23"/>
  <c r="AB20"/>
  <c r="M42" i="77"/>
  <c r="N37" i="111"/>
  <c r="K32" i="77"/>
  <c r="K31"/>
  <c r="K30"/>
  <c r="M37" i="19"/>
  <c r="M57"/>
  <c r="R57"/>
  <c r="K32"/>
  <c r="K31"/>
  <c r="M25" i="111"/>
  <c r="S25"/>
  <c r="T25"/>
  <c r="N45" i="85"/>
  <c r="P40" i="111"/>
  <c r="L29" i="31"/>
  <c r="K26"/>
  <c r="K25"/>
  <c r="G54" i="78"/>
  <c r="M86" i="31"/>
  <c r="N40" i="111"/>
  <c r="L32" i="3"/>
  <c r="L79"/>
  <c r="L35" i="93"/>
  <c r="K27"/>
  <c r="K26"/>
  <c r="K25"/>
  <c r="G57" i="78"/>
  <c r="K47" i="85"/>
  <c r="I48"/>
  <c r="R37" i="64"/>
  <c r="M43" i="111"/>
  <c r="O43"/>
  <c r="K76" i="68"/>
  <c r="M77"/>
  <c r="M51" i="85"/>
  <c r="K27" i="67"/>
  <c r="O70"/>
  <c r="P46" i="111"/>
  <c r="I61" i="78"/>
  <c r="L60" i="2"/>
  <c r="K62"/>
  <c r="L30"/>
  <c r="K26"/>
  <c r="K66"/>
  <c r="K16" i="85"/>
  <c r="R22" i="111"/>
  <c r="K48" i="68"/>
  <c r="K27"/>
  <c r="K26"/>
  <c r="N96"/>
  <c r="K82"/>
  <c r="K42"/>
  <c r="O96"/>
  <c r="L54" i="85"/>
  <c r="P50" i="111"/>
  <c r="K31" i="64"/>
  <c r="K30"/>
  <c r="K24"/>
  <c r="K30" i="65"/>
  <c r="K91" i="68"/>
  <c r="K90"/>
  <c r="R47" i="111"/>
  <c r="S44"/>
  <c r="T44"/>
  <c r="J49" i="85"/>
  <c r="O49"/>
  <c r="R40" i="65"/>
  <c r="N43" i="111"/>
  <c r="I57" i="78"/>
  <c r="C46" i="133"/>
  <c r="C47"/>
  <c r="C50"/>
  <c r="M30" i="128"/>
  <c r="R30"/>
  <c r="K27"/>
  <c r="K26"/>
  <c r="K25"/>
  <c r="K195" i="83"/>
  <c r="K208"/>
  <c r="K27" i="3"/>
  <c r="K24" i="85"/>
  <c r="K27" i="58"/>
  <c r="K65"/>
  <c r="K64"/>
  <c r="S65"/>
  <c r="L67"/>
  <c r="L55"/>
  <c r="K53"/>
  <c r="K52"/>
  <c r="P54" i="111"/>
  <c r="K23" i="85"/>
  <c r="L30" i="15"/>
  <c r="K27"/>
  <c r="L66" i="2"/>
  <c r="M65"/>
  <c r="I21" i="85"/>
  <c r="O21"/>
  <c r="M24" i="111"/>
  <c r="R30" i="27"/>
  <c r="H25" i="78"/>
  <c r="J25"/>
  <c r="K24" i="27"/>
  <c r="S40" i="84"/>
  <c r="O40"/>
  <c r="R40"/>
  <c r="Q40"/>
  <c r="P40"/>
  <c r="K19"/>
  <c r="K12"/>
  <c r="L50" i="15"/>
  <c r="I23" i="85"/>
  <c r="O23"/>
  <c r="O48"/>
  <c r="M31" i="111"/>
  <c r="O46"/>
  <c r="K24" i="77"/>
  <c r="K42"/>
  <c r="M96" i="129"/>
  <c r="J37" i="85"/>
  <c r="O37"/>
  <c r="R45" i="14"/>
  <c r="J51" i="85"/>
  <c r="K26" i="67"/>
  <c r="K25"/>
  <c r="O38" i="111"/>
  <c r="K24" i="19"/>
  <c r="K57"/>
  <c r="K24" i="66"/>
  <c r="I60" i="78"/>
  <c r="J60"/>
  <c r="P45" i="111"/>
  <c r="S45"/>
  <c r="T45"/>
  <c r="R36" i="66"/>
  <c r="P39" i="111"/>
  <c r="K44" i="85"/>
  <c r="J43"/>
  <c r="K26" i="25"/>
  <c r="K25"/>
  <c r="K44"/>
  <c r="K25" i="42"/>
  <c r="K24"/>
  <c r="I15"/>
  <c r="O22" i="85"/>
  <c r="I28"/>
  <c r="M29" i="111"/>
  <c r="K24" i="128"/>
  <c r="K30"/>
  <c r="K41"/>
  <c r="H43" i="78"/>
  <c r="K26" i="22"/>
  <c r="K25"/>
  <c r="K24"/>
  <c r="I15"/>
  <c r="O22" i="111"/>
  <c r="K19" i="85"/>
  <c r="K24" i="93"/>
  <c r="I15"/>
  <c r="L49" i="2"/>
  <c r="M19" i="111"/>
  <c r="M52"/>
  <c r="K53" i="31"/>
  <c r="K33"/>
  <c r="K33" i="14"/>
  <c r="H18" i="78"/>
  <c r="J18"/>
  <c r="H26"/>
  <c r="J26"/>
  <c r="I51"/>
  <c r="L45" i="12"/>
  <c r="R37" i="22"/>
  <c r="S24" i="111"/>
  <c r="T24"/>
  <c r="L86" i="31"/>
  <c r="M40" i="111"/>
  <c r="H20" i="78"/>
  <c r="J20"/>
  <c r="N19" i="111"/>
  <c r="K86" i="68"/>
  <c r="K85"/>
  <c r="I62" i="78"/>
  <c r="M47" i="111"/>
  <c r="R31" i="60"/>
  <c r="O26" i="85"/>
  <c r="N38" i="111"/>
  <c r="E2" i="127"/>
  <c r="K86" i="33"/>
  <c r="K32"/>
  <c r="M42" i="48"/>
  <c r="J39" i="85"/>
  <c r="O39"/>
  <c r="K37" i="22"/>
  <c r="G22" i="85"/>
  <c r="K26" i="78"/>
  <c r="AB58" i="131"/>
  <c r="AH59"/>
  <c r="AH60"/>
  <c r="I31" i="78"/>
  <c r="I65"/>
  <c r="J65"/>
  <c r="R42" i="77"/>
  <c r="R42" i="49"/>
  <c r="T42"/>
  <c r="O43" i="85"/>
  <c r="O55"/>
  <c r="K25" i="76"/>
  <c r="H39" i="78"/>
  <c r="O52" i="111"/>
  <c r="H52" i="78"/>
  <c r="J57"/>
  <c r="K24" i="49"/>
  <c r="H47" i="131"/>
  <c r="Q47"/>
  <c r="AB47"/>
  <c r="W48"/>
  <c r="AB48"/>
  <c r="AB46"/>
  <c r="Q44"/>
  <c r="AB44"/>
  <c r="W45"/>
  <c r="AB45"/>
  <c r="AB43"/>
  <c r="K75" i="68"/>
  <c r="K58"/>
  <c r="H62" i="78"/>
  <c r="H56"/>
  <c r="S43" i="111"/>
  <c r="T43"/>
  <c r="G64" i="78"/>
  <c r="J67"/>
  <c r="O56" i="85"/>
  <c r="K40"/>
  <c r="K24" i="91"/>
  <c r="I15"/>
  <c r="G50" i="78"/>
  <c r="O39" i="111"/>
  <c r="R64" i="34"/>
  <c r="K25"/>
  <c r="H53" i="78"/>
  <c r="J53"/>
  <c r="N39" i="111"/>
  <c r="J44" i="85"/>
  <c r="J31" i="78"/>
  <c r="Q193" i="10"/>
  <c r="J66" i="78"/>
  <c r="J42"/>
  <c r="J26" i="10"/>
  <c r="J25"/>
  <c r="H28" i="78"/>
  <c r="L44" i="85"/>
  <c r="S37" i="111"/>
  <c r="T37"/>
  <c r="T31" i="8"/>
  <c r="K49" i="2"/>
  <c r="N22" i="111"/>
  <c r="H22" i="78"/>
  <c r="J22"/>
  <c r="K24" i="43"/>
  <c r="I15"/>
  <c r="S27"/>
  <c r="M21" i="111"/>
  <c r="S21"/>
  <c r="T21"/>
  <c r="I18" i="85"/>
  <c r="O18"/>
  <c r="J43" i="78"/>
  <c r="R37" i="8"/>
  <c r="J34" i="85"/>
  <c r="O34"/>
  <c r="I15" i="40"/>
  <c r="K30"/>
  <c r="R42" i="30"/>
  <c r="J28" i="85"/>
  <c r="N29" i="111"/>
  <c r="I15" i="130"/>
  <c r="K30"/>
  <c r="K25" i="65"/>
  <c r="I59" i="78"/>
  <c r="AN56" i="131"/>
  <c r="Q56"/>
  <c r="AB56"/>
  <c r="O29" i="111"/>
  <c r="K28" i="85"/>
  <c r="K42" i="49"/>
  <c r="I15"/>
  <c r="M17" i="111"/>
  <c r="S17"/>
  <c r="T17"/>
  <c r="R35" i="42"/>
  <c r="I14" i="85"/>
  <c r="O14"/>
  <c r="J54"/>
  <c r="O54"/>
  <c r="N50" i="111"/>
  <c r="S50"/>
  <c r="T50"/>
  <c r="R49" i="76"/>
  <c r="O33" i="111"/>
  <c r="S33"/>
  <c r="K32" i="85"/>
  <c r="O32"/>
  <c r="W45" i="132"/>
  <c r="AB45"/>
  <c r="AB43"/>
  <c r="K24" i="12"/>
  <c r="H24" i="78"/>
  <c r="J24"/>
  <c r="K24" i="48"/>
  <c r="K42"/>
  <c r="I47" i="78"/>
  <c r="J47"/>
  <c r="I32"/>
  <c r="J32"/>
  <c r="K30" i="59"/>
  <c r="K24"/>
  <c r="I15"/>
  <c r="K25" i="30"/>
  <c r="K24" i="8"/>
  <c r="K37"/>
  <c r="K53" i="132"/>
  <c r="L56"/>
  <c r="Q50"/>
  <c r="AB50"/>
  <c r="AN50"/>
  <c r="W48"/>
  <c r="AB48"/>
  <c r="AB46"/>
  <c r="R45" i="12"/>
  <c r="I20" i="85"/>
  <c r="O20"/>
  <c r="M23" i="111"/>
  <c r="S23"/>
  <c r="T23"/>
  <c r="W54" i="131"/>
  <c r="AB54"/>
  <c r="AB52"/>
  <c r="N35" i="111"/>
  <c r="S35"/>
  <c r="J40" i="85"/>
  <c r="J27"/>
  <c r="O27"/>
  <c r="R30" i="59"/>
  <c r="Q42" i="84"/>
  <c r="Q43"/>
  <c r="AB58" i="132"/>
  <c r="AJ58"/>
  <c r="AL59"/>
  <c r="J42" i="85"/>
  <c r="O42"/>
  <c r="R96" i="129"/>
  <c r="O40" i="111"/>
  <c r="K30" i="85"/>
  <c r="O30"/>
  <c r="O31" i="111"/>
  <c r="S31"/>
  <c r="I15" i="77"/>
  <c r="J45" i="85"/>
  <c r="I19"/>
  <c r="M22" i="111"/>
  <c r="I17" i="78"/>
  <c r="M42" i="111"/>
  <c r="S42"/>
  <c r="T42"/>
  <c r="R35" i="93"/>
  <c r="I47" i="85"/>
  <c r="O47"/>
  <c r="K41" i="68"/>
  <c r="K25"/>
  <c r="G62" i="78"/>
  <c r="L70" i="67"/>
  <c r="R70"/>
  <c r="L51" i="85"/>
  <c r="L62" i="2"/>
  <c r="M61"/>
  <c r="J19" i="85"/>
  <c r="K26" i="3"/>
  <c r="M96" i="68"/>
  <c r="P47" i="111"/>
  <c r="L52" i="85"/>
  <c r="K52"/>
  <c r="O47" i="111"/>
  <c r="I15" i="70"/>
  <c r="K30"/>
  <c r="K24" i="65"/>
  <c r="I15"/>
  <c r="K36" i="66"/>
  <c r="I15"/>
  <c r="I15" i="64"/>
  <c r="K37"/>
  <c r="C48" i="133"/>
  <c r="C49"/>
  <c r="J35" i="85"/>
  <c r="O35"/>
  <c r="I15" i="128"/>
  <c r="L90" i="58"/>
  <c r="M27" i="111"/>
  <c r="S27"/>
  <c r="T27"/>
  <c r="I15" i="60"/>
  <c r="K31"/>
  <c r="G26" i="85"/>
  <c r="K26" i="58"/>
  <c r="K25"/>
  <c r="S27"/>
  <c r="R50" i="15"/>
  <c r="M64" i="2"/>
  <c r="M66"/>
  <c r="K30" i="27"/>
  <c r="I15"/>
  <c r="J36" i="85"/>
  <c r="I44" i="78"/>
  <c r="J44"/>
  <c r="I15" i="19"/>
  <c r="K24" i="25"/>
  <c r="I15"/>
  <c r="H19" i="78"/>
  <c r="J19"/>
  <c r="M18" i="111"/>
  <c r="S18"/>
  <c r="T18"/>
  <c r="R44" i="25"/>
  <c r="G15" i="85"/>
  <c r="O15"/>
  <c r="M26" i="111"/>
  <c r="S26"/>
  <c r="T26"/>
  <c r="K87" i="43"/>
  <c r="K35" i="42"/>
  <c r="G14" i="85"/>
  <c r="J51" i="78"/>
  <c r="S38" i="111"/>
  <c r="T38" s="1"/>
  <c r="L26" i="78"/>
  <c r="AJ58" i="131"/>
  <c r="AL59"/>
  <c r="K25" i="14"/>
  <c r="H36" i="78"/>
  <c r="K35" i="93"/>
  <c r="G47" i="85"/>
  <c r="I16"/>
  <c r="O16"/>
  <c r="R49" i="2"/>
  <c r="R86" i="31"/>
  <c r="S52" i="111"/>
  <c r="T52"/>
  <c r="R42" i="48"/>
  <c r="L61" i="85"/>
  <c r="L63" s="1"/>
  <c r="L68"/>
  <c r="O68"/>
  <c r="I45"/>
  <c r="O45"/>
  <c r="S40" i="111"/>
  <c r="T40"/>
  <c r="T37" i="22"/>
  <c r="I64" i="78"/>
  <c r="S19" i="111"/>
  <c r="T19"/>
  <c r="I15" i="2"/>
  <c r="P15" i="85"/>
  <c r="S39" i="111"/>
  <c r="T39"/>
  <c r="J15" i="136"/>
  <c r="K15"/>
  <c r="K18" i="78"/>
  <c r="L18"/>
  <c r="J16" i="136"/>
  <c r="K16"/>
  <c r="K19" i="78"/>
  <c r="L19"/>
  <c r="J39"/>
  <c r="H38"/>
  <c r="K24" i="76"/>
  <c r="J27" i="136"/>
  <c r="K27"/>
  <c r="K31" i="78"/>
  <c r="L31"/>
  <c r="P22" i="85"/>
  <c r="J23" i="136"/>
  <c r="K23"/>
  <c r="M46" i="111"/>
  <c r="S46"/>
  <c r="T46"/>
  <c r="I58" i="78"/>
  <c r="J58"/>
  <c r="R166" i="83"/>
  <c r="J62" i="78"/>
  <c r="O40" i="85"/>
  <c r="K115" i="91"/>
  <c r="L115"/>
  <c r="K24" i="34"/>
  <c r="K64"/>
  <c r="O44" i="85"/>
  <c r="I30" i="78"/>
  <c r="J59"/>
  <c r="J193" i="10"/>
  <c r="H48" i="78"/>
  <c r="J24" i="10"/>
  <c r="H15"/>
  <c r="W51" i="132"/>
  <c r="AB51"/>
  <c r="AB49"/>
  <c r="K24" i="30"/>
  <c r="H33" i="78"/>
  <c r="W57" i="131"/>
  <c r="AB57"/>
  <c r="AB55"/>
  <c r="AB14"/>
  <c r="AH15"/>
  <c r="K24" i="68"/>
  <c r="I15"/>
  <c r="S29" i="111"/>
  <c r="T29"/>
  <c r="G55" i="85"/>
  <c r="K66" i="78"/>
  <c r="L66"/>
  <c r="T30" i="40"/>
  <c r="I15" i="8"/>
  <c r="G27" i="85"/>
  <c r="K32" i="78"/>
  <c r="L32"/>
  <c r="G38" i="85"/>
  <c r="K46" i="78"/>
  <c r="L46"/>
  <c r="T30" i="130"/>
  <c r="Q44" i="84"/>
  <c r="Q46"/>
  <c r="Q45"/>
  <c r="Q53" i="132"/>
  <c r="AB53"/>
  <c r="AN53"/>
  <c r="I15" i="48"/>
  <c r="K45" i="12"/>
  <c r="I15"/>
  <c r="G56" i="85"/>
  <c r="K67" i="78"/>
  <c r="L67"/>
  <c r="I51" i="85"/>
  <c r="O51"/>
  <c r="P14"/>
  <c r="O28"/>
  <c r="O19"/>
  <c r="O57" i="111"/>
  <c r="G42" i="85"/>
  <c r="K51" i="78"/>
  <c r="L51"/>
  <c r="G18" i="85"/>
  <c r="K22" i="78"/>
  <c r="L22"/>
  <c r="H54"/>
  <c r="J54"/>
  <c r="K24" i="31"/>
  <c r="K86"/>
  <c r="S22" i="111"/>
  <c r="T22"/>
  <c r="K25" i="3"/>
  <c r="K24"/>
  <c r="G61" i="78"/>
  <c r="J61"/>
  <c r="K24" i="67"/>
  <c r="R79" i="3"/>
  <c r="M60" i="2"/>
  <c r="M62"/>
  <c r="R96" i="68"/>
  <c r="N47" i="111"/>
  <c r="S47"/>
  <c r="T47"/>
  <c r="J52" i="85"/>
  <c r="O52"/>
  <c r="G54"/>
  <c r="T30" i="70"/>
  <c r="K40" i="65"/>
  <c r="G49" i="85"/>
  <c r="K59" i="78"/>
  <c r="G50" i="85"/>
  <c r="K60" i="78"/>
  <c r="L60"/>
  <c r="G48" i="85"/>
  <c r="K58" i="78"/>
  <c r="C51" i="133"/>
  <c r="C54"/>
  <c r="G35" i="85"/>
  <c r="K43" i="78"/>
  <c r="L43"/>
  <c r="T30" i="128"/>
  <c r="N54" i="111"/>
  <c r="R90" i="58"/>
  <c r="I24" i="85"/>
  <c r="P26"/>
  <c r="G28" i="78"/>
  <c r="K24" i="58"/>
  <c r="G16" i="85"/>
  <c r="K20" i="78"/>
  <c r="L20"/>
  <c r="T30" i="27"/>
  <c r="G21" i="85"/>
  <c r="K25" i="78"/>
  <c r="L25"/>
  <c r="O36" i="85"/>
  <c r="G36"/>
  <c r="T57" i="19"/>
  <c r="T35" i="93"/>
  <c r="J36" i="78"/>
  <c r="J35"/>
  <c r="H35"/>
  <c r="K24" i="14"/>
  <c r="I15"/>
  <c r="J48" i="136"/>
  <c r="K48"/>
  <c r="K57" i="78"/>
  <c r="L57"/>
  <c r="L59"/>
  <c r="L58"/>
  <c r="J64" i="136"/>
  <c r="K64"/>
  <c r="K65" i="78"/>
  <c r="K49" i="76"/>
  <c r="I15"/>
  <c r="J37" i="136"/>
  <c r="K37"/>
  <c r="K44" i="78"/>
  <c r="L44"/>
  <c r="N57" i="111"/>
  <c r="P18" i="85"/>
  <c r="J19" i="136"/>
  <c r="K19"/>
  <c r="P21" i="85"/>
  <c r="J22" i="136"/>
  <c r="K22"/>
  <c r="I56" i="78"/>
  <c r="G56"/>
  <c r="K45" i="14"/>
  <c r="F31" i="111"/>
  <c r="F30"/>
  <c r="J33" i="78"/>
  <c r="H30"/>
  <c r="P48" i="85"/>
  <c r="J52" i="136"/>
  <c r="K52"/>
  <c r="T115" i="91"/>
  <c r="G17" i="85"/>
  <c r="H50" i="78"/>
  <c r="I15" i="34"/>
  <c r="J28" i="78"/>
  <c r="G17"/>
  <c r="K79" i="3"/>
  <c r="T79"/>
  <c r="I15"/>
  <c r="P38" i="85"/>
  <c r="J39" i="136"/>
  <c r="K39"/>
  <c r="J48" i="78"/>
  <c r="H41"/>
  <c r="P50" i="85"/>
  <c r="J55" i="136"/>
  <c r="K55"/>
  <c r="P49" i="85"/>
  <c r="J54" i="136"/>
  <c r="K54"/>
  <c r="P55" i="85"/>
  <c r="J65" i="136"/>
  <c r="K65"/>
  <c r="J64" i="78"/>
  <c r="J38"/>
  <c r="F35" i="111"/>
  <c r="G40" i="85"/>
  <c r="K48" i="78"/>
  <c r="P35" i="85"/>
  <c r="J36" i="136"/>
  <c r="K36"/>
  <c r="P56" i="85"/>
  <c r="J66" i="136"/>
  <c r="K66"/>
  <c r="P42" i="85"/>
  <c r="J43" i="136"/>
  <c r="P27" i="85"/>
  <c r="J28" i="136"/>
  <c r="P16" i="85"/>
  <c r="J17" i="136"/>
  <c r="K96" i="68"/>
  <c r="T96"/>
  <c r="AJ14" i="131"/>
  <c r="AB13"/>
  <c r="AB12"/>
  <c r="AN56" i="132"/>
  <c r="Q56"/>
  <c r="AB56"/>
  <c r="W57"/>
  <c r="K42" i="30"/>
  <c r="I15"/>
  <c r="G20" i="85"/>
  <c r="K24" i="78"/>
  <c r="K55" i="12"/>
  <c r="W54" i="132"/>
  <c r="AB54"/>
  <c r="AB52"/>
  <c r="Q47" i="84"/>
  <c r="Q50"/>
  <c r="G39" i="85"/>
  <c r="K47" i="78"/>
  <c r="L47"/>
  <c r="T42" i="48"/>
  <c r="G34" i="85"/>
  <c r="K42" i="78"/>
  <c r="L42"/>
  <c r="T37" i="8"/>
  <c r="G45" i="85"/>
  <c r="K54" i="78"/>
  <c r="L54"/>
  <c r="S86" i="31"/>
  <c r="T86"/>
  <c r="I15"/>
  <c r="T40" i="65"/>
  <c r="H23" i="78"/>
  <c r="I15" i="67"/>
  <c r="K70"/>
  <c r="G53" i="85"/>
  <c r="P54"/>
  <c r="P47"/>
  <c r="O58"/>
  <c r="S54" i="111"/>
  <c r="I17" i="85"/>
  <c r="M20" i="111"/>
  <c r="R115" i="91"/>
  <c r="O24" i="85"/>
  <c r="I15" i="58"/>
  <c r="K90"/>
  <c r="P36" i="85"/>
  <c r="T31" i="111"/>
  <c r="O17" i="85"/>
  <c r="P17"/>
  <c r="I61"/>
  <c r="I63" s="1"/>
  <c r="L48" i="78"/>
  <c r="T45" i="14"/>
  <c r="K64" i="78"/>
  <c r="L64"/>
  <c r="L65"/>
  <c r="J18" i="136"/>
  <c r="K18"/>
  <c r="K21" i="78"/>
  <c r="L21"/>
  <c r="G32" i="85"/>
  <c r="T49" i="76"/>
  <c r="F33" i="111"/>
  <c r="L24" i="78"/>
  <c r="G19" i="85"/>
  <c r="K23" i="78"/>
  <c r="G31" i="111"/>
  <c r="P20" i="85"/>
  <c r="J21" i="136"/>
  <c r="K21"/>
  <c r="G30" i="85"/>
  <c r="G52"/>
  <c r="P52"/>
  <c r="G44"/>
  <c r="K53" i="78"/>
  <c r="S64" i="34"/>
  <c r="P39" i="85"/>
  <c r="J40" i="136"/>
  <c r="K40"/>
  <c r="J23" i="78"/>
  <c r="J63" i="136"/>
  <c r="P34" i="85"/>
  <c r="J35" i="136"/>
  <c r="K35"/>
  <c r="K63"/>
  <c r="F34" i="111"/>
  <c r="G35"/>
  <c r="T35"/>
  <c r="J41" i="136"/>
  <c r="K41"/>
  <c r="P40" i="85"/>
  <c r="P45"/>
  <c r="J46" i="136"/>
  <c r="K46"/>
  <c r="K43"/>
  <c r="K28"/>
  <c r="K17"/>
  <c r="G28" i="85"/>
  <c r="AB107" i="131"/>
  <c r="AH109"/>
  <c r="AB11"/>
  <c r="AB57" i="132"/>
  <c r="AB55"/>
  <c r="AB14"/>
  <c r="G51" i="85"/>
  <c r="S70" i="67"/>
  <c r="T70"/>
  <c r="S20" i="111"/>
  <c r="T20"/>
  <c r="T90" i="58"/>
  <c r="G24" i="85"/>
  <c r="K28" i="78"/>
  <c r="L28"/>
  <c r="P19" i="85"/>
  <c r="J29" i="136"/>
  <c r="K29"/>
  <c r="K26"/>
  <c r="K33" i="78"/>
  <c r="L23"/>
  <c r="J31" i="136"/>
  <c r="K31"/>
  <c r="K30"/>
  <c r="K36" i="78"/>
  <c r="J20" i="136"/>
  <c r="K20"/>
  <c r="L53" i="78"/>
  <c r="K39"/>
  <c r="J33" i="136"/>
  <c r="P32" i="85"/>
  <c r="G31"/>
  <c r="T33" i="111"/>
  <c r="F32"/>
  <c r="J59" i="136"/>
  <c r="K62" i="78"/>
  <c r="L62"/>
  <c r="J56" i="136"/>
  <c r="K56"/>
  <c r="K61" i="78"/>
  <c r="G29" i="85"/>
  <c r="P30"/>
  <c r="J45" i="136"/>
  <c r="K45"/>
  <c r="P44" i="85"/>
  <c r="J30" i="78"/>
  <c r="J56"/>
  <c r="P24" i="85"/>
  <c r="J25" i="136"/>
  <c r="K25"/>
  <c r="AJ14" i="132"/>
  <c r="AB13"/>
  <c r="AB12"/>
  <c r="AJ12" i="131"/>
  <c r="AJ11"/>
  <c r="G25" i="85"/>
  <c r="P28"/>
  <c r="P51"/>
  <c r="G46"/>
  <c r="K41" i="83"/>
  <c r="J26" i="136"/>
  <c r="J30"/>
  <c r="K35" i="78"/>
  <c r="L35"/>
  <c r="L36"/>
  <c r="K30"/>
  <c r="L30"/>
  <c r="L33"/>
  <c r="J47" i="136"/>
  <c r="K38" i="78"/>
  <c r="L38"/>
  <c r="L39"/>
  <c r="J32" i="136"/>
  <c r="K33"/>
  <c r="K32"/>
  <c r="K59"/>
  <c r="K47"/>
  <c r="K56" i="78"/>
  <c r="L56"/>
  <c r="L61"/>
  <c r="AB11" i="132"/>
  <c r="AB106"/>
  <c r="AH108"/>
  <c r="AJ11"/>
  <c r="AJ12"/>
  <c r="K45" i="15"/>
  <c r="K26"/>
  <c r="K25"/>
  <c r="S34"/>
  <c r="K24"/>
  <c r="I15"/>
  <c r="H27" i="78"/>
  <c r="K50" i="15"/>
  <c r="J27" i="78"/>
  <c r="H17"/>
  <c r="T50" i="15"/>
  <c r="G23" i="85"/>
  <c r="K60" i="15"/>
  <c r="J17" i="78"/>
  <c r="K27"/>
  <c r="K17"/>
  <c r="J24" i="136"/>
  <c r="P23" i="85"/>
  <c r="G13"/>
  <c r="L27" i="78"/>
  <c r="L17"/>
  <c r="K24" i="136"/>
  <c r="K14"/>
  <c r="J14"/>
  <c r="K26" i="129"/>
  <c r="K25"/>
  <c r="K24"/>
  <c r="I45" i="78"/>
  <c r="I15" i="129"/>
  <c r="K96"/>
  <c r="J45" i="78"/>
  <c r="I41"/>
  <c r="J41"/>
  <c r="T96" i="129"/>
  <c r="G37" i="85"/>
  <c r="K99" i="129"/>
  <c r="P37" i="85"/>
  <c r="J38" i="136"/>
  <c r="K45" i="78"/>
  <c r="G33" i="85"/>
  <c r="K41" i="78"/>
  <c r="L45"/>
  <c r="K38" i="136"/>
  <c r="K34"/>
  <c r="J34"/>
  <c r="L41" i="78"/>
  <c r="K139" i="83"/>
  <c r="K40"/>
  <c r="K24"/>
  <c r="H69" i="78"/>
  <c r="J70"/>
  <c r="K166" i="83"/>
  <c r="I15"/>
  <c r="J69" i="78"/>
  <c r="S166" i="83"/>
  <c r="F54" i="111"/>
  <c r="P58" i="85"/>
  <c r="K70" i="78"/>
  <c r="G57" i="85"/>
  <c r="J69" i="136"/>
  <c r="T54" i="111"/>
  <c r="F53"/>
  <c r="K69" i="78"/>
  <c r="L70"/>
  <c r="K69" i="136"/>
  <c r="K68"/>
  <c r="J68"/>
  <c r="L69" i="78"/>
  <c r="O26" i="146" l="1"/>
  <c r="O6"/>
  <c r="O13" s="1"/>
  <c r="K24" i="33"/>
  <c r="I52" i="78"/>
  <c r="J61" i="85"/>
  <c r="J69" s="1"/>
  <c r="E15" i="111"/>
  <c r="E57" s="1"/>
  <c r="G30"/>
  <c r="E32"/>
  <c r="G32" s="1"/>
  <c r="E53"/>
  <c r="G53" s="1"/>
  <c r="K209" i="81"/>
  <c r="K208" s="1"/>
  <c r="Q205"/>
  <c r="S205" s="1"/>
  <c r="K63" i="85"/>
  <c r="K73" i="81"/>
  <c r="K123"/>
  <c r="K189"/>
  <c r="K188" s="1"/>
  <c r="K144"/>
  <c r="K103"/>
  <c r="K47"/>
  <c r="K46" s="1"/>
  <c r="K28"/>
  <c r="K27" s="1"/>
  <c r="K26" s="1"/>
  <c r="G73" i="78" s="1"/>
  <c r="K150" i="81"/>
  <c r="K120"/>
  <c r="K56"/>
  <c r="K215"/>
  <c r="K214" s="1"/>
  <c r="L69" i="85"/>
  <c r="K196" i="81"/>
  <c r="K201"/>
  <c r="K200" s="1"/>
  <c r="Q197"/>
  <c r="S197" s="1"/>
  <c r="Q198"/>
  <c r="S198" s="1"/>
  <c r="Q179"/>
  <c r="S179" s="1"/>
  <c r="K177"/>
  <c r="K176" s="1"/>
  <c r="J63" i="85"/>
  <c r="K232" i="81"/>
  <c r="K231" s="1"/>
  <c r="Q141"/>
  <c r="T141" s="1"/>
  <c r="K137"/>
  <c r="I69" i="85"/>
  <c r="K225" i="81"/>
  <c r="Q84"/>
  <c r="S84" s="1"/>
  <c r="K80"/>
  <c r="K153"/>
  <c r="Q156"/>
  <c r="S156" s="1"/>
  <c r="Q39"/>
  <c r="T39" s="1"/>
  <c r="T245" s="1"/>
  <c r="K86"/>
  <c r="K219"/>
  <c r="Q89"/>
  <c r="S89" s="1"/>
  <c r="Q235"/>
  <c r="S235" s="1"/>
  <c r="Q240"/>
  <c r="S240" s="1"/>
  <c r="K238"/>
  <c r="K237" s="1"/>
  <c r="K263"/>
  <c r="K264" s="1"/>
  <c r="K268" s="1"/>
  <c r="Q185"/>
  <c r="S185" s="1"/>
  <c r="Q138"/>
  <c r="S138" s="1"/>
  <c r="K136"/>
  <c r="Q184"/>
  <c r="T184" s="1"/>
  <c r="K183"/>
  <c r="K182" s="1"/>
  <c r="Q233"/>
  <c r="I15" i="33" l="1"/>
  <c r="K103"/>
  <c r="J52" i="78"/>
  <c r="I50"/>
  <c r="K149" i="81"/>
  <c r="K110"/>
  <c r="K55"/>
  <c r="K218"/>
  <c r="K187" s="1"/>
  <c r="G72" i="78"/>
  <c r="G75" s="1"/>
  <c r="S233" i="81"/>
  <c r="S245" s="1"/>
  <c r="Q245"/>
  <c r="G43" i="85" l="1"/>
  <c r="S103" i="33"/>
  <c r="J50" i="78"/>
  <c r="K54" i="81"/>
  <c r="H73" i="78" s="1"/>
  <c r="H72" s="1"/>
  <c r="H75" s="1"/>
  <c r="G77"/>
  <c r="N60" i="85"/>
  <c r="R245" i="81"/>
  <c r="R56" i="111"/>
  <c r="K52" i="78" l="1"/>
  <c r="J44" i="136"/>
  <c r="P43" i="85"/>
  <c r="G41"/>
  <c r="K25" i="81"/>
  <c r="K24" s="1"/>
  <c r="K245" s="1"/>
  <c r="Q254" s="1"/>
  <c r="K259"/>
  <c r="I73" i="78"/>
  <c r="I72" s="1"/>
  <c r="I75" s="1"/>
  <c r="K88" s="1"/>
  <c r="G95"/>
  <c r="H95" s="1"/>
  <c r="H77"/>
  <c r="L83"/>
  <c r="N61" i="85"/>
  <c r="O60"/>
  <c r="R57" i="111"/>
  <c r="S57" s="1"/>
  <c r="S56"/>
  <c r="K50" i="78" l="1"/>
  <c r="L50" s="1"/>
  <c r="L52"/>
  <c r="J42" i="136"/>
  <c r="K44"/>
  <c r="K42" s="1"/>
  <c r="F56" i="111"/>
  <c r="F55" s="1"/>
  <c r="G60" i="85"/>
  <c r="K73" i="78" s="1"/>
  <c r="K258" i="81"/>
  <c r="I15"/>
  <c r="I77" i="78"/>
  <c r="J77" s="1"/>
  <c r="J73"/>
  <c r="G81" s="1"/>
  <c r="N69" i="85"/>
  <c r="N63"/>
  <c r="O61"/>
  <c r="G59" l="1"/>
  <c r="I76" s="1"/>
  <c r="G56" i="111"/>
  <c r="J71" i="136"/>
  <c r="K71" s="1"/>
  <c r="K70" s="1"/>
  <c r="K13" s="1"/>
  <c r="T56" i="111"/>
  <c r="P60" i="85"/>
  <c r="J72" i="78"/>
  <c r="J75" s="1"/>
  <c r="I82" s="1"/>
  <c r="H81"/>
  <c r="I81"/>
  <c r="K72"/>
  <c r="L73"/>
  <c r="J70" i="136"/>
  <c r="J13" s="1"/>
  <c r="G55" i="111"/>
  <c r="F15"/>
  <c r="O63" i="85"/>
  <c r="G12" l="1"/>
  <c r="G61" s="1"/>
  <c r="P61" s="1"/>
  <c r="L75" i="78"/>
  <c r="L76" s="1"/>
  <c r="H82"/>
  <c r="L72"/>
  <c r="G82"/>
  <c r="J72" i="136"/>
  <c r="J85" s="1"/>
  <c r="J10"/>
  <c r="G15" i="111"/>
  <c r="F57"/>
  <c r="K72" i="136"/>
  <c r="K10"/>
  <c r="G77" i="85" l="1"/>
  <c r="H78" s="1"/>
  <c r="J75"/>
  <c r="K77" i="78"/>
  <c r="K78" s="1"/>
  <c r="I75" i="85"/>
  <c r="H76"/>
  <c r="M63" i="111"/>
  <c r="M62"/>
  <c r="G57"/>
  <c r="T57"/>
</calcChain>
</file>

<file path=xl/comments1.xml><?xml version="1.0" encoding="utf-8"?>
<comments xmlns="http://schemas.openxmlformats.org/spreadsheetml/2006/main">
  <authors>
    <author>756</author>
  </authors>
  <commentList>
    <comment ref="S28" authorId="0">
      <text>
        <r>
          <rPr>
            <b/>
            <sz val="9"/>
            <color indexed="81"/>
            <rFont val="Tahoma"/>
            <family val="2"/>
          </rPr>
          <t>Real s/d juli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Real s/d juli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Real s/d juli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Real s/d juli rekening rs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rekening BPJS</t>
        </r>
      </text>
    </comment>
  </commentList>
</comments>
</file>

<file path=xl/comments10.xml><?xml version="1.0" encoding="utf-8"?>
<comments xmlns="http://schemas.openxmlformats.org/spreadsheetml/2006/main">
  <authors>
    <author>756</author>
    <author>hp</author>
  </authors>
  <commentList>
    <comment ref="G28" authorId="0">
      <text>
        <r>
          <rPr>
            <b/>
            <sz val="9"/>
            <color indexed="81"/>
            <rFont val="Tahoma"/>
            <family val="2"/>
          </rPr>
          <t>1. Peny.Dalam. 
2. Anak. 
3. Obgyn
4. Bedah
5. Anastesi
berapa shift</t>
        </r>
      </text>
    </comment>
    <comment ref="G29" authorId="0">
      <text>
        <r>
          <rPr>
            <b/>
            <sz val="9"/>
            <color indexed="81"/>
            <rFont val="Tahoma"/>
            <family val="2"/>
          </rPr>
          <t>1. Peny.Dalam. 
2. Anak. 
3. Obgyn
4. Bedah
5. Anastesi</t>
        </r>
      </text>
    </comment>
    <comment ref="G30" authorId="0">
      <text>
        <r>
          <rPr>
            <b/>
            <sz val="9"/>
            <color indexed="81"/>
            <rFont val="Tahoma"/>
            <family val="2"/>
          </rPr>
          <t>IGD 2 org
ICU 1 Org</t>
        </r>
      </text>
    </comment>
    <comment ref="G32" authorId="0">
      <text>
        <r>
          <rPr>
            <b/>
            <sz val="8"/>
            <color indexed="81"/>
            <rFont val="Arial Narrow"/>
            <family val="2"/>
          </rPr>
          <t>KEPERAWATAN 
1. IGD 4 ORG.
2. RUANG NICU 6 ORG.
3. OK/ANASTESI 5 ORANG.
4. RUANG ICU 3 ORANG
5. RUANG BERSALIN 4 ORANG.
6. RUANG PICU 3 ORANG
7. RUANG RAWAT ANAK 4 ORANG.
8. RUANG RAWAT IBU 4 ORANG. 
9. RUANG RAWAT DEWASA 2 ORANG.
10. RUANG VIP 2 ORANG.</t>
        </r>
      </text>
    </comment>
    <comment ref="G34" authorId="1">
      <text>
        <r>
          <rPr>
            <b/>
            <sz val="9"/>
            <color indexed="81"/>
            <rFont val="Tahoma"/>
            <family val="2"/>
          </rPr>
          <t>1. Apotek 2 org
2. Lab 2 org
3. Radiologi 1 org
4. Loundry 1 org
5. IPAL 1 org
6. IPRS 2 org
7. Gizi 1 org
8. BDRS 2 org
9. CSSD 1 org
10. Satpam 5 org
11. Supir 2 org
12. Kasir 1 org
13.operator telpn 1 org</t>
        </r>
      </text>
    </comment>
    <comment ref="G49" authorId="0">
      <text>
        <r>
          <rPr>
            <b/>
            <sz val="9"/>
            <color indexed="81"/>
            <rFont val="Tahoma"/>
            <family val="2"/>
          </rPr>
          <t xml:space="preserve">1. Peny.Dalam. 
2. Anak. 
</t>
        </r>
      </text>
    </comment>
    <comment ref="G50" authorId="0">
      <text>
        <r>
          <rPr>
            <b/>
            <sz val="9"/>
            <color indexed="81"/>
            <rFont val="Tahoma"/>
            <family val="2"/>
          </rPr>
          <t xml:space="preserve">1. Peny.Dalam. 
2. Anak. 
</t>
        </r>
      </text>
    </comment>
    <comment ref="G51" authorId="0">
      <text>
        <r>
          <rPr>
            <b/>
            <sz val="9"/>
            <color indexed="81"/>
            <rFont val="Tahoma"/>
            <family val="2"/>
          </rPr>
          <t>IGD 2 org
ICU 1 Org</t>
        </r>
      </text>
    </comment>
    <comment ref="G53" authorId="0">
      <text>
        <r>
          <rPr>
            <b/>
            <sz val="8"/>
            <color indexed="81"/>
            <rFont val="Arial Narrow"/>
            <family val="2"/>
          </rPr>
          <t>KEPERAWATAN 
1. IGD 4 ORG.
2. RUANG NICU 6 ORG.
3. OK/ANASTESI 5 ORANG.
4. RUANG ICU 3 ORANG
5. RUANG BERSALIN 4 ORANG.
6. RUANG PICU 3 ORANG
7. RUANG RAWAT ANAK 4 ORANG.
8. RUANG RAWAT IBU 4 ORANG. 
9. RUANG RAWAT DEWASA 2 ORANG.
10. RUANG VIP 2 ORANG.</t>
        </r>
      </text>
    </comment>
    <comment ref="G55" authorId="1">
      <text>
        <r>
          <rPr>
            <b/>
            <sz val="9"/>
            <color indexed="81"/>
            <rFont val="Tahoma"/>
            <family val="2"/>
          </rPr>
          <t>1. Apotek 2 org
2. Lab 2 org
3. Radiologi 1 org
4. Loundry 1 org
5. IPAL 1 org
6. IPRS 2 org
7. Gizi 1 org
8. BDRS 2 org
9. CSSD 1 org
10. Satpam 4 org
11. Supir 2 org
12. Kasir 1 org
13.operator telpn 1 org
14. Rekam medis 1 org</t>
        </r>
      </text>
    </comment>
    <comment ref="G77" authorId="0">
      <text>
        <r>
          <rPr>
            <b/>
            <sz val="9"/>
            <color indexed="81"/>
            <rFont val="Tahoma"/>
            <family val="2"/>
          </rPr>
          <t>1. Dokter Umum 3
2. Paramedis 36
3. Penunjang 20
4. Menko 1</t>
        </r>
      </text>
    </comment>
  </commentList>
</comments>
</file>

<file path=xl/comments11.xml><?xml version="1.0" encoding="utf-8"?>
<comments xmlns="http://schemas.openxmlformats.org/spreadsheetml/2006/main">
  <authors>
    <author>PC</author>
  </authors>
  <commentList>
    <comment ref="H130" authorId="0">
      <text>
        <r>
          <rPr>
            <b/>
            <sz val="9"/>
            <color indexed="81"/>
            <rFont val="Tahoma"/>
            <family val="2"/>
          </rPr>
          <t>1. dr spesialis anak 4
2. dr spesialis obgyn 2
3. dr spesialis bedah 4
4. dr spesialis peny. Dalam 2
5. dr spesialis mata 2
6. dr spesialis paru 1
7. dr spesialis kulit 1
8. dr spesialis anastesi 1
9. dr spesialis PK 1
10. dr spesialis RM 1
11. PPGD 
12. ACLS
13. ATLS
14. BTCLS
15. 
16. GELS
17. Basic Bedah
18. Kegawatan Obstetrik
19. PONEK
20. Advance Bedah
21. PPI Lanjutan
22. Mutu dan Keselamatan Pasien</t>
        </r>
      </text>
    </comment>
  </commentList>
</comments>
</file>

<file path=xl/comments12.xml><?xml version="1.0" encoding="utf-8"?>
<comments xmlns="http://schemas.openxmlformats.org/spreadsheetml/2006/main">
  <authors>
    <author>PC</author>
  </authors>
  <commentList>
    <comment ref="H131" authorId="0">
      <text>
        <r>
          <rPr>
            <b/>
            <sz val="9"/>
            <color indexed="81"/>
            <rFont val="Tahoma"/>
            <family val="2"/>
          </rPr>
          <t>1. dr spesialis anak 4
2. dr spesialis obgyn 2
3. dr spesialis bedah 4
4. dr spesialis peny. Dalam 2
5. dr spesialis mata 2
6. dr spesialis paru 1
7. dr spesialis kulit 1
8. dr spesialis anastesi 1
9. dr spesialis PK 1
10. dr spesialis RM 1
11. PPGD 
12. ACLS
13. ATLS
14. BTCLS
15. 
16. GELS
17. Basic Bedah
18. Kegawatan Obstetrik
19. PONEK
20. Advance Bedah
21. PPI Lanjutan
22. Mutu dan Keselamatan Pasien</t>
        </r>
      </text>
    </comment>
    <comment ref="L131" authorId="0">
      <text>
        <r>
          <rPr>
            <b/>
            <sz val="9"/>
            <color indexed="81"/>
            <rFont val="Tahoma"/>
            <family val="2"/>
          </rPr>
          <t>1. dr spesialis anak 4
2. dr spesialis obgyn 2
3. dr spesialis bedah 4
4. dr spesialis peny. Dalam 2
5. dr spesialis mata 2
6. dr spesialis paru 1
7. dr spesialis kulit 1
8. dr spesialis anastesi 1
9. dr spesialis PK 1
10. dr spesialis RM 1
11. PPGD 
12. ACLS
13. ATLS
14. BTCLS
15. 
16. GELS
17. Basic Bedah
18. Kegawatan Obstetrik
19. PONEK
20. Advance Bedah
21. PPI Lanjutan
22. Mutu dan Keselamatan Pasien</t>
        </r>
      </text>
    </comment>
  </commentList>
</comments>
</file>

<file path=xl/comments13.xml><?xml version="1.0" encoding="utf-8"?>
<comments xmlns="http://schemas.openxmlformats.org/spreadsheetml/2006/main">
  <authors>
    <author>ismail - [2010]</author>
    <author>756</author>
  </authors>
  <commentList>
    <comment ref="J115" authorId="0">
      <text>
        <r>
          <rPr>
            <b/>
            <sz val="9"/>
            <color indexed="81"/>
            <rFont val="Tahoma"/>
            <family val="2"/>
          </rPr>
          <t>Kebutuhan 5 jt</t>
        </r>
      </text>
    </comment>
    <comment ref="G141" authorId="1">
      <text>
        <r>
          <rPr>
            <b/>
            <sz val="9"/>
            <color indexed="81"/>
            <rFont val="Tahoma"/>
            <family val="2"/>
          </rPr>
          <t>1. Dokter Umum 3
2. Paramedis 36
3. Penunjang 20
4. Menko 1</t>
        </r>
      </text>
    </comment>
    <comment ref="G202" authorId="1">
      <text>
        <r>
          <rPr>
            <b/>
            <sz val="9"/>
            <color indexed="81"/>
            <rFont val="Tahoma"/>
            <family val="2"/>
          </rPr>
          <t>Laptop Program 2 unit</t>
        </r>
      </text>
    </comment>
    <comment ref="G243" authorId="0">
      <text>
        <r>
          <rPr>
            <b/>
            <sz val="9"/>
            <color indexed="81"/>
            <rFont val="Tahoma"/>
            <family val="2"/>
          </rPr>
          <t>AC, Bed, Instalasi oksigen dan instrumen bedah</t>
        </r>
      </text>
    </comment>
  </commentList>
</comments>
</file>

<file path=xl/comments14.xml><?xml version="1.0" encoding="utf-8"?>
<comments xmlns="http://schemas.openxmlformats.org/spreadsheetml/2006/main">
  <authors>
    <author>PC</author>
  </authors>
  <commentList>
    <comment ref="C58" authorId="0">
      <text>
        <r>
          <rPr>
            <b/>
            <sz val="9"/>
            <color indexed="81"/>
            <rFont val="Tahoma"/>
            <family val="2"/>
          </rPr>
          <t>1. dr spesialis anak 4
2. dr spesialis obgyn 2
3. dr spesialis bedah 4
4. dr spesialis peny. Dalam 2
5. dr spesialis mata 2
6. dr spesialis paru 1
7. dr spesialis kulit 1
8. dr spesialis anastesi 1
9. dr spesialis PK 1
10. dr spesialis RM 1
11. PPGD 
12. ACLS
13. ATLS
14. BTCLS
15. 
16. GELS
17. Basic Bedah
18. Kegawatan Obstetrik
19. PONEK
20. Advance Bedah
21. PPI Lanjutan
22. Mutu dan Keselamatan Pasien</t>
        </r>
      </text>
    </comment>
  </commentList>
</comments>
</file>

<file path=xl/comments2.xml><?xml version="1.0" encoding="utf-8"?>
<comments xmlns="http://schemas.openxmlformats.org/spreadsheetml/2006/main">
  <authors>
    <author>756</author>
  </authors>
  <commentList>
    <comment ref="G59" authorId="0">
      <text>
        <r>
          <rPr>
            <b/>
            <sz val="9"/>
            <color indexed="81"/>
            <rFont val="Tahoma"/>
            <family val="2"/>
          </rPr>
          <t>IT</t>
        </r>
      </text>
    </comment>
    <comment ref="G60" authorId="0">
      <text>
        <r>
          <rPr>
            <b/>
            <sz val="9"/>
            <color indexed="81"/>
            <rFont val="Tahoma"/>
            <family val="2"/>
          </rPr>
          <t xml:space="preserve">It
</t>
        </r>
      </text>
    </comment>
    <comment ref="G61" authorId="0">
      <text>
        <r>
          <rPr>
            <b/>
            <sz val="9"/>
            <color indexed="81"/>
            <rFont val="Tahoma"/>
            <family val="2"/>
          </rPr>
          <t>Keuangan 2
Program 2
Komite keperawatan 1
Keperawatan 2
Penunjang 2</t>
        </r>
      </text>
    </comment>
    <comment ref="G64" authorId="0">
      <text>
        <r>
          <rPr>
            <b/>
            <sz val="9"/>
            <color indexed="81"/>
            <rFont val="Tahoma"/>
            <family val="2"/>
          </rPr>
          <t>Komite kep 1</t>
        </r>
      </text>
    </comment>
    <comment ref="G68" authorId="0">
      <text>
        <r>
          <rPr>
            <b/>
            <sz val="9"/>
            <color indexed="81"/>
            <rFont val="Tahoma"/>
            <family val="2"/>
          </rPr>
          <t>It</t>
        </r>
      </text>
    </comment>
    <comment ref="G69" authorId="0">
      <text>
        <r>
          <rPr>
            <b/>
            <sz val="9"/>
            <color indexed="81"/>
            <rFont val="Tahoma"/>
            <family val="2"/>
          </rPr>
          <t>It</t>
        </r>
      </text>
    </comment>
    <comment ref="G70" authorId="0">
      <text>
        <r>
          <rPr>
            <b/>
            <sz val="9"/>
            <color indexed="81"/>
            <rFont val="Tahoma"/>
            <family val="2"/>
          </rPr>
          <t>It</t>
        </r>
      </text>
    </comment>
    <comment ref="G77" authorId="0">
      <text>
        <r>
          <rPr>
            <b/>
            <sz val="9"/>
            <color indexed="81"/>
            <rFont val="Tahoma"/>
            <family val="2"/>
          </rPr>
          <t>It</t>
        </r>
      </text>
    </comment>
  </commentList>
</comments>
</file>

<file path=xl/comments3.xml><?xml version="1.0" encoding="utf-8"?>
<comments xmlns="http://schemas.openxmlformats.org/spreadsheetml/2006/main">
  <authors>
    <author>756</author>
  </authors>
  <commentList>
    <comment ref="G28" authorId="0">
      <text>
        <r>
          <rPr>
            <b/>
            <sz val="9"/>
            <color indexed="81"/>
            <rFont val="Tahoma"/>
            <family val="2"/>
          </rPr>
          <t xml:space="preserve">1. Genset 10080 Liter
</t>
        </r>
      </text>
    </comment>
  </commentList>
</comments>
</file>

<file path=xl/comments4.xml><?xml version="1.0" encoding="utf-8"?>
<comments xmlns="http://schemas.openxmlformats.org/spreadsheetml/2006/main">
  <authors>
    <author>756</author>
  </authors>
  <commentList>
    <comment ref="H47" authorId="0">
      <text>
        <r>
          <rPr>
            <b/>
            <sz val="9"/>
            <color indexed="81"/>
            <rFont val="Tahoma"/>
            <family val="2"/>
          </rPr>
          <t>(1 org X 12 bln X 3 jam X 2 kl 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756</author>
    <author>PC</author>
    <author>ismail - [2010]</author>
  </authors>
  <commentList>
    <comment ref="G30" authorId="0">
      <text>
        <r>
          <rPr>
            <b/>
            <sz val="9"/>
            <color indexed="81"/>
            <rFont val="Tahoma"/>
            <family val="2"/>
          </rPr>
          <t>double blue merk natus</t>
        </r>
      </text>
    </comment>
    <comment ref="G31" authorId="0">
      <text>
        <r>
          <rPr>
            <b/>
            <sz val="9"/>
            <color indexed="81"/>
            <rFont val="Tahoma"/>
            <family val="2"/>
          </rPr>
          <t>VIP 1</t>
        </r>
      </text>
    </comment>
    <comment ref="G36" authorId="1">
      <text>
        <r>
          <rPr>
            <b/>
            <sz val="9"/>
            <color indexed="81"/>
            <rFont val="Tahoma"/>
            <family val="2"/>
          </rPr>
          <t xml:space="preserve">1.vip
2.RRI
3.RRA
4.RRPD
5.NICU
6.PICU
7.ICU
8.IGD
</t>
        </r>
      </text>
    </comment>
    <comment ref="G58" authorId="1">
      <text>
        <r>
          <rPr>
            <b/>
            <sz val="9"/>
            <color indexed="81"/>
            <rFont val="Tahoma"/>
            <family val="2"/>
          </rPr>
          <t>Krisbow 1200X1200X150 MM</t>
        </r>
      </text>
    </comment>
    <comment ref="G71" authorId="2">
      <text>
        <r>
          <rPr>
            <b/>
            <sz val="9"/>
            <color indexed="81"/>
            <rFont val="Tahoma"/>
            <family val="2"/>
          </rPr>
          <t>pakai ex kb</t>
        </r>
      </text>
    </comment>
  </commentList>
</comments>
</file>

<file path=xl/comments6.xml><?xml version="1.0" encoding="utf-8"?>
<comments xmlns="http://schemas.openxmlformats.org/spreadsheetml/2006/main">
  <authors>
    <author>756</author>
  </authors>
  <commentList>
    <comment ref="G28" authorId="0">
      <text>
        <r>
          <rPr>
            <b/>
            <sz val="9"/>
            <color indexed="81"/>
            <rFont val="Tahoma"/>
            <family val="2"/>
          </rPr>
          <t>Komite Kep 3</t>
        </r>
      </text>
    </comment>
    <comment ref="G32" authorId="0">
      <text>
        <r>
          <rPr>
            <b/>
            <sz val="9"/>
            <color indexed="81"/>
            <rFont val="Tahoma"/>
            <family val="2"/>
          </rPr>
          <t>komite kep 6</t>
        </r>
      </text>
    </comment>
    <comment ref="G39" authorId="0">
      <text>
        <r>
          <rPr>
            <b/>
            <sz val="9"/>
            <color indexed="81"/>
            <rFont val="Tahoma"/>
            <family val="2"/>
          </rPr>
          <t>Komite kep 1</t>
        </r>
      </text>
    </comment>
  </commentList>
</comments>
</file>

<file path=xl/comments7.xml><?xml version="1.0" encoding="utf-8"?>
<comments xmlns="http://schemas.openxmlformats.org/spreadsheetml/2006/main">
  <authors>
    <author>756</author>
  </authors>
  <commentList>
    <comment ref="G34" authorId="0">
      <text>
        <r>
          <rPr>
            <b/>
            <sz val="9"/>
            <color indexed="81"/>
            <rFont val="Tahoma"/>
            <family val="2"/>
          </rPr>
          <t>iprs tangga monyet naik ke lift lantai 4</t>
        </r>
      </text>
    </comment>
  </commentList>
</comments>
</file>

<file path=xl/comments8.xml><?xml version="1.0" encoding="utf-8"?>
<comments xmlns="http://schemas.openxmlformats.org/spreadsheetml/2006/main">
  <authors>
    <author>756</author>
  </authors>
  <commentList>
    <comment ref="G58" authorId="0">
      <text>
        <r>
          <rPr>
            <b/>
            <sz val="9"/>
            <color indexed="81"/>
            <rFont val="Tahoma"/>
            <family val="2"/>
          </rPr>
          <t>genset, mesin cuci, stp dll</t>
        </r>
      </text>
    </comment>
    <comment ref="G72" authorId="0">
      <text>
        <r>
          <rPr>
            <b/>
            <sz val="9"/>
            <color indexed="81"/>
            <rFont val="Tahoma"/>
            <family val="2"/>
          </rPr>
          <t>Pemeliharaan AC dan Komputer</t>
        </r>
      </text>
    </comment>
  </commentList>
</comments>
</file>

<file path=xl/comments9.xml><?xml version="1.0" encoding="utf-8"?>
<comments xmlns="http://schemas.openxmlformats.org/spreadsheetml/2006/main">
  <authors>
    <author>756</author>
  </authors>
  <commentList>
    <comment ref="G40" authorId="0">
      <text>
        <r>
          <rPr>
            <b/>
            <sz val="10"/>
            <color indexed="81"/>
            <rFont val="Tahoma"/>
            <family val="2"/>
          </rPr>
          <t>obgyin : onkologi kebidanan, fetomaternal (ditunda)
anak : tumbuh kembang, jantung anak (2018)
, paru anak, syaraf anak, imunologi anak,(di Tunda) 
2017= 52 minggu</t>
        </r>
      </text>
    </comment>
    <comment ref="G42" authorId="0">
      <text>
        <r>
          <rPr>
            <b/>
            <sz val="10"/>
            <color indexed="81"/>
            <rFont val="Tahoma"/>
            <family val="2"/>
          </rPr>
          <t>obgyin : onkologi kebidanan, fetomaternal (ditunda)
anak : tumbuh kembang, jantung anak (2018)
, paru anak, syaraf anak, imunologi anak,(di Tunda) 
2017= 52 minggu</t>
        </r>
      </text>
    </comment>
  </commentList>
</comments>
</file>

<file path=xl/sharedStrings.xml><?xml version="1.0" encoding="utf-8"?>
<sst xmlns="http://schemas.openxmlformats.org/spreadsheetml/2006/main" count="7333" uniqueCount="2164">
  <si>
    <t>NOMOR DPA SKPA</t>
  </si>
  <si>
    <t>DPA-SKPA</t>
  </si>
  <si>
    <t>SATUAN KERJA PERANGKAT ACEH</t>
  </si>
  <si>
    <t>2.2.1</t>
  </si>
  <si>
    <t>Indikator &amp; Tolak Ukur Kinerja Belanja Langsung</t>
  </si>
  <si>
    <t xml:space="preserve">Indikator </t>
  </si>
  <si>
    <t>Tolak Ukur Kinerja</t>
  </si>
  <si>
    <t>Target Kineja</t>
  </si>
  <si>
    <t>Capaian Program</t>
  </si>
  <si>
    <t>Masukan</t>
  </si>
  <si>
    <t>Keluaran</t>
  </si>
  <si>
    <t>Hasil</t>
  </si>
  <si>
    <t>Meningkatnya kualitas pelayanan</t>
  </si>
  <si>
    <t>Kelompok sasaran Kegiatan : Karyawan dan masyarakat</t>
  </si>
  <si>
    <t>Kode Rekening</t>
  </si>
  <si>
    <t>Uraian</t>
  </si>
  <si>
    <t>Rincian Peghitungan</t>
  </si>
  <si>
    <t>Jumlah</t>
  </si>
  <si>
    <t>Volume</t>
  </si>
  <si>
    <t xml:space="preserve">Satuan </t>
  </si>
  <si>
    <t>Harga Satuan</t>
  </si>
  <si>
    <t>Rp</t>
  </si>
  <si>
    <t>6=3x5</t>
  </si>
  <si>
    <t>BELANJA LANGSUNG</t>
  </si>
  <si>
    <t>01</t>
  </si>
  <si>
    <t>02</t>
  </si>
  <si>
    <t>OT</t>
  </si>
  <si>
    <t>OH</t>
  </si>
  <si>
    <t>OK</t>
  </si>
  <si>
    <t>Paket</t>
  </si>
  <si>
    <t>JUMLAH</t>
  </si>
  <si>
    <t>Urusan Pemerintahan</t>
  </si>
  <si>
    <t>Organisasi</t>
  </si>
  <si>
    <t>Program</t>
  </si>
  <si>
    <t xml:space="preserve">Kegiatan </t>
  </si>
  <si>
    <t>Waktu Pelaksanaan</t>
  </si>
  <si>
    <t xml:space="preserve">Lokasi Kegiatan </t>
  </si>
  <si>
    <t>Sumber dana</t>
  </si>
  <si>
    <t>: 1.02 KESEHATAN</t>
  </si>
  <si>
    <t>: 1.02.04 RUMAH SAKIT IBU DAN ANAK</t>
  </si>
  <si>
    <t>: 1.02.1.02.04.05. Program Peningkatan Kapasitas Sumber Daya Aparatur</t>
  </si>
  <si>
    <t>: RSIA</t>
  </si>
  <si>
    <t>: DAU.</t>
  </si>
  <si>
    <t>BELANJA BARANG DAN JASA</t>
  </si>
  <si>
    <t>03</t>
  </si>
  <si>
    <t>Belanja Jasa Kantor</t>
  </si>
  <si>
    <t>Kelompok sasaran Kegiatan : Karyawan/karyawati RSIA</t>
  </si>
  <si>
    <t>Jumlah dana yang dibutuhkan</t>
  </si>
  <si>
    <t>Tersedianya SDM yang terlatih</t>
  </si>
  <si>
    <t>paket</t>
  </si>
  <si>
    <t>porsi</t>
  </si>
  <si>
    <t>bh</t>
  </si>
  <si>
    <t xml:space="preserve">Urusan Pemerintahan </t>
  </si>
  <si>
    <t xml:space="preserve">Organisasi </t>
  </si>
  <si>
    <t xml:space="preserve">Program </t>
  </si>
  <si>
    <t xml:space="preserve">Kegiatan            </t>
  </si>
  <si>
    <t xml:space="preserve">Waktu Pelaksanaan            </t>
  </si>
  <si>
    <t xml:space="preserve">Sumber dana </t>
  </si>
  <si>
    <t>Kelompok sasaran Kegiatan : Karyawan/karyawati</t>
  </si>
  <si>
    <t>BELANJA PEGAWAI</t>
  </si>
  <si>
    <t>Honorarium PNS</t>
  </si>
  <si>
    <t>Honorarium Panitia Pelaksana Kegiatan</t>
  </si>
  <si>
    <t>OB</t>
  </si>
  <si>
    <t>Ls</t>
  </si>
  <si>
    <t>bln</t>
  </si>
  <si>
    <t>04</t>
  </si>
  <si>
    <t>06</t>
  </si>
  <si>
    <t>Uang Lembur</t>
  </si>
  <si>
    <t>Uang Lembur PNS</t>
  </si>
  <si>
    <t>Belanja Bahan Pakai Habis</t>
  </si>
  <si>
    <t>: 1.02.1.02.04.01. - Program Pelayanan Administrasi Perkantoran</t>
  </si>
  <si>
    <t>: 1.02. - KESEHATAN</t>
  </si>
  <si>
    <t>Rincian Dokumen Pelaksanaan Anggaran Belanja Langsung Menurut Program dan Per Kegiatan Satuan Kerja Perangkat Aceh</t>
  </si>
  <si>
    <t>Belanja perjalanan dinas dalam daerah</t>
  </si>
  <si>
    <t>Honorarium Pejabat Pelaksana Teknis Kegiatan (PPTK)</t>
  </si>
  <si>
    <t xml:space="preserve">Honorarium Pelaksana Kegiatan </t>
  </si>
  <si>
    <t>Kelompok sasaran Kegiatan : Masyarakat</t>
  </si>
  <si>
    <t>07</t>
  </si>
  <si>
    <t>BELANJA MODAL</t>
  </si>
  <si>
    <t>09</t>
  </si>
  <si>
    <t>05</t>
  </si>
  <si>
    <t>08</t>
  </si>
  <si>
    <t>meter</t>
  </si>
  <si>
    <t>: 1.02.1.02.04.26. Program Pengadaan, Peningkatan Sarana dan Prasarana  Rumah Sakit/Rumah Sakit Jiwa/ Rumah Sakit Paru-paru/Rumah Mata</t>
  </si>
  <si>
    <t>: 1.02.1.02.04.26.01. Pembangunan rumah sakit</t>
  </si>
  <si>
    <t>Unit</t>
  </si>
  <si>
    <t>set</t>
  </si>
  <si>
    <t xml:space="preserve">Rincian Dokumen Pelaksanaan Anggaran Belanja Langsung </t>
  </si>
  <si>
    <t>Menurut Program dan Per Kegiatan Satuan Kerja Perangkat Aceh</t>
  </si>
  <si>
    <t>Indikator &amp; Tolok Ukur Kinerja Belanja Langsung</t>
  </si>
  <si>
    <t>Tolok Ukur Kinerja</t>
  </si>
  <si>
    <t>: 1.02.1.02.O4.01.08. - Penyediaan Jasa Kebersihan Kantor</t>
  </si>
  <si>
    <t>Penyediaan jasa kebersihan kantor</t>
  </si>
  <si>
    <t>Terjaganya lingkungan kantor, ruang rawat dan halaman kantor</t>
  </si>
  <si>
    <t>Kelompok sasaran Kegiatan : Karyawan dan Masyarakat</t>
  </si>
  <si>
    <t>lbr</t>
  </si>
  <si>
    <t>: 1.02.1.02.04.01.10. - Penyediaan Alat Tulis Kantor</t>
  </si>
  <si>
    <t>Penyediaan Alat Tulis Kantor</t>
  </si>
  <si>
    <t>Terpenuhinya Pelayanan Administrasi Kantor dan Ruang Rawat</t>
  </si>
  <si>
    <t>Kelompok sasaran Kegiatan : Karyawan</t>
  </si>
  <si>
    <t>Belanja Alat Tulis Kantor</t>
  </si>
  <si>
    <t>Belanja Cetak dan Penggandaan</t>
  </si>
  <si>
    <t>Belanja Cetak</t>
  </si>
  <si>
    <t>Lbr</t>
  </si>
  <si>
    <t>Belanja Penggandaan</t>
  </si>
  <si>
    <t>Rol</t>
  </si>
  <si>
    <t>pcs</t>
  </si>
  <si>
    <t>Bh</t>
  </si>
  <si>
    <t>: DAU, OTSUS.</t>
  </si>
  <si>
    <t>Belanja Bahan/Material</t>
  </si>
  <si>
    <t>: 1.02.1.02.04.01.13. - Penyediaan Peralatan dan Perlengkapan Kantor</t>
  </si>
  <si>
    <t>Penyediaan Jasa Peralatan dan Perlengkapan Kantor</t>
  </si>
  <si>
    <t>Terpenuhinya Peralatan dan Perlengkapan Kantor</t>
  </si>
  <si>
    <t>Belanja Modal Pengadaan Komputer</t>
  </si>
  <si>
    <t>Set</t>
  </si>
  <si>
    <t>1.02.1.02.04.01.14.5.2</t>
  </si>
  <si>
    <t>: 1.02.1.02.04.01.14. - Penyediaan Peralatan Rumah Tangga</t>
  </si>
  <si>
    <t>Kelompok sasaran Kegiatan : Fasilitas kantor/rumah sakit</t>
  </si>
  <si>
    <t>Belanja Bahan Bakar Minyak/Gas</t>
  </si>
  <si>
    <t>Belanja Bahan/material</t>
  </si>
  <si>
    <t>Ktk</t>
  </si>
  <si>
    <t>Kg</t>
  </si>
  <si>
    <t>Belanja Bahan Logistik Rumah Tangga</t>
  </si>
  <si>
    <t>Oli mesin STP</t>
  </si>
  <si>
    <t>Kran tabung oxygen</t>
  </si>
  <si>
    <t>Belanja Air</t>
  </si>
  <si>
    <t>: 1.02.1.02.04.02. - Program Peningkatan Sarana dan Prasarana Aparatur</t>
  </si>
  <si>
    <t>Belanja Jasa Service Peralatan dan Perlengkapan Kantor</t>
  </si>
  <si>
    <t>: 1.02.1.02.04.03. - Program Peningkatan Disiplin Aparatur</t>
  </si>
  <si>
    <t>: 1.02.1.02.04.03.02. - Pengadaan Pakaian Dinas Beserta Perlengkapannya</t>
  </si>
  <si>
    <t>Kelompok sasaran Kegiatan : Karyawan/Karyawati RSIA</t>
  </si>
  <si>
    <t>Rapat Koordinasi dan Konsultasi</t>
  </si>
  <si>
    <t>Perjalanan Dinas</t>
  </si>
  <si>
    <t>Belanja Perjalanan Dinas Luar Daerah</t>
  </si>
  <si>
    <t>Belanja Perjalan Dinas</t>
  </si>
  <si>
    <t>Belanja Sertifikasi</t>
  </si>
  <si>
    <t>Belanja Bahan Alat-alat Kesehatan</t>
  </si>
  <si>
    <t>Pak</t>
  </si>
  <si>
    <t>Belanja Modal Pengadaan Alat-alat Bengkel</t>
  </si>
  <si>
    <t>BELANJA TIDAK LANGSUNG</t>
  </si>
  <si>
    <t>Gaji dan Tunjangan</t>
  </si>
  <si>
    <t>Gaji Pokok PNS/Uang Representasi</t>
  </si>
  <si>
    <t>Tunjangan Fungsional</t>
  </si>
  <si>
    <t>Tunjangan Umum</t>
  </si>
  <si>
    <t>Tunjangan Beras</t>
  </si>
  <si>
    <t>Tunjangan PPh/Tunjangan Khusus</t>
  </si>
  <si>
    <t>Pembulatan Gaji</t>
  </si>
  <si>
    <t>Kegiatan</t>
  </si>
  <si>
    <t>Terpeliharanya sarana dan prasarana RSIA</t>
  </si>
  <si>
    <t>Kelompok sasaran Kegiatan : Bangunan RSIA</t>
  </si>
  <si>
    <t>Terpelihara fasilitas RSIA</t>
  </si>
  <si>
    <t>Belanja Pakaian Kerja</t>
  </si>
  <si>
    <t>Belanja Pakaian Kerja Lapangan</t>
  </si>
  <si>
    <t>PEMERINTAH ACEH</t>
  </si>
  <si>
    <t>Ringkasan Dokumen Pelaksanaan Perubahan Anggaran Satuan Kerja Perangkat Aceh</t>
  </si>
  <si>
    <t>Jumlah (Rp)</t>
  </si>
  <si>
    <t>Menurut Program dan Kegiatan</t>
  </si>
  <si>
    <t>Kode</t>
  </si>
  <si>
    <t>Sumber Dana</t>
  </si>
  <si>
    <t>Program Pelayanan Administrasi Perkantoran</t>
  </si>
  <si>
    <t>Penyediaan Jasa Surat Menyurat</t>
  </si>
  <si>
    <t>Penyediaan Jasa Komunikasi, Sumber Daya Air dan Listrik</t>
  </si>
  <si>
    <t>Penyediaan Jasa Kebersihan Kantor</t>
  </si>
  <si>
    <t>Penyediaan Komponen Instalasi Listrik/Penerangan Bangunan Kantor</t>
  </si>
  <si>
    <t>Penyediaan Peralatan dan Perlengkapan Kantor</t>
  </si>
  <si>
    <t>Prenyediaan Peralatan Rumah Tangga</t>
  </si>
  <si>
    <t>Penyediaan Makanan dan Minuman</t>
  </si>
  <si>
    <t>Rapat-rapat Koordinasi dan Konsultasi ke Luar Daerah</t>
  </si>
  <si>
    <t>Program Peningkatan Sarana dan Prasarana Aparatur</t>
  </si>
  <si>
    <t>Pemeliharaan Rutin/Berkala Kendaraan Dinas/Operasional</t>
  </si>
  <si>
    <t>Program Peningkatan Disiplin Aparatur</t>
  </si>
  <si>
    <t>Pengadaan Pakaian Dinas Beserta Perlengkapannya</t>
  </si>
  <si>
    <t>Program Peningkatan Kapasitas Sumber Daya Aparatur</t>
  </si>
  <si>
    <t>Program Pengadaan, Peningkatan Sarana dan Prasarana Rumah/Rumah Sakit Jiwa/Rumah Sakit Paru-paru/Rumah Sakit Mata</t>
  </si>
  <si>
    <t>Pembangunan Rumah Sakit</t>
  </si>
  <si>
    <t>Rehabilitasi Bangunan Rumah Sakit</t>
  </si>
  <si>
    <t>Program Pemeliharaan, Peningkatan Sarana dan Prasarana Rumah/Rumah Sakit Jiwa/Rumah Sakit Paru-paru/Rumah Sakit Mata</t>
  </si>
  <si>
    <t>DAU</t>
  </si>
  <si>
    <t>Penyediaan Bahan Bacaan dan Peraturan Perundang-undangan</t>
  </si>
  <si>
    <t xml:space="preserve">: </t>
  </si>
  <si>
    <t>: 1.02.1.02.04.01.17. - Penyediaan Makanan dan Minuman</t>
  </si>
  <si>
    <t>Penyediaan makanan dan minuman</t>
  </si>
  <si>
    <t>Belanja Makanan dan Minuman</t>
  </si>
  <si>
    <t>Belanja makanan dan minuman rapat</t>
  </si>
  <si>
    <t>Belanja makanan dan minuman tamu</t>
  </si>
  <si>
    <t>Honorarium Non PNS</t>
  </si>
  <si>
    <t>Honorarium Pegawai Honorer/tidak tetap</t>
  </si>
  <si>
    <t>Belanja Perangko, Materai dan Benda Pos Lainnya</t>
  </si>
  <si>
    <t>Materai Rp. 6.000</t>
  </si>
  <si>
    <t>Materai Rp. 3.000</t>
  </si>
  <si>
    <t>: 1.02.1.02.04.01.01. - Penyediaan Jasa Komunikasi, Sumber Daya Air dan Listrik</t>
  </si>
  <si>
    <t>Kelompok sasaran Kegiatan : Staf administrasi dan staf pelayanan masyarakat</t>
  </si>
  <si>
    <t>Belanja Telepon</t>
  </si>
  <si>
    <t>Belanja Listrik</t>
  </si>
  <si>
    <t>Belanja Listrik (3 X 600 Amper)</t>
  </si>
  <si>
    <t>Belanja Kawat/Faksimili/Internet</t>
  </si>
  <si>
    <t>: 1.02.1.02.04.01.15. - Penyediaan Bahan Bacaan dan Peraturan Perundang-undangan</t>
  </si>
  <si>
    <t>Belanja Surat Kabar/Majalah</t>
  </si>
  <si>
    <t>: 1.02.1.02.04.02.24. - Pemeliharaan Rutin/Berkala Kendaraan Dinas/Operasional</t>
  </si>
  <si>
    <t>Tersedianya biaya untuk pemeliharaan kendaraan</t>
  </si>
  <si>
    <t>Pemeliharaan rutin/berkala kendaraan dinas/operasional</t>
  </si>
  <si>
    <t>Terpeliharanya kendaraan dinas dan ambulance</t>
  </si>
  <si>
    <t>Belanja Perawatan Kendaraan Bermotor</t>
  </si>
  <si>
    <t>Belanja Jasa Service</t>
  </si>
  <si>
    <t>Stempel</t>
  </si>
  <si>
    <t>Lembaran daftar chek pre-operasi HVS 70 gram</t>
  </si>
  <si>
    <t>Lembaran Surat keterangan dokter  1/2 HVS</t>
  </si>
  <si>
    <t>Lembaran pemeriksaan fisik anak HVS 70 gram TB</t>
  </si>
  <si>
    <t>Lembaran pengawan dalam persalinan HVS 70 gram</t>
  </si>
  <si>
    <t>Blangko tanda pembayaran karcis 3 play 1/3 folio</t>
  </si>
  <si>
    <t>Amplop kesing dinas 11,5X25,5</t>
  </si>
  <si>
    <t>Amplop kesing folio 24X34</t>
  </si>
  <si>
    <t>Kardek NICU</t>
  </si>
  <si>
    <t>Kardek ICU warna 72,5x52,5</t>
  </si>
  <si>
    <t>: 1.02.1.02.04.27. - Program Pemeliharaan Sarana dan Prasarana Rumah Sakit/Rumah Sakit Jiwa/Rumah Sakit Paru-paru/Rumah Sakit Mata</t>
  </si>
  <si>
    <t>: 1.02.1.02.04.27.01. - Pemeliharaan Rutin/Berkala Rumah Sakit</t>
  </si>
  <si>
    <t>: 1.02.1.02.04.27.17. - Pemeliharaan Rutin/Berkala Alat-alat Kesehatan Rumah Sakit</t>
  </si>
  <si>
    <t>Kalibrasi Alkes</t>
  </si>
  <si>
    <t>Lampu infra red</t>
  </si>
  <si>
    <t>Belanja Bahan Habis Pakai</t>
  </si>
  <si>
    <t>Belanja Alat Listrik dan Elektronik (lampu pijar battery kering)</t>
  </si>
  <si>
    <t>Belanja Pengisian Tabung Pemadam Kebakaran</t>
  </si>
  <si>
    <t>Belanja Pengisian Tabung Gas</t>
  </si>
  <si>
    <t>Oli genset</t>
  </si>
  <si>
    <t>Pengisian Oxygen (O2) Besar</t>
  </si>
  <si>
    <t>Pengisian Oxygen (O2) Kecil</t>
  </si>
  <si>
    <t>Pengisian Nitrous Oxyde (N2O)</t>
  </si>
  <si>
    <t>Pengisian (O2) liquid</t>
  </si>
  <si>
    <t>kali</t>
  </si>
  <si>
    <t>Kotak</t>
  </si>
  <si>
    <t>Bola TL 40 watt</t>
  </si>
  <si>
    <t>Bola pijar 25 watt</t>
  </si>
  <si>
    <t>Bola merkuri 250 watt</t>
  </si>
  <si>
    <t>Ballas TL20/ 40 watt</t>
  </si>
  <si>
    <t>MCCB 50 A</t>
  </si>
  <si>
    <t>Kabel 2X1,5</t>
  </si>
  <si>
    <t xml:space="preserve">Kabel 2x0,75 </t>
  </si>
  <si>
    <t>Kabel Lan</t>
  </si>
  <si>
    <t>Kabel Telpon</t>
  </si>
  <si>
    <t>Steker</t>
  </si>
  <si>
    <t>Steker Cabang 3</t>
  </si>
  <si>
    <t>Stok Kontak</t>
  </si>
  <si>
    <t>Saklar</t>
  </si>
  <si>
    <t>Isolasi 3 M</t>
  </si>
  <si>
    <t>Klam Kabel IKK</t>
  </si>
  <si>
    <t>Bgks</t>
  </si>
  <si>
    <t>Foto sel</t>
  </si>
  <si>
    <t>Skun Kabel</t>
  </si>
  <si>
    <t>Strip Kabel</t>
  </si>
  <si>
    <t>Battery besar ABC</t>
  </si>
  <si>
    <t>Battery sedang ABC</t>
  </si>
  <si>
    <t>Battry AA Alkalin</t>
  </si>
  <si>
    <t>Battery AAA Alkalin</t>
  </si>
  <si>
    <t>Battery 9 Volt</t>
  </si>
  <si>
    <t>: 1.02.1.02.04.26.17. - Rehabilitasi bangunan rumah sakit</t>
  </si>
  <si>
    <t>Pengadaan Mebeuleur Rumah Sakit</t>
  </si>
  <si>
    <t>Pemeliharaan Rutin/Berkala Rumah Sakit</t>
  </si>
  <si>
    <t>Pemeliharaan Rutin /Berkala Instalasi Pengolahan Limbah Rumah Sakit</t>
  </si>
  <si>
    <t>Pemeliharaan Rutin/Berkala Alat-alat Kesehatan Rumah Sakit</t>
  </si>
  <si>
    <t>buah</t>
  </si>
  <si>
    <t>Honor dokter spesialis penyakit dalam (1 org X 12 bln)</t>
  </si>
  <si>
    <t>Tersedianya biaya makanan dan minuman untuk pasien</t>
  </si>
  <si>
    <t>Kelompok sasaran Kegiatan : Pasien</t>
  </si>
  <si>
    <t>Program Pelayanan Penunjang Medis/Non Medis</t>
  </si>
  <si>
    <t>Peningkatan Pelayanan Gizi</t>
  </si>
  <si>
    <t>TOTAL</t>
  </si>
  <si>
    <t>Retribusi Sampah</t>
  </si>
  <si>
    <t>: 1.02.1.02.04.01.01. - Penyediaan Jasa Surat Menyurat</t>
  </si>
  <si>
    <t>Tersedianya benda - benda pos</t>
  </si>
  <si>
    <t>: 1.02.1.02.04.01.13. - Penyediaan Komponen Instalasi Listrik/Penerangan Bangunan Kantor</t>
  </si>
  <si>
    <t>Belanja Modal Pengadaan UPS/Stabilizer</t>
  </si>
  <si>
    <t>: 1.02.1.02.04.26.21. - Pengadaan Mebeleur Rumah Sakit</t>
  </si>
  <si>
    <t>Pengguna Anggaran,</t>
  </si>
  <si>
    <t>: DAU,</t>
  </si>
  <si>
    <t>RENCANA KERJA ANGGARAN</t>
  </si>
  <si>
    <t xml:space="preserve">Biaya pengiriman surat </t>
  </si>
  <si>
    <t>Bahan Habis Pakai Loundry</t>
  </si>
  <si>
    <t>Peningkatan Pelayanan Laundry</t>
  </si>
  <si>
    <t>Porsi</t>
  </si>
  <si>
    <t>Program Pelayanan Medis</t>
  </si>
  <si>
    <t>Belanja Peralatan Kebersihan dan Bahan Pembersih</t>
  </si>
  <si>
    <t>Liter</t>
  </si>
  <si>
    <t>Iuran Arsada</t>
  </si>
  <si>
    <t>Belanja Jasa Cleaning Service</t>
  </si>
  <si>
    <t>Biaya penyedotan bak limbah cair</t>
  </si>
  <si>
    <t>Kali</t>
  </si>
  <si>
    <t>Lampu hologen Calimator 50w  24 v</t>
  </si>
  <si>
    <t>: 1.02.1.02.04.02. -Program Peningkatan Sarana/Prasarana Aparatur</t>
  </si>
  <si>
    <t>: APBA TA 2014</t>
  </si>
  <si>
    <t>Belanja Modal Pengadaan Konstruksi/Pembelian Bangunan</t>
  </si>
  <si>
    <t>: 1.02.1.02.04.02.04. - Pengadaan mobil jabatan</t>
  </si>
  <si>
    <t>Pengadaan Mobil Jabatan</t>
  </si>
  <si>
    <t>: 1.02.1.02.04.27.16. - Pemeliharaan Rutin/Berkala Instalasi Pengolahan Limbah Rumah Sakit</t>
  </si>
  <si>
    <t>Buah</t>
  </si>
  <si>
    <t>Lembaran bayi baru lahir HVS  70 gram TB</t>
  </si>
  <si>
    <t>Lembaran perincian tindakan HVS warna 70 gam</t>
  </si>
  <si>
    <t xml:space="preserve">Lembaran Cuti Hamil HVS Folio </t>
  </si>
  <si>
    <t>Lembaran Pengantar Laboratorium warna HVS 70 gram</t>
  </si>
  <si>
    <t>Lembaran catatan persalinan / Partograf  HVS Folio</t>
  </si>
  <si>
    <t>Lembaran Visit dokter Folio HVS 70 gram hijou</t>
  </si>
  <si>
    <t>Lembaran Surat Keterangan Rawatan 1/2 Folio</t>
  </si>
  <si>
    <t>Lembaran Surat Keterangan Kematian Folio</t>
  </si>
  <si>
    <t>Lembaran Ringkasan Keluar ( Resume ) RM 17 TB</t>
  </si>
  <si>
    <t>Lembaran Penolakan tindakan medis Folio HVS Folio</t>
  </si>
  <si>
    <t>Lembaran Konsultasi</t>
  </si>
  <si>
    <t>Lembaran Grafik ( RM - 03 )</t>
  </si>
  <si>
    <t>Lembaran Kardinal</t>
  </si>
  <si>
    <t>Lembaran Rekan Asuh Keperawatan RM 17 TB Merah</t>
  </si>
  <si>
    <t>Lembaran Permohonan Cuti / izin</t>
  </si>
  <si>
    <t>Blangco Resep Copy 1/3 folio</t>
  </si>
  <si>
    <t>Kartu Stoc Obat Kecil  BC TB</t>
  </si>
  <si>
    <t>Glg</t>
  </si>
  <si>
    <t>Pcs</t>
  </si>
  <si>
    <t>galon</t>
  </si>
  <si>
    <t>Pack</t>
  </si>
  <si>
    <t>Belanja Bahan / Material</t>
  </si>
  <si>
    <t>: 1.02.1.02.04.01.18. - Rapat-rapat Koordinasi dan Konsultasi ke Luar Daerah</t>
  </si>
  <si>
    <t>Plastik pembungkus linen</t>
  </si>
  <si>
    <t>Foto Copy Warna</t>
  </si>
  <si>
    <t>: 1.02.1.02.O4.05.24. Peningkatan kegiatan keagamaan</t>
  </si>
  <si>
    <t>Belanja Modal Pengadaan Alat Kedokteran</t>
  </si>
  <si>
    <t>Peningkatan Pelayanan  Administrasi Perkantoran</t>
  </si>
  <si>
    <t>: 1.02.1.02.04.01.22. - Peningkatan Pelayanan Administrasi Perkantoran</t>
  </si>
  <si>
    <t>Peningkatan pelayanan bedah sentral (COT)</t>
  </si>
  <si>
    <t>Peningkatan pelayanan perawatan intensif anak</t>
  </si>
  <si>
    <t>Peningkatan pelayanan intensif dewasa</t>
  </si>
  <si>
    <t>Peningkatan pelayanan rawat jalan</t>
  </si>
  <si>
    <t>Peningkatan pelayanan rawat inap</t>
  </si>
  <si>
    <t>Program Pelayanan Masyarakat Pada BLUD</t>
  </si>
  <si>
    <t>Peningkatan Kualitas dan Pendukung Pelayanan</t>
  </si>
  <si>
    <t>Peningkatan Pelayanan radiologi</t>
  </si>
  <si>
    <t xml:space="preserve">Honorarium Panitia Pelaksana Kegiatan </t>
  </si>
  <si>
    <t>Kelompok sasaran Kegiatan : Peserta rapat dan tamu</t>
  </si>
  <si>
    <t>Tim Aplikasi SIPKD pada SKPA</t>
  </si>
  <si>
    <t>BELANJA DAERAH</t>
  </si>
  <si>
    <t>Honorarium Pelaksana Kegiatan</t>
  </si>
  <si>
    <t>Jasa Layanan</t>
  </si>
  <si>
    <t>Belanja Bahan Obat-obatan</t>
  </si>
  <si>
    <t>Ketua Dewan Pengawas (1 org X 12 bln)</t>
  </si>
  <si>
    <t>Anggota Dewan Pengawas (2 org X 12 bln)</t>
  </si>
  <si>
    <t>Sekretaris Dewan Pengawas (1 org X 12 bln)</t>
  </si>
  <si>
    <t>PPTK Jasa Layanan (1 org X 12 bln)</t>
  </si>
  <si>
    <t>Belanja Modal Pengadaan Alat-alat Kedokteran</t>
  </si>
  <si>
    <t>Belanja Pegawai</t>
  </si>
  <si>
    <t xml:space="preserve">Belanja Barang dan Jasa </t>
  </si>
  <si>
    <t>Belanja Modal</t>
  </si>
  <si>
    <t>Peningkatan Kegiatan Keagamaan</t>
  </si>
  <si>
    <t>Honor dokter spesialis Mata (1 org X 12 bln)</t>
  </si>
  <si>
    <t>Belanja modal pengadaan alat-alat kedokteran bedah</t>
  </si>
  <si>
    <t>Selang Shower Panjang</t>
  </si>
  <si>
    <t>Stop Kran air Bawah washtafel</t>
  </si>
  <si>
    <t>kran washtafel stainless steel</t>
  </si>
  <si>
    <t>Selang washtafel</t>
  </si>
  <si>
    <t>Lem Pipa Besar (dalam Kaleng besar)</t>
  </si>
  <si>
    <t>kaleng</t>
  </si>
  <si>
    <t>Selotip Pipa</t>
  </si>
  <si>
    <t>Elbow plastik ukuran 1/2 "</t>
  </si>
  <si>
    <t>Elbow plastik ukuran 2 "</t>
  </si>
  <si>
    <t>Elbow plastik ukuran 2,5 "</t>
  </si>
  <si>
    <t>Elbow Plastik ukuran 3 "</t>
  </si>
  <si>
    <t>Lem silikon</t>
  </si>
  <si>
    <t>lembar</t>
  </si>
  <si>
    <t>-Kontribusi</t>
  </si>
  <si>
    <t xml:space="preserve">Golongan III </t>
  </si>
  <si>
    <t>Transportasi</t>
  </si>
  <si>
    <t>Belanja Perlengkapan/Bahan Keperluan Pasien</t>
  </si>
  <si>
    <t>Penyediaan darah</t>
  </si>
  <si>
    <t>Kolf</t>
  </si>
  <si>
    <t>kran Air stainless steel  3/4 "</t>
  </si>
  <si>
    <t>kran Air stainless steel  1/2 "</t>
  </si>
  <si>
    <t>Rem</t>
  </si>
  <si>
    <t>Lembaran  Catatan Patologi dan Anatomi ( PA )</t>
  </si>
  <si>
    <t>Bloc</t>
  </si>
  <si>
    <t>Biaya umbul-umbul dan gapura</t>
  </si>
  <si>
    <t>Eselon II</t>
  </si>
  <si>
    <t>Bungkus</t>
  </si>
  <si>
    <t>Uang harian</t>
  </si>
  <si>
    <t>Unit/thn</t>
  </si>
  <si>
    <t>Uang saku (1 org X 2 hr)</t>
  </si>
  <si>
    <t>Transpor lokal (1 org X 2 hr)</t>
  </si>
  <si>
    <t>Uang makan  (1 org X 2 hr)</t>
  </si>
  <si>
    <t>Penginapan (1 org X 2 hr)</t>
  </si>
  <si>
    <t>Belanja Perlengkapan/bahan keperluan pasien</t>
  </si>
  <si>
    <t>Lembar</t>
  </si>
  <si>
    <t>Mobil Hias</t>
  </si>
  <si>
    <t>Tertip administrasi</t>
  </si>
  <si>
    <t>Tersedianya Bahan dan Alat kebersihan kantor</t>
  </si>
  <si>
    <t>Tersedianya Alat Tulis kantor</t>
  </si>
  <si>
    <t>Tersedianya komponen listrik bangunan kantor</t>
  </si>
  <si>
    <t>Kegiatan Administrasi dan Pelayanan Rumah Sakit dapat berjalan maksimal</t>
  </si>
  <si>
    <t>Tersedianya bahan dan alat rumah tangga</t>
  </si>
  <si>
    <t>Tersedianya peralatan dan bahan rumah tangga</t>
  </si>
  <si>
    <t>Meningkatkan fungsi pelayanan kantor/rumah sakit</t>
  </si>
  <si>
    <t>Penyediaan Bahan Bacaan</t>
  </si>
  <si>
    <t>Meningkatnya wawasan dan pengetahuan</t>
  </si>
  <si>
    <t>Tersedianya koran, majalah dan buku kesehatan</t>
  </si>
  <si>
    <t>Tersedianya makanan dan minuman untuk kegiatan rapat, lembur dan tamu</t>
  </si>
  <si>
    <t>Meningkatnya produktifitas pelayanan administrasi</t>
  </si>
  <si>
    <t>Tercapainya koordinasi lintas program dan lintas sektoral</t>
  </si>
  <si>
    <t>Kelompok sasaran Kegiatan : Aparatur</t>
  </si>
  <si>
    <t>Tersedianya pelayanan administrasi perkantoran</t>
  </si>
  <si>
    <t>Tersedianya honorarium, biaya sewa dan publikasi</t>
  </si>
  <si>
    <t>Meningkatnya kinerja pelayanan administrasi</t>
  </si>
  <si>
    <t>Terjaminnya keamanan aset pemerintah aceh</t>
  </si>
  <si>
    <t>Kelompok sasaran Kegiatan : aset daerah</t>
  </si>
  <si>
    <t>Tersedianya mobil operasional</t>
  </si>
  <si>
    <t>Terpenuhinya pelayanan operasional</t>
  </si>
  <si>
    <t>Pemeliharaan rutin/berkala gedung kantor</t>
  </si>
  <si>
    <t>Tersedianya bahan dan jasa pemeliharaan</t>
  </si>
  <si>
    <t>Terpeliharanya gedung kantor</t>
  </si>
  <si>
    <t>Kelompok sasaran Kegiatan : Gedung/bangunan</t>
  </si>
  <si>
    <t>Tersedianya Pakaian Tindakan dan Batik Aceh</t>
  </si>
  <si>
    <t>Tersedianyan pakaian tindakan dan pakaian batik aceh</t>
  </si>
  <si>
    <t xml:space="preserve">Meningkatnya pelayanan masyarakat </t>
  </si>
  <si>
    <t>Meningkatnya pelayanan keagamaan</t>
  </si>
  <si>
    <t>Tersedianya bahan mushalla dan sosialisasi keagamaan</t>
  </si>
  <si>
    <t>Meningkatnya ibadah keagamaan</t>
  </si>
  <si>
    <t>Meningkatnya masa pemakaian fasilitas RSIA</t>
  </si>
  <si>
    <t xml:space="preserve">Tersedianya sarana mebeleur </t>
  </si>
  <si>
    <t xml:space="preserve">Tersedianya mebeleur </t>
  </si>
  <si>
    <t>Meningkatnya efektifitas pelayanan</t>
  </si>
  <si>
    <t>Pemeliharaan rutin/berkala rumah sakit</t>
  </si>
  <si>
    <t>Terpeliharanya peralatan rumah sakit</t>
  </si>
  <si>
    <t>Meningkatnya hasil dan umur pemakaian peralatan</t>
  </si>
  <si>
    <t>Kelompok sasaran Kegiatan : Peralatan Rumah Sakit</t>
  </si>
  <si>
    <t>Pemeliharaan rutin/berkala sarana limbah rumah sakit</t>
  </si>
  <si>
    <t>Tersedia dan terpeliharanya sarana limbah rumah sakit</t>
  </si>
  <si>
    <t>Limbah terkelola dengan baik dan aman bagi lingkungan</t>
  </si>
  <si>
    <t xml:space="preserve">Kelompok sasaran Kegiatan : Sarana limbah </t>
  </si>
  <si>
    <t>Pemeliharaan rutin/berkala dan kalibrasi alat kesehatan rumah sakit</t>
  </si>
  <si>
    <t xml:space="preserve">Alat kesehatan terkelola dengan baik dan aman </t>
  </si>
  <si>
    <t>Kelompok sasaran Kegiatan : Alat Kesehatan</t>
  </si>
  <si>
    <t>Terpelihara dan terkalibrasinya Alat Kesehatan rumah sakit</t>
  </si>
  <si>
    <t>Peningkatan Pelayanan kamar operasi</t>
  </si>
  <si>
    <t>Terlaksananya pelayanan operasi</t>
  </si>
  <si>
    <t>Pelayanan operasi berjalan sesuai standar pelayanan minimal</t>
  </si>
  <si>
    <t>Peningkatan Pelayanan ruang intensif anak</t>
  </si>
  <si>
    <t>Terlaksananya pelayanan ruang intensif anak</t>
  </si>
  <si>
    <t>Pelayanan intensif anak berjalan sesuai standar pelayanan minimal</t>
  </si>
  <si>
    <t>Peningkatan Pelayanan ruang intensif dewasa</t>
  </si>
  <si>
    <t>Pelayanan intensif dewasa berjalan sesuai standar pelayanan minimal</t>
  </si>
  <si>
    <t>Terlaksananya pelayanan diruang intensif dewasa</t>
  </si>
  <si>
    <t>Peningkatan Pelayanan ruang rawat jalan</t>
  </si>
  <si>
    <t>Terlaksananya pelayanan diruang rawat jalan</t>
  </si>
  <si>
    <t>Pelayanan  rawat jalan berjalan sesuai standar pelayanan minimal</t>
  </si>
  <si>
    <t>Peningkatan Pelayanan ruang rawat inap</t>
  </si>
  <si>
    <t>Terlaksananya pelayanan diruang rawat inap</t>
  </si>
  <si>
    <t>Pelayanan  rawat inap berjalan sesuai standar pelayanan minimal</t>
  </si>
  <si>
    <t>Peningkatan Pelayanan ruang radiologi</t>
  </si>
  <si>
    <t>Terlaksananya pelayanan diruang radiologi</t>
  </si>
  <si>
    <t>Pelayanan radiologi berjalan sesuai standar pelayanan minimal</t>
  </si>
  <si>
    <t>Kebutuhan gizi pasien terpenuhi</t>
  </si>
  <si>
    <t>Peningkatan Pelayanan ruang loundry</t>
  </si>
  <si>
    <t>Terlaksananya pelayanan diruang loundry</t>
  </si>
  <si>
    <t>Pelayanan loundry berjalan sesuai standar pelayanan minimal</t>
  </si>
  <si>
    <t>Meningkatnya kualitas pelayanan dan pendukung pelayanan</t>
  </si>
  <si>
    <t>Terlaksananya pelayanan sesuai standar pelayanan minimal</t>
  </si>
  <si>
    <t xml:space="preserve">Spanduk </t>
  </si>
  <si>
    <t>Tersedianya komplek perumahan dinas dokter spesialis (Jln. Pendidikan desa gampong baru banda aceh)</t>
  </si>
  <si>
    <t>Penanggung jawab kegiatan (pengguna anggaran/barang) (1 org x 12 bln)</t>
  </si>
  <si>
    <t>Pejabat penatausahaan keuangan (1 org x 12 bln)</t>
  </si>
  <si>
    <t>STRUKTURAL</t>
  </si>
  <si>
    <t>NON STRUKTURAL</t>
  </si>
  <si>
    <t>Belanja Perjalanan Dinas</t>
  </si>
  <si>
    <t xml:space="preserve">Tunggakan Penyediaan Darah </t>
  </si>
  <si>
    <t>Biaya pemeriksaan penunjang diagnostig</t>
  </si>
  <si>
    <t>Tunggakan Pemeriksaan Penunjang Diagnostig</t>
  </si>
  <si>
    <t>Biaya akomodasi petugas BPFK (Gol. III)</t>
  </si>
  <si>
    <t>MENKO</t>
  </si>
  <si>
    <t>KALI</t>
  </si>
  <si>
    <t>Belanja Bahan Bakar Minyak/Gas dan Pelumas</t>
  </si>
  <si>
    <t>Kendaraan roda dua (BL 2191 AE, BL 2984 AF, BL 2075 AM)</t>
  </si>
  <si>
    <t>Biaya pengantian STNK dan Pajak Kendaraan roda 2 (BL 2191 AE, BL 2984 AF, BL 2075 AM)</t>
  </si>
  <si>
    <t>Belanja Makanan Ekstra Bagi Petugas Kemotherapi/Resiko Tinggi (3 org X 365 Hari)</t>
  </si>
  <si>
    <t>Bahan Bakar Minyak premium kenderaan roda 2 (BL 2191 AE, BL 2984 AF, BL 2075 AM) (3 Unit x 20 Ltr x 12 bln)</t>
  </si>
  <si>
    <t>Bola merkuri 160 watt</t>
  </si>
  <si>
    <t>Fuse Gardu</t>
  </si>
  <si>
    <t>Duk kabel</t>
  </si>
  <si>
    <t>Pemeliharaan Lift</t>
  </si>
  <si>
    <t>Pemeliharaan Mesin</t>
  </si>
  <si>
    <t>Plester</t>
  </si>
  <si>
    <t>Meningkatnya pengetahuan, keterampilan dan sikap petugas</t>
  </si>
  <si>
    <t>Transpor lokal (1 org X 1hr)</t>
  </si>
  <si>
    <t>Uang makan  (1 org X 1 hr)</t>
  </si>
  <si>
    <t>Uang saku (1 org X 1 hr)</t>
  </si>
  <si>
    <t>Penginapan (1 org X 1 hr)</t>
  </si>
  <si>
    <t xml:space="preserve">Eselon IV </t>
  </si>
  <si>
    <t>Golongan IV / eselon III</t>
  </si>
  <si>
    <t>Uang Representatif (1 org X 1 hr)</t>
  </si>
  <si>
    <t>Pelatihan Intensive Anak (1 org)</t>
  </si>
  <si>
    <t>Akomodasi</t>
  </si>
  <si>
    <t>Transpor lokal (1 org X 98 hr)</t>
  </si>
  <si>
    <t>Uang makan  (1 org X 98 hr)</t>
  </si>
  <si>
    <t>Uang saku (1 org X 98 hr)</t>
  </si>
  <si>
    <t>Penginapan (1 org X 98 hr)</t>
  </si>
  <si>
    <t>Lampu hologen operasi 22,8V 80 W</t>
  </si>
  <si>
    <t>gulung</t>
  </si>
  <si>
    <t>Bendahara pengeluaran jasa layanan (1 org X 12 bln)</t>
  </si>
  <si>
    <t>Rincian Dokumen Pelaksanaan Anggaran Pendapatan Satuan Kerja Perangkat Aceh</t>
  </si>
  <si>
    <t>PENDAPATAN</t>
  </si>
  <si>
    <t>Pendapatan Asli Daerah</t>
  </si>
  <si>
    <t>Lain-lain PAD Yang Sah</t>
  </si>
  <si>
    <t>Pendapatan BLUD</t>
  </si>
  <si>
    <t>Pendapatan Jasa layanan Umum BLUD</t>
  </si>
  <si>
    <t>Tahun</t>
  </si>
  <si>
    <t>Belanja Paket/Pengiriman</t>
  </si>
  <si>
    <t>Belanja modal Pengadaan Alat Rumah Tangga</t>
  </si>
  <si>
    <t>Pengisian tabung pemadam kebakaran</t>
  </si>
  <si>
    <t xml:space="preserve">Belanja Modal Pengadaan Perkakas Khusus (Spesial tool) </t>
  </si>
  <si>
    <t>Belanja Modal Pengadaan Alat Rumah Tangga</t>
  </si>
  <si>
    <t>Belanja Pajak Kendaraan Bermotor</t>
  </si>
  <si>
    <t>Belanja Modal Pengadaan Meja kerja Pejabat</t>
  </si>
  <si>
    <t>Belanja Modal Pengadaan Kursi kerja Pejabat</t>
  </si>
  <si>
    <t>Belanja Penjilidan</t>
  </si>
  <si>
    <t>Belanja Modal Pengadaan Pompa</t>
  </si>
  <si>
    <t>Belanja Modal Pengadaan Alat Kedokteran Umum</t>
  </si>
  <si>
    <t>Belanja Modal Pengadaan Alat Radiologi</t>
  </si>
  <si>
    <t>Belanja makanan dan minuman Pasien</t>
  </si>
  <si>
    <t>Belanja Kursus, pelatihan, sosialisasi dan Bimbingan teknis PNS</t>
  </si>
  <si>
    <t>Belanja Kursus-kursus singkat/pelatihan</t>
  </si>
  <si>
    <t>Belanja Modal Pengadaan Unit-unit Laboratorium</t>
  </si>
  <si>
    <t>Belanja Modal Pengadaan Alat Kesehatan Anak</t>
  </si>
  <si>
    <t>Lampiran</t>
  </si>
  <si>
    <t>:</t>
  </si>
  <si>
    <t>Urusan</t>
  </si>
  <si>
    <t>Wajib</t>
  </si>
  <si>
    <t xml:space="preserve">SKPA </t>
  </si>
  <si>
    <t>Rumah Sakit Ibu dan Anak</t>
  </si>
  <si>
    <t>NO</t>
  </si>
  <si>
    <t>PROGRAM/KEGIATAN</t>
  </si>
  <si>
    <t>SASARAN</t>
  </si>
  <si>
    <t xml:space="preserve">TARGET </t>
  </si>
  <si>
    <t>PLAFON ANGGRAN SEMENTARA (RP)</t>
  </si>
  <si>
    <t>Tersedianya Gaji aparatur</t>
  </si>
  <si>
    <t>1 tahun</t>
  </si>
  <si>
    <t>PROGRAM/KEGIATAN PADA SETIAP SKPA</t>
  </si>
  <si>
    <t>Tersedianya perangko, materai, dan benda-benda pos lainnya</t>
  </si>
  <si>
    <t>1 paket</t>
  </si>
  <si>
    <t>Penyediaan Jasa Komunikasi, Air &amp;  Listrik</t>
  </si>
  <si>
    <t xml:space="preserve">Terbayarnya rekening telpon, air dan listrik </t>
  </si>
  <si>
    <t xml:space="preserve">Terlaksananya kegiatan pembersihan kantor </t>
  </si>
  <si>
    <t>Tersedianya  bahan habis pakai dan alat tulis kantor</t>
  </si>
  <si>
    <t>1 Paket</t>
  </si>
  <si>
    <t>Penyediaan Komponen Instalasi Listrik /Penerangan Bangunan Kantor</t>
  </si>
  <si>
    <t xml:space="preserve">Tersedianya komponen instalasi listrik dan penerangan bangunan </t>
  </si>
  <si>
    <t xml:space="preserve">Penyediaan peralatan &amp; perlengkapan kantor </t>
  </si>
  <si>
    <t xml:space="preserve">Tersedianya peralatan dan perlengkapan kantor </t>
  </si>
  <si>
    <t>Penyediaan peralatan rumah tangga</t>
  </si>
  <si>
    <t>Tersedianya peralatan rumah tangga</t>
  </si>
  <si>
    <t>Penyediaan Bahan Bacaan / Peraturan perundang-undangan</t>
  </si>
  <si>
    <t xml:space="preserve">Tersedianya makan dan minum rapat dan tamu </t>
  </si>
  <si>
    <t>Rapat² Koordinasi/ Konsultasi ke Luar Daerah</t>
  </si>
  <si>
    <t xml:space="preserve">Tersedia Biaya perjalanan dinas untuk kegiatan Rapat koordinasi dan konsultasi ke luar daerah </t>
  </si>
  <si>
    <t>Peningkatan Pelayanan Administrasi Perkantoran</t>
  </si>
  <si>
    <t>Program Peningkatan Sarana/Prasarana Aparatur</t>
  </si>
  <si>
    <t>Pemeliharaan Rutin/Berkala Kenderaan Dinas Operasional</t>
  </si>
  <si>
    <t>Tersedianya pakaian kerja dan pakaian dinas</t>
  </si>
  <si>
    <t>Meningkatkan wawasan ilmu keagamaan dalam melayani masyarakat</t>
  </si>
  <si>
    <t>1 kegiatan</t>
  </si>
  <si>
    <t>Program Pengadaan Peningkatan Sarana dan Prasarana Rumah Sakit Umum/RS Jiwa/RS Paru/RS Mata</t>
  </si>
  <si>
    <t>Tersedianya bangunan rumah sakit yang memadai</t>
  </si>
  <si>
    <t>Pengadaan Mebeleur Rumah Sakit</t>
  </si>
  <si>
    <t>Tersedianya mebeleur rumah sakit</t>
  </si>
  <si>
    <t>Pengadaan Pencetakan administrasi dan Surat Menyurat Rumah Sakit</t>
  </si>
  <si>
    <t>Tersedianya cetakan dan surat rumah sakit</t>
  </si>
  <si>
    <t>Program Pemeliharaan Sarana dan Prasarana Rumah Sakit/ Rumah Sakit Jiwa/Rumah Sakit Paru-paru/Rumah sakit Mata</t>
  </si>
  <si>
    <t>Pemeliharaan rutin/berkala Rumah Sakit</t>
  </si>
  <si>
    <t>Terpeliharanya fasilitas rumah sakit</t>
  </si>
  <si>
    <t>Pemeliharaan rutin/berkala Instalasi Pengolahan Limbah Rumah Sakit</t>
  </si>
  <si>
    <t>Pemeliharaan rutin/berkala Alat-alat Kesehatan Rumah Sakit</t>
  </si>
  <si>
    <t>Tersedianya pelayanan perawatan intensif anak</t>
  </si>
  <si>
    <t>Peningkatan Pelayanan Loundry</t>
  </si>
  <si>
    <t>Program Peningkatan Sumber Daya Kesehatan</t>
  </si>
  <si>
    <t>Peningkatan Diklat Medis/Non Medis</t>
  </si>
  <si>
    <t>Program Pelayanan Kesehatan Masyarakat Pada BLUD</t>
  </si>
  <si>
    <t>Terlaksananya pelayanan kesehatan sesuai dengan standar pelayanan minimal</t>
  </si>
  <si>
    <t>PEMIMPIN BADAN LAYANAN UMUM DAERAH</t>
  </si>
  <si>
    <t xml:space="preserve">RUMAH SAKIT IBU DAN ANAK </t>
  </si>
  <si>
    <t>Blangko pengamprahan barang cetak 1/2 HVS</t>
  </si>
  <si>
    <t xml:space="preserve">Buku kunjungan tamu </t>
  </si>
  <si>
    <t>Kardek PICU</t>
  </si>
  <si>
    <t>Kartu Berobat  Besar Putih  BC  TB  Folio</t>
  </si>
  <si>
    <t xml:space="preserve">Kartu Berobat Kecil Putih   BC  TB </t>
  </si>
  <si>
    <t>Kartu service barang  BC + sarung Plastik   21,15 m</t>
  </si>
  <si>
    <t>Lembaran Formulir Klaim Rawat jalan</t>
  </si>
  <si>
    <t>Lembaran Pemerisaan fisik kebidanan HVS 70 gra</t>
  </si>
  <si>
    <t>Lembaran perhitungan kassa alat   HVS 70 gram</t>
  </si>
  <si>
    <t>Lembaran Rekomedasi cuti melahirkan HVS 70 gram</t>
  </si>
  <si>
    <t>Lembaran Ringkasan medik HVS 70 gram</t>
  </si>
  <si>
    <t>Lembaran yang Meminta Darah</t>
  </si>
  <si>
    <t>Honor dokter spesialis Kulit (1 org X 12 bln)</t>
  </si>
  <si>
    <t>Jenjang pendidikan D3 (13 orang X 12 bln)</t>
  </si>
  <si>
    <t>Jenjang pendidikan SMP (1 orang X 12 bln)</t>
  </si>
  <si>
    <t>BLUD</t>
  </si>
  <si>
    <t>OTSUS</t>
  </si>
  <si>
    <t>DAK</t>
  </si>
  <si>
    <t>: Jasa Layanan,</t>
  </si>
  <si>
    <t>RENCANA BISNIS ANGGARAN</t>
  </si>
  <si>
    <t>BADAN LAYANAN UMUM DAERAH RUMAH SAKIT IBU DAN ANAK</t>
  </si>
  <si>
    <t>RBA-BLUD RSIA</t>
  </si>
  <si>
    <t>19</t>
  </si>
  <si>
    <t>Biaya Perencanaan</t>
  </si>
  <si>
    <t>Biaya Pengawasan</t>
  </si>
  <si>
    <t>Belanja Pemeliharaan</t>
  </si>
  <si>
    <t>Belanja Pemeliharaan Gedung dan Bangunan</t>
  </si>
  <si>
    <t>Belanja Modal Pengadaan Bangunan Gedung Tempat Kerja</t>
  </si>
  <si>
    <t>Belanja Modal Pengadaan Bangunan Kesehatan</t>
  </si>
  <si>
    <t>18</t>
  </si>
  <si>
    <t>Bola 5 watt (SL)</t>
  </si>
  <si>
    <t>Belanja makanan rapat</t>
  </si>
  <si>
    <t>Pembantu bendahara pengeluaran jasa layanan (2 org X 12 bln)</t>
  </si>
  <si>
    <t>Tim Penyusun Speck &amp; HPS (3 0rg X 6 bln)</t>
  </si>
  <si>
    <t>Pembantu PPTK (1 org X 12 bln)</t>
  </si>
  <si>
    <t>Belanja Administrasi/Pendaftaran</t>
  </si>
  <si>
    <t>Tabung</t>
  </si>
  <si>
    <t>Kartu Stiker Bank Darah  Uk.  10 x 10 cm</t>
  </si>
  <si>
    <t>Lembaran surat keterangan dokter 1 HVS A4</t>
  </si>
  <si>
    <t>Pemeliharaan AC/kompresor</t>
  </si>
  <si>
    <t>Genset</t>
  </si>
  <si>
    <t>Mesin Stp</t>
  </si>
  <si>
    <t>Mesin Sentral ut/Vacum</t>
  </si>
  <si>
    <t>Mesin sentral o2/n2o</t>
  </si>
  <si>
    <t>Mesin hidran</t>
  </si>
  <si>
    <t>TV</t>
  </si>
  <si>
    <t>Pengisian freon 2 Pk</t>
  </si>
  <si>
    <t>Capasitor AC</t>
  </si>
  <si>
    <t>Tisue Dispenser isi ulang</t>
  </si>
  <si>
    <t>Kartu pasien</t>
  </si>
  <si>
    <t>Gelang pasien</t>
  </si>
  <si>
    <t>Lebel obat</t>
  </si>
  <si>
    <t>Pengadaan Perlengkapan Rumah Jabatan/Dinas</t>
  </si>
  <si>
    <t>: 1.02.1.02.04.02.06. - Pengadaan Perlengkapan Rumah Jabatan/Dinas</t>
  </si>
  <si>
    <t>Pengadaan Pencetakan Administrasi dan Surat Menyurat Rumah Sakit</t>
  </si>
  <si>
    <t>Belanja Makanan dan Minuman Pasien</t>
  </si>
  <si>
    <t>air minum isi ulang</t>
  </si>
  <si>
    <t>13</t>
  </si>
  <si>
    <t>Belanja Atribut Kelengkapan Pakaian Kerja</t>
  </si>
  <si>
    <t>Jenjang pendidikan SLTA (1 orang X 12 bln)</t>
  </si>
  <si>
    <t>Jenjang pendidikan SLTA (3 orang X 12 bln)</t>
  </si>
  <si>
    <t>Belanja Dekorasi</t>
  </si>
  <si>
    <t>Jenjang pendidikan SLTA (2 orang X 12 bln)</t>
  </si>
  <si>
    <t>Jenjang pendidikan D3 (1 orang X 12 bln)</t>
  </si>
  <si>
    <t>Jenjang pendidikan S1 (2 orang X 12 bln)</t>
  </si>
  <si>
    <t>Jenjang pendidikan D3 (3 orang X 12 bln)</t>
  </si>
  <si>
    <t>Biaya Transportasi Tim Ambulan P3K</t>
  </si>
  <si>
    <t>Belanja Perjalanan Dinas Dalam Daerah</t>
  </si>
  <si>
    <t xml:space="preserve">Belanja Jasa Layanan </t>
  </si>
  <si>
    <t>Belanja Jasa layanan BLUD</t>
  </si>
  <si>
    <t>Belanja Makanan dan Minuman Pelatihan/Kegiatan</t>
  </si>
  <si>
    <t xml:space="preserve">Belanja Jasa Transaksi Keuangan </t>
  </si>
  <si>
    <t>Biaya administrasi bank</t>
  </si>
  <si>
    <t>PAA</t>
  </si>
  <si>
    <t>MIGAS</t>
  </si>
  <si>
    <t>RENCANA KERJA DAN ANGGARAN</t>
  </si>
  <si>
    <t>RKA-SKPA 2.1</t>
  </si>
  <si>
    <t>1.02 - Kesehatan</t>
  </si>
  <si>
    <t>1.02.04 - RUMAH SAKIT IBU DAN ANAK</t>
  </si>
  <si>
    <t>RINCIAN ANGGARAN BELANJA TIDAK LANGSUNG SATUAN KERJA PERANGKAT ACEH</t>
  </si>
  <si>
    <t>URAIAN</t>
  </si>
  <si>
    <t>Rician Perhitungan</t>
  </si>
  <si>
    <t>Jumlah (Rp.)</t>
  </si>
  <si>
    <t>Satuan</t>
  </si>
  <si>
    <t>6 = (3 x 5)</t>
  </si>
  <si>
    <t>BELANJA</t>
  </si>
  <si>
    <t>5.1</t>
  </si>
  <si>
    <t>5.1.1</t>
  </si>
  <si>
    <t>5.1.1.01</t>
  </si>
  <si>
    <t>Belanja Gaji dan Tunjangan</t>
  </si>
  <si>
    <t>5.1.1.01.01</t>
  </si>
  <si>
    <t xml:space="preserve">Golongan IV </t>
  </si>
  <si>
    <t xml:space="preserve">Golongan II </t>
  </si>
  <si>
    <t>Accres</t>
  </si>
  <si>
    <t>5.1.1.01.02</t>
  </si>
  <si>
    <t>Tj. Istri = 10% dari gaji pokok</t>
  </si>
  <si>
    <t>Istri/Suami</t>
  </si>
  <si>
    <t>Tj. Anak = 2% dari gaji pokok</t>
  </si>
  <si>
    <t>Anak</t>
  </si>
  <si>
    <t>Accres = 2.5% dari jumlah anggaran</t>
  </si>
  <si>
    <t>Acres</t>
  </si>
  <si>
    <t>5.1.1.01.03</t>
  </si>
  <si>
    <t>Tunjangan Jabatan Struktural</t>
  </si>
  <si>
    <t>Eselon II.b</t>
  </si>
  <si>
    <t>Eselon III.a</t>
  </si>
  <si>
    <t>Eselon III.b</t>
  </si>
  <si>
    <t>Eselon IV.a</t>
  </si>
  <si>
    <t>5.1.1.01.04</t>
  </si>
  <si>
    <t>Golongan IV</t>
  </si>
  <si>
    <t>Golongan III</t>
  </si>
  <si>
    <t>Uang Meugang</t>
  </si>
  <si>
    <t>Golongan II</t>
  </si>
  <si>
    <t>5.1.1.01.05</t>
  </si>
  <si>
    <t>5.1.1.01.06</t>
  </si>
  <si>
    <t>5.1.1.01.07</t>
  </si>
  <si>
    <t>Tunjangan PPh</t>
  </si>
  <si>
    <t>5.1.1.01.08</t>
  </si>
  <si>
    <t>5.1.1.02</t>
  </si>
  <si>
    <t>Belanja Tambahan Penghasilan PNS</t>
  </si>
  <si>
    <t>5.1.1.02.01</t>
  </si>
  <si>
    <t>Tambahan Penghasilan berdasarkan beban kerja</t>
  </si>
  <si>
    <t>Panitia penerima hasil pekerjaan</t>
  </si>
  <si>
    <t>Ketua (1 org x 6 bln)</t>
  </si>
  <si>
    <t>Sekretaris (1 org x 6 bln)</t>
  </si>
  <si>
    <t>Anggota (1 org x 6 bln)</t>
  </si>
  <si>
    <t>Bendahara Pengeluaran (1 org x 12 bln)</t>
  </si>
  <si>
    <t>Pembantu bendahara pembuat daftar gaji (1 org x 12 bln)</t>
  </si>
  <si>
    <t>Pembantu bendahara pembuat dokumen (1 org x 12 bln)</t>
  </si>
  <si>
    <t>Pembantu bendahara pengeluaran kasir (1 org x 12 bln)</t>
  </si>
  <si>
    <t>Bendahara penerimaan (1 org x 12 bln)</t>
  </si>
  <si>
    <t>Pembantu bendahara penerimaan pembukuan (1 org x 12 bl)</t>
  </si>
  <si>
    <t>Pembantu bendahara penerimaan pencatat pembukuan (1 org x 12 bl)</t>
  </si>
  <si>
    <t>5.1.1.02.05</t>
  </si>
  <si>
    <t>Tambahan Penghasilan berdasarkan prestasi kerja</t>
  </si>
  <si>
    <t>Pembina Utama (IV/e)</t>
  </si>
  <si>
    <t>Pembina Utama Madya (IV/d)</t>
  </si>
  <si>
    <t>Pembina Utama Muda (IV/c)</t>
  </si>
  <si>
    <t>Pembina Tingkat I (IV/b)</t>
  </si>
  <si>
    <t>Pembina (IV/a)</t>
  </si>
  <si>
    <t>Penata Tingkat I (III/d)</t>
  </si>
  <si>
    <t>Penata (III/c)</t>
  </si>
  <si>
    <t>Penata Muda Tk. I (III/b)</t>
  </si>
  <si>
    <t>Penata Muda (III/a)</t>
  </si>
  <si>
    <t>Golongan I dan II</t>
  </si>
  <si>
    <t>5.1.1.02.06</t>
  </si>
  <si>
    <t>Tambahan penghasilan berdasarkan pertimbangan objektif lainnya</t>
  </si>
  <si>
    <t>TUNJANGAN MEUGANG (3 kali/tahun)</t>
  </si>
  <si>
    <t>Tenaga Kontrak</t>
  </si>
  <si>
    <t>Tambahan Penghasilan Uang Makan Pegawai</t>
  </si>
  <si>
    <t>Catatan:</t>
  </si>
  <si>
    <t>21 org</t>
  </si>
  <si>
    <t>Gol. IV</t>
  </si>
  <si>
    <t>10 org</t>
  </si>
  <si>
    <t>88 org</t>
  </si>
  <si>
    <t>Gol. III</t>
  </si>
  <si>
    <t>90 org</t>
  </si>
  <si>
    <t>91 org</t>
  </si>
  <si>
    <t>Gol. II</t>
  </si>
  <si>
    <t>100 org</t>
  </si>
  <si>
    <t>1 org</t>
  </si>
  <si>
    <t>80 org</t>
  </si>
  <si>
    <t>Peningkatan Pelayanan Gawat Darurat</t>
  </si>
  <si>
    <t>Tersedianya bahan habis pakai dan dan alat kesehatan kamar operasi</t>
  </si>
  <si>
    <t>Tersedianya pelayanan gawat darurat</t>
  </si>
  <si>
    <t>Terlaksananya pelayanan gawat darurat</t>
  </si>
  <si>
    <t>Pemeliharaan rutin/berkala perlengkapan rumah sakit</t>
  </si>
  <si>
    <t>: 1.02.1.02.04.27.20. - Pemeliharaan rutin/berkala perlengkapan rumah sakit</t>
  </si>
  <si>
    <t>telpn realisasi s/d oktober</t>
  </si>
  <si>
    <t>air s/d oktober</t>
  </si>
  <si>
    <t>listrik s/d november</t>
  </si>
  <si>
    <t>internet s/d november</t>
  </si>
  <si>
    <t>Kontainer Plastik</t>
  </si>
  <si>
    <t>Botol semprot</t>
  </si>
  <si>
    <t>realisasi makan s/d oktober</t>
  </si>
  <si>
    <t>per bulan</t>
  </si>
  <si>
    <t>per hari</t>
  </si>
  <si>
    <t>per kali</t>
  </si>
  <si>
    <t>TT</t>
  </si>
  <si>
    <t>rawat ibu</t>
  </si>
  <si>
    <t>kelas I dan VIP</t>
  </si>
  <si>
    <t>Kelas III dewasa</t>
  </si>
  <si>
    <t>Kelas II anak</t>
  </si>
  <si>
    <t>Kelas III anak</t>
  </si>
  <si>
    <t>ICU</t>
  </si>
  <si>
    <t>PICU</t>
  </si>
  <si>
    <t>NICU</t>
  </si>
  <si>
    <t>Bola  18 watt (SL)</t>
  </si>
  <si>
    <t>Bola  TL 18 watt</t>
  </si>
  <si>
    <t>MCB  25 A</t>
  </si>
  <si>
    <t>MCB 20 A</t>
  </si>
  <si>
    <t>MCB 16 A</t>
  </si>
  <si>
    <t>Oli mesin Ut/vacum</t>
  </si>
  <si>
    <t>Gemuk (Oli Rantai)</t>
  </si>
  <si>
    <t>Bongkar pasang AC</t>
  </si>
  <si>
    <t>Interconek cabel adaptor EKG</t>
  </si>
  <si>
    <t xml:space="preserve">Interconek cabel adaptor Sp02 </t>
  </si>
  <si>
    <t>Perpanjang izin radio HT</t>
  </si>
  <si>
    <t xml:space="preserve">Jasa service 1 thn 4 Kali 3 Lift </t>
  </si>
  <si>
    <t>Batery 100 A Genset</t>
  </si>
  <si>
    <t>Batery 200 A Genset</t>
  </si>
  <si>
    <t>Elbow plastik ukuran 1 "</t>
  </si>
  <si>
    <t>Elbow plastik ukuran 3/4  "</t>
  </si>
  <si>
    <t xml:space="preserve">Sok timbul </t>
  </si>
  <si>
    <t xml:space="preserve">Sok Drat dinding </t>
  </si>
  <si>
    <t>Sak</t>
  </si>
  <si>
    <t>Sambungan Pipa Plastik 3/4 "</t>
  </si>
  <si>
    <t>Sambungan Pipa Plastik 1/2 "</t>
  </si>
  <si>
    <t>Sambungan Pipa Plastik 1 "</t>
  </si>
  <si>
    <t>Sambungan Pipa Plastik 2 "</t>
  </si>
  <si>
    <t>Sambungan T 1/2 "</t>
  </si>
  <si>
    <t>Sambungan T 3/4 "</t>
  </si>
  <si>
    <t>Sambungan T 1 "</t>
  </si>
  <si>
    <t>Sambungan T 2 "</t>
  </si>
  <si>
    <t>Selang Shower WC</t>
  </si>
  <si>
    <t>Ball Valve PVC 1/2 "</t>
  </si>
  <si>
    <t>Ball Valve PVC 3/4 "</t>
  </si>
  <si>
    <t>Ball Valve PVC 1 "</t>
  </si>
  <si>
    <t>soda api ( berat 1/2 kg )</t>
  </si>
  <si>
    <t>Karung 15 kg</t>
  </si>
  <si>
    <t>Kaporit Bulat 250 grm</t>
  </si>
  <si>
    <t>Tutup buangan kamar mandi</t>
  </si>
  <si>
    <t>Bahan Bakar Minyak pertamax kenderaan roda 4 (BL 94 ) eselon II (1 Unit x 200 Ltr x 12 bln)</t>
  </si>
  <si>
    <t>Asuransi</t>
  </si>
  <si>
    <t>USD</t>
  </si>
  <si>
    <t>Paramont Strecher (PK2100 dan PK2100B)</t>
  </si>
  <si>
    <t>TESENA X-Ray Film Viewer Double Films</t>
  </si>
  <si>
    <t xml:space="preserve">Pengadaan Obat </t>
  </si>
  <si>
    <t>Pengadaan Bahan Habis Pakai</t>
  </si>
  <si>
    <t>Terlaksananya pelayanan kesehatan sesuai dengan kompetensi</t>
  </si>
  <si>
    <t>Distribusi</t>
  </si>
  <si>
    <t>Inflasi</t>
  </si>
  <si>
    <t>Total</t>
  </si>
  <si>
    <t>pasang</t>
  </si>
  <si>
    <t>Tersedianya bahan bacaan surat kabar</t>
  </si>
  <si>
    <t>Meningkatnya pelayanan administrasi perkantoran</t>
  </si>
  <si>
    <t>Tersedianya Perlengkapan rumah dinas</t>
  </si>
  <si>
    <t>Terpeliharanya pemeliharaan kendaraan ambulance dan kendaraan operasional</t>
  </si>
  <si>
    <t>Terkelola limbah rumah sakit dengan baik</t>
  </si>
  <si>
    <t>Terkalibrasinya perlengkapan rumah sakit</t>
  </si>
  <si>
    <t>terpeliharanya perlengkapan rumah sakit</t>
  </si>
  <si>
    <t>Meningkatnya pelayanan intensif dewasa</t>
  </si>
  <si>
    <t>Meningkatnya pelayanan rawat jalan</t>
  </si>
  <si>
    <t>Meningkatnya pelayanan rawat inap</t>
  </si>
  <si>
    <t>Meningkatnya pelayanan Radiologi</t>
  </si>
  <si>
    <t>Meningkatnya pelayanan gizi pada pasien</t>
  </si>
  <si>
    <t>Meningkatnya pelayanan loundry</t>
  </si>
  <si>
    <t>Pagu Permintaan</t>
  </si>
  <si>
    <t>selisih</t>
  </si>
  <si>
    <t>Belanja Modal Pengadaan Alat Angkut Darat Bermotor</t>
  </si>
  <si>
    <t>17</t>
  </si>
  <si>
    <t>Belanja Modal Pengadaan Kendaraan Dinas Bermotor Perorangan</t>
  </si>
  <si>
    <t>Minyak genset</t>
  </si>
  <si>
    <t xml:space="preserve">Minyak Incenerator </t>
  </si>
  <si>
    <t>Belanja Bahan Publikasi</t>
  </si>
  <si>
    <t>Belanja modal pengadaan alat kedokteran Gawat Darurat</t>
  </si>
  <si>
    <t>Lembaran Penolakan Tindakan Medis  HVS Folio</t>
  </si>
  <si>
    <t>Lembaran surat Keterangan Rawatan  HVS Folio</t>
  </si>
  <si>
    <t>Lembaran surat Keterangan Sakit   HVS folio</t>
  </si>
  <si>
    <t>Lembaran Data Pasien  HVS  Folio</t>
  </si>
  <si>
    <t>Lembaran Absensi Perawat jaga HVS Folio</t>
  </si>
  <si>
    <t>Lembaran Catatan Anestesi A3  TB</t>
  </si>
  <si>
    <t>Lembaran Pengantar Foto Torak</t>
  </si>
  <si>
    <t>Jenjang pendidikan S1 (6 orang X 12 bln)</t>
  </si>
  <si>
    <t>PNS Golongan IV</t>
  </si>
  <si>
    <t>PNS Golongan I s/d III</t>
  </si>
  <si>
    <t>Kudapan (snack dan minum)</t>
  </si>
  <si>
    <t>Supir Kepala SKPA (1 Orang X 12 Bln)</t>
  </si>
  <si>
    <t xml:space="preserve">Nasi kotak </t>
  </si>
  <si>
    <t>Staf Penghubung ULP dari SKPA</t>
  </si>
  <si>
    <t>Pemeliharaan/perbaikan alat kesehatan</t>
  </si>
  <si>
    <t>IGD lantai</t>
  </si>
  <si>
    <t>dinding igd</t>
  </si>
  <si>
    <t>Belanja Modal Pengadaan Alat Angkutan Darat Bermotor</t>
  </si>
  <si>
    <t>Tenaga Kontrak Aplikasi SIPKD Bidang program (2 org X 12 bln)</t>
  </si>
  <si>
    <t>Tenaga Kontrak Aplikasi SIPKD Bidang keuangan (2 org X 12 bln)</t>
  </si>
  <si>
    <t>5.1.1.01.25</t>
  </si>
  <si>
    <t>Tunjangan Iuran JKK PNS</t>
  </si>
  <si>
    <t>5.1.1.01.26</t>
  </si>
  <si>
    <t>Tunjangan Iuran JKM PNS</t>
  </si>
  <si>
    <t>5.1.1.01.31</t>
  </si>
  <si>
    <t>Tunjangan Iuran BPJS Kesehatan PNS</t>
  </si>
  <si>
    <t>Tunjangan Iuran BPJS Kes PNS</t>
  </si>
  <si>
    <t>JUMLAH BELANJA TIDAK LANGSUNG</t>
  </si>
  <si>
    <t>No.</t>
  </si>
  <si>
    <t>KETERANGAN</t>
  </si>
  <si>
    <t xml:space="preserve">Gaji </t>
  </si>
  <si>
    <t>Belanja Makan</t>
  </si>
  <si>
    <t>Tunjangan Prestasi Kerja (TPK)</t>
  </si>
  <si>
    <t>Jlh Pegawai</t>
  </si>
  <si>
    <t>Tunjangan Keluarga</t>
  </si>
  <si>
    <t xml:space="preserve"> (Disebutkan Jumlah PNS/CPNS/Non PNS)</t>
  </si>
  <si>
    <t>A</t>
  </si>
  <si>
    <t>B</t>
  </si>
  <si>
    <t>BELANJA RUTIN</t>
  </si>
  <si>
    <t>PNS</t>
  </si>
  <si>
    <t xml:space="preserve">Tenaga Kontrak Dokter Spesialis Anastesi </t>
  </si>
  <si>
    <t>Tenaga Kontrak Dokter Umum</t>
  </si>
  <si>
    <t>Tenaga Kontrak Dokter Spesialis Anak, Pentakit Dalam, Mata, Kulit dan Kelamin, THT, Tumbuh Kembang Anak</t>
  </si>
  <si>
    <t>Tenaga Kontrak Dokter Umum, Apoteker, Perawat, dan Bidan</t>
  </si>
  <si>
    <t>Honor Jaga Malam Dokter Spesialis/Umum, Perawat, Bidan dan Penunjang lainnya</t>
  </si>
  <si>
    <t>Tenaga Kontrak Dokter Spesialis Radiologi</t>
  </si>
  <si>
    <t>BHP, Obat, Oksigen, Penyediaan Darah, dan Makan Pasien</t>
  </si>
  <si>
    <t>254 Orang</t>
  </si>
  <si>
    <t>Kendaraan Ambulance 4 unit, Mobil Dinas Direktur 1 unit, Roda dua 3 unit</t>
  </si>
  <si>
    <t>Bimbingan Keagamaan dan Pelayanan Islami PNS dan Kontrak</t>
  </si>
  <si>
    <t xml:space="preserve">Cetakan Medikal Rekord dan Penggandaan </t>
  </si>
  <si>
    <t>Pemeliharaan Bangunan Kantor/Rumah Sakit</t>
  </si>
  <si>
    <t>Penyedian Bahan Keperluan Pasien</t>
  </si>
  <si>
    <t>Penyedian Bahan Keperluan Dapur</t>
  </si>
  <si>
    <t>Sertifikasi Petugas Sesuai SPM RS, Peningkatan Kemampuan dan Keterampilan Serta Sikap Petugas Pelayanan</t>
  </si>
  <si>
    <t>KEBUTUHAN BELANJA PEGAWAI DAN DANA RUTIN</t>
  </si>
  <si>
    <t>BLUD Rumah Sakit Ibu dan Anak</t>
  </si>
  <si>
    <t>1 Orang</t>
  </si>
  <si>
    <t>6 Orang</t>
  </si>
  <si>
    <t>12 Orang</t>
  </si>
  <si>
    <t>8 Orang</t>
  </si>
  <si>
    <t>5 Orang</t>
  </si>
  <si>
    <t>45 Orang</t>
  </si>
  <si>
    <t>Penyediaan Materai dan Jasa Pengiriman Surat</t>
  </si>
  <si>
    <t>Pembayaran Iuran Listrik, air, Telephon dan Internet</t>
  </si>
  <si>
    <t>Jasa Cleaning Service Rumah Sakit</t>
  </si>
  <si>
    <t>Penyedian Bahan Komponen Listrik</t>
  </si>
  <si>
    <t>Penyedian Minyak Genset, Insenerator dan Bahan Pemadam Kebakaran</t>
  </si>
  <si>
    <t>Penyediaan Koran Lokal dan Nasional</t>
  </si>
  <si>
    <t>Penyediaan Makan Rapat dan tamu</t>
  </si>
  <si>
    <t>Rapat koordinasi</t>
  </si>
  <si>
    <t>dr. AMRI KIFLAN, M.Kes</t>
  </si>
  <si>
    <t>Rapat Konsultasi</t>
  </si>
  <si>
    <t>Nip. 19631019 199509 1 001</t>
  </si>
  <si>
    <t>Tenaga Apoteker (1 orang X 12 bln)</t>
  </si>
  <si>
    <t>OJ</t>
  </si>
  <si>
    <t>Honor Perawat Pengawas jaga malam</t>
  </si>
  <si>
    <t>Honor Perawat Pengawas jaga sore</t>
  </si>
  <si>
    <t>Izin Incenerator</t>
  </si>
  <si>
    <t>Selang 1/2 merah</t>
  </si>
  <si>
    <t>Senter besar</t>
  </si>
  <si>
    <t>Pipa 1/2</t>
  </si>
  <si>
    <t>Btg</t>
  </si>
  <si>
    <t>Pipa 3/4</t>
  </si>
  <si>
    <t>Keranjang surat folio</t>
  </si>
  <si>
    <t>Krok pinsil</t>
  </si>
  <si>
    <t>Lakban hitam besar</t>
  </si>
  <si>
    <t>Map combo 401</t>
  </si>
  <si>
    <t>Map combo 403</t>
  </si>
  <si>
    <t>Meteran kain</t>
  </si>
  <si>
    <t>Pinsil biasa</t>
  </si>
  <si>
    <t>Tisue Kotak isi Ulang</t>
  </si>
  <si>
    <t xml:space="preserve">Bh </t>
  </si>
  <si>
    <t xml:space="preserve">Tisue Glg / Nice Towel </t>
  </si>
  <si>
    <t xml:space="preserve">Glg </t>
  </si>
  <si>
    <t>Kartu Stoc  Besar  BC  TB   ( Uk" Folio )</t>
  </si>
  <si>
    <t>Lembaran  golongan Darah 1/2 HVS</t>
  </si>
  <si>
    <t xml:space="preserve">Lembaran Catatan Perkembangan Tindakan &amp; Evaluasi  </t>
  </si>
  <si>
    <t>Lemabaran  Rujukan Antar Ruangan / Poly 1 Folio</t>
  </si>
  <si>
    <t>Lembaran bukti pelayanan  HVS Folio</t>
  </si>
  <si>
    <t xml:space="preserve">Lembaran Order kerja pemeliharaan barang dan peralatan  </t>
  </si>
  <si>
    <t>Lembaran  Disposisi 1/2 HVS</t>
  </si>
  <si>
    <t>Belanja Pemeliharaan Peralatan dan Mesin</t>
  </si>
  <si>
    <t>Belanja Pemeliharaan Peralatan Gedung Kantor</t>
  </si>
  <si>
    <t>Selang dental 4 X 6</t>
  </si>
  <si>
    <t>Selang dental 8 X 5</t>
  </si>
  <si>
    <t>Selang dental 2,5 X 4</t>
  </si>
  <si>
    <t>Tong sampah injak besar (30 liter)</t>
  </si>
  <si>
    <t>Soap dispenser</t>
  </si>
  <si>
    <t>LX neutral plus</t>
  </si>
  <si>
    <t>LX konditioner</t>
  </si>
  <si>
    <t>LX xtreme</t>
  </si>
  <si>
    <t>Pack (25 ltr)</t>
  </si>
  <si>
    <t>setatar lampu TL</t>
  </si>
  <si>
    <t>WD 40</t>
  </si>
  <si>
    <t>Piting lampu SL batu kecil</t>
  </si>
  <si>
    <t>Battery 100 A Hydran</t>
  </si>
  <si>
    <t>Lembaran  Rujukan Antar  Rumah Sakit  HVS   1 Folio</t>
  </si>
  <si>
    <t>Lembaran Surat Keterangan Pemeriksaan  HVS Folio</t>
  </si>
  <si>
    <t>Lembaran  Laporan perawat pengawasan   HVS folio</t>
  </si>
  <si>
    <t xml:space="preserve">Lembaran surat keterangan lahir HVS warna biru,merah </t>
  </si>
  <si>
    <t>Lembaran Asesmen Awal Medis  IGD</t>
  </si>
  <si>
    <t xml:space="preserve">Lembaran Penanganan dan Penailain  Ulang </t>
  </si>
  <si>
    <t xml:space="preserve">Foto Copy    </t>
  </si>
  <si>
    <t xml:space="preserve">Foto Copy A3     </t>
  </si>
  <si>
    <t xml:space="preserve">Jilid sampul biasa   </t>
  </si>
  <si>
    <t xml:space="preserve">Jilid kulit cetak         </t>
  </si>
  <si>
    <t xml:space="preserve">Laminating   </t>
  </si>
  <si>
    <t>Tong sampah stainlleis (20 liter)</t>
  </si>
  <si>
    <t>Operator (6 org X 10 bln)</t>
  </si>
  <si>
    <t>Tenaga Supir (5 orang X 12 bln)</t>
  </si>
  <si>
    <t>Tenaga Satpam (12 orang X 12 bln)</t>
  </si>
  <si>
    <t>Lemari penyimpanan berkas rekam medik</t>
  </si>
  <si>
    <t>Pemasangan stiker kaca</t>
  </si>
  <si>
    <t>Uang harian (9 org X 4 hr)</t>
  </si>
  <si>
    <t>Penginapan (9 org X 3 mlm)</t>
  </si>
  <si>
    <t>Belanja Modal Pengadaan Kendaraan Bermotor Khusus</t>
  </si>
  <si>
    <t>Honor dokter spesialis THT (52 minggu X 2 kl)</t>
  </si>
  <si>
    <t>Honorarium Tenaga Tukang/Teknisi/Operator/Asisten</t>
  </si>
  <si>
    <t>Keterangan</t>
  </si>
  <si>
    <t>Tanggal Pembahasan</t>
  </si>
  <si>
    <t>Catatan Hasil Pembahasan</t>
  </si>
  <si>
    <t>Tim Anggaran Pemerintah Daerah</t>
  </si>
  <si>
    <t>NIP</t>
  </si>
  <si>
    <t>JABATAN</t>
  </si>
  <si>
    <t>010 231 470</t>
  </si>
  <si>
    <t>Kabid PP III Bappeda</t>
  </si>
  <si>
    <t>110 026 627</t>
  </si>
  <si>
    <t>Kepala Biro Pembangunan &amp; TR</t>
  </si>
  <si>
    <t>390 006 358</t>
  </si>
  <si>
    <t>Kepala Biro Keuangan</t>
  </si>
  <si>
    <t>390 007 162</t>
  </si>
  <si>
    <t>Kepala Biro Perlengkapan</t>
  </si>
  <si>
    <t xml:space="preserve">Pemeliharaan Gedung, Pintu &amp; Jendela  </t>
  </si>
  <si>
    <t>Kelompok sasaran Kegiatan : Pemimpin BLUD RSIA</t>
  </si>
  <si>
    <t xml:space="preserve">: Otsus </t>
  </si>
  <si>
    <t xml:space="preserve">Honor Jaga Malam Dokter Spesialis </t>
  </si>
  <si>
    <t xml:space="preserve">Honor Jaga jaga hari besar keagamaan/cuti bersama Dokter Spesialis </t>
  </si>
  <si>
    <t>Honor Jaga Malam Dokter Umum</t>
  </si>
  <si>
    <t>Biaya pemeriksaan mutu limbah cair</t>
  </si>
  <si>
    <t>Izin limbah cair</t>
  </si>
  <si>
    <t>20</t>
  </si>
  <si>
    <t>Biaya pendaftaran pemantapan mutu eksternal (PME) laboratorium patologi klinik</t>
  </si>
  <si>
    <t>Biaya jasa pemeriksaan TLD (7 org X 4 kl)</t>
  </si>
  <si>
    <t>Baju tindakan perawat dan dokter</t>
  </si>
  <si>
    <t>Belanja makanan dan minuman pelatihan/kegiatan</t>
  </si>
  <si>
    <t xml:space="preserve">Makan peserta </t>
  </si>
  <si>
    <t>bungkus</t>
  </si>
  <si>
    <t xml:space="preserve">Honor Dokter Umum jaga hari besar keagamaan/cuti bersama </t>
  </si>
  <si>
    <t xml:space="preserve">Honor Jaga Malam Dokter Umum </t>
  </si>
  <si>
    <t xml:space="preserve">Honor Jaga Malam Tenaga Perawat/bidan </t>
  </si>
  <si>
    <t>Honor Jaga Malam Tenaga Perawat/bidan jaga hari besar keagamaan/cuti bersama</t>
  </si>
  <si>
    <t xml:space="preserve">Honor Jaga Malam Tenaga Penunjang </t>
  </si>
  <si>
    <t xml:space="preserve">Honor Perawat/Penunjang jaga hari besar keagamaan/cuti bersama </t>
  </si>
  <si>
    <t>HOPKINS Telescope 30°, ø 2.4 mm</t>
  </si>
  <si>
    <t>Cold Light Fountain XENON 100 SCB (DAK)</t>
  </si>
  <si>
    <t>Connecting Cable, 400 cm (DAK)</t>
  </si>
  <si>
    <t>KARL STORZ V-Gastroscope 9.3/2.8/1100 PAL (DAK)</t>
  </si>
  <si>
    <t>Standard Colonoscope 12.9/3.8/1600 PAL (DAK)</t>
  </si>
  <si>
    <t>Unimat 30, suction pump set (DAK)</t>
  </si>
  <si>
    <t>KARL STORZ IMAGE 1 X-LINK (DAK)</t>
  </si>
  <si>
    <t>Silver Scope - SPIES 1 (DAK)</t>
  </si>
  <si>
    <t>RoBi® Metal Outer Sheath length 36 cm (DAK)</t>
  </si>
  <si>
    <t>RoBi® Forceps Insert, CLERMONT-FERRAND model, with especially fine atraumatic serration, length 36 cm (DAK)</t>
  </si>
  <si>
    <t>CLICKLINE Plastic Handle with larger contact area at the finger ring (DAK)</t>
  </si>
  <si>
    <t>CLICKLINE Outer Sheath/Forceps Insert size 3 mm, length 20 cm (DAK)</t>
  </si>
  <si>
    <t>CLICKLINE Outer Sheath/Forceps Insert size length 20 cm (DAK)</t>
  </si>
  <si>
    <t>CLICKLINE Outer Sheath/Forceps Insert, Working Insert, insulated (DAK)</t>
  </si>
  <si>
    <t>CLICKLINE Outer Sheath/Scissors Insert (DAK)</t>
  </si>
  <si>
    <t>CLICKLINE Outer Sheath/Scissors Insert insulated, size 3 mm, length 20 cm (DAK)</t>
  </si>
  <si>
    <t>HOPKINS® Telescope 0°, 5 mm, 24 cm (DAK)</t>
  </si>
  <si>
    <t>KARL STORZ Trocar, size 3.5 mm, silicone leaflet valve (DAK)</t>
  </si>
  <si>
    <t>Trocar, size 6 mm (30160GYK) (DAK)</t>
  </si>
  <si>
    <t>Basic Set Laparoscopy (DAK)</t>
  </si>
  <si>
    <t>DUOMAT® Set (DAK)</t>
  </si>
  <si>
    <t>Bottle Cap (DAK)</t>
  </si>
  <si>
    <t>Bottle Cap, 1.5 and 5 l (DAK)</t>
  </si>
  <si>
    <t>Bottle Stand (DAK)</t>
  </si>
  <si>
    <t>Irrigation Liquid Bottle, 1l (DAK)</t>
  </si>
  <si>
    <t>Suction Bottle, 5 l, sterilizable (DAK)</t>
  </si>
  <si>
    <t>Bottle Stand, for bottle 5 l (DAK)</t>
  </si>
  <si>
    <t>Bottle Stand Holder (DAK)</t>
  </si>
  <si>
    <t>Filter for use in fluid suction (DAK)</t>
  </si>
  <si>
    <t>Silicone Tubing Set, suction (DAK)</t>
  </si>
  <si>
    <t>Doumat Suction Irrigation (DAK)</t>
  </si>
  <si>
    <t>Thermoflator SCB (DAK)</t>
  </si>
  <si>
    <t>CO2 Bottle, empty, German connection (DAK)</t>
  </si>
  <si>
    <t>CO2 High Pressure Tube, 102 cm (DAK)</t>
  </si>
  <si>
    <t>Silicone Tubing Set, CO2 Endoflator (DAK)</t>
  </si>
  <si>
    <t>Insufflator Premium (DAK)</t>
  </si>
  <si>
    <t>Cold Light Fountain XENON 300 SCB (DAK)</t>
  </si>
  <si>
    <t>Fiber Optic Light Cable, 250 cm, Ø4.8 mm (DAK)</t>
  </si>
  <si>
    <t>26" FULL HD Monitor (DAK)</t>
  </si>
  <si>
    <t>IMAGE 1 H3-Z SPIES (DAK)</t>
  </si>
  <si>
    <t>IMAGE 1 H3-LINK (DAK)</t>
  </si>
  <si>
    <t xml:space="preserve"> IMAGE 1 CONNECT (DAK)</t>
  </si>
  <si>
    <t>Image I S Rigid Endoscope Type 2 (DAK)</t>
  </si>
  <si>
    <t>Laparascopy (DAK)</t>
  </si>
  <si>
    <t>PAGU KEBUTUHAN</t>
  </si>
  <si>
    <t>Biaya pemusnahan limbah padat</t>
  </si>
  <si>
    <t>Iuran PERSI</t>
  </si>
  <si>
    <t>Honorarium komite medik</t>
  </si>
  <si>
    <t>Honorarium komite keperawatan</t>
  </si>
  <si>
    <t>Belanja Modal Pengadaan Alat-Alat Bantu</t>
  </si>
  <si>
    <t>Belanja Modal Pengadaan Meja dan Kursi Kerja/Rapat Pejabat</t>
  </si>
  <si>
    <t>Belanja Modal Pengadaan Lemari dan Arsip Pejabat</t>
  </si>
  <si>
    <t>Meja Kerja Dokter</t>
  </si>
  <si>
    <t>Over sok 3/4 X 1/2</t>
  </si>
  <si>
    <t>Over sok 1 X 3/4</t>
  </si>
  <si>
    <t>Over sok 4 X 3</t>
  </si>
  <si>
    <t>Pipa 1"</t>
  </si>
  <si>
    <t>Pipa 2"</t>
  </si>
  <si>
    <t>Pipa 3"</t>
  </si>
  <si>
    <t>Pipa 4"</t>
  </si>
  <si>
    <t>Selang 1/2 trilium</t>
  </si>
  <si>
    <t>Stop Kran air Bawah washtafel cabang 3</t>
  </si>
  <si>
    <t>Sifon washtafel</t>
  </si>
  <si>
    <t>Lem dextone</t>
  </si>
  <si>
    <t>4 wd</t>
  </si>
  <si>
    <t>Wayer gulung</t>
  </si>
  <si>
    <t>Belanja Jasa Konsultansi Perencanaan</t>
  </si>
  <si>
    <t>Belanja Jasa Konsultansi</t>
  </si>
  <si>
    <t xml:space="preserve">Honorarium Penyusunan RBA BLUD </t>
  </si>
  <si>
    <t>Transportasi Medan Banda Aceh</t>
  </si>
  <si>
    <t>Jasa Konsultansi Pengawasan</t>
  </si>
  <si>
    <t>Audit akuntan publik</t>
  </si>
  <si>
    <t>Belanja Sewa Perlengkapan dan Peralatan Kantor</t>
  </si>
  <si>
    <t>Belanja Sewa Komputer dan Printer</t>
  </si>
  <si>
    <t>Sewa mesin fotocopy</t>
  </si>
  <si>
    <t>Bulan</t>
  </si>
  <si>
    <t>Pemeliharaan gedung</t>
  </si>
  <si>
    <t>Pejabat pengadaan barang dan jasa (1 org x 12 bln)</t>
  </si>
  <si>
    <t>Pembantu Pejabat pengadaan barang dan jasa (1 org x 12 bln)</t>
  </si>
  <si>
    <t>Map status rawat jalan</t>
  </si>
  <si>
    <t>Map status rawat inap</t>
  </si>
  <si>
    <t>Ketua (1 org X 4 kali)</t>
  </si>
  <si>
    <t>Sekretaris (1 org X 4 kali)</t>
  </si>
  <si>
    <t>Bendahara (1 org X 4 kali)</t>
  </si>
  <si>
    <t>Anggota (20 org X 4 kali)</t>
  </si>
  <si>
    <t>Anggota (24 org X 4 kali)</t>
  </si>
  <si>
    <t>Kuasa pengguna anggaran/barang (1 org x 12 bln)</t>
  </si>
  <si>
    <t>Kuasa bendahara umum BLUD</t>
  </si>
  <si>
    <t>Pembantu kuasa bendahara umum BLUD</t>
  </si>
  <si>
    <t>Jasa Narasumber/Tenaga Ahli/Peneliti</t>
  </si>
  <si>
    <t>Pengajar/Fasilitator</t>
  </si>
  <si>
    <t>Leaflet</t>
  </si>
  <si>
    <t>Buku</t>
  </si>
  <si>
    <t>Tong sampah stainlleis (30 liter)</t>
  </si>
  <si>
    <t>Tong sampah (240 liter)</t>
  </si>
  <si>
    <t>Honorarium TIK</t>
  </si>
  <si>
    <t>Koordinator (1 org X 6 bln)</t>
  </si>
  <si>
    <t>Honorarium E-Keurani</t>
  </si>
  <si>
    <t>User (3 org X 6 bln)</t>
  </si>
  <si>
    <t>Jenjang pendidikan Dokter umum (1 orang X 12 bln)</t>
  </si>
  <si>
    <t>Matras</t>
  </si>
  <si>
    <t>Jenjang pendidikan S1 (5 orang X 12 bln)</t>
  </si>
  <si>
    <t>Meningkatnya kualiatas pelayanan kesehatan pada masyarakat</t>
  </si>
  <si>
    <t>: 1.02.1.02.04.26.24. - Pengadaan Cetakan Administrasi dan Surat Menyurat Rumah Sakit</t>
  </si>
  <si>
    <t>: 1.02.1.02.04.33. - Program Pelayanan Medis</t>
  </si>
  <si>
    <t>: 1.02.1.02.04.34. - Program Pelayanan Penunjang Medis/Non Medis</t>
  </si>
  <si>
    <t xml:space="preserve">: 1.02.1.02.04.35. Program Peningkatan Sumber Daya Kesehatan </t>
  </si>
  <si>
    <t>: 1.02.1.02.O4.35.01. Peningkatan Diklat Medis/non medis</t>
  </si>
  <si>
    <t>: 1.02.1.02.04.34.07. - Peningkatan Pelayanan Laundry</t>
  </si>
  <si>
    <t>: 1.02.1.02.04.34.03. - Peningkatan Pelayanan Gizi</t>
  </si>
  <si>
    <t>: 1.02.1.02.04.34.01. - Peningkatan Pelayanan Radiologi</t>
  </si>
  <si>
    <t>: 1.02.1.02.04.33.13. - Peningkatan  Pelayanan Rawat Inap</t>
  </si>
  <si>
    <t>: 1.02.1.02.04.33.12. - Peningkatan  Pelayanan Rawat Jalan</t>
  </si>
  <si>
    <t>: 1.02.1.02.04.33.09. - Peningkatan Pelayanan Perawatan Intensif Dewasa</t>
  </si>
  <si>
    <t>: 1.02.1.02.04.33.08. - Peningkatan Pelayanan Intensif Anak</t>
  </si>
  <si>
    <t>: 1.02.1.02.04.33.03. - Peningkatan  Pelayanan Bedah Sentral (COT)</t>
  </si>
  <si>
    <t>: 1.02.1.02.04.33.06. - Peningkatan Pelayanan Gawat Darurat</t>
  </si>
  <si>
    <t>BHP</t>
  </si>
  <si>
    <t>Tenaga 2017</t>
  </si>
  <si>
    <t>Tenaga 2018</t>
  </si>
  <si>
    <t>TAHUN ANGGARAN 2018</t>
  </si>
  <si>
    <t>Nip. 19750505 200212 1 006</t>
  </si>
  <si>
    <t>ND nomor : 875.1/0546 tanggal 18 April 2017</t>
  </si>
  <si>
    <t>Banda Aceh, 26 April 2017</t>
  </si>
  <si>
    <t>dr. RAHMADYANI</t>
  </si>
  <si>
    <t>DIREKTUR RUMAH SAKIT IBU DAN ANAK</t>
  </si>
  <si>
    <t xml:space="preserve">Cetakan Medikal Record dan Penggandaan </t>
  </si>
  <si>
    <t>255 Orang</t>
  </si>
  <si>
    <t>2 Orang</t>
  </si>
  <si>
    <t>70 orang/malam</t>
  </si>
  <si>
    <t>120 Orang</t>
  </si>
  <si>
    <t>TAHUN</t>
  </si>
  <si>
    <t>SELISIH</t>
  </si>
  <si>
    <t>Jumlah PNS Gol IV. 26 Orang, PNS Gol I-III. 229 dan Kontrak 200</t>
  </si>
  <si>
    <t>Jumlah PNS Gol IV. 23 Orang, PNS Gol I-III. 231 dan Kontrak 165</t>
  </si>
  <si>
    <t>87 Orang</t>
  </si>
  <si>
    <t>68 orang/malam</t>
  </si>
  <si>
    <t>KETERANGAN 2017</t>
  </si>
  <si>
    <t>KETERANGAN 2018</t>
  </si>
  <si>
    <t>Baju Kerja Lapangan</t>
  </si>
  <si>
    <t>Kendaraan Ambulance 5 unit, Mobil Dinas Direktur 1 unit, Roda dua 3 unit</t>
  </si>
  <si>
    <t>Jumlah PNS 255 dan Kontrak 200</t>
  </si>
  <si>
    <t>Pemeliharaan dan kalibrasi Alat Kesehatan</t>
  </si>
  <si>
    <t xml:space="preserve"> TAHUN ANGGARAN 2018</t>
  </si>
  <si>
    <t>PEMERINTAH ACEH TAHUN ANGGARAN 2018</t>
  </si>
  <si>
    <t>: 01 - 01 - 2018 sampai dengan 31 - 12 - 2018</t>
  </si>
  <si>
    <t>Mesin sterika</t>
  </si>
  <si>
    <t>Mesin Pengering</t>
  </si>
  <si>
    <t xml:space="preserve">Mesin cuci </t>
  </si>
  <si>
    <t>Belanja Modal Pengadaan Bangunan Gedung Instalasi</t>
  </si>
  <si>
    <t>Kabel CCTV</t>
  </si>
  <si>
    <t>Meter</t>
  </si>
  <si>
    <t>Alat bengkel ips</t>
  </si>
  <si>
    <t>Emergency Stretcher (DAK)</t>
  </si>
  <si>
    <t>Electrical Safety Analyzer (DAK)</t>
  </si>
  <si>
    <t>Vital Signs Simulator (DAK)</t>
  </si>
  <si>
    <t>Pressure Meter (DAK)</t>
  </si>
  <si>
    <t>ECG Simulator (DAK)</t>
  </si>
  <si>
    <t>Pulse Oximeter Simulator (DAK)</t>
  </si>
  <si>
    <t>Proyeksi Pendapatan Jasa Layanan Tahun 2018</t>
  </si>
  <si>
    <t>Belanja Pakaian Dinas dan Atributnya</t>
  </si>
  <si>
    <t>Belanja Pakaian Dinas Harian (PDH)</t>
  </si>
  <si>
    <t>Buku pedoman pelayanan islami</t>
  </si>
  <si>
    <t>Tangga pengambil kartu rekam medik</t>
  </si>
  <si>
    <t>Kursi pendamping pasien</t>
  </si>
  <si>
    <t>Biaya Pemeriksaan Mutu Air Minum</t>
  </si>
  <si>
    <t>Rehab ruang apotik</t>
  </si>
  <si>
    <t>Rehab ruang pendaftaran</t>
  </si>
  <si>
    <t>Belanja Modal Pengadaan Alat Dapur</t>
  </si>
  <si>
    <t>Peralatan dapur rumah sakit Stainlees</t>
  </si>
  <si>
    <t>Belanja Modal Pengadaan Alat Rumah Tangga (HomeUse)</t>
  </si>
  <si>
    <t xml:space="preserve">Belanja Modal Pengadaan Alat Rumah Tangga </t>
  </si>
  <si>
    <t>Trolly linen bersih</t>
  </si>
  <si>
    <t>Trolly linen kotor</t>
  </si>
  <si>
    <t>Lemari penyimpanan stainlees</t>
  </si>
  <si>
    <t>Meja packing stainlees</t>
  </si>
  <si>
    <t>Belanja Modal Pengadaan Alat Ukur</t>
  </si>
  <si>
    <t>Belanja Modal Pengadaan Alat Calibrasi</t>
  </si>
  <si>
    <t>Banda Aceh, 04 Agustus 2017</t>
  </si>
  <si>
    <t>LCD Negatoscopes (OTSUS)</t>
  </si>
  <si>
    <t>Suction portabel NICU (OTSUS)</t>
  </si>
  <si>
    <t>Phototheraphy Lamp PICU (OTSUS)</t>
  </si>
  <si>
    <t>Nebulizer (OTSUS)</t>
  </si>
  <si>
    <t>Termometer (OTSUS)</t>
  </si>
  <si>
    <t>Kudapan (snack dan minum 16 org X 11 bln X 4 Kl))</t>
  </si>
  <si>
    <t>Nasi bungkus (17 org X 11 bln X 3 Kl)</t>
  </si>
  <si>
    <t>: 1.02.1.02.04.26.04. - Penambahan Ruang Rawat Inap Rumah sakit (VVIP, VIP, Kelas I, II dan III)</t>
  </si>
  <si>
    <t>: 1.02.1.02.04.26.18. - Pengadaan Alat-Alat kesehatan Rumah Sakit</t>
  </si>
  <si>
    <t>: 1.02.1.02.04.26.20. - Pengadaan Mobil Ambulance/Mobil Jenazah</t>
  </si>
  <si>
    <t>Selang Impb Monitor</t>
  </si>
  <si>
    <t>Penambahan Ruang Rawat Inap Rumah Sakit (VVIP, VIP, Kelas I, II dan III)</t>
  </si>
  <si>
    <t>Tersedianya Ruang Rawat Inap Kelas III</t>
  </si>
  <si>
    <t>20 TT</t>
  </si>
  <si>
    <t>Pengadaan Alat - Alat Kesehatan Rumah Sakit</t>
  </si>
  <si>
    <t>Tersedianya Alat Kesehatan</t>
  </si>
  <si>
    <t>Ambulance (OTSUS)</t>
  </si>
  <si>
    <t>Pengadaan Mobil Ambulance/Mobil Jenazah</t>
  </si>
  <si>
    <t>Tersedianya Ambulance Gawat Darurat</t>
  </si>
  <si>
    <t>1 Unit</t>
  </si>
  <si>
    <t>Belanja modal pengadaan konstruksi/pembelian rumah dinas</t>
  </si>
  <si>
    <t>Tunggakan Makanan dan Minuman Pasien 2017</t>
  </si>
  <si>
    <t>Penyediaan mobil jabatan</t>
  </si>
  <si>
    <t>Tersedianya gudang barang</t>
  </si>
  <si>
    <t>Tersedianya bangunan rumah sakit</t>
  </si>
  <si>
    <t>Bangunan kamar madi dan perencanaan gedung</t>
  </si>
  <si>
    <t xml:space="preserve">Meningkatnya pelayanan </t>
  </si>
  <si>
    <t>Tersedianya ruang rawat inap kelas III</t>
  </si>
  <si>
    <t>Tersedianya sarana dan prasarana ruang rawat inap</t>
  </si>
  <si>
    <t>Meningkatnya pelayanan kelas III</t>
  </si>
  <si>
    <t>Tersedianya alat kesehatan rumah sakit</t>
  </si>
  <si>
    <t>Tersedianya sarana dan prasarana</t>
  </si>
  <si>
    <t>Kelompok sasaran Kegiatan : Alat Kesehatan RSIA</t>
  </si>
  <si>
    <t>Meningkatnya pelayanan rumah sakit</t>
  </si>
  <si>
    <t>Penyediaan mobil ambulance</t>
  </si>
  <si>
    <t>Tersedianya mobil operasional gawat darurat</t>
  </si>
  <si>
    <t>Terpenuhinya pelayanan operasional gawat darurat</t>
  </si>
  <si>
    <t>PAGU GAJI</t>
  </si>
  <si>
    <t>PAGU TPK</t>
  </si>
  <si>
    <t>JML PAGU BTL</t>
  </si>
  <si>
    <t>TAHUN ANGARAN 2018</t>
  </si>
  <si>
    <t>Pejabat Penatausahaan Pengguna Barang (1 org x 12 bln)</t>
  </si>
  <si>
    <t>Pengurus Barang Pengguna/Pengelola (1 org x 12 bln)</t>
  </si>
  <si>
    <t>Pembantu Pengurus Barang Pengguna (2 org x 12 bln)</t>
  </si>
  <si>
    <t>Pembuat Daftar Gaji,</t>
  </si>
  <si>
    <t>TANDA TANGAN</t>
  </si>
  <si>
    <t>Usulan PPAS APBA Tahun Anggaran 2018</t>
  </si>
  <si>
    <t>Iuran Internet BPJS (01170320401867274)</t>
  </si>
  <si>
    <t>RITL</t>
  </si>
  <si>
    <t>RJTL</t>
  </si>
  <si>
    <t>Januari</t>
  </si>
  <si>
    <t>Februari</t>
  </si>
  <si>
    <t>Maret</t>
  </si>
  <si>
    <t>Obat Kemo</t>
  </si>
  <si>
    <t>Obat Kronis</t>
  </si>
  <si>
    <t>Lain - lain</t>
  </si>
  <si>
    <t>Pasien Umum</t>
  </si>
  <si>
    <t>Pendapatan Umum</t>
  </si>
  <si>
    <t>Pendapatan BPJS</t>
  </si>
  <si>
    <t xml:space="preserve">Uraian </t>
  </si>
  <si>
    <t>April</t>
  </si>
  <si>
    <t>Mei</t>
  </si>
  <si>
    <t>Realisasi Pendapatan Tahun 2017</t>
  </si>
  <si>
    <t>Rencana Anggaran 2018</t>
  </si>
  <si>
    <t>Prognosa piutang 2017</t>
  </si>
  <si>
    <t>Rencana piutang 2018</t>
  </si>
  <si>
    <t>Uang Muka 2017</t>
  </si>
  <si>
    <t>Rencana Uang Muka 2018</t>
  </si>
  <si>
    <t>Honor Tenaga Perawat/bidan jaga hari besar keagamaan/cuti bersama</t>
  </si>
  <si>
    <t>Tahunan</t>
  </si>
  <si>
    <t>Bulanan</t>
  </si>
  <si>
    <t>Internet BPJS</t>
  </si>
  <si>
    <t>Rawat Jalan</t>
  </si>
  <si>
    <t>Rawat Inap</t>
  </si>
  <si>
    <t>Pasien Rawat Jalan</t>
  </si>
  <si>
    <t>Pasien Rawat Inap</t>
  </si>
  <si>
    <t>Pasien Umum Rawat Jalan</t>
  </si>
  <si>
    <t>Pasien Umum Rawat Inap</t>
  </si>
  <si>
    <t>Total Rawat Jalan</t>
  </si>
  <si>
    <t>Total Rawat Inap</t>
  </si>
  <si>
    <t>Rawat Inap Per Pasien</t>
  </si>
  <si>
    <t>Rawat Jalan Per Pasien</t>
  </si>
  <si>
    <t>Tersedianya listrik, telepon, internet dan air</t>
  </si>
  <si>
    <t>Terselenggaranya pelayanan pasien dan administrasi rumah sakit</t>
  </si>
  <si>
    <t>Kelompok sasaran Kegiatan : Pasien, keluarga dan staf rumah sakit</t>
  </si>
  <si>
    <t>Rekening Telepon 3 Pesawat (0651-637796-638284-638331)</t>
  </si>
  <si>
    <t>Iuran Internet (111101101750)</t>
  </si>
  <si>
    <t>Pembangunan selasar menuju ruang insenerator</t>
  </si>
  <si>
    <t>Eks</t>
  </si>
  <si>
    <t>Nilai Kontrak 2017</t>
  </si>
  <si>
    <t>Pengadaan mobil dinas Wakil Direktur</t>
  </si>
  <si>
    <t>Tim Penilai Angka Kredit</t>
  </si>
  <si>
    <t>Ketua (1 org X 5 bln)</t>
  </si>
  <si>
    <t>Sekretaris (1 org X 5 bln)</t>
  </si>
  <si>
    <t>Anggota (3 org X 5 bln)</t>
  </si>
  <si>
    <t xml:space="preserve">Amplop viva panjang                                            </t>
  </si>
  <si>
    <t xml:space="preserve">Amplop viva pendek                           </t>
  </si>
  <si>
    <t xml:space="preserve">Anak penjilid no.10                         </t>
  </si>
  <si>
    <t xml:space="preserve">Anak penjilid no.3                       </t>
  </si>
  <si>
    <t xml:space="preserve">Bantal stempel                           </t>
  </si>
  <si>
    <t xml:space="preserve">Ballpoin ballener                                   </t>
  </si>
  <si>
    <t xml:space="preserve">Ballpoin signo biru                                   </t>
  </si>
  <si>
    <t xml:space="preserve">Ballpoin faster warna warni                 </t>
  </si>
  <si>
    <t xml:space="preserve">Ballpoin faster                                                </t>
  </si>
  <si>
    <t xml:space="preserve">Ballpoin my jel warna warni                    </t>
  </si>
  <si>
    <t xml:space="preserve">Ballpoin my jel hitam                                     </t>
  </si>
  <si>
    <t xml:space="preserve">Benang pengikat jangkaremi                       </t>
  </si>
  <si>
    <t xml:space="preserve">Besi sandaran buku                                    </t>
  </si>
  <si>
    <t xml:space="preserve">Set </t>
  </si>
  <si>
    <t xml:space="preserve">Binder klip no.107                                 </t>
  </si>
  <si>
    <t xml:space="preserve">Binder klip no.111                                           </t>
  </si>
  <si>
    <t xml:space="preserve">Binder klip no.155                                     </t>
  </si>
  <si>
    <t xml:space="preserve">Binder klip no.200                                           </t>
  </si>
  <si>
    <t xml:space="preserve">Binder klip no.260                                            </t>
  </si>
  <si>
    <t xml:space="preserve">Buku expedisi isi 100 lembar                        </t>
  </si>
  <si>
    <t xml:space="preserve">Buku grada folio isi 100 lembar                     </t>
  </si>
  <si>
    <t xml:space="preserve">Buku garda folio isi 200 lember              </t>
  </si>
  <si>
    <t xml:space="preserve">Calcualator lengkap 12 digit casio            </t>
  </si>
  <si>
    <t xml:space="preserve">Flasdics 32 Gb                                                   </t>
  </si>
  <si>
    <t xml:space="preserve">Gunting besar 888                                          </t>
  </si>
  <si>
    <t xml:space="preserve">Gunting 838                                                 </t>
  </si>
  <si>
    <t xml:space="preserve">Isolasi bening besar                                       </t>
  </si>
  <si>
    <t xml:space="preserve">Isolasi bening 1 inci                      </t>
  </si>
  <si>
    <t xml:space="preserve">Isolasi bening kecil                                    </t>
  </si>
  <si>
    <t xml:space="preserve">Isolasi doubeltip 1 inci </t>
  </si>
  <si>
    <t xml:space="preserve">Kertas HVS A4 70 gram </t>
  </si>
  <si>
    <t xml:space="preserve">Kertas HVS folio 70 gram </t>
  </si>
  <si>
    <t xml:space="preserve">Kwetansi kiwi mini </t>
  </si>
  <si>
    <t xml:space="preserve">Lakban hitam 1 inci </t>
  </si>
  <si>
    <t xml:space="preserve">Lakban kertas besar </t>
  </si>
  <si>
    <t xml:space="preserve">Lakban kotak besar </t>
  </si>
  <si>
    <t xml:space="preserve">Lem povinal cair </t>
  </si>
  <si>
    <t>Map lucky lubang</t>
  </si>
  <si>
    <t xml:space="preserve">Mata pisau carter L 150 </t>
  </si>
  <si>
    <t xml:space="preserve">Mesin nomorator </t>
  </si>
  <si>
    <t xml:space="preserve">NCR 14 1/2 X 11 </t>
  </si>
  <si>
    <t>NCR 9 1/2 X 11</t>
  </si>
  <si>
    <t xml:space="preserve">Papan ujian </t>
  </si>
  <si>
    <t xml:space="preserve">Pelubang kertas combo </t>
  </si>
  <si>
    <t xml:space="preserve">Pelubang kertas mini DP 480 </t>
  </si>
  <si>
    <t xml:space="preserve">Penghapus white board </t>
  </si>
  <si>
    <t xml:space="preserve">Pichaman kertas bungkus obat </t>
  </si>
  <si>
    <t>Pinsil merah biru</t>
  </si>
  <si>
    <t xml:space="preserve">Pita printer LX </t>
  </si>
  <si>
    <t>Piasu carter</t>
  </si>
  <si>
    <t xml:space="preserve">Pita FAX </t>
  </si>
  <si>
    <t xml:space="preserve">Pita printer LQ </t>
  </si>
  <si>
    <t xml:space="preserve">Plastik 27 </t>
  </si>
  <si>
    <t xml:space="preserve">Plastik asai 15 </t>
  </si>
  <si>
    <t xml:space="preserve">Plastik klip 10 X 6 </t>
  </si>
  <si>
    <t xml:space="preserve">Plastik klip 12 X 8 </t>
  </si>
  <si>
    <t xml:space="preserve">Plastik klip 15 X 10 </t>
  </si>
  <si>
    <t xml:space="preserve">Plastik klip 8 X 5 </t>
  </si>
  <si>
    <t xml:space="preserve">Post it </t>
  </si>
  <si>
    <t xml:space="preserve">Rol plastik 30 cm </t>
  </si>
  <si>
    <t xml:space="preserve">Spidol permanen N850 pental </t>
  </si>
  <si>
    <t xml:space="preserve">Spidol putih pain maker </t>
  </si>
  <si>
    <t>Spidol white board N850 pental</t>
  </si>
  <si>
    <t xml:space="preserve">Stabilo warna warni </t>
  </si>
  <si>
    <t xml:space="preserve">Staples penjilid no.10 </t>
  </si>
  <si>
    <t>Staples penjilid no.3</t>
  </si>
  <si>
    <t>Stempel otomatis</t>
  </si>
  <si>
    <t xml:space="preserve">Stip pinsil </t>
  </si>
  <si>
    <t xml:space="preserve">Stipo kenko </t>
  </si>
  <si>
    <t xml:space="preserve">Stop map folio </t>
  </si>
  <si>
    <t xml:space="preserve">Tinta stempel </t>
  </si>
  <si>
    <t xml:space="preserve">Tinta nomorator </t>
  </si>
  <si>
    <t>Tinta stempel atomatis</t>
  </si>
  <si>
    <t>Trigonal klip atom</t>
  </si>
  <si>
    <t>Krok meja</t>
  </si>
  <si>
    <t>Terdianya pembangunan rumah sakit</t>
  </si>
  <si>
    <t>Pelatihan Tenaga Struktural dan Fungsional</t>
  </si>
  <si>
    <t>Pemateri Pelatihan</t>
  </si>
  <si>
    <t>Uang harian (10 org X 4 hr)</t>
  </si>
  <si>
    <t>Penginapan (10 org X 3 mlm)</t>
  </si>
  <si>
    <t>Spanduk pelatihan</t>
  </si>
  <si>
    <t>Biaya kontribusi pelatihan dalam dan luar daerah</t>
  </si>
  <si>
    <t>Juni</t>
  </si>
  <si>
    <t>Ambulance</t>
  </si>
  <si>
    <t>No</t>
  </si>
  <si>
    <t>Juli</t>
  </si>
  <si>
    <t>Agustus</t>
  </si>
  <si>
    <t>September</t>
  </si>
  <si>
    <t>Oktober</t>
  </si>
  <si>
    <t>November</t>
  </si>
  <si>
    <t>Desember</t>
  </si>
  <si>
    <t>Rekap</t>
  </si>
  <si>
    <t>Belanja Modal Pengadaan Alat Kedokteran Mata</t>
  </si>
  <si>
    <t>Belanja Modal Pengadaan Alat Farmasi</t>
  </si>
  <si>
    <t>Belanja Modal Pengadaan Alat Kesehatan Kebidanan dan Penyakit Kandungan</t>
  </si>
  <si>
    <t>Belanja Modal Pengadaan Alat Kesehatan</t>
  </si>
  <si>
    <t>Belanja Modal Pengadaan Alat Kesehatan Rehabilitasi Medik</t>
  </si>
  <si>
    <t>Belanja Modal Pengadaan Alat Kedokteran Gigi</t>
  </si>
  <si>
    <t>Belanja Modal Pengadaan Alat Kedokteran THT</t>
  </si>
  <si>
    <t>Belanja Modal Pengadaan Alat Kedokteran Kulit dan Kelamin</t>
  </si>
  <si>
    <t>Belanja Modal Pengadaan Alat-alat Kesehatan</t>
  </si>
  <si>
    <t>Belanja Modal Pengadaan Alat Kesehatan Rehabilitasi Medis</t>
  </si>
  <si>
    <t>Belanja Modal Pengadaan Alat Kedokteran Gawat Darurat</t>
  </si>
  <si>
    <t>Belanja Modal Pengadaan Alat Laboratrium Kedokteran</t>
  </si>
  <si>
    <t>14</t>
  </si>
  <si>
    <t>Story board</t>
  </si>
  <si>
    <t>Pembangunan Emergency shower &amp; eyewash station LAB</t>
  </si>
  <si>
    <t>CR System</t>
  </si>
  <si>
    <t xml:space="preserve">Biaya kontribusi pelatihan PONEK </t>
  </si>
  <si>
    <t>Biaya kontribusi pelatihan/magang petugas IPSLRS</t>
  </si>
  <si>
    <t>Panitia pelatihan BTCLS</t>
  </si>
  <si>
    <t>Cetak leaflet</t>
  </si>
  <si>
    <t xml:space="preserve">Bingkai </t>
  </si>
  <si>
    <t>Cetak banner</t>
  </si>
  <si>
    <t xml:space="preserve">Tirai ruangan pasien </t>
  </si>
  <si>
    <t>Box tissue dispenser</t>
  </si>
  <si>
    <t>Box</t>
  </si>
  <si>
    <t>Sandal petugas</t>
  </si>
  <si>
    <t>BHD</t>
  </si>
  <si>
    <t>Petugas</t>
  </si>
  <si>
    <t>Udah ikot</t>
  </si>
  <si>
    <t>Panitia pelatihan BHD</t>
  </si>
  <si>
    <t>Biaya kontribusi pelatihan APN</t>
  </si>
  <si>
    <t>Mesin cuci kapasitas minimal 50 kg</t>
  </si>
  <si>
    <t>Mesin jahit singer</t>
  </si>
  <si>
    <t>Lemari penyimpanan APD (locker)</t>
  </si>
  <si>
    <t>Ginekologi bed</t>
  </si>
  <si>
    <t>Light curing</t>
  </si>
  <si>
    <t>Alat perawatan high speed dan low speed</t>
  </si>
  <si>
    <t>Kompresor AC 1 pk</t>
  </si>
  <si>
    <t>Kompresor AC 2 pk</t>
  </si>
  <si>
    <t>UPS 30 KVA</t>
  </si>
  <si>
    <t>Belanja Modal Pengadaan Jaringan Listrik</t>
  </si>
  <si>
    <t>Belanja Modal Pengadaan Jaringan Listrik Distribusi</t>
  </si>
  <si>
    <t>Renovasi jaringan instalasi listrik gedung pelayanan rawat inap</t>
  </si>
  <si>
    <t>Rehab ruang IPSRS</t>
  </si>
  <si>
    <t>Pemasangan kanopy ruang genset dan ruang jenazah</t>
  </si>
  <si>
    <t>Perbaikan AC dan Jaringannya</t>
  </si>
  <si>
    <t xml:space="preserve">Perbaikan Lift </t>
  </si>
  <si>
    <t>Fitting lampu sl</t>
  </si>
  <si>
    <t>Sepatu boots sefety</t>
  </si>
  <si>
    <t>Kalibrasi Alat Laboratorium patologi klinik</t>
  </si>
  <si>
    <t>Kalibrasi Alat Radiologi</t>
  </si>
  <si>
    <t>Emergency Trolley (DAK)</t>
  </si>
  <si>
    <t>Syringe Pump (DAK)</t>
  </si>
  <si>
    <t>USG (DAK)</t>
  </si>
  <si>
    <t>Bubble CPAP (DAK)</t>
  </si>
  <si>
    <t>Infant Warmer (DAK)</t>
  </si>
  <si>
    <t>Infant Ventilator HFO (DAK)</t>
  </si>
  <si>
    <t>Incubator infant (DAK)</t>
  </si>
  <si>
    <t>Infant Ventilator (DAK)</t>
  </si>
  <si>
    <t>SWD (DAK)</t>
  </si>
  <si>
    <t>Colposcope (DAK)</t>
  </si>
  <si>
    <t>Chart Projector (DAK)</t>
  </si>
  <si>
    <t>Dental Chair (DAK)</t>
  </si>
  <si>
    <t>Bed Pasien (DAK)</t>
  </si>
  <si>
    <t>Doppler (DAK)</t>
  </si>
  <si>
    <t>Infant warmer (DAK)</t>
  </si>
  <si>
    <t>Perpanjangan izin lift</t>
  </si>
  <si>
    <t>Perpanjangan izin Mesin genset</t>
  </si>
  <si>
    <t>Perpanjangan izin Anti petir</t>
  </si>
  <si>
    <t>Perpanjangan izin bejana tekan</t>
  </si>
  <si>
    <t>Perpanjangan izin instalasi proteksi kebakaran</t>
  </si>
  <si>
    <t>Plastik pallet</t>
  </si>
  <si>
    <t>Pembangunan Tanki Air Bersih Rumah Dinas</t>
  </si>
  <si>
    <t>Pembuatan Gudang Barang Bekas</t>
  </si>
  <si>
    <t>Belanja Modal Pengadaan Bangunan Gudang</t>
  </si>
  <si>
    <t>OAE</t>
  </si>
  <si>
    <t>Bed side monitor</t>
  </si>
  <si>
    <t>Scope strecher</t>
  </si>
  <si>
    <t>Long spine board</t>
  </si>
  <si>
    <t>Stetoscope neonatus (OTSUS)</t>
  </si>
  <si>
    <t>Stetoscope anak (OTSUS)</t>
  </si>
  <si>
    <t>Kursi tindakan (naik turun pedal kaki)</t>
  </si>
  <si>
    <t>Tensimeter aneroid mobile (OTSUS)</t>
  </si>
  <si>
    <t>Micro pipet</t>
  </si>
  <si>
    <t>Master plan</t>
  </si>
  <si>
    <t>Kabel Lan Belden (300 m)</t>
  </si>
  <si>
    <t>RJ 45 (isi 100)</t>
  </si>
  <si>
    <t>RJ 45 CAT-5 CAT-6 PLUG BOOT new model cakar (isi 50)</t>
  </si>
  <si>
    <t>USB LAN Network Tool kit Cable Tester Crimp Crimper Plig Plier</t>
  </si>
  <si>
    <t>Tang Crimping dengan Lan Tester</t>
  </si>
  <si>
    <t>Kabel Power Cord C13 - C14</t>
  </si>
  <si>
    <t>Kabel UPS Power CORD C19 - C20</t>
  </si>
  <si>
    <t>SSD 250 GB</t>
  </si>
  <si>
    <t>SSD Portable 5.000 GB</t>
  </si>
  <si>
    <t>Kabel HDMI (15 m)</t>
  </si>
  <si>
    <t>Wifi Router</t>
  </si>
  <si>
    <t>Switch unmanaged hub 8 port</t>
  </si>
  <si>
    <t>Switch unmanaged hub 5 port</t>
  </si>
  <si>
    <t>Wifi Range Extender</t>
  </si>
  <si>
    <t>Switch unmanaged hub 16 port</t>
  </si>
  <si>
    <t>Switch unmanaged hub 24 port rack mounting</t>
  </si>
  <si>
    <t>Switch unmanaged hub 48 port rack mounting</t>
  </si>
  <si>
    <t>Switch managed hub 24 port rack mounting</t>
  </si>
  <si>
    <t>Microtik Router board</t>
  </si>
  <si>
    <t>Kendaraan dinas/kendaraan roda 4 - (BL 94 , BL 9023 AO,BL 9024 AO, BL 9172 AN, BL 9018 AB, BL 9069 AB)</t>
  </si>
  <si>
    <t>Biaya pengantian STNK dan Pajak Kendaraan roda 4 (BL 94 , BL 9023 AO,BL 9024 AO, BL 9172 AN, BL 9018 AB, BL 9069 AB)</t>
  </si>
  <si>
    <t>Payung</t>
  </si>
  <si>
    <t>Senter</t>
  </si>
  <si>
    <t>Usulan PPAS APBA Tahun Anggaran 2017</t>
  </si>
  <si>
    <t>PAGU 2017</t>
  </si>
  <si>
    <t>PLAFON ANGGRAN SEMENTARA 2018 (RP)</t>
  </si>
  <si>
    <t>SELISIH (BERTAMBAH/ BERKURANG)</t>
  </si>
  <si>
    <t>PAGU E-RENCANA</t>
  </si>
  <si>
    <t>PAGU KEBUTUHAN PPAS</t>
  </si>
  <si>
    <t>Jumlah PNS Gol IV. 23 Orang, PNS Gol I-III. 231 dan Kontrak 195</t>
  </si>
  <si>
    <t>Jumlah PNS Gol IV. 26 Orang, PNS Gol I-III. 230 dan Kontrak 195</t>
  </si>
  <si>
    <t xml:space="preserve">Penyd peralatan &amp; perlengkapan kantor </t>
  </si>
  <si>
    <t>Mobil jabtan dan mobil operasional</t>
  </si>
  <si>
    <t>4 unit</t>
  </si>
  <si>
    <t>Pengadaan tanki air bersih rumah dinas</t>
  </si>
  <si>
    <t>Ambulance 6 unit, Mobil Direktur 1 unit, Wadir 2, operasional 1, Roda dua 3 unit</t>
  </si>
  <si>
    <t>Jumlah PNS 256 dan Kontrak 195</t>
  </si>
  <si>
    <t xml:space="preserve">Bimb Keagamaan dan Pel Islami </t>
  </si>
  <si>
    <t>Terdianya tanah untuk pembangunan rumah sakit baru</t>
  </si>
  <si>
    <t xml:space="preserve">Pembangunan kamar jenazah, gudang barang, bengkel IPSRS dan selasar </t>
  </si>
  <si>
    <t>Pembutan master plan, perencanaan gedung, pembuatan gudang barang</t>
  </si>
  <si>
    <t>Pengembangan rawat inap</t>
  </si>
  <si>
    <t>Rehab ruang administrasi</t>
  </si>
  <si>
    <t>Rehap apotik, rehab poli, pemasangan paving blok, rehab ruang pendaftaran</t>
  </si>
  <si>
    <t>Pengadaan alat kesehatan</t>
  </si>
  <si>
    <t>Pengadaan mobil ambulance</t>
  </si>
  <si>
    <t>Pengadaan kursi, meja dan lemari kerja</t>
  </si>
  <si>
    <t>Pengadaan lemari rekam medik, meja, kursi kerja</t>
  </si>
  <si>
    <t xml:space="preserve">Cetakan Medikal Record </t>
  </si>
  <si>
    <t>Pemeliharaan Bangunan Rumah Sakit</t>
  </si>
  <si>
    <t>Pengadaan ambulance</t>
  </si>
  <si>
    <t>1 unit</t>
  </si>
  <si>
    <t>Pengadaan Alkes IGD</t>
  </si>
  <si>
    <t>Strecher, ECG, CTG, lampu tindakan, emergency trolly</t>
  </si>
  <si>
    <t>Pemasangan vinyl</t>
  </si>
  <si>
    <t>Pengadaan Alkes Kamar Operasi</t>
  </si>
  <si>
    <t>Pengadaan steam sterilizer, laparascopy, mesin anastesi</t>
  </si>
  <si>
    <t xml:space="preserve">Kontrak Dr Sp Anastesi </t>
  </si>
  <si>
    <t>Renovasi ruang operasi</t>
  </si>
  <si>
    <t>Pengadaan Alkes NICU dan PICU</t>
  </si>
  <si>
    <t>Infant warmer, ventilator, phototheraphy, suction, air oxygen mixer</t>
  </si>
  <si>
    <t xml:space="preserve">Bahan Keperluan Pasien dan Alkes </t>
  </si>
  <si>
    <t>Alkes</t>
  </si>
  <si>
    <t xml:space="preserve">Tenaga Kontrak Dokter Spesialis </t>
  </si>
  <si>
    <t>Kontrak Dr Sp</t>
  </si>
  <si>
    <t>Pengadaan mesin atrian</t>
  </si>
  <si>
    <t>Pengadaan Alkes rawat jalan</t>
  </si>
  <si>
    <t>elecrosurgical, dental unit, autoref keratometer, USG mata, kulkas farmasi dan laboratorium, ECG, centrifuge, blood bank</t>
  </si>
  <si>
    <t xml:space="preserve">Tenaga Kontrak </t>
  </si>
  <si>
    <t>Jaga Malam Petugas</t>
  </si>
  <si>
    <t>Rehab dan Pengecatan rawat inap</t>
  </si>
  <si>
    <t>Pengadaan Alkes rawat inap</t>
  </si>
  <si>
    <t>Vital sign monitor, ECG, fetal monitor, partus set, vacum cup silicon, lampu tindakan</t>
  </si>
  <si>
    <t>Pengadaan alat X-Ray dan Echocardiography</t>
  </si>
  <si>
    <t>Renovasi ruang gizi</t>
  </si>
  <si>
    <t>Renovasi ruang loundry</t>
  </si>
  <si>
    <t>Banda Aceh, 09 Desember 2017</t>
  </si>
  <si>
    <t xml:space="preserve">Buku garda Setengah Folio                          </t>
  </si>
  <si>
    <t>Uang saku peserta pelatihan BTCLS (32 org X 5 hr)</t>
  </si>
  <si>
    <t>Transportasi BTCLS</t>
  </si>
  <si>
    <t>Transportasi BLS &amp; ACLS</t>
  </si>
  <si>
    <t>Panitia pelatihan BLS &amp; ACLS</t>
  </si>
  <si>
    <t>Biaya Institusi pengirim narasumber Keperawatan Kritis (4 org X 2 hr)</t>
  </si>
  <si>
    <t>Panitia pelatihan Keperawatan Kritis</t>
  </si>
  <si>
    <t>Honor tenaga pengajar/fasilisator/narasumber Keperawatan Kritis (1 org X 9 JP X 2 hr)</t>
  </si>
  <si>
    <t>Panitia pelatihan Keperawatan Luka</t>
  </si>
  <si>
    <t>Biaya Institusi pengirim narasumber K3RS (4 org X 1 hr X 2 gelombang)</t>
  </si>
  <si>
    <t>Makanan dan minuman pelatihan K3RS (64 org X 1 hari X 2 gelombang)</t>
  </si>
  <si>
    <t>Kudapan pelatihan K3RS (64 org X 1 hari X 2 kali X 2 gelombang)</t>
  </si>
  <si>
    <t>Panitia pelatihan K3RS</t>
  </si>
  <si>
    <t>Biaya kontribusi pelatihan MKE</t>
  </si>
  <si>
    <t>Transportasi MKE</t>
  </si>
  <si>
    <t>Panitia pelatihan MPKP</t>
  </si>
  <si>
    <t>Biaya pendaftaran SKP</t>
  </si>
  <si>
    <t>Blangko permintaan barang 3 Play NCR 1 folio  ( 50 X 3 )</t>
  </si>
  <si>
    <t>Stiker High Alert ( Double Check ) Panjang  Kecil</t>
  </si>
  <si>
    <t>Stiker High Alert ( Double Check ) Sedang</t>
  </si>
  <si>
    <t>Pelatihan Penanganan Obat Kanker</t>
  </si>
  <si>
    <t>Uang harian Gol III (3 org X 10 hr)</t>
  </si>
  <si>
    <t>Penginapan Gol III (3 org X 9 mlm)</t>
  </si>
  <si>
    <t>Biaya Makan Minum Survey Verifikasi Akreditasi</t>
  </si>
  <si>
    <t>Biaya survey verifikasi akreditasi</t>
  </si>
  <si>
    <t>Biaya Perencanaan pengembangan rawat inap</t>
  </si>
  <si>
    <t>Ventilator (DAK)</t>
  </si>
  <si>
    <t>Patien monitor (DAK)</t>
  </si>
  <si>
    <t>Stiker High Alert ( Double Check )  Kecil diameter 1 cm</t>
  </si>
  <si>
    <t>Stiker High Alert ( Double Check )  Kecil diameter 1,5 cm</t>
  </si>
  <si>
    <t>Stiker Lasa (norum) Kecil diameter 2 cm</t>
  </si>
  <si>
    <t>Etiket cairan infus ukuran 9,5 cm X 7 cm</t>
  </si>
  <si>
    <t>Etiket cairan infus ukuran 6 cm X 5 cm</t>
  </si>
  <si>
    <t>Etiket plastik putih ukuran 12 cm X 8 cm</t>
  </si>
  <si>
    <t>Etiket plastik putih ukuran 15 cm X 10 cm</t>
  </si>
  <si>
    <t>Jenjang Pendidikan S1 (6 orang X 12 bln)</t>
  </si>
  <si>
    <t>Jenjang pendidikan D3/Akademi (17 org X 12 bln)</t>
  </si>
  <si>
    <t>Jenjang Pendidikan SLTA (6 orang X 12 bln)</t>
  </si>
  <si>
    <t>Uang Megang (30 orang X 3 kl)</t>
  </si>
  <si>
    <t>Tunggakan Pembayaran Obat Tahun 2017</t>
  </si>
  <si>
    <t>Tunggakan bahan alat-alat kesehatan tahun 2017</t>
  </si>
  <si>
    <t>Makan pasien</t>
  </si>
  <si>
    <t>Snack pasien</t>
  </si>
  <si>
    <t>Papan bunga</t>
  </si>
  <si>
    <t>Blangko Surat Keterangan Medis 2 play NCR 1/2 folio (100 X 2)</t>
  </si>
  <si>
    <t>Keertas e-Print No Antri</t>
  </si>
  <si>
    <t>Gulung</t>
  </si>
  <si>
    <t>Siker Polos</t>
  </si>
  <si>
    <t>Amplop radio logi 25  X 30 cm</t>
  </si>
  <si>
    <t>Amplop radio logi 38 X 44 cm</t>
  </si>
  <si>
    <t>Amplop radio logi 38 X 28,5 cm</t>
  </si>
  <si>
    <t>Amplop radio logi 21 X 29 cm</t>
  </si>
  <si>
    <t>Kartu KMS laki - laki dan Perempuan</t>
  </si>
  <si>
    <t>Lembaran Farmolir Biodata HVS Folio</t>
  </si>
  <si>
    <t>Lembaran sensus harian rawat  HVS 70 gram</t>
  </si>
  <si>
    <t>- RM 01  RJ Asesmen Rawat Jalan</t>
  </si>
  <si>
    <t>- RM 02. Surat Permintaan Masuk Rumah Sakit</t>
  </si>
  <si>
    <t xml:space="preserve">- RM 08. Asesmen Awal Keperawatan </t>
  </si>
  <si>
    <t>- RM 11. Pemantauan Harian Pasien Rawat Inap TB</t>
  </si>
  <si>
    <t>- RM 12. Tindakan Keperawatan TB</t>
  </si>
  <si>
    <t>- RM 13. Catatan Perkembangan Pasien Terintegrasi TB</t>
  </si>
  <si>
    <t>- RM 14bk. Asuhan Keperawatan Neonatus dan Bayi TB</t>
  </si>
  <si>
    <t>- RM 15d. Rekam Pemberian Obat Racikan</t>
  </si>
  <si>
    <t>- RM 19. Daftar Hadir BPJS</t>
  </si>
  <si>
    <t xml:space="preserve">- RM 24 </t>
  </si>
  <si>
    <t>- RM 25</t>
  </si>
  <si>
    <t>- RM 26</t>
  </si>
  <si>
    <t>- RM 28</t>
  </si>
  <si>
    <t>- RM 29</t>
  </si>
  <si>
    <t>- RM 30</t>
  </si>
  <si>
    <t>- RM 31</t>
  </si>
  <si>
    <t>- RM 32</t>
  </si>
  <si>
    <t>- RM 33</t>
  </si>
  <si>
    <t>- RM 34</t>
  </si>
  <si>
    <t>- RM 38</t>
  </si>
  <si>
    <t>Blangco  Unit Donor  Darah /  PMI  NCR 3 Flay  F4</t>
  </si>
  <si>
    <t>Blangko Kwetansi  pembayaran Bank Darah   3 play 1/3 folio</t>
  </si>
  <si>
    <t>Map Status Rawat Jalan  Art Karton Kilat  A4   ( Isi 3 Lembar )</t>
  </si>
  <si>
    <t>Blangco Permintaan Barang Farmasi NCR 3 Fly Folio (50 X 3)</t>
  </si>
  <si>
    <t>Map Status Nicu / Icu / Picu  Art Karton Kilat A4 (isi 31 Lembar)</t>
  </si>
  <si>
    <t>Buku Registrasi pasien (Lux)</t>
  </si>
  <si>
    <t>Buku Ceklis Cross Meth (isi 200 Lbr) Lux</t>
  </si>
  <si>
    <t>Buku Permintaan Darah (isi 200 Lbr)  Lux</t>
  </si>
  <si>
    <t>Buku Rekapitulasi Penerimaan Harian (isi 200 Lbr) Lux</t>
  </si>
  <si>
    <t>Map Status Bersalin Art Karton Kilat  A4 (isi 33 Lembar)</t>
  </si>
  <si>
    <t>Map Status Anak Art Karton Kilat  A4 (isi 33 Lembar)</t>
  </si>
  <si>
    <t>Map Status Dewasa Art Karton Kilat A4 (isi 31 Lembar)</t>
  </si>
  <si>
    <t>Map Status IGD Art Karton Kilat  A4 ( isi 2 Lembar )</t>
  </si>
  <si>
    <t>Blangko SPM  / SP2D NCR 5 Flay Folio (40 X 50 )</t>
  </si>
  <si>
    <t>Bloangko tanda bukti Penerimaan 4 play NCR 1 folio (50 X 3)</t>
  </si>
  <si>
    <t>Bloangko tanda bukti penyetoran 3 play NCR 1 folio (50 X 3)</t>
  </si>
  <si>
    <t>Blangko tanda bukti pembayaran 4 play NCR 1/2 folio (50 x 4)</t>
  </si>
  <si>
    <t xml:space="preserve">Blangco Lembaran Berita Acara Pengambilan Barang NCR 3 Ply F4  </t>
  </si>
  <si>
    <t>Blangko Perincian biaya perawatan 4 play NCR 1 folio (50 x 4)</t>
  </si>
  <si>
    <t>Blangco Tranfusi Darah NCR 3 Fly 1/2 Folio (50 X 3)</t>
  </si>
  <si>
    <t>Blangco Lemabaran Forn Pengiriman Darah ke ruangan NCR 3 Ply 1/2 F</t>
  </si>
  <si>
    <t>Blongko kimia kelinik 2 Play NCR 1 folio (100 X 2)</t>
  </si>
  <si>
    <t>Blangko golongan darah CTBT 2 play NCR 1/2 folio (100 X 2)</t>
  </si>
  <si>
    <t>Blangko Droping (Permintaan Darah) NCR  3 Ply 1/2 Folio</t>
  </si>
  <si>
    <t>Blangko uriologi 2 play NCR 1/2 folio (100 x 2)</t>
  </si>
  <si>
    <t>Blangko parasit jamur 2 play NCR 1/2 folio (100 X 2)</t>
  </si>
  <si>
    <t>Blangko immunologi 2 play NCR 1 folio (100 x 2)</t>
  </si>
  <si>
    <t>Blangko lembaran pemakain obat 2 Play NCR 1 folio (100 x 2)</t>
  </si>
  <si>
    <t>Blangco Catatan Bayi Sectio Caesaria NCR 2 Ply</t>
  </si>
  <si>
    <t xml:space="preserve">Blangco Laporan Kerusakan Alat  NCR  2 Fly 1/2 Folio </t>
  </si>
  <si>
    <t>Blangco  Resep putih (Umum) 1/3 folio</t>
  </si>
  <si>
    <t>Blangco Resep Rawat Jalan NCR 2 Fly 1/3  Folio</t>
  </si>
  <si>
    <t>Blangko hasil pemeriksaan fot  X RAY  4 play NCR 1 folio (50 x 4)</t>
  </si>
  <si>
    <t>Blangco Pesanan Farmasi NCR 2 Ply 1/2 Folio</t>
  </si>
  <si>
    <t>Blangko resep rawat inap 3 play  NCR 1/2 folio (50 X 3)</t>
  </si>
  <si>
    <t>Blangco Resep  Mata NCR  2  Fly 1/2 Folio (50 X 3)</t>
  </si>
  <si>
    <t>Lembaran Surat Pernyataan Pulang Atas Permintaan Sendiri (PAPS)</t>
  </si>
  <si>
    <t>Lembaran Identitas bayi (NICU) Hvs Folio</t>
  </si>
  <si>
    <t>Lembaran Diet Bayi rawat (NICU) Hvs Folio</t>
  </si>
  <si>
    <t>Lembaran Diet Bayi rawat (PICU) Hvs Folio</t>
  </si>
  <si>
    <t>Lembaran Identitas bayi (PICU) Hvs Folio</t>
  </si>
  <si>
    <t>Lembaran  Jadwal Pemberian Parentera (NICU) HVS Folio</t>
  </si>
  <si>
    <t>Lembaran  perkembangan Terintegrasi (PICU) HVS Folio</t>
  </si>
  <si>
    <t>Lembaran persetujuan dilakukan tindakan medis (Info Consent)</t>
  </si>
  <si>
    <t>Kartu Fisiotrafi (Kegiatan Pelayanan) BC TB Folio</t>
  </si>
  <si>
    <t>Lembaran Pernyataan persetujuan terhadap tindakan medik (L. Operasi)</t>
  </si>
  <si>
    <t>Lembaran Informasi Tindakan Anestesi dan Sedasi A3 TB</t>
  </si>
  <si>
    <t>Lembaran Rekam Medis Sedasi / Anestesi A3 TB</t>
  </si>
  <si>
    <t>Lembaran Etiket kertas sediaan tablet warna hijau</t>
  </si>
  <si>
    <t>Lembaran Etiket kertas sediaan tablet warna merah</t>
  </si>
  <si>
    <t>Lembaran Etiket kertas sediaan tablet warna kuning</t>
  </si>
  <si>
    <t>Lembaran Etiket kertas sediaan tablet warna putih</t>
  </si>
  <si>
    <t>Lembaran Etiket kertas sediaan obat luar warna biru</t>
  </si>
  <si>
    <t>Lembaran Etiket kertas sediaan obat sirup warna putih</t>
  </si>
  <si>
    <t>Pack isi 100</t>
  </si>
  <si>
    <t>Pack isi 101</t>
  </si>
  <si>
    <t>LX power plus</t>
  </si>
  <si>
    <t>LX oxa</t>
  </si>
  <si>
    <t>LX detergent ektra</t>
  </si>
  <si>
    <t>LX soft ekstra</t>
  </si>
  <si>
    <t>Microscope</t>
  </si>
  <si>
    <t>Urine analizer</t>
  </si>
  <si>
    <t>Vortex</t>
  </si>
  <si>
    <t>Hot air sterilizer</t>
  </si>
  <si>
    <t>Honor Perawat Pengawas jaga hari besar keagamaan/cuti bersama (8 hari X 3 shift)</t>
  </si>
  <si>
    <t>Honor Perawat Pengawas jaga hari libur pagi dan sore (114 hari X 2 Shift)</t>
  </si>
  <si>
    <t>Tenaga IT (1 orang X 12 bln)</t>
  </si>
  <si>
    <t>Spesialis</t>
  </si>
  <si>
    <t>S1</t>
  </si>
  <si>
    <t>D3</t>
  </si>
  <si>
    <t>SMU</t>
  </si>
  <si>
    <t>SLTP</t>
  </si>
  <si>
    <t>Supir</t>
  </si>
  <si>
    <t>Satpam</t>
  </si>
  <si>
    <t>IT</t>
  </si>
  <si>
    <t>SIPKD</t>
  </si>
  <si>
    <t>adm</t>
  </si>
  <si>
    <t>dr. Umum</t>
  </si>
  <si>
    <t>Limbah</t>
  </si>
  <si>
    <t>Perlengkapan</t>
  </si>
  <si>
    <t>IGD</t>
  </si>
  <si>
    <t>Jalan</t>
  </si>
  <si>
    <t>Inap</t>
  </si>
  <si>
    <t>Apoteker</t>
  </si>
  <si>
    <t>loundry</t>
  </si>
  <si>
    <t>Belanja Makanan Sahur dan Buka Puasa Tenaga Dokter, Perawat dan Penunjang Jaga Malam ( 71 org X 30 Hari X 2 Kali )</t>
  </si>
  <si>
    <t>Belanja Makanan Ekstra Tenaga Dokter, Perawat dan Penunjang Jaga Malam ( 71 org X 327 Hari )</t>
  </si>
  <si>
    <t>Belanja Makanan Lebaran Tenaga Dokter, Perawat dan Penunjang Jaga Malam ( 71 org X 8 Hari X 3 Shift )</t>
  </si>
  <si>
    <t>Kuasa pengguna anggaran/barang (2 org x 12 bln)</t>
  </si>
  <si>
    <t>Pembantu PPK (3 org x 12 bln)</t>
  </si>
  <si>
    <t>Pakaian dinas/seragam dokter</t>
  </si>
  <si>
    <t>Pakaian dinas/seragam pegawai/perawat</t>
  </si>
  <si>
    <t>Pakaian kerja/seragam non pns</t>
  </si>
  <si>
    <t>Pakaian kerja/seragam satpam/sejenisnya</t>
  </si>
  <si>
    <t>Stel</t>
  </si>
  <si>
    <t>AC Central (4 unit X 3 kali)</t>
  </si>
  <si>
    <t>AC Standing (4 unit X 3 kali)</t>
  </si>
  <si>
    <t xml:space="preserve">Pengisian freon 1 Pk </t>
  </si>
  <si>
    <t>Bahan Bakar Minyak Premium kenderaan roda 4 (BL 9172 AN, BL 9018 AB) Ambulance (2 Unit x 200 Ltr x 12 bln)</t>
  </si>
  <si>
    <t>Bahan Bakar Minyak solar kenderaan roda 4 (BL 9023 AO,BL 9024 AO, BL 9069 AB) Ambulance (3 Unit x 200 Ltr x 12 bln)</t>
  </si>
  <si>
    <t>Perbaikan panel LVMDP 1 dan 2</t>
  </si>
  <si>
    <t>Jenjang pendidikan Dokter spesialis anastesi (1 orang X 12 bln)</t>
  </si>
  <si>
    <t xml:space="preserve">Tunggakan Jasa Layanan 2017 </t>
  </si>
  <si>
    <t>Rehab poliklinik</t>
  </si>
  <si>
    <t>Baju bengkel IPSRS &amp; IPAL</t>
  </si>
  <si>
    <t xml:space="preserve">Meja Kerja </t>
  </si>
  <si>
    <t xml:space="preserve">Kursi Kerja </t>
  </si>
  <si>
    <t xml:space="preserve">Lemari arsip </t>
  </si>
  <si>
    <t>Tangga Lift</t>
  </si>
  <si>
    <t>Tangga Tempahan</t>
  </si>
  <si>
    <t>Perpanjangan izin Smoke detektor</t>
  </si>
  <si>
    <t>Perpanjangan izin Box Hydrant</t>
  </si>
  <si>
    <t>Perpanjangan izin Mesin pompa</t>
  </si>
  <si>
    <t>Perpanjangan izin Pressure pump</t>
  </si>
  <si>
    <t>Perpanjangan izin Hydran pilar</t>
  </si>
  <si>
    <t>Belanja modal Pengadaan Alat Kantor</t>
  </si>
  <si>
    <t>Paper shredder</t>
  </si>
  <si>
    <t>Vacum cleaner lengkap</t>
  </si>
  <si>
    <t>Kantong debu vacum cleaner (1 pack 6 pcs)</t>
  </si>
  <si>
    <t>Belanja Modal Pengadaan Alat Pengukur Waktu</t>
  </si>
  <si>
    <t>Jam dinding</t>
  </si>
  <si>
    <t xml:space="preserve">Belanja Modal Pengadaan Alat Pendingin </t>
  </si>
  <si>
    <t>AC casette 2 PK dan instalasi</t>
  </si>
  <si>
    <t>Belanja Modal Pengadaan Peralatan Personal Komputer</t>
  </si>
  <si>
    <t>Komputer PC (bukan all in one)</t>
  </si>
  <si>
    <t>Komputer PC</t>
  </si>
  <si>
    <t>Belanja Modal Pengadaan Printer</t>
  </si>
  <si>
    <t>Printer</t>
  </si>
  <si>
    <t>UPS 1100VA + kabel</t>
  </si>
  <si>
    <t>UPS 1400VA, 230V, AVR, Universal and IEC Socket + kabel</t>
  </si>
  <si>
    <t>UPS 3000 VA/2700 W + kabel</t>
  </si>
  <si>
    <t xml:space="preserve">UPS </t>
  </si>
  <si>
    <t>Belanja Modal Pengadaan Alat Studio</t>
  </si>
  <si>
    <t>Belanja Modal Pengadaan Peralatan Studio Visual</t>
  </si>
  <si>
    <t>Pengadaan CCTV</t>
  </si>
  <si>
    <t>Pemasangan Instalasi CCTV dan DVR</t>
  </si>
  <si>
    <t xml:space="preserve">TV 43 inch dan bracket </t>
  </si>
  <si>
    <t>Lampu Lup</t>
  </si>
  <si>
    <t>Kursi pasien (cover kulit sintetis)</t>
  </si>
  <si>
    <t>Makan Peserta &amp; Panitia (480 org x 1 hr)</t>
  </si>
  <si>
    <t>kudapan Peserta &amp; Panitia (480 org X 1 hr X 2 kl)</t>
  </si>
  <si>
    <t>Paket meeting (10 org X 1 hr)</t>
  </si>
  <si>
    <t>Uang harian Gol IV (1 org X 3 hr)</t>
  </si>
  <si>
    <t>Penginapan Gol IV (1 org X 2 mlm)</t>
  </si>
  <si>
    <t>Biaya kontribusi pelatihan BTCLS (40 peserta)</t>
  </si>
  <si>
    <t>Biaya kontribusi pelatihan BLS &amp; ACLS (25 peserta)</t>
  </si>
  <si>
    <t>Biaya kontribusi asesor kompetensi perawat</t>
  </si>
  <si>
    <t>Biaya kontribusi peningkatan mutu rs</t>
  </si>
  <si>
    <t>Biaya kontribusi pelatihan/magang CSSD</t>
  </si>
  <si>
    <t xml:space="preserve">Uang harian Gol IV (4 org X 6 hr) </t>
  </si>
  <si>
    <t xml:space="preserve">Penginapan Gol IV (4 org X 5 mlm) </t>
  </si>
  <si>
    <t xml:space="preserve">Uang harian Gol IV (6 org X 5 hr) </t>
  </si>
  <si>
    <t xml:space="preserve">Penginapan Gol IV (6 org X 4 mlm) </t>
  </si>
  <si>
    <t>Transportasi Asesor kompetensi perawat</t>
  </si>
  <si>
    <t>Transportasi peingkatan mutu rs</t>
  </si>
  <si>
    <t>Biaya Pengiriman</t>
  </si>
  <si>
    <t>Uang saku peserta pelatihan BLS &amp; ACLS (25 org X 3 hr)</t>
  </si>
  <si>
    <t>Honor tenaga pengajar/fasilisator/narasumber BHD (1 org X 9 JP X 1 hr X 4 gelombang)</t>
  </si>
  <si>
    <t>Honor tenaga pengajar/fasilisator/narasumber K3RS (1 org X 9 JP X 1 hr X 2 gelombang)</t>
  </si>
  <si>
    <t>Panitia pelatihan asesor kompetensi perawat</t>
  </si>
  <si>
    <t>Panitia pelatihan peningkatan mutu rs</t>
  </si>
  <si>
    <t>Indirect Ophthalmoscope</t>
  </si>
  <si>
    <t>Trial Lens</t>
  </si>
  <si>
    <t>Trial Frame</t>
  </si>
  <si>
    <t>23</t>
  </si>
  <si>
    <t>Belanja Bahan Kelengkapan Sarana Peribadatan</t>
  </si>
  <si>
    <t>Belanja Jasa kantor</t>
  </si>
  <si>
    <t xml:space="preserve">Loundry Sajadah </t>
  </si>
  <si>
    <t>Sajadah makmum</t>
  </si>
  <si>
    <t>Sajadah Imam</t>
  </si>
  <si>
    <t>Biaya kontribusi pelatihan dasar keperawatan intensive</t>
  </si>
  <si>
    <t>Pelatihan dasar keperawatan intensive</t>
  </si>
  <si>
    <t>Uang harian Gol III (2 org X 100 hr)</t>
  </si>
  <si>
    <t>Penginapan Gol III (2 org X 100 mlm)</t>
  </si>
  <si>
    <t>Honor dokter spesialis Radiologi (1 org X 12 bln)</t>
  </si>
  <si>
    <t>Tunggakan listrik 2017</t>
  </si>
  <si>
    <t>Tunggakan internet 2017</t>
  </si>
  <si>
    <t>Tunggakan telepon 2017</t>
  </si>
  <si>
    <t>Tunggakan air 2017</t>
  </si>
  <si>
    <t>Tunggakan Oxygen (O2) tahun 2017</t>
  </si>
  <si>
    <t>jlh utang 2017</t>
  </si>
  <si>
    <t xml:space="preserve">Buku agenda isi 500 lembar                             </t>
  </si>
  <si>
    <t>Uang harian (4 org X 14 hr)</t>
  </si>
  <si>
    <t>Penginapan (4 org X 14 mlm)</t>
  </si>
  <si>
    <t>PPAS 2018</t>
  </si>
  <si>
    <t>SUMBER DANA</t>
  </si>
  <si>
    <t>Pemenang</t>
  </si>
  <si>
    <t>Pagu</t>
  </si>
  <si>
    <t>HPS</t>
  </si>
  <si>
    <t>utang jasa layanan</t>
  </si>
  <si>
    <t>Centrifuge gel</t>
  </si>
  <si>
    <t>Dispenser</t>
  </si>
  <si>
    <t>Tube sealer</t>
  </si>
  <si>
    <t>Rak obat</t>
  </si>
  <si>
    <t>Makanan dan minuman workshop penyusunan rencana strategis (30 org X 2 hari X 1 kali)</t>
  </si>
  <si>
    <t>Kudapan workshop penyusunan rencana strategis (30 org X 2 hari X 2 kali)</t>
  </si>
  <si>
    <t>Pemateri workshop penyusunan rencana strategis</t>
  </si>
  <si>
    <t xml:space="preserve">Transportasi </t>
  </si>
  <si>
    <t>Biaya ahli/pakar/profesional luar daerah</t>
  </si>
  <si>
    <t>tatap muka</t>
  </si>
  <si>
    <t>Belanja Modal Pengadaan Alat Kantor</t>
  </si>
  <si>
    <t>Belanja Modal Pengadaan Alat Reproduksi (Penggandaan)</t>
  </si>
  <si>
    <t>Mesin Foto Copy</t>
  </si>
  <si>
    <t>Uang harian Gol III (10 org X 4 hr)</t>
  </si>
  <si>
    <t>Penginapan Gol III (10 org X 3 mlm)</t>
  </si>
  <si>
    <t>Uang harian Gol IV (8 org X 4 hr)</t>
  </si>
  <si>
    <t>Penginapan Gol IV (8 org X 3 mlm)</t>
  </si>
  <si>
    <t>Uang harian Eselon II (1 org X 4 hr X 3 kali)</t>
  </si>
  <si>
    <t>Penginapan Eselon II (1 org X 3 mlm X 3 kali)</t>
  </si>
  <si>
    <t>Uang Representatif (1 org X 4 hr X 3 kali)</t>
  </si>
  <si>
    <t>Cleaning trolly</t>
  </si>
  <si>
    <t>Belanja modal Pengadaan Perlengkapan Gedung Kantor</t>
  </si>
  <si>
    <t>Rak receiver</t>
  </si>
  <si>
    <t>OM</t>
  </si>
  <si>
    <t>Catridge brother+dram</t>
  </si>
  <si>
    <t>Infuse Brother</t>
  </si>
  <si>
    <t>Hardisk Computer</t>
  </si>
  <si>
    <t>Hardisk Laptop</t>
  </si>
  <si>
    <t>Mouse</t>
  </si>
  <si>
    <t>keyboard</t>
  </si>
  <si>
    <t>Power supply computer</t>
  </si>
  <si>
    <t>Toner</t>
  </si>
  <si>
    <t>Baterai laptop</t>
  </si>
  <si>
    <t>Carger laptop</t>
  </si>
  <si>
    <t>Baterai HT</t>
  </si>
  <si>
    <t>Tinta 1 Liter H/W</t>
  </si>
  <si>
    <t>Service Computer 100</t>
  </si>
  <si>
    <t>Service Printer 70</t>
  </si>
  <si>
    <t xml:space="preserve">Service mesin fhoto copy </t>
  </si>
  <si>
    <t>Belanja Modal Pengadaan Alat Komunikasi sosial</t>
  </si>
  <si>
    <t>Seprei</t>
  </si>
  <si>
    <t>Sarung Bantal</t>
  </si>
  <si>
    <t>Perlak</t>
  </si>
  <si>
    <t>Bantal</t>
  </si>
  <si>
    <t>Belanja Modal Pengadaan Alat komunikasi Telephon</t>
  </si>
  <si>
    <t>Nurse Call</t>
  </si>
  <si>
    <t>mesin pompa air</t>
  </si>
  <si>
    <t>Kegiatan PKA Tahun 2018</t>
  </si>
  <si>
    <t>Ultrasound</t>
  </si>
  <si>
    <t>Tens</t>
  </si>
  <si>
    <t>Standing Frame Anak</t>
  </si>
  <si>
    <t>Nama Ruangan</t>
  </si>
  <si>
    <t>Jumlah Bed</t>
  </si>
  <si>
    <t>Jumlah Kamar mandi</t>
  </si>
  <si>
    <t>R. Rawat Ibu Kelas III</t>
  </si>
  <si>
    <t>R. Rawat Anak Kelas III</t>
  </si>
  <si>
    <t>R. Rawat Anak Kelas II</t>
  </si>
  <si>
    <t>R. Rawat Penyakit Dalam Kelas III</t>
  </si>
  <si>
    <t>R. Rawat Kelas I</t>
  </si>
  <si>
    <t>Luas Ruangan (Meter)</t>
  </si>
  <si>
    <t>Panjang Koridor (Meter)</t>
  </si>
  <si>
    <t>R. Bersalin</t>
  </si>
  <si>
    <t>Biaya pendaftaran kasasi hukum</t>
  </si>
  <si>
    <t>Teralis Gudang barang</t>
  </si>
  <si>
    <t>Vien Viewer</t>
  </si>
  <si>
    <t>Honorarium PPTK (1 org X 12 bln)</t>
  </si>
  <si>
    <t>Media masa lokal (Serambi Indonesia) (10 Eks X 30 hr X 12 bln)</t>
  </si>
  <si>
    <t>Biaya Pendaftaran Kontribusi DAK</t>
  </si>
  <si>
    <t>Penyediaan Barang Cetakan dan Penggandaan bahan administrasi Pasien</t>
  </si>
  <si>
    <t>Tersedianya Barang Cetakan dan Penggandaan bahan administrasi Pasien</t>
  </si>
  <si>
    <t>Pelayanan Administrasi Pasien berjalan lancar</t>
  </si>
  <si>
    <t>Publikasi</t>
  </si>
  <si>
    <t>Jasa Kebersihan Rumah Sakit (OTSUS)</t>
  </si>
  <si>
    <t>Rehab Gedung Rumah Sakit (OTSUS)</t>
  </si>
  <si>
    <t>Biaya Perencanaan (OTSUS)</t>
  </si>
  <si>
    <t>Biaya Pengawasan (OTSUS)</t>
  </si>
  <si>
    <t>clinical trolley (OTSUS)</t>
  </si>
  <si>
    <t>Scope strecher (OTSUS)</t>
  </si>
  <si>
    <t>Baby basket (OTSUS)</t>
  </si>
  <si>
    <t>Pulse oximetri (OTSUS)</t>
  </si>
  <si>
    <t>Suction (OTSUS)</t>
  </si>
  <si>
    <t>Infant Warmer (OTSUS)</t>
  </si>
  <si>
    <t>Obstetric Table (OTSUS)</t>
  </si>
  <si>
    <t>Curatege set (OTSUS)</t>
  </si>
  <si>
    <t>Probe transvaginal USG GE (OTSUS)</t>
  </si>
  <si>
    <t>Belanja Cetak Bahan Administrasi Pasien (OTSUS)</t>
  </si>
  <si>
    <t>Jenjang pendidikan Dokter umum (19 orang X 12 bln) (OTSUS)</t>
  </si>
  <si>
    <t>Honor dokter spesialis Anak (1 org X 12 bln) (OTSUS)</t>
  </si>
  <si>
    <t>Bahan Bakar Minyak pertamax kenderaan roda 4 eselon III (3 Unit x 150 Ltr x 12 bln)</t>
  </si>
  <si>
    <t>Belanja Jasa Narasumber/Tenaga Ahli/Peneliti/Acara</t>
  </si>
  <si>
    <t>Belanja Jasa Narasumber/Tenaga Ahli/Peneliti</t>
  </si>
  <si>
    <t xml:space="preserve"> </t>
  </si>
  <si>
    <t>Belanja Jasa Transport dan Uang Saku Peserta</t>
  </si>
  <si>
    <t>Nama Pelatihan</t>
  </si>
  <si>
    <t>Pemateri</t>
  </si>
  <si>
    <t>Peserta</t>
  </si>
  <si>
    <t>Uang saku</t>
  </si>
  <si>
    <t>Makan</t>
  </si>
  <si>
    <t>Panitia</t>
  </si>
  <si>
    <t>ATK</t>
  </si>
  <si>
    <t>Honor</t>
  </si>
  <si>
    <t>Paket Pengiriman</t>
  </si>
  <si>
    <t>Sertifikat</t>
  </si>
  <si>
    <t>pelatihan BLS &amp; ACLS</t>
  </si>
  <si>
    <t>pelatihan Keperawatan Luka</t>
  </si>
  <si>
    <t>pelatihan MPKP</t>
  </si>
  <si>
    <t>pelatihan asesor kompetensi perawat</t>
  </si>
  <si>
    <t>pelatihan peningkatan mutu rs</t>
  </si>
  <si>
    <t>pelatihan dasar keperawatan intensive</t>
  </si>
  <si>
    <t xml:space="preserve">pelatihan PONEK </t>
  </si>
  <si>
    <t>pelatihan/magang CSSD</t>
  </si>
  <si>
    <t>pelatihan/magang petugas IPSLRS</t>
  </si>
  <si>
    <t>pelatihan APN</t>
  </si>
  <si>
    <t>Transport (Org)</t>
  </si>
  <si>
    <t>Hotel (mlm)</t>
  </si>
  <si>
    <t>Kontribusi</t>
  </si>
  <si>
    <t>Include</t>
  </si>
  <si>
    <t>-</t>
  </si>
  <si>
    <t>Lama Pelaksanaan</t>
  </si>
  <si>
    <t>5 Hari</t>
  </si>
  <si>
    <t>10 Hari</t>
  </si>
  <si>
    <t>3 Hari</t>
  </si>
  <si>
    <t>1 Hari x 4 Gel</t>
  </si>
  <si>
    <t>2 Hari</t>
  </si>
  <si>
    <t>1 Hari x 2 Gel</t>
  </si>
  <si>
    <t>4 Hari</t>
  </si>
  <si>
    <t xml:space="preserve">pelatihan BTCLS </t>
  </si>
  <si>
    <t xml:space="preserve">pelatihan BHD </t>
  </si>
  <si>
    <t xml:space="preserve">pelatihan Keperawatan Kritis </t>
  </si>
  <si>
    <t xml:space="preserve">pelatihan K3RS </t>
  </si>
  <si>
    <t>100 Hari</t>
  </si>
  <si>
    <t>pelatihan MKE</t>
  </si>
  <si>
    <t>Pelatihan Dalam Daerah</t>
  </si>
  <si>
    <t>Pelatihan Dalam Luar Daerah</t>
  </si>
  <si>
    <t>4 hari</t>
  </si>
  <si>
    <t>SKP</t>
  </si>
  <si>
    <t>Pelatihan Penanganan obat kanker</t>
  </si>
  <si>
    <t>REKAPITULASI RENCANA PELATIHAN INTERNAL DAN EKSTERNAL RUMAH SAKIT TAHUN 2018</t>
  </si>
  <si>
    <t>50+7+3</t>
  </si>
  <si>
    <t>45+8+2</t>
  </si>
  <si>
    <t>40+10+4</t>
  </si>
  <si>
    <t>25+10+6</t>
  </si>
  <si>
    <t>30+10+5</t>
  </si>
  <si>
    <t>45+10+4</t>
  </si>
  <si>
    <t>50+10+4</t>
  </si>
  <si>
    <t>25+10+3</t>
  </si>
  <si>
    <t>Penggandaan</t>
  </si>
  <si>
    <t>Makanan dan minuman pelatihan BTCLS (54 org X 5 hari X 1 kali)</t>
  </si>
  <si>
    <t>Kudapan pelatihan BTCLS (54 org X 5 hari X 2 kali)</t>
  </si>
  <si>
    <t xml:space="preserve">ATK pelatihan </t>
  </si>
  <si>
    <t xml:space="preserve">Foto Copy bahan Pelatihan </t>
  </si>
  <si>
    <t xml:space="preserve">Cetak sertifikat pelatihan </t>
  </si>
  <si>
    <t>Makanan dan minuman pelatihan BLS &amp; ACLS (41 org X 3 hari X 1 kali)</t>
  </si>
  <si>
    <t>Kudapan pelatihan BLS &amp; ACLS (41 org X 3 hari X 2 kali)</t>
  </si>
  <si>
    <t>Panitia pelatihan MKE</t>
  </si>
  <si>
    <t>Makanan dan minuman pelatihan BHD (45 org X 1 hari X 4 gelombangi)</t>
  </si>
  <si>
    <t>Kudapan pelatihan BHD (45 org X 1 hari X 2 kali X 4 gelombang)</t>
  </si>
  <si>
    <t>Makanan dan minuman pelatihan Keperawatan Kritis (59 org X 2 hari)</t>
  </si>
  <si>
    <t>Kudapan pelatihan Keperawatan Kritis (59 org X 2 hari X 2 kali)</t>
  </si>
  <si>
    <t>Makanan dan minuman pelatihan MPKP (60 org X 4 hari)</t>
  </si>
  <si>
    <t>Kudapan pelatihan MPKP (60 org X 4 hari X 2 kali)</t>
  </si>
  <si>
    <t>Makanan dan minuman pelatihan Asesor Kompetensi Perawat (38 org X 5 hari)</t>
  </si>
  <si>
    <t>Kudapan pelatihan Asesor Kompetensi Perawat  (38 org X 5 hari X 2 kali)</t>
  </si>
  <si>
    <t>Makanan dan minuman pelatihan peningkatan mutu rs (50 org X 3 hari)</t>
  </si>
  <si>
    <t>Kudapan pelatihan peningkatan mutu rs  (50 org X 3 hari X 2 kali)</t>
  </si>
  <si>
    <t>Makanan dan minuman pelatihan MKE (65 org X 2 hari)</t>
  </si>
  <si>
    <t>Kudapan pelatihan MKE (65 org X 2 hari X 2 kali)</t>
  </si>
  <si>
    <t>Biaya Institusi pengirim narasumber Keperawatan luka (30 peserta)</t>
  </si>
  <si>
    <t>Makanan dan minuman pelatihan Keperawatan Luka (45 org X 4 hari)</t>
  </si>
  <si>
    <t>Kudapan pelatihan Keperawatan Luka (45 org X 4 hari X 2 kali)</t>
  </si>
  <si>
    <t>Honor pemateri pendamping MPKP (2 org X 3 JP X 3 hr X 4 mgg X 3 bln)</t>
  </si>
  <si>
    <t>Honor pemateri lokal MPKP (1 org X 9 JP X 4 hr)</t>
  </si>
  <si>
    <t xml:space="preserve">Uang harian Gol IV (3 org X 6 hr) </t>
  </si>
  <si>
    <t xml:space="preserve">Penginapan Gol IV (3 org X 5 mlm) </t>
  </si>
  <si>
    <t xml:space="preserve">Uang harian Gol IV (3 org X 4 hr) </t>
  </si>
  <si>
    <t xml:space="preserve">Penginapan Gol IV (3 org X 3 mlm) </t>
  </si>
  <si>
    <t xml:space="preserve">Penginapan Gol IV (2 org X 3 mlm) </t>
  </si>
  <si>
    <t xml:space="preserve">Uang harian Gol IV (2 org X 4 hr) </t>
  </si>
  <si>
    <t>40+7+3</t>
  </si>
  <si>
    <t>Panitia pelatihan asesor kompetensi perawat (25 org X 5 hr)</t>
  </si>
  <si>
    <t>Uang saku peserta pelatihan BHD (3 org X 4 hr)</t>
  </si>
  <si>
    <t>Uang saku peserta pelatihan Keperawatan Kritis (45 org X 2 hr)</t>
  </si>
  <si>
    <t>Uang saku peserta pelatihan Keperawatan Luka (30 org X 4 hr)</t>
  </si>
  <si>
    <t>Uang saku peserta pelatihan K3RS (50 org X 2 hr)</t>
  </si>
  <si>
    <t>Uang saku peserta pelatihan MPKP (46 org X 4 hr)</t>
  </si>
  <si>
    <t>Uang saku peserta pelatihan peningkatan mutu rs (40 org X 3 hr)</t>
  </si>
  <si>
    <t>Uang saku peserta pelatihan MKE (50 org X 2 hr)</t>
  </si>
  <si>
    <t>Penginapan Gol IV (12 org X 3 mlm)</t>
  </si>
  <si>
    <t>Uang harian Gol IV (12 org X 4 hr)</t>
  </si>
  <si>
    <t>Uang harian Gol III (24 org X 4 hr)</t>
  </si>
  <si>
    <t>Penginapan Gol III (24 org X 3 mlm)</t>
  </si>
  <si>
    <t>Uang saku pelatihan dalam daerah</t>
  </si>
  <si>
    <t>Stempel nama dokter otomatis</t>
  </si>
  <si>
    <t>Belanja Jasa Publikasi</t>
  </si>
  <si>
    <t>Pembantu Pengurus Barang Pengguna (3 org x 12 bln)</t>
  </si>
  <si>
    <t>NAMA KEGIATAN</t>
  </si>
  <si>
    <t xml:space="preserve">VOLUME </t>
  </si>
  <si>
    <t xml:space="preserve">SATUAN </t>
  </si>
  <si>
    <t>HARGA SATUAN</t>
  </si>
  <si>
    <t>Peningkatan Diklat Medis/non medis</t>
  </si>
  <si>
    <t>I</t>
  </si>
  <si>
    <t>II</t>
  </si>
  <si>
    <t>Biaya perjalanan rapat visitasi kenaikan kelas rumah sakit</t>
  </si>
  <si>
    <t>Biaya perjalanan rapat koordinasi teknis dana alokasi khusus tahun 2019 dengan kementrian kesehatan dan keuangan</t>
  </si>
  <si>
    <t>Dan rapat - rapat koordinasi dan konsultasi lainnya</t>
  </si>
  <si>
    <t>Biaya perjalanan tim surveyor komite akreditasi rumah sakit untuk penilaian verifikasi</t>
  </si>
  <si>
    <t>Biaya perjalanan petugas badan pengaman fasilitas kesehatan untuk kalibrasi alat kesehatan rumah sakit</t>
  </si>
  <si>
    <t>Transportasi Pelatihan Penanganan Obat Kanker</t>
  </si>
  <si>
    <t>Transportasi Pelatihan dasar keperawatan intensive</t>
  </si>
  <si>
    <t>Biaya pelatihan perawat ICU selama 3 bulan di RS Hasan Sadikin Bandung</t>
  </si>
  <si>
    <t>Biaya pelatihan apoteker dan asisten apoteker di RS Darmais Jakarta</t>
  </si>
  <si>
    <t>Biaya pelatihan dokter spesialis, tenaga perawat, penunjang dan manajeman dalam rangka memenuhi kebutuhan peningkatan pelayanan spesialistik seperti bedah laparoscopy, bedah obgyn dan bedah anak</t>
  </si>
  <si>
    <t>Lampiran : Penjelasan Rincian Biaya Perjalanan Dinas pada RSIA Tahun Anggaran 2018</t>
  </si>
  <si>
    <t>Nomor    : 905/              2018</t>
  </si>
  <si>
    <t xml:space="preserve">Direktur Rumah Sakit Ibu dan Anak Pemerintah Aceh
</t>
  </si>
  <si>
    <t>dr. Amri Kiflan, M.Kes</t>
  </si>
  <si>
    <t>NIP.19631019 199509 1 001</t>
  </si>
  <si>
    <t>Biaya untuk mengikuti rapat-rapat atau menghadiri undangan dalam Provinsi Aceh</t>
  </si>
  <si>
    <t>Biaya untuk mengikuti pelatihan yang diselenggarakan di dalam daerah Provinsi Aceh</t>
  </si>
  <si>
    <t>Biaya narasumber pelatihan BTCLS dari Jakarta ke Rumah Sakit Ibu dan Anak</t>
  </si>
  <si>
    <t>Biaya narasumber pelatihan BLS &amp; ACLS dari Jakarta ke Rumah Sakit Ibu dan Anak</t>
  </si>
  <si>
    <t>Biaya narasumber pelatihan manajemen komunikasi efektif dari Jakarta ke Rumah Sakit Ibu dan Anak</t>
  </si>
  <si>
    <t>Biaya narasumber pelatihan Asesor keperawatan dari Jakarta ke Rumah Sakit Ibu dan Anak</t>
  </si>
  <si>
    <t>Biaya narasumber pelatihan peningkatan mutu dari Jakarta ke Rumah Sakit Ibu dan Anak</t>
  </si>
  <si>
    <t>Piutang</t>
  </si>
  <si>
    <t>AED</t>
  </si>
  <si>
    <t>Rehab Ruang Rawat Inap Dewasa (kamar isolasi dan kelas II)</t>
  </si>
  <si>
    <t>Direct Optalmoscop</t>
  </si>
  <si>
    <t>: 1.01.02 KESEHATAN</t>
  </si>
  <si>
    <t>: 1.01.02.04 RUMAH SAKIT IBU DAN ANAK</t>
  </si>
  <si>
    <t>: 1.01.02.1.02.04.37. Program Pelayanan Kesehatan Masyarakat Pada Badan Layanan Umum Daerah ( BLUD )</t>
  </si>
  <si>
    <t>: 1.01.02.1.02.04.37.001. Peningkatan Kualitas dan Pendukung Pelayanan</t>
  </si>
  <si>
    <t>BTL</t>
  </si>
  <si>
    <t>BL</t>
  </si>
  <si>
    <t>PAGU</t>
  </si>
  <si>
    <t>dokter saraf perhari</t>
  </si>
  <si>
    <t>dokter sub tumbuh kembang perhari</t>
  </si>
  <si>
    <t>Pengajar/fasiltator/instruktur</t>
  </si>
  <si>
    <t>Kudapan workshop/pelatihan internal</t>
  </si>
  <si>
    <t>Jam</t>
  </si>
  <si>
    <t>Realisasi S/D Oktober</t>
  </si>
  <si>
    <t>Honorarium Penyusunan Profil Rumah Sakit</t>
  </si>
  <si>
    <t>Honorarium Tenaga RUP (2 Org x 6 Bulan)</t>
  </si>
  <si>
    <t>Honorarium Tim Penyusun Buletin RSIA</t>
  </si>
  <si>
    <t>Tim</t>
  </si>
  <si>
    <t>Honorarium Tim Penyusun Renstra</t>
  </si>
  <si>
    <t>Pengadaan mobil dinas DALAM RANGKA PENINGKATAN PELAYANAN PIMPINAN</t>
  </si>
  <si>
    <t>Jenjang pendidikan D3 (5 orang X 12 bln)</t>
  </si>
  <si>
    <t>Ventilator (OTSUS)</t>
  </si>
  <si>
    <t>Jenjang pendidikan D3 (66 orang X 12 bln)</t>
  </si>
  <si>
    <t>Uang harian (7 org X 4 hr)</t>
  </si>
  <si>
    <t>Penginapan (7 org X 3 mlm)</t>
  </si>
  <si>
    <t>Penanggung jawab (1 org X 6 bln)</t>
  </si>
  <si>
    <t>Analisi teknologi informasi dan komunikasi (1 org X 6 bln)</t>
  </si>
  <si>
    <t>Administratator jaringan (1 org X 6 bln)</t>
  </si>
  <si>
    <t>Administrasi data base (1 org X 6 bln)</t>
  </si>
  <si>
    <t>Pengelola aplikasi (1 org X 6 bln)</t>
  </si>
  <si>
    <t>Teknisi jaringan (1 org X 6 bln)</t>
  </si>
  <si>
    <t>Golongan II (6 jam  X 2 hr X 7 bln X 7 org)</t>
  </si>
  <si>
    <t>Golongan III (6 jam  X 2 hr X 7 bln X 8 org)</t>
  </si>
  <si>
    <t>Golongan IV (6 jam  X 2 hr X 7 bln X 5 org)</t>
  </si>
  <si>
    <t>AC 1 PK (91 unit X 3 kali)</t>
  </si>
  <si>
    <t>AC 2 PK (51 unit X 3 kali)</t>
  </si>
  <si>
    <t>AC Casset 2 PK (14 unit X 3 kali)</t>
  </si>
  <si>
    <t>Honor dokter sub spesialis Tumbuh Kembang Anak (52 minggu X 1 org X 2 kl)</t>
  </si>
  <si>
    <t>Honor dokter sub spesialis (52 minggu X 1 org X 1 kl)</t>
  </si>
  <si>
    <t>Honor dokter spesialis Obgyn Sub Onkologi (52 minggu X 2 kl) (OTSUS)</t>
  </si>
  <si>
    <t>Honor dokter spesialis Saraf (54 minggu X 2 kl)</t>
  </si>
  <si>
    <t>DOKUMEN REVISI PELAKSANAAN ANGGARAN</t>
  </si>
  <si>
    <t>1.01.02.1.01.02.04.02.35.001.5.2.</t>
  </si>
  <si>
    <t>: 1.01.02.1.01.02.04.35. - Program Peningkatan Sumberdaya Kesehatan</t>
  </si>
  <si>
    <t>: 1.01.02.1.01.02.04.35.001. - Peningkatan Diklat Medis/Non Medis</t>
  </si>
  <si>
    <t>: DANA OTSUS,</t>
  </si>
  <si>
    <t>Perubahan Indikator &amp; Tolak Ukur Kinerja Belanja Langsung</t>
  </si>
  <si>
    <t>Sebelum Perubahan</t>
  </si>
  <si>
    <t>Sesudah Perubahan</t>
  </si>
  <si>
    <t xml:space="preserve">Sebelum Perubahan </t>
  </si>
  <si>
    <t>Peningkatan capaian pelayanan rawat jalan</t>
  </si>
  <si>
    <t>Tersedianya honorarium, bahan habis pakai, dan alat kesehatan sesuai dengan keburuhan rumah sakit</t>
  </si>
  <si>
    <t>Meningkatnya kualiatas pelayanan rawat jalan sesuai dengan standar pelayanan minimal dan standar pelayanan medis</t>
  </si>
  <si>
    <t>Rincian Perubahan Anggaran Belanja Langsung Menurut Program dan Per Kegiatan Satuan Kerja Perangkat Aceh</t>
  </si>
  <si>
    <t>Setelah Perubahan</t>
  </si>
  <si>
    <t>Bertambah/Berkurang</t>
  </si>
  <si>
    <t>%</t>
  </si>
  <si>
    <t>10=7x8</t>
  </si>
  <si>
    <t>Uang harian (8 org X 4 hr)</t>
  </si>
  <si>
    <t>Penginapan (8 org X 3 mlm)</t>
  </si>
  <si>
    <t>Uang harian Gol III (2 org X 2 hr)</t>
  </si>
  <si>
    <t>Uang harian Gol III (2 org X 93 hr)</t>
  </si>
  <si>
    <t>Penginapan Gol III (2 org X 2 mlm) hotel</t>
  </si>
  <si>
    <t>Penginapan Gol III (2 org X 3 bln) kos</t>
  </si>
  <si>
    <t>Pelatihan USG Dokter Spesialis Penyakit Dalam</t>
  </si>
  <si>
    <t>Uang harian Gol IV (1 org X 6 hr)</t>
  </si>
  <si>
    <t>Penginapan Gol IV (1 org X 5 mlm)</t>
  </si>
  <si>
    <t>Honor pemateri pendamping MPKP (2 org X 3 JP X 3 hr X 4 mgg X 2 bln)</t>
  </si>
  <si>
    <t>Banda Aceh, 16 Maret 2018</t>
  </si>
  <si>
    <t>Pengguna Anggaran</t>
  </si>
  <si>
    <t>Cryosurgery system (OTSUS)</t>
  </si>
  <si>
    <t>Bed ICU (OTSUS)</t>
  </si>
  <si>
    <t>Honor dokter spesialis Obgyn (2 org X 12 bln) (OTSUS)</t>
  </si>
  <si>
    <t>Bed Pasien (OTSUS)</t>
  </si>
  <si>
    <t>Uang harian Gol III (9 org X 4 hr)</t>
  </si>
  <si>
    <t>Penginapan Gol III (9 org X 3 mlm)</t>
  </si>
  <si>
    <t>Uang harian Eselon II (1 org X 4 hr X 2 kali)</t>
  </si>
  <si>
    <t>Penginapan Eselon II (1 org X 3 mlm X 2 kali)</t>
  </si>
  <si>
    <t>Uang Representatif (1 org X 4 hr X 2 kali)</t>
  </si>
  <si>
    <t>Cetak Majalah</t>
  </si>
  <si>
    <t>Locker</t>
  </si>
  <si>
    <t>Kontribusi Pelatihan</t>
  </si>
  <si>
    <t>Uang harian Gol III (13 org X 4 hr)</t>
  </si>
  <si>
    <t>Penginapan Gol III (13 org X 3 mlm)</t>
  </si>
  <si>
    <t>Uang harian Gol IV (10 org X 4 hr)</t>
  </si>
  <si>
    <t>Penginapan Gol IV (10 org X 3 mlm)</t>
  </si>
  <si>
    <t xml:space="preserve">Banda Aceh, </t>
  </si>
  <si>
    <t>Catridge Hitam</t>
  </si>
  <si>
    <t>Catridge Warna</t>
  </si>
  <si>
    <t>Pelatihan SDM Manajemen dan Pelayanan</t>
  </si>
  <si>
    <t>Uang harian Gol III (14 org X 4 hr)</t>
  </si>
  <si>
    <t>Penginapan Gol III (14 org X 3 mlm)</t>
  </si>
  <si>
    <t>Uang harian Eselon II (1 org X 4 hr X 4 kali)</t>
  </si>
  <si>
    <t>Penginapan Eselon II (1 org X 3 mlm X 4 kali)</t>
  </si>
  <si>
    <t>Uang Representatif (1 org X 4 hr X 4 kali)</t>
  </si>
  <si>
    <t>Lemari Arsip Keuangan</t>
  </si>
  <si>
    <t>Rehab ruang tindakan IGD</t>
  </si>
  <si>
    <t>Perpanjangan Izin Gangguan (HO)</t>
  </si>
  <si>
    <t>SILPA</t>
  </si>
  <si>
    <t>Pendapatan</t>
  </si>
  <si>
    <t>Jasa Publikasi</t>
  </si>
  <si>
    <t>Belanja Modal Pengadaan Alat Laboratorium Patologi</t>
  </si>
  <si>
    <t>Semi-enclosed tissue processor</t>
  </si>
  <si>
    <t>Manual rotary microtomes (with retraction)</t>
  </si>
  <si>
    <t>Staining jar</t>
  </si>
  <si>
    <t>Belanja Makanan Ekstra Tenaga Dokter, Perawat dan Penunjang Jaga Malam ( 71 org X 90 Hari )</t>
  </si>
  <si>
    <t>Belanja Makanan Ekstra Bagi Petugas Kemotherapi/Resiko Tinggi (3 org X 90 Hari)</t>
  </si>
  <si>
    <t>AC 2 PK dan instalasi</t>
  </si>
  <si>
    <t>AC 1 PK dan instalasi</t>
  </si>
  <si>
    <t>Laptop</t>
  </si>
  <si>
    <t>Banda Aceh, 28 Maret 2018</t>
  </si>
  <si>
    <t>Belanja Modal Pengadaan Alat Komunikasi</t>
  </si>
  <si>
    <t>Belanja Modal Pengadaan Alat Komunikasi Telephone</t>
  </si>
  <si>
    <t>Pengadaan Handphone untuk menerima keluhan pasien</t>
  </si>
  <si>
    <t>Belanja Administrasi/pendaftaran/Iuran</t>
  </si>
  <si>
    <t>Belanja Administrasi/Pendaftaran/Iuran</t>
  </si>
  <si>
    <t>Iuran pembakaran limbah medis</t>
  </si>
  <si>
    <t>Printer dot matrix kecil</t>
  </si>
  <si>
    <t>Printer dot matrix besar</t>
  </si>
  <si>
    <t>Belanja Modal Pengadaan Alat Pembersih</t>
  </si>
  <si>
    <t>Mesin kompresor pipa limbah</t>
  </si>
  <si>
    <t xml:space="preserve">Lemari tempahan </t>
  </si>
  <si>
    <t xml:space="preserve">Obat </t>
  </si>
  <si>
    <t>RITL &amp; RJTL</t>
  </si>
  <si>
    <t xml:space="preserve">Sumber Pendapatan </t>
  </si>
  <si>
    <t>Realisasi s/d Desember 2017 (Rp)</t>
  </si>
  <si>
    <t>Proyeksi Tahun 2018 (Rp)</t>
  </si>
  <si>
    <t xml:space="preserve">Jasa Layanan </t>
  </si>
  <si>
    <t xml:space="preserve">BPJS Kesehatan </t>
  </si>
  <si>
    <t>Umum</t>
  </si>
  <si>
    <t>SALDO KAS</t>
  </si>
  <si>
    <t>C</t>
  </si>
  <si>
    <t>APBD</t>
  </si>
  <si>
    <t>Realisasi  2018 (Rp)</t>
  </si>
  <si>
    <t>Persentase</t>
  </si>
  <si>
    <t>Okt,Nov, Des 17 &amp; Jan 18</t>
  </si>
  <si>
    <t>Jan s/d April 18</t>
  </si>
</sst>
</file>

<file path=xl/styles.xml><?xml version="1.0" encoding="utf-8"?>
<styleSheet xmlns="http://schemas.openxmlformats.org/spreadsheetml/2006/main">
  <numFmts count="32">
    <numFmt numFmtId="8" formatCode="&quot;£&quot;#,##0.00;[Red]\-&quot;£&quot;#,##0.00"/>
    <numFmt numFmtId="43" formatCode="_-* #,##0.00_-;\-* #,##0.00_-;_-* &quot;-&quot;??_-;_-@_-"/>
    <numFmt numFmtId="164" formatCode="&quot;$&quot;#,##0_);[Red]\(&quot;$&quot;#,##0\)"/>
    <numFmt numFmtId="165" formatCode="_(* #,##0_);_(* \(#,##0\);_(* &quot;-&quot;_);_(@_)"/>
    <numFmt numFmtId="166" formatCode="_(* #,##0.00_);_(* \(#,##0.00\);_(* &quot;-&quot;??_);_(@_)"/>
    <numFmt numFmtId="167" formatCode="&quot;Rp&quot;#,##0_);\(&quot;Rp&quot;#,##0\)"/>
    <numFmt numFmtId="168" formatCode="_(&quot;Rp&quot;* #,##0_);_(&quot;Rp&quot;* \(#,##0\);_(&quot;Rp&quot;* &quot;-&quot;_);_(@_)"/>
    <numFmt numFmtId="169" formatCode="_(&quot;Rp&quot;* #,##0.00_);_(&quot;Rp&quot;* \(#,##0.00\);_(&quot;Rp&quot;* &quot;-&quot;??_);_(@_)"/>
    <numFmt numFmtId="170" formatCode="_(* #,##0.00_);_(* \(#,##0.00\);_(* &quot;-&quot;_);_(@_)"/>
    <numFmt numFmtId="171" formatCode="&quot;Rp&quot;#,##0"/>
    <numFmt numFmtId="172" formatCode="_(* #,##0_);_(* \(#,##0\);_(* &quot;-&quot;??_);_(@_)"/>
    <numFmt numFmtId="173" formatCode="#,##0;[Red]#,##0"/>
    <numFmt numFmtId="174" formatCode="_(* #,##0.000_);_(* \(#,##0.000\);_(* &quot;-&quot;_);_(@_)"/>
    <numFmt numFmtId="175" formatCode="_-* #,##0_-;\-* #,##0_-;_-* &quot;-&quot;??_-;_-@_-"/>
    <numFmt numFmtId="176" formatCode="0;[Red]0"/>
    <numFmt numFmtId="177" formatCode="[$-F800]dddd\,\ m\ dd\,\ yyyy"/>
    <numFmt numFmtId="178" formatCode="#,##0.0"/>
    <numFmt numFmtId="179" formatCode="_([$€-2]* #,##0.00_);_([$€-2]* \(#,##0.00\);_([$€-2]* &quot;-&quot;??_)"/>
    <numFmt numFmtId="180" formatCode="[$-F800]dddd\,\ mmmm\ dd\,\ yyyy"/>
    <numFmt numFmtId="181" formatCode="0.00_)"/>
    <numFmt numFmtId="182" formatCode="0.000"/>
    <numFmt numFmtId="183" formatCode="\R\p\ #,##0.00"/>
    <numFmt numFmtId="184" formatCode="\(#\ &quot;Org&quot;"/>
    <numFmt numFmtId="185" formatCode="&quot;x&quot;\ #\ &quot;Bln&quot;\)"/>
    <numFmt numFmtId="186" formatCode="#\ &quot;Bln&quot;\)"/>
    <numFmt numFmtId="187" formatCode="&quot;x&quot;\ \ #\ &quot;Kl&quot;\)"/>
    <numFmt numFmtId="188" formatCode="&quot;x&quot;\ #\ &quot;hr&quot;"/>
    <numFmt numFmtId="189" formatCode="General\."/>
    <numFmt numFmtId="190" formatCode="_-[$Rp-421]* #,##0.00_ ;_-[$Rp-421]* \-#,##0.00\ ;_-[$Rp-421]* &quot;-&quot;??_ ;_-@_ "/>
    <numFmt numFmtId="191" formatCode="&quot;Banda Aceh, tanggal &quot;dd\-mmmm\-yyyy"/>
    <numFmt numFmtId="192" formatCode="\R\p\ #,##0"/>
    <numFmt numFmtId="193" formatCode="_(\R\p* #,##0.00_);_(&quot;$&quot;* \(#,##0.00\);_(&quot;$&quot;* &quot;-&quot;??_);_(@_)"/>
  </numFmts>
  <fonts count="17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Narrow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FF00"/>
      <name val="Arial"/>
      <family val="2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11"/>
      <name val="Tahoma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b/>
      <sz val="8"/>
      <color indexed="81"/>
      <name val="Arial Narrow"/>
      <family val="2"/>
    </font>
    <font>
      <b/>
      <sz val="10"/>
      <color theme="1"/>
      <name val="Arial Narrow"/>
      <family val="2"/>
    </font>
    <font>
      <sz val="10"/>
      <color indexed="8"/>
      <name val="Arial Narrow"/>
      <family val="2"/>
    </font>
    <font>
      <sz val="11"/>
      <name val="Calibri"/>
      <family val="2"/>
      <scheme val="minor"/>
    </font>
    <font>
      <sz val="10"/>
      <name val="Tahoma"/>
      <family val="2"/>
    </font>
    <font>
      <sz val="11"/>
      <color theme="1"/>
      <name val="Calibri"/>
      <family val="2"/>
      <charset val="1"/>
      <scheme val="minor"/>
    </font>
    <font>
      <sz val="12"/>
      <name val="Tahoma"/>
      <family val="2"/>
    </font>
    <font>
      <b/>
      <sz val="12"/>
      <name val="Tahoma"/>
      <family val="2"/>
    </font>
    <font>
      <sz val="11"/>
      <color indexed="8"/>
      <name val="Calibri"/>
      <family val="2"/>
      <charset val="1"/>
    </font>
    <font>
      <sz val="12"/>
      <color indexed="8"/>
      <name val="Tahoma"/>
      <family val="2"/>
    </font>
    <font>
      <b/>
      <sz val="12"/>
      <color indexed="8"/>
      <name val="Tahoma"/>
      <family val="2"/>
    </font>
    <font>
      <b/>
      <i/>
      <sz val="12"/>
      <name val="Tahoma"/>
      <family val="2"/>
    </font>
    <font>
      <sz val="12"/>
      <color theme="1"/>
      <name val="Tahoma"/>
      <family val="2"/>
    </font>
    <font>
      <b/>
      <u/>
      <sz val="12"/>
      <color indexed="8"/>
      <name val="Tahoma"/>
      <family val="2"/>
    </font>
    <font>
      <b/>
      <u/>
      <sz val="11"/>
      <color indexed="8"/>
      <name val="Tahoma"/>
      <family val="2"/>
    </font>
    <font>
      <b/>
      <sz val="11"/>
      <name val="Tahoma"/>
      <family val="2"/>
    </font>
    <font>
      <sz val="11"/>
      <color indexed="8"/>
      <name val="Tahoma"/>
      <family val="2"/>
    </font>
    <font>
      <sz val="11"/>
      <color indexed="9"/>
      <name val="Calibri"/>
      <family val="2"/>
      <charset val="1"/>
    </font>
    <font>
      <sz val="11"/>
      <color indexed="9"/>
      <name val="Calibri"/>
      <family val="2"/>
    </font>
    <font>
      <sz val="11"/>
      <color indexed="20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  <charset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1"/>
      <name val="Calibri"/>
      <family val="2"/>
      <charset val="1"/>
      <scheme val="minor"/>
    </font>
    <font>
      <sz val="10"/>
      <name val="MS Sans Serif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name val="Arial"/>
      <family val="2"/>
      <charset val="1"/>
    </font>
    <font>
      <i/>
      <sz val="11"/>
      <color indexed="23"/>
      <name val="Calibri"/>
      <family val="2"/>
      <charset val="1"/>
    </font>
    <font>
      <i/>
      <sz val="11"/>
      <color indexed="23"/>
      <name val="Calibri"/>
      <family val="2"/>
    </font>
    <font>
      <sz val="11"/>
      <color indexed="17"/>
      <name val="Calibri"/>
      <family val="2"/>
      <charset val="1"/>
    </font>
    <font>
      <sz val="11"/>
      <color indexed="17"/>
      <name val="Calibri"/>
      <family val="2"/>
    </font>
    <font>
      <sz val="11"/>
      <color rgb="FF006100"/>
      <name val="Calibri"/>
      <family val="2"/>
      <charset val="1"/>
      <scheme val="minor"/>
    </font>
    <font>
      <b/>
      <sz val="15"/>
      <color indexed="56"/>
      <name val="Calibri"/>
      <family val="2"/>
      <charset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  <charset val="1"/>
    </font>
    <font>
      <b/>
      <sz val="13"/>
      <color indexed="56"/>
      <name val="Calibri"/>
      <family val="2"/>
    </font>
    <font>
      <b/>
      <sz val="11"/>
      <color indexed="56"/>
      <name val="Calibri"/>
      <family val="2"/>
      <charset val="1"/>
    </font>
    <font>
      <b/>
      <sz val="11"/>
      <color indexed="56"/>
      <name val="Calibri"/>
      <family val="2"/>
    </font>
    <font>
      <u/>
      <sz val="7"/>
      <color theme="10"/>
      <name val="MS Sans Serif"/>
      <family val="2"/>
    </font>
    <font>
      <u/>
      <sz val="11"/>
      <color theme="10"/>
      <name val="Calibri"/>
      <family val="2"/>
    </font>
    <font>
      <sz val="9"/>
      <name val="Times New Roman Cyr"/>
      <family val="1"/>
      <charset val="204"/>
    </font>
    <font>
      <sz val="11"/>
      <color indexed="62"/>
      <name val="Calibri"/>
      <family val="2"/>
      <charset val="1"/>
    </font>
    <font>
      <sz val="11"/>
      <color indexed="62"/>
      <name val="Calibri"/>
      <family val="2"/>
    </font>
    <font>
      <sz val="11"/>
      <color indexed="52"/>
      <name val="Calibri"/>
      <family val="2"/>
      <charset val="1"/>
    </font>
    <font>
      <sz val="11"/>
      <color indexed="52"/>
      <name val="Calibri"/>
      <family val="2"/>
    </font>
    <font>
      <sz val="11"/>
      <color indexed="60"/>
      <name val="Calibri"/>
      <family val="2"/>
      <charset val="1"/>
    </font>
    <font>
      <sz val="11"/>
      <color indexed="60"/>
      <name val="Calibri"/>
      <family val="2"/>
    </font>
    <font>
      <sz val="11"/>
      <color rgb="FF9C6500"/>
      <name val="Calibri"/>
      <family val="2"/>
      <charset val="1"/>
      <scheme val="minor"/>
    </font>
    <font>
      <b/>
      <i/>
      <sz val="16"/>
      <name val="Helv"/>
    </font>
    <font>
      <b/>
      <sz val="11"/>
      <color indexed="63"/>
      <name val="Calibri"/>
      <family val="2"/>
      <charset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  <charset val="1"/>
    </font>
    <font>
      <b/>
      <sz val="18"/>
      <color indexed="56"/>
      <name val="Cambria"/>
      <family val="2"/>
    </font>
    <font>
      <sz val="10"/>
      <color indexed="12"/>
      <name val="Tahoma"/>
      <family val="2"/>
    </font>
    <font>
      <b/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sz val="11"/>
      <color indexed="10"/>
      <name val="Calibri"/>
      <family val="2"/>
      <charset val="1"/>
    </font>
    <font>
      <sz val="11"/>
      <color indexed="10"/>
      <name val="Calibri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name val="Calibri"/>
      <family val="2"/>
      <scheme val="minor"/>
    </font>
    <font>
      <b/>
      <sz val="13"/>
      <color indexed="8"/>
      <name val="Calibri"/>
      <family val="2"/>
    </font>
    <font>
      <b/>
      <sz val="12"/>
      <color indexed="8"/>
      <name val="Calibri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1"/>
      <name val="Times New Roman"/>
      <family val="1"/>
    </font>
    <font>
      <b/>
      <sz val="11"/>
      <name val="Arial"/>
      <family val="2"/>
    </font>
    <font>
      <b/>
      <sz val="12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7"/>
      <name val="Arial"/>
      <family val="2"/>
    </font>
    <font>
      <sz val="8"/>
      <name val="Arial"/>
      <family val="2"/>
    </font>
    <font>
      <i/>
      <sz val="8"/>
      <name val="Times New Roman"/>
      <family val="1"/>
    </font>
    <font>
      <i/>
      <sz val="8"/>
      <color theme="0" tint="-0.34998626667073579"/>
      <name val="Times New Roman"/>
      <family val="1"/>
    </font>
    <font>
      <i/>
      <sz val="8"/>
      <name val="Arial"/>
      <family val="2"/>
    </font>
    <font>
      <i/>
      <sz val="8"/>
      <color theme="0" tint="-0.249977111117893"/>
      <name val="Times New Roman"/>
      <family val="1"/>
    </font>
    <font>
      <sz val="8"/>
      <color theme="0" tint="-0.249977111117893"/>
      <name val="Times New Roman"/>
      <family val="1"/>
    </font>
    <font>
      <i/>
      <sz val="8"/>
      <color theme="0" tint="-0.14999847407452621"/>
      <name val="Times New Roman"/>
      <family val="1"/>
    </font>
    <font>
      <b/>
      <i/>
      <sz val="8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8"/>
      <color indexed="9"/>
      <name val="Times New Roman"/>
      <family val="1"/>
    </font>
    <font>
      <sz val="10"/>
      <color indexed="9"/>
      <name val="Times New Roman"/>
      <family val="1"/>
    </font>
    <font>
      <sz val="8"/>
      <color indexed="9"/>
      <name val="Times New Roman"/>
      <family val="1"/>
    </font>
    <font>
      <b/>
      <sz val="8"/>
      <color indexed="9"/>
      <name val="Arial"/>
      <family val="2"/>
    </font>
    <font>
      <sz val="10"/>
      <color indexed="9"/>
      <name val="Arial"/>
      <family val="2"/>
    </font>
    <font>
      <sz val="9"/>
      <color indexed="9"/>
      <name val="Arial"/>
      <family val="2"/>
    </font>
    <font>
      <b/>
      <sz val="10"/>
      <color indexed="9"/>
      <name val="Arial"/>
      <family val="2"/>
    </font>
    <font>
      <sz val="8"/>
      <color indexed="9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name val="Calibri"/>
      <family val="2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8"/>
      <color rgb="FF333333"/>
      <name val="Tahoma"/>
      <family val="2"/>
    </font>
    <font>
      <b/>
      <sz val="10"/>
      <color rgb="FF333333"/>
      <name val="Arial"/>
      <family val="2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333333"/>
      <name val="Tahoma"/>
      <family val="2"/>
    </font>
    <font>
      <sz val="11"/>
      <color rgb="FF333333"/>
      <name val="Tahoma"/>
      <family val="2"/>
    </font>
    <font>
      <b/>
      <sz val="11"/>
      <color indexed="8"/>
      <name val="Tahoma"/>
      <family val="2"/>
    </font>
    <font>
      <sz val="9"/>
      <color rgb="FFFF0000"/>
      <name val="Calibri"/>
      <family val="2"/>
    </font>
    <font>
      <b/>
      <sz val="12"/>
      <name val="Arial Narrow"/>
      <family val="2"/>
    </font>
    <font>
      <sz val="10"/>
      <name val="Arial"/>
      <family val="2"/>
    </font>
    <font>
      <sz val="8"/>
      <color rgb="FFFF0000"/>
      <name val="Times New Roman"/>
      <family val="1"/>
    </font>
    <font>
      <i/>
      <sz val="12"/>
      <name val="Tahoma"/>
      <family val="2"/>
    </font>
    <font>
      <b/>
      <sz val="16"/>
      <name val="Tahoma"/>
      <family val="2"/>
    </font>
    <font>
      <sz val="11"/>
      <color theme="1"/>
      <name val="Arial"/>
      <family val="2"/>
    </font>
    <font>
      <b/>
      <sz val="9"/>
      <color indexed="8"/>
      <name val="Arial"/>
      <family val="2"/>
    </font>
    <font>
      <b/>
      <sz val="12"/>
      <name val="Calibri"/>
      <family val="2"/>
    </font>
    <font>
      <b/>
      <sz val="10"/>
      <color indexed="81"/>
      <name val="Tahoma"/>
      <family val="2"/>
    </font>
    <font>
      <b/>
      <sz val="11"/>
      <color rgb="FF0070C0"/>
      <name val="Calibri"/>
      <family val="2"/>
    </font>
    <font>
      <b/>
      <sz val="11"/>
      <color rgb="FF0070C0"/>
      <name val="Calibri"/>
      <family val="2"/>
      <scheme val="minor"/>
    </font>
    <font>
      <sz val="10"/>
      <color theme="1"/>
      <name val="Tahoma"/>
      <family val="2"/>
    </font>
    <font>
      <sz val="10"/>
      <name val="Arial"/>
      <family val="2"/>
    </font>
    <font>
      <b/>
      <u/>
      <sz val="8"/>
      <name val="Times New Roman"/>
      <family val="1"/>
    </font>
    <font>
      <u/>
      <sz val="11"/>
      <color theme="10"/>
      <name val="Calibri"/>
      <family val="2"/>
      <charset val="1"/>
      <scheme val="minor"/>
    </font>
    <font>
      <u/>
      <sz val="11"/>
      <color theme="11"/>
      <name val="Calibri"/>
      <family val="2"/>
      <charset val="1"/>
      <scheme val="minor"/>
    </font>
    <font>
      <b/>
      <i/>
      <sz val="11"/>
      <color indexed="8"/>
      <name val="Tahoma"/>
      <family val="2"/>
    </font>
    <font>
      <b/>
      <i/>
      <sz val="11"/>
      <name val="Tahoma"/>
      <family val="2"/>
    </font>
    <font>
      <b/>
      <i/>
      <sz val="11"/>
      <color theme="1"/>
      <name val="Tahoma"/>
      <family val="2"/>
    </font>
    <font>
      <b/>
      <i/>
      <sz val="11"/>
      <color indexed="8"/>
      <name val="Calibri"/>
      <family val="2"/>
    </font>
    <font>
      <b/>
      <sz val="12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b/>
      <sz val="12"/>
      <color rgb="FF0070C0"/>
      <name val="Calibri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/>
      <name val="Arial Unicode MS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color theme="1"/>
      <name val="Arial Narrow"/>
      <family val="2"/>
    </font>
    <font>
      <b/>
      <u/>
      <sz val="12"/>
      <color theme="1"/>
      <name val="Arial Narrow"/>
      <family val="2"/>
    </font>
    <font>
      <sz val="10"/>
      <color rgb="FFFF0000"/>
      <name val="Arial"/>
      <family val="2"/>
    </font>
    <font>
      <b/>
      <i/>
      <sz val="8"/>
      <name val="Arial"/>
      <family val="2"/>
    </font>
    <font>
      <b/>
      <u/>
      <sz val="10"/>
      <name val="Arial"/>
      <family val="2"/>
    </font>
    <font>
      <b/>
      <sz val="12"/>
      <color theme="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10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4968">
    <xf numFmtId="0" fontId="0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166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29" fillId="0" borderId="0"/>
    <xf numFmtId="0" fontId="29" fillId="0" borderId="0"/>
    <xf numFmtId="165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3" fillId="0" borderId="0"/>
    <xf numFmtId="170" fontId="32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29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8" fillId="28" borderId="49" applyNumberFormat="0" applyAlignment="0" applyProtection="0"/>
    <xf numFmtId="0" fontId="48" fillId="28" borderId="49" applyNumberFormat="0" applyAlignment="0" applyProtection="0"/>
    <xf numFmtId="0" fontId="48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0" fontId="47" fillId="28" borderId="49" applyNumberFormat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72" fontId="32" fillId="0" borderId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" fillId="0" borderId="0" applyFont="0" applyFill="0" applyBorder="0" applyAlignment="0" applyProtection="0">
      <alignment vertical="top"/>
    </xf>
    <xf numFmtId="165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2" fontId="32" fillId="0" borderId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>
      <alignment vertical="top"/>
    </xf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32" fillId="0" borderId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50" fillId="0" borderId="0" applyFont="0" applyFill="0" applyBorder="0" applyAlignment="0" applyProtection="0"/>
    <xf numFmtId="164" fontId="32" fillId="0" borderId="0" applyFill="0" applyBorder="0" applyAlignment="0" applyProtection="0"/>
    <xf numFmtId="164" fontId="32" fillId="0" borderId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32" fillId="0" borderId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32" fillId="0" borderId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51" fillId="0" borderId="0" applyFont="0" applyFill="0" applyBorder="0" applyAlignment="0" applyProtection="0"/>
    <xf numFmtId="3" fontId="3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69" fontId="3" fillId="0" borderId="0" applyFont="0" applyFill="0" applyBorder="0" applyAlignment="0" applyProtection="0"/>
    <xf numFmtId="172" fontId="29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4" fontId="53" fillId="0" borderId="0"/>
    <xf numFmtId="0" fontId="2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" fontId="3" fillId="0" borderId="0" applyFont="0" applyFill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8" fillId="4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60" fillId="0" borderId="50" applyNumberFormat="0" applyFill="0" applyAlignment="0" applyProtection="0"/>
    <xf numFmtId="0" fontId="60" fillId="0" borderId="50" applyNumberFormat="0" applyFill="0" applyAlignment="0" applyProtection="0"/>
    <xf numFmtId="0" fontId="60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59" fillId="0" borderId="50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2" fillId="0" borderId="51" applyNumberFormat="0" applyFill="0" applyAlignment="0" applyProtection="0"/>
    <xf numFmtId="0" fontId="62" fillId="0" borderId="51" applyNumberFormat="0" applyFill="0" applyAlignment="0" applyProtection="0"/>
    <xf numFmtId="0" fontId="62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1" fillId="0" borderId="51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4" fillId="0" borderId="52" applyNumberFormat="0" applyFill="0" applyAlignment="0" applyProtection="0"/>
    <xf numFmtId="0" fontId="64" fillId="0" borderId="52" applyNumberFormat="0" applyFill="0" applyAlignment="0" applyProtection="0"/>
    <xf numFmtId="0" fontId="64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52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180" fontId="65" fillId="0" borderId="0" applyNumberFormat="0" applyFill="0" applyBorder="0" applyAlignment="0" applyProtection="0">
      <alignment vertical="top"/>
      <protection locked="0"/>
    </xf>
    <xf numFmtId="180" fontId="65" fillId="0" borderId="0" applyNumberFormat="0" applyFill="0" applyBorder="0" applyAlignment="0" applyProtection="0">
      <alignment vertical="top"/>
      <protection locked="0"/>
    </xf>
    <xf numFmtId="180" fontId="65" fillId="0" borderId="0" applyNumberFormat="0" applyFill="0" applyBorder="0" applyAlignment="0" applyProtection="0">
      <alignment vertical="top"/>
      <protection locked="0"/>
    </xf>
    <xf numFmtId="18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1" fillId="0" borderId="53" applyNumberFormat="0" applyFill="0" applyAlignment="0" applyProtection="0"/>
    <xf numFmtId="0" fontId="71" fillId="0" borderId="53" applyNumberFormat="0" applyFill="0" applyAlignment="0" applyProtection="0"/>
    <xf numFmtId="0" fontId="71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0" fillId="0" borderId="53" applyNumberFormat="0" applyFill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3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4" fillId="5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181" fontId="75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9" fontId="32" fillId="0" borderId="0"/>
    <xf numFmtId="0" fontId="29" fillId="0" borderId="0"/>
    <xf numFmtId="0" fontId="29" fillId="0" borderId="0"/>
    <xf numFmtId="179" fontId="32" fillId="0" borderId="0"/>
    <xf numFmtId="180" fontId="29" fillId="0" borderId="0"/>
    <xf numFmtId="180" fontId="29" fillId="0" borderId="0"/>
    <xf numFmtId="180" fontId="29" fillId="0" borderId="0"/>
    <xf numFmtId="180" fontId="32" fillId="0" borderId="0"/>
    <xf numFmtId="180" fontId="32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176" fontId="22" fillId="0" borderId="0"/>
    <xf numFmtId="174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0" fontId="3" fillId="0" borderId="0"/>
    <xf numFmtId="172" fontId="3" fillId="0" borderId="0"/>
    <xf numFmtId="172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0" fontId="50" fillId="0" borderId="0"/>
    <xf numFmtId="18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29" fillId="0" borderId="0"/>
    <xf numFmtId="0" fontId="29" fillId="0" borderId="0"/>
    <xf numFmtId="179" fontId="32" fillId="0" borderId="0"/>
    <xf numFmtId="180" fontId="29" fillId="0" borderId="0"/>
    <xf numFmtId="180" fontId="29" fillId="0" borderId="0"/>
    <xf numFmtId="180" fontId="29" fillId="0" borderId="0"/>
    <xf numFmtId="177" fontId="3" fillId="0" borderId="0"/>
    <xf numFmtId="0" fontId="3" fillId="0" borderId="0"/>
    <xf numFmtId="177" fontId="3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9" fontId="32" fillId="0" borderId="0"/>
    <xf numFmtId="0" fontId="32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177" fontId="22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50" fillId="0" borderId="0"/>
    <xf numFmtId="177" fontId="3" fillId="0" borderId="0"/>
    <xf numFmtId="177" fontId="3" fillId="0" borderId="0"/>
    <xf numFmtId="177" fontId="50" fillId="0" borderId="0"/>
    <xf numFmtId="177" fontId="50" fillId="0" borderId="0"/>
    <xf numFmtId="177" fontId="50" fillId="0" borderId="0"/>
    <xf numFmtId="17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32" fillId="0" borderId="0"/>
    <xf numFmtId="0" fontId="52" fillId="0" borderId="0" applyNumberFormat="0" applyFill="0" applyBorder="0" applyProtection="0">
      <alignment horizontal="left" vertical="top" wrapText="1"/>
    </xf>
    <xf numFmtId="0" fontId="3" fillId="0" borderId="0"/>
    <xf numFmtId="0" fontId="52" fillId="0" borderId="0" applyNumberFormat="0" applyFill="0" applyBorder="0" applyProtection="0">
      <alignment horizontal="left" vertical="top" wrapText="1"/>
    </xf>
    <xf numFmtId="0" fontId="52" fillId="0" borderId="0" applyNumberFormat="0" applyFill="0" applyBorder="0" applyProtection="0">
      <alignment horizontal="left" vertical="top" wrapText="1"/>
    </xf>
    <xf numFmtId="0" fontId="52" fillId="0" borderId="0" applyNumberFormat="0" applyFill="0" applyBorder="0" applyProtection="0">
      <alignment horizontal="left" vertical="top" wrapText="1"/>
    </xf>
    <xf numFmtId="0" fontId="52" fillId="0" borderId="0" applyNumberFormat="0" applyFill="0" applyBorder="0" applyProtection="0">
      <alignment horizontal="left" vertical="top" wrapText="1"/>
    </xf>
    <xf numFmtId="0" fontId="52" fillId="0" borderId="0" applyNumberFormat="0" applyFill="0" applyBorder="0" applyProtection="0">
      <alignment horizontal="left" vertical="top" wrapText="1"/>
    </xf>
    <xf numFmtId="0" fontId="52" fillId="0" borderId="0" applyNumberFormat="0" applyFill="0" applyBorder="0" applyProtection="0">
      <alignment horizontal="left" vertical="top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9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3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32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32" fillId="0" borderId="0"/>
    <xf numFmtId="0" fontId="3" fillId="0" borderId="0"/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9" fontId="32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9" fontId="32" fillId="0" borderId="0"/>
    <xf numFmtId="0" fontId="3" fillId="0" borderId="0"/>
    <xf numFmtId="177" fontId="29" fillId="0" borderId="0"/>
    <xf numFmtId="177" fontId="29" fillId="0" borderId="0"/>
    <xf numFmtId="177" fontId="5" fillId="0" borderId="0">
      <alignment vertical="top"/>
    </xf>
    <xf numFmtId="177" fontId="3" fillId="0" borderId="0"/>
    <xf numFmtId="177" fontId="3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9" fontId="32" fillId="0" borderId="0"/>
    <xf numFmtId="180" fontId="22" fillId="0" borderId="0"/>
    <xf numFmtId="180" fontId="22" fillId="0" borderId="0"/>
    <xf numFmtId="0" fontId="29" fillId="0" borderId="0"/>
    <xf numFmtId="177" fontId="32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179" fontId="32" fillId="0" borderId="0"/>
    <xf numFmtId="0" fontId="29" fillId="0" borderId="0"/>
    <xf numFmtId="0" fontId="29" fillId="0" borderId="0"/>
    <xf numFmtId="0" fontId="29" fillId="0" borderId="0"/>
    <xf numFmtId="180" fontId="2" fillId="0" borderId="0"/>
    <xf numFmtId="180" fontId="2" fillId="0" borderId="0"/>
    <xf numFmtId="18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179" fontId="32" fillId="0" borderId="0"/>
    <xf numFmtId="180" fontId="29" fillId="0" borderId="0"/>
    <xf numFmtId="0" fontId="29" fillId="0" borderId="0"/>
    <xf numFmtId="0" fontId="29" fillId="0" borderId="0"/>
    <xf numFmtId="177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3" fillId="0" borderId="0"/>
    <xf numFmtId="180" fontId="3" fillId="0" borderId="0"/>
    <xf numFmtId="180" fontId="3" fillId="0" borderId="0"/>
    <xf numFmtId="180" fontId="29" fillId="0" borderId="0"/>
    <xf numFmtId="176" fontId="29" fillId="0" borderId="0"/>
    <xf numFmtId="180" fontId="29" fillId="0" borderId="0"/>
    <xf numFmtId="0" fontId="29" fillId="0" borderId="0"/>
    <xf numFmtId="0" fontId="29" fillId="0" borderId="0"/>
    <xf numFmtId="179" fontId="32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9" fontId="32" fillId="0" borderId="0"/>
    <xf numFmtId="179" fontId="32" fillId="0" borderId="0"/>
    <xf numFmtId="179" fontId="32" fillId="0" borderId="0"/>
    <xf numFmtId="180" fontId="3" fillId="0" borderId="0"/>
    <xf numFmtId="180" fontId="3" fillId="0" borderId="0"/>
    <xf numFmtId="180" fontId="3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29" fillId="0" borderId="0"/>
    <xf numFmtId="0" fontId="29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79" fontId="2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179" fontId="2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177" fontId="3" fillId="0" borderId="0"/>
    <xf numFmtId="0" fontId="29" fillId="0" borderId="0"/>
    <xf numFmtId="177" fontId="3" fillId="0" borderId="0"/>
    <xf numFmtId="177" fontId="3" fillId="0" borderId="0"/>
    <xf numFmtId="180" fontId="3" fillId="0" borderId="0"/>
    <xf numFmtId="177" fontId="3" fillId="0" borderId="0"/>
    <xf numFmtId="177" fontId="3" fillId="0" borderId="0"/>
    <xf numFmtId="180" fontId="3" fillId="0" borderId="0"/>
    <xf numFmtId="177" fontId="3" fillId="0" borderId="0"/>
    <xf numFmtId="177" fontId="3" fillId="0" borderId="0"/>
    <xf numFmtId="180" fontId="3" fillId="0" borderId="0"/>
    <xf numFmtId="177" fontId="3" fillId="0" borderId="0"/>
    <xf numFmtId="177" fontId="3" fillId="0" borderId="0"/>
    <xf numFmtId="177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7" fontId="3" fillId="0" borderId="0"/>
    <xf numFmtId="0" fontId="3" fillId="0" borderId="0"/>
    <xf numFmtId="0" fontId="29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177" fontId="3" fillId="0" borderId="0"/>
    <xf numFmtId="0" fontId="3" fillId="0" borderId="0"/>
    <xf numFmtId="177" fontId="22" fillId="0" borderId="0"/>
    <xf numFmtId="177" fontId="22" fillId="0" borderId="0"/>
    <xf numFmtId="177" fontId="22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2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74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9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7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32" fillId="0" borderId="0"/>
    <xf numFmtId="0" fontId="3" fillId="0" borderId="0"/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7" fontId="32" fillId="0" borderId="0"/>
    <xf numFmtId="179" fontId="29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2" fillId="0" borderId="0"/>
    <xf numFmtId="0" fontId="3" fillId="0" borderId="0"/>
    <xf numFmtId="0" fontId="3" fillId="0" borderId="0"/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29" fillId="0" borderId="0"/>
    <xf numFmtId="182" fontId="29" fillId="0" borderId="0"/>
    <xf numFmtId="177" fontId="3" fillId="0" borderId="0"/>
    <xf numFmtId="177" fontId="3" fillId="0" borderId="0"/>
    <xf numFmtId="172" fontId="29" fillId="0" borderId="0"/>
    <xf numFmtId="172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3" fillId="0" borderId="0"/>
    <xf numFmtId="0" fontId="32" fillId="0" borderId="0"/>
    <xf numFmtId="177" fontId="32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2" fillId="0" borderId="0"/>
    <xf numFmtId="0" fontId="3" fillId="0" borderId="0"/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0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2" fontId="29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177" fontId="29" fillId="0" borderId="0"/>
    <xf numFmtId="177" fontId="29" fillId="0" borderId="0"/>
    <xf numFmtId="177" fontId="29" fillId="0" borderId="0"/>
    <xf numFmtId="180" fontId="50" fillId="0" borderId="0"/>
    <xf numFmtId="177" fontId="50" fillId="0" borderId="0"/>
    <xf numFmtId="0" fontId="29" fillId="0" borderId="0"/>
    <xf numFmtId="177" fontId="5" fillId="0" borderId="0">
      <alignment vertical="top"/>
    </xf>
    <xf numFmtId="177" fontId="29" fillId="0" borderId="0"/>
    <xf numFmtId="177" fontId="5" fillId="0" borderId="0">
      <alignment vertical="top"/>
    </xf>
    <xf numFmtId="177" fontId="29" fillId="0" borderId="0"/>
    <xf numFmtId="0" fontId="29" fillId="0" borderId="0"/>
    <xf numFmtId="177" fontId="29" fillId="0" borderId="0"/>
    <xf numFmtId="0" fontId="29" fillId="0" borderId="0"/>
    <xf numFmtId="177" fontId="5" fillId="0" borderId="0">
      <alignment vertical="top"/>
    </xf>
    <xf numFmtId="177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0" fontId="32" fillId="0" borderId="0"/>
    <xf numFmtId="0" fontId="29" fillId="0" borderId="0"/>
    <xf numFmtId="177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77" fontId="50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9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22" fillId="0" borderId="0"/>
    <xf numFmtId="180" fontId="22" fillId="0" borderId="0"/>
    <xf numFmtId="177" fontId="5" fillId="0" borderId="0">
      <alignment vertical="top"/>
    </xf>
    <xf numFmtId="177" fontId="5" fillId="0" borderId="0">
      <alignment vertical="top"/>
    </xf>
    <xf numFmtId="179" fontId="2" fillId="0" borderId="0"/>
    <xf numFmtId="0" fontId="22" fillId="0" borderId="0"/>
    <xf numFmtId="0" fontId="22" fillId="0" borderId="0"/>
    <xf numFmtId="177" fontId="5" fillId="0" borderId="0">
      <alignment vertical="top"/>
    </xf>
    <xf numFmtId="177" fontId="5" fillId="0" borderId="0">
      <alignment vertical="top"/>
    </xf>
    <xf numFmtId="179" fontId="2" fillId="0" borderId="0"/>
    <xf numFmtId="0" fontId="29" fillId="0" borderId="0"/>
    <xf numFmtId="177" fontId="22" fillId="0" borderId="0"/>
    <xf numFmtId="177" fontId="5" fillId="0" borderId="0">
      <alignment vertical="top"/>
    </xf>
    <xf numFmtId="0" fontId="29" fillId="0" borderId="0"/>
    <xf numFmtId="177" fontId="5" fillId="0" borderId="0">
      <alignment vertical="top"/>
    </xf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3" fillId="0" borderId="0"/>
    <xf numFmtId="177" fontId="50" fillId="0" borderId="0"/>
    <xf numFmtId="177" fontId="50" fillId="0" borderId="0"/>
    <xf numFmtId="177" fontId="50" fillId="0" borderId="0"/>
    <xf numFmtId="0" fontId="22" fillId="0" borderId="0"/>
    <xf numFmtId="0" fontId="22" fillId="0" borderId="0"/>
    <xf numFmtId="0" fontId="27" fillId="0" borderId="0"/>
    <xf numFmtId="180" fontId="50" fillId="0" borderId="0"/>
    <xf numFmtId="0" fontId="27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9" fontId="29" fillId="0" borderId="0"/>
    <xf numFmtId="177" fontId="50" fillId="0" borderId="0"/>
    <xf numFmtId="177" fontId="50" fillId="0" borderId="0"/>
    <xf numFmtId="177" fontId="50" fillId="0" borderId="0"/>
    <xf numFmtId="180" fontId="22" fillId="0" borderId="0"/>
    <xf numFmtId="177" fontId="5" fillId="0" borderId="0">
      <alignment vertical="top"/>
    </xf>
    <xf numFmtId="177" fontId="5" fillId="0" borderId="0">
      <alignment vertical="top"/>
    </xf>
    <xf numFmtId="180" fontId="22" fillId="0" borderId="0"/>
    <xf numFmtId="177" fontId="5" fillId="0" borderId="0">
      <alignment vertical="top"/>
    </xf>
    <xf numFmtId="177" fontId="5" fillId="0" borderId="0">
      <alignment vertical="top"/>
    </xf>
    <xf numFmtId="177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0" fillId="0" borderId="0"/>
    <xf numFmtId="177" fontId="50" fillId="0" borderId="0"/>
    <xf numFmtId="177" fontId="50" fillId="0" borderId="0"/>
    <xf numFmtId="0" fontId="29" fillId="0" borderId="0"/>
    <xf numFmtId="180" fontId="50" fillId="0" borderId="0"/>
    <xf numFmtId="177" fontId="5" fillId="0" borderId="0">
      <alignment vertical="top"/>
    </xf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3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7" fontId="32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 applyNumberFormat="0" applyFill="0" applyBorder="0" applyProtection="0">
      <alignment horizontal="left" vertical="top" wrapText="1"/>
    </xf>
    <xf numFmtId="0" fontId="3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79" fontId="32" fillId="0" borderId="0"/>
    <xf numFmtId="0" fontId="3" fillId="0" borderId="0"/>
    <xf numFmtId="0" fontId="3" fillId="0" borderId="0"/>
    <xf numFmtId="0" fontId="3" fillId="0" borderId="0"/>
    <xf numFmtId="180" fontId="29" fillId="0" borderId="0"/>
    <xf numFmtId="180" fontId="29" fillId="0" borderId="0"/>
    <xf numFmtId="180" fontId="29" fillId="0" borderId="0"/>
    <xf numFmtId="177" fontId="2" fillId="0" borderId="0"/>
    <xf numFmtId="177" fontId="2" fillId="0" borderId="0"/>
    <xf numFmtId="177" fontId="2" fillId="0" borderId="0"/>
    <xf numFmtId="179" fontId="32" fillId="0" borderId="0"/>
    <xf numFmtId="0" fontId="3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2" fillId="0" borderId="0"/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172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177" fontId="5" fillId="0" borderId="0">
      <alignment vertical="top"/>
    </xf>
    <xf numFmtId="177" fontId="3" fillId="0" borderId="0"/>
    <xf numFmtId="177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180" fontId="3" fillId="0" borderId="0"/>
    <xf numFmtId="180" fontId="3" fillId="0" borderId="0"/>
    <xf numFmtId="180" fontId="50" fillId="0" borderId="0"/>
    <xf numFmtId="180" fontId="50" fillId="0" borderId="0"/>
    <xf numFmtId="180" fontId="50" fillId="0" borderId="0"/>
    <xf numFmtId="180" fontId="3" fillId="0" borderId="0"/>
    <xf numFmtId="176" fontId="3" fillId="0" borderId="0"/>
    <xf numFmtId="172" fontId="3" fillId="0" borderId="0"/>
    <xf numFmtId="172" fontId="3" fillId="0" borderId="0"/>
    <xf numFmtId="17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9" fontId="50" fillId="0" borderId="0"/>
    <xf numFmtId="0" fontId="3" fillId="0" borderId="0"/>
    <xf numFmtId="0" fontId="22" fillId="0" borderId="0"/>
    <xf numFmtId="0" fontId="22" fillId="0" borderId="0"/>
    <xf numFmtId="0" fontId="32" fillId="0" borderId="0"/>
    <xf numFmtId="0" fontId="3" fillId="0" borderId="0"/>
    <xf numFmtId="0" fontId="29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0" fontId="3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8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0" fontId="50" fillId="0" borderId="0"/>
    <xf numFmtId="177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9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29" fillId="0" borderId="0"/>
    <xf numFmtId="0" fontId="29" fillId="0" borderId="0"/>
    <xf numFmtId="177" fontId="22" fillId="0" borderId="0"/>
    <xf numFmtId="177" fontId="22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32" fillId="0" borderId="0"/>
    <xf numFmtId="172" fontId="29" fillId="0" borderId="0"/>
    <xf numFmtId="172" fontId="29" fillId="0" borderId="0"/>
    <xf numFmtId="172" fontId="29" fillId="0" borderId="0"/>
    <xf numFmtId="177" fontId="29" fillId="0" borderId="0"/>
    <xf numFmtId="177" fontId="29" fillId="0" borderId="0"/>
    <xf numFmtId="0" fontId="29" fillId="0" borderId="0"/>
    <xf numFmtId="177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0" fontId="29" fillId="0" borderId="0"/>
    <xf numFmtId="0" fontId="29" fillId="0" borderId="0"/>
    <xf numFmtId="0" fontId="2" fillId="0" borderId="0"/>
    <xf numFmtId="180" fontId="50" fillId="0" borderId="0"/>
    <xf numFmtId="0" fontId="29" fillId="0" borderId="0"/>
    <xf numFmtId="180" fontId="50" fillId="0" borderId="0"/>
    <xf numFmtId="0" fontId="29" fillId="0" borderId="0"/>
    <xf numFmtId="0" fontId="29" fillId="0" borderId="0"/>
    <xf numFmtId="180" fontId="50" fillId="0" borderId="0"/>
    <xf numFmtId="0" fontId="29" fillId="0" borderId="0"/>
    <xf numFmtId="180" fontId="50" fillId="0" borderId="0"/>
    <xf numFmtId="0" fontId="29" fillId="0" borderId="0"/>
    <xf numFmtId="0" fontId="29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29" fillId="0" borderId="0"/>
    <xf numFmtId="0" fontId="2" fillId="0" borderId="0"/>
    <xf numFmtId="0" fontId="50" fillId="0" borderId="0"/>
    <xf numFmtId="177" fontId="50" fillId="0" borderId="0"/>
    <xf numFmtId="177" fontId="50" fillId="0" borderId="0"/>
    <xf numFmtId="177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29" fillId="0" borderId="0"/>
    <xf numFmtId="0" fontId="50" fillId="0" borderId="0"/>
    <xf numFmtId="180" fontId="50" fillId="0" borderId="0"/>
    <xf numFmtId="0" fontId="29" fillId="0" borderId="0"/>
    <xf numFmtId="180" fontId="50" fillId="0" borderId="0"/>
    <xf numFmtId="180" fontId="50" fillId="0" borderId="0"/>
    <xf numFmtId="180" fontId="50" fillId="0" borderId="0"/>
    <xf numFmtId="0" fontId="29" fillId="0" borderId="0"/>
    <xf numFmtId="0" fontId="29" fillId="0" borderId="0"/>
    <xf numFmtId="179" fontId="29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32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9" fontId="50" fillId="0" borderId="0"/>
    <xf numFmtId="177" fontId="29" fillId="0" borderId="0"/>
    <xf numFmtId="0" fontId="29" fillId="0" borderId="0"/>
    <xf numFmtId="0" fontId="3" fillId="0" borderId="0"/>
    <xf numFmtId="179" fontId="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79" fontId="32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179" fontId="32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179" fontId="32" fillId="0" borderId="0"/>
    <xf numFmtId="180" fontId="50" fillId="0" borderId="0"/>
    <xf numFmtId="180" fontId="50" fillId="0" borderId="0"/>
    <xf numFmtId="180" fontId="50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8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9" fontId="32" fillId="0" borderId="0"/>
    <xf numFmtId="179" fontId="32" fillId="0" borderId="0"/>
    <xf numFmtId="179" fontId="32" fillId="0" borderId="0"/>
    <xf numFmtId="180" fontId="50" fillId="0" borderId="0"/>
    <xf numFmtId="180" fontId="50" fillId="0" borderId="0"/>
    <xf numFmtId="180" fontId="50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177" fontId="29" fillId="0" borderId="0"/>
    <xf numFmtId="177" fontId="29" fillId="0" borderId="0"/>
    <xf numFmtId="177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80" fontId="29" fillId="0" borderId="0"/>
    <xf numFmtId="180" fontId="29" fillId="0" borderId="0"/>
    <xf numFmtId="18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9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2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179" fontId="3" fillId="0" borderId="34">
      <alignment horizontal="left" vertical="center" indent="1"/>
    </xf>
    <xf numFmtId="166" fontId="3" fillId="0" borderId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0" fillId="0" borderId="15">
      <alignment horizontal="center" vertical="center" wrapText="1"/>
    </xf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7" fillId="0" borderId="0"/>
    <xf numFmtId="43" fontId="22" fillId="0" borderId="0" applyFont="0" applyFill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6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0" fontId="45" fillId="27" borderId="48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9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68" fillId="14" borderId="48" applyNumberFormat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72" fillId="2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6" fontId="22" fillId="0" borderId="0"/>
    <xf numFmtId="176" fontId="22" fillId="0" borderId="0"/>
    <xf numFmtId="176" fontId="22" fillId="0" borderId="0"/>
    <xf numFmtId="176" fontId="22" fillId="0" borderId="0"/>
    <xf numFmtId="176" fontId="22" fillId="0" borderId="0"/>
    <xf numFmtId="176" fontId="22" fillId="0" borderId="0"/>
    <xf numFmtId="176" fontId="22" fillId="0" borderId="0"/>
    <xf numFmtId="176" fontId="22" fillId="0" borderId="0"/>
    <xf numFmtId="176" fontId="22" fillId="0" borderId="0"/>
    <xf numFmtId="176" fontId="22" fillId="0" borderId="0"/>
    <xf numFmtId="176" fontId="22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174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177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29" fillId="0" borderId="0"/>
    <xf numFmtId="177" fontId="29" fillId="0" borderId="0"/>
    <xf numFmtId="177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2" fillId="0" borderId="0"/>
    <xf numFmtId="0" fontId="22" fillId="0" borderId="0"/>
    <xf numFmtId="0" fontId="2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176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2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2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2" fontId="29" fillId="0" borderId="0"/>
    <xf numFmtId="172" fontId="29" fillId="0" borderId="0"/>
    <xf numFmtId="172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80" fontId="50" fillId="0" borderId="0"/>
    <xf numFmtId="180" fontId="50" fillId="0" borderId="0"/>
    <xf numFmtId="18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80" fontId="22" fillId="0" borderId="0"/>
    <xf numFmtId="180" fontId="22" fillId="0" borderId="0"/>
    <xf numFmtId="180" fontId="22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80" fontId="2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177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177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2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180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9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2" fillId="0" borderId="0"/>
    <xf numFmtId="0" fontId="22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3" fillId="30" borderId="54" applyNumberFormat="0" applyFon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7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0" fontId="76" fillId="27" borderId="5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0" fillId="0" borderId="15">
      <alignment horizontal="center" vertical="center" wrapText="1"/>
    </xf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2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0" fontId="81" fillId="0" borderId="56" applyNumberFormat="0" applyFill="0" applyAlignment="0" applyProtection="0"/>
    <xf numFmtId="166" fontId="2" fillId="0" borderId="0" applyFont="0" applyFill="0" applyBorder="0" applyAlignment="0" applyProtection="0"/>
    <xf numFmtId="0" fontId="22" fillId="0" borderId="0"/>
    <xf numFmtId="0" fontId="135" fillId="0" borderId="0"/>
    <xf numFmtId="172" fontId="135" fillId="0" borderId="0" applyFont="0" applyFill="0" applyBorder="0" applyAlignment="0" applyProtection="0"/>
    <xf numFmtId="174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46" fillId="0" borderId="0"/>
    <xf numFmtId="165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9" fillId="0" borderId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9" fillId="0" borderId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9" fillId="0" borderId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9" fillId="0" borderId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6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0" fontId="45" fillId="27" borderId="96" applyNumberFormat="0" applyAlignment="0" applyProtection="0"/>
    <xf numFmtId="172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6" fontId="161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9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68" fillId="14" borderId="96" applyNumberFormat="0" applyAlignment="0" applyProtection="0"/>
    <xf numFmtId="0" fontId="3" fillId="0" borderId="0"/>
    <xf numFmtId="0" fontId="161" fillId="0" borderId="0"/>
    <xf numFmtId="0" fontId="22" fillId="0" borderId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3" fillId="30" borderId="97" applyNumberFormat="0" applyFon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7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0" fontId="76" fillId="27" borderId="98" applyNumberFormat="0" applyAlignment="0" applyProtection="0"/>
    <xf numFmtId="9" fontId="3" fillId="0" borderId="0" applyFont="0" applyFill="0" applyBorder="0" applyAlignment="0" applyProtection="0"/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0" fillId="0" borderId="86">
      <alignment horizontal="center" vertical="center" wrapText="1"/>
    </xf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2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  <xf numFmtId="0" fontId="81" fillId="0" borderId="99" applyNumberFormat="0" applyFill="0" applyAlignment="0" applyProtection="0"/>
  </cellStyleXfs>
  <cellXfs count="3737">
    <xf numFmtId="0" fontId="0" fillId="0" borderId="0" xfId="0"/>
    <xf numFmtId="0" fontId="4" fillId="0" borderId="0" xfId="0" applyFont="1" applyFill="1" applyBorder="1"/>
    <xf numFmtId="0" fontId="4" fillId="0" borderId="0" xfId="0" applyFont="1" applyFill="1"/>
    <xf numFmtId="0" fontId="5" fillId="0" borderId="2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/>
    </xf>
    <xf numFmtId="165" fontId="3" fillId="0" borderId="25" xfId="2" applyFont="1" applyFill="1" applyBorder="1" applyAlignment="1">
      <alignment vertical="center"/>
    </xf>
    <xf numFmtId="0" fontId="3" fillId="0" borderId="22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Fill="1"/>
    <xf numFmtId="165" fontId="3" fillId="0" borderId="0" xfId="2" applyFont="1" applyFill="1"/>
    <xf numFmtId="0" fontId="13" fillId="0" borderId="9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3" fillId="0" borderId="0" xfId="0" applyFont="1" applyFill="1" applyAlignment="1">
      <alignment wrapText="1"/>
    </xf>
    <xf numFmtId="0" fontId="13" fillId="0" borderId="29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wrapText="1"/>
    </xf>
    <xf numFmtId="0" fontId="13" fillId="0" borderId="25" xfId="0" applyFont="1" applyFill="1" applyBorder="1" applyAlignment="1">
      <alignment horizontal="center"/>
    </xf>
    <xf numFmtId="0" fontId="13" fillId="0" borderId="31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vertical="center" wrapText="1"/>
    </xf>
    <xf numFmtId="165" fontId="3" fillId="0" borderId="0" xfId="0" applyNumberFormat="1" applyFont="1" applyFill="1"/>
    <xf numFmtId="0" fontId="13" fillId="0" borderId="32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25" xfId="0" quotePrefix="1" applyFont="1" applyFill="1" applyBorder="1" applyAlignment="1">
      <alignment horizontal="center" vertical="center" wrapText="1"/>
    </xf>
    <xf numFmtId="39" fontId="3" fillId="0" borderId="25" xfId="0" applyNumberFormat="1" applyFont="1" applyFill="1" applyBorder="1" applyAlignment="1">
      <alignment horizontal="center" vertical="center" wrapText="1"/>
    </xf>
    <xf numFmtId="165" fontId="3" fillId="0" borderId="25" xfId="2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13" fillId="0" borderId="25" xfId="0" quotePrefix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3" fillId="0" borderId="25" xfId="0" quotePrefix="1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vertical="center" wrapText="1"/>
    </xf>
    <xf numFmtId="0" fontId="16" fillId="0" borderId="25" xfId="0" applyFont="1" applyFill="1" applyBorder="1"/>
    <xf numFmtId="0" fontId="16" fillId="0" borderId="25" xfId="0" applyFont="1" applyFill="1" applyBorder="1" applyAlignment="1">
      <alignment horizontal="center"/>
    </xf>
    <xf numFmtId="170" fontId="3" fillId="0" borderId="25" xfId="2" applyNumberFormat="1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top"/>
    </xf>
    <xf numFmtId="0" fontId="13" fillId="0" borderId="25" xfId="0" applyFont="1" applyFill="1" applyBorder="1" applyAlignment="1">
      <alignment horizontal="center" vertical="top"/>
    </xf>
    <xf numFmtId="0" fontId="13" fillId="0" borderId="25" xfId="0" quotePrefix="1" applyFont="1" applyFill="1" applyBorder="1" applyAlignment="1">
      <alignment horizontal="center"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top"/>
    </xf>
    <xf numFmtId="166" fontId="3" fillId="0" borderId="0" xfId="1" applyFont="1" applyFill="1"/>
    <xf numFmtId="166" fontId="3" fillId="0" borderId="0" xfId="0" applyNumberFormat="1" applyFont="1" applyFill="1"/>
    <xf numFmtId="0" fontId="13" fillId="0" borderId="32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left" wrapText="1"/>
    </xf>
    <xf numFmtId="4" fontId="13" fillId="0" borderId="25" xfId="0" applyNumberFormat="1" applyFont="1" applyFill="1" applyBorder="1" applyAlignment="1">
      <alignment horizontal="center"/>
    </xf>
    <xf numFmtId="3" fontId="13" fillId="0" borderId="25" xfId="0" applyNumberFormat="1" applyFont="1" applyFill="1" applyBorder="1" applyAlignment="1">
      <alignment horizontal="center" vertical="center"/>
    </xf>
    <xf numFmtId="170" fontId="13" fillId="0" borderId="31" xfId="2" applyNumberFormat="1" applyFont="1" applyFill="1" applyBorder="1" applyAlignment="1">
      <alignment horizontal="center"/>
    </xf>
    <xf numFmtId="0" fontId="13" fillId="0" borderId="25" xfId="0" applyFont="1" applyFill="1" applyBorder="1" applyAlignment="1">
      <alignment horizontal="left" vertical="top" wrapText="1"/>
    </xf>
    <xf numFmtId="0" fontId="13" fillId="0" borderId="25" xfId="0" applyFont="1" applyFill="1" applyBorder="1" applyAlignment="1">
      <alignment horizontal="left" vertical="top"/>
    </xf>
    <xf numFmtId="170" fontId="13" fillId="0" borderId="31" xfId="2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vertical="center"/>
    </xf>
    <xf numFmtId="0" fontId="13" fillId="0" borderId="25" xfId="0" applyFont="1" applyFill="1" applyBorder="1" applyAlignment="1">
      <alignment vertical="center"/>
    </xf>
    <xf numFmtId="0" fontId="13" fillId="0" borderId="25" xfId="0" quotePrefix="1" applyFont="1" applyFill="1" applyBorder="1" applyAlignment="1">
      <alignment vertical="center"/>
    </xf>
    <xf numFmtId="4" fontId="3" fillId="0" borderId="25" xfId="0" applyNumberFormat="1" applyFont="1" applyFill="1" applyBorder="1" applyAlignment="1">
      <alignment horizontal="center" vertical="center"/>
    </xf>
    <xf numFmtId="166" fontId="3" fillId="0" borderId="31" xfId="0" applyNumberFormat="1" applyFont="1" applyFill="1" applyBorder="1" applyAlignment="1">
      <alignment vertical="center"/>
    </xf>
    <xf numFmtId="166" fontId="13" fillId="0" borderId="31" xfId="0" applyNumberFormat="1" applyFont="1" applyFill="1" applyBorder="1" applyAlignment="1">
      <alignment vertical="center"/>
    </xf>
    <xf numFmtId="4" fontId="3" fillId="0" borderId="0" xfId="0" applyNumberFormat="1" applyFont="1" applyFill="1"/>
    <xf numFmtId="0" fontId="3" fillId="0" borderId="25" xfId="0" applyFont="1" applyFill="1" applyBorder="1" applyAlignment="1">
      <alignment horizontal="center" vertical="center" wrapText="1"/>
    </xf>
    <xf numFmtId="0" fontId="3" fillId="0" borderId="25" xfId="0" applyFont="1" applyFill="1" applyBorder="1"/>
    <xf numFmtId="0" fontId="3" fillId="0" borderId="25" xfId="0" quotePrefix="1" applyFont="1" applyFill="1" applyBorder="1"/>
    <xf numFmtId="3" fontId="3" fillId="0" borderId="25" xfId="0" applyNumberFormat="1" applyFont="1" applyFill="1" applyBorder="1" applyAlignment="1">
      <alignment vertical="center"/>
    </xf>
    <xf numFmtId="4" fontId="3" fillId="0" borderId="31" xfId="0" applyNumberFormat="1" applyFont="1" applyFill="1" applyBorder="1" applyAlignment="1">
      <alignment vertical="center"/>
    </xf>
    <xf numFmtId="4" fontId="13" fillId="0" borderId="40" xfId="0" applyNumberFormat="1" applyFont="1" applyFill="1" applyBorder="1" applyAlignment="1">
      <alignment vertical="center"/>
    </xf>
    <xf numFmtId="4" fontId="17" fillId="0" borderId="0" xfId="0" applyNumberFormat="1" applyFont="1" applyFill="1"/>
    <xf numFmtId="0" fontId="13" fillId="0" borderId="25" xfId="0" quotePrefix="1" applyFont="1" applyFill="1" applyBorder="1" applyAlignment="1">
      <alignment horizontal="center"/>
    </xf>
    <xf numFmtId="0" fontId="13" fillId="0" borderId="32" xfId="0" applyFont="1" applyFill="1" applyBorder="1" applyAlignment="1">
      <alignment vertical="center" wrapText="1"/>
    </xf>
    <xf numFmtId="0" fontId="13" fillId="0" borderId="25" xfId="0" quotePrefix="1" applyFont="1" applyFill="1" applyBorder="1" applyAlignment="1">
      <alignment vertical="center" wrapText="1"/>
    </xf>
    <xf numFmtId="4" fontId="13" fillId="0" borderId="31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right" wrapText="1"/>
    </xf>
    <xf numFmtId="0" fontId="5" fillId="0" borderId="22" xfId="0" applyFont="1" applyFill="1" applyBorder="1" applyAlignment="1"/>
    <xf numFmtId="0" fontId="5" fillId="0" borderId="0" xfId="0" applyFont="1" applyFill="1" applyBorder="1" applyAlignment="1"/>
    <xf numFmtId="0" fontId="5" fillId="0" borderId="23" xfId="0" applyFont="1" applyFill="1" applyBorder="1" applyAlignment="1"/>
    <xf numFmtId="0" fontId="5" fillId="0" borderId="11" xfId="0" applyFont="1" applyFill="1" applyBorder="1" applyAlignment="1"/>
    <xf numFmtId="0" fontId="5" fillId="0" borderId="24" xfId="0" applyFont="1" applyFill="1" applyBorder="1" applyAlignment="1"/>
    <xf numFmtId="0" fontId="16" fillId="0" borderId="0" xfId="0" applyFont="1" applyFill="1"/>
    <xf numFmtId="0" fontId="14" fillId="0" borderId="9" xfId="0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166" fontId="16" fillId="0" borderId="0" xfId="1" applyFont="1" applyFill="1"/>
    <xf numFmtId="0" fontId="14" fillId="0" borderId="29" xfId="0" applyFont="1" applyFill="1" applyBorder="1" applyAlignment="1">
      <alignment horizontal="center"/>
    </xf>
    <xf numFmtId="0" fontId="14" fillId="0" borderId="25" xfId="0" applyFont="1" applyFill="1" applyBorder="1" applyAlignment="1">
      <alignment horizontal="center"/>
    </xf>
    <xf numFmtId="0" fontId="14" fillId="0" borderId="25" xfId="0" applyFont="1" applyFill="1" applyBorder="1" applyAlignment="1">
      <alignment horizontal="center" wrapText="1"/>
    </xf>
    <xf numFmtId="0" fontId="14" fillId="0" borderId="31" xfId="0" applyFont="1" applyFill="1" applyBorder="1" applyAlignment="1">
      <alignment horizontal="center"/>
    </xf>
    <xf numFmtId="0" fontId="14" fillId="0" borderId="32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left" vertical="center" wrapText="1"/>
    </xf>
    <xf numFmtId="170" fontId="13" fillId="0" borderId="18" xfId="2" applyNumberFormat="1" applyFont="1" applyFill="1" applyBorder="1" applyAlignment="1">
      <alignment horizontal="center" vertical="center"/>
    </xf>
    <xf numFmtId="170" fontId="14" fillId="0" borderId="18" xfId="2" applyNumberFormat="1" applyFont="1" applyFill="1" applyBorder="1" applyAlignment="1">
      <alignment horizontal="center" vertical="center"/>
    </xf>
    <xf numFmtId="0" fontId="14" fillId="0" borderId="25" xfId="0" quotePrefix="1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4" fontId="14" fillId="0" borderId="25" xfId="0" applyNumberFormat="1" applyFont="1" applyFill="1" applyBorder="1" applyAlignment="1">
      <alignment horizontal="center" vertical="center"/>
    </xf>
    <xf numFmtId="170" fontId="14" fillId="0" borderId="31" xfId="2" applyNumberFormat="1" applyFont="1" applyFill="1" applyBorder="1" applyAlignment="1">
      <alignment horizontal="center" vertical="center"/>
    </xf>
    <xf numFmtId="170" fontId="5" fillId="0" borderId="31" xfId="2" applyNumberFormat="1" applyFont="1" applyFill="1" applyBorder="1" applyAlignment="1">
      <alignment vertical="center"/>
    </xf>
    <xf numFmtId="0" fontId="14" fillId="0" borderId="32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5" xfId="0" quotePrefix="1" applyFont="1" applyFill="1" applyBorder="1" applyAlignment="1">
      <alignment horizontal="center" vertical="center" wrapText="1"/>
    </xf>
    <xf numFmtId="170" fontId="14" fillId="0" borderId="31" xfId="2" applyNumberFormat="1" applyFont="1" applyFill="1" applyBorder="1" applyAlignment="1">
      <alignment vertical="center"/>
    </xf>
    <xf numFmtId="0" fontId="13" fillId="0" borderId="25" xfId="0" applyFont="1" applyFill="1" applyBorder="1"/>
    <xf numFmtId="3" fontId="13" fillId="0" borderId="25" xfId="0" applyNumberFormat="1" applyFont="1" applyFill="1" applyBorder="1" applyAlignment="1">
      <alignment vertical="center"/>
    </xf>
    <xf numFmtId="4" fontId="13" fillId="0" borderId="31" xfId="0" applyNumberFormat="1" applyFont="1" applyFill="1" applyBorder="1"/>
    <xf numFmtId="4" fontId="3" fillId="0" borderId="25" xfId="0" applyNumberFormat="1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4" fontId="3" fillId="0" borderId="31" xfId="0" applyNumberFormat="1" applyFont="1" applyFill="1" applyBorder="1"/>
    <xf numFmtId="0" fontId="13" fillId="0" borderId="25" xfId="0" quotePrefix="1" applyFont="1" applyFill="1" applyBorder="1"/>
    <xf numFmtId="0" fontId="3" fillId="0" borderId="25" xfId="0" applyFont="1" applyFill="1" applyBorder="1" applyAlignment="1">
      <alignment wrapText="1"/>
    </xf>
    <xf numFmtId="0" fontId="13" fillId="0" borderId="28" xfId="0" applyFont="1" applyFill="1" applyBorder="1" applyAlignment="1">
      <alignment horizontal="center"/>
    </xf>
    <xf numFmtId="0" fontId="13" fillId="0" borderId="28" xfId="0" applyFont="1" applyFill="1" applyBorder="1" applyAlignment="1">
      <alignment horizontal="left" vertical="top" wrapText="1"/>
    </xf>
    <xf numFmtId="0" fontId="3" fillId="0" borderId="25" xfId="0" applyFont="1" applyFill="1" applyBorder="1" applyAlignment="1">
      <alignment horizontal="left" vertical="top" wrapText="1"/>
    </xf>
    <xf numFmtId="166" fontId="3" fillId="0" borderId="29" xfId="0" applyNumberFormat="1" applyFont="1" applyFill="1" applyBorder="1" applyAlignment="1">
      <alignment vertical="center"/>
    </xf>
    <xf numFmtId="3" fontId="3" fillId="0" borderId="25" xfId="0" applyNumberFormat="1" applyFont="1" applyFill="1" applyBorder="1" applyAlignment="1">
      <alignment horizontal="right" vertical="center" wrapText="1"/>
    </xf>
    <xf numFmtId="166" fontId="3" fillId="0" borderId="31" xfId="0" applyNumberFormat="1" applyFont="1" applyFill="1" applyBorder="1" applyAlignment="1">
      <alignment vertical="top"/>
    </xf>
    <xf numFmtId="0" fontId="13" fillId="0" borderId="25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wrapText="1"/>
    </xf>
    <xf numFmtId="0" fontId="15" fillId="0" borderId="25" xfId="0" applyFont="1" applyFill="1" applyBorder="1"/>
    <xf numFmtId="166" fontId="3" fillId="0" borderId="0" xfId="0" applyNumberFormat="1" applyFont="1" applyFill="1" applyBorder="1"/>
    <xf numFmtId="0" fontId="7" fillId="0" borderId="0" xfId="0" applyFont="1" applyFill="1"/>
    <xf numFmtId="165" fontId="7" fillId="0" borderId="0" xfId="2" applyFont="1" applyFill="1"/>
    <xf numFmtId="4" fontId="13" fillId="0" borderId="25" xfId="0" applyNumberFormat="1" applyFont="1" applyFill="1" applyBorder="1" applyAlignment="1">
      <alignment horizontal="center" vertical="top"/>
    </xf>
    <xf numFmtId="3" fontId="13" fillId="0" borderId="25" xfId="0" applyNumberFormat="1" applyFont="1" applyFill="1" applyBorder="1" applyAlignment="1">
      <alignment horizontal="center" vertical="top"/>
    </xf>
    <xf numFmtId="170" fontId="13" fillId="0" borderId="31" xfId="2" applyNumberFormat="1" applyFont="1" applyFill="1" applyBorder="1" applyAlignment="1">
      <alignment horizontal="center" vertical="top"/>
    </xf>
    <xf numFmtId="165" fontId="5" fillId="0" borderId="25" xfId="2" applyNumberFormat="1" applyFont="1" applyFill="1" applyBorder="1" applyAlignment="1">
      <alignment horizontal="right" vertical="center"/>
    </xf>
    <xf numFmtId="165" fontId="3" fillId="0" borderId="25" xfId="2" applyNumberFormat="1" applyFont="1" applyFill="1" applyBorder="1" applyAlignment="1">
      <alignment vertical="center" wrapText="1"/>
    </xf>
    <xf numFmtId="0" fontId="13" fillId="0" borderId="25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center" wrapText="1"/>
    </xf>
    <xf numFmtId="172" fontId="7" fillId="0" borderId="0" xfId="0" applyNumberFormat="1" applyFont="1" applyFill="1"/>
    <xf numFmtId="165" fontId="10" fillId="0" borderId="0" xfId="2" applyFont="1" applyFill="1"/>
    <xf numFmtId="0" fontId="5" fillId="0" borderId="0" xfId="0" applyFont="1" applyFill="1"/>
    <xf numFmtId="0" fontId="6" fillId="0" borderId="2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170" fontId="3" fillId="0" borderId="31" xfId="2" applyNumberFormat="1" applyFont="1" applyFill="1" applyBorder="1" applyAlignment="1">
      <alignment horizontal="center"/>
    </xf>
    <xf numFmtId="39" fontId="13" fillId="0" borderId="2" xfId="0" applyNumberFormat="1" applyFont="1" applyFill="1" applyBorder="1"/>
    <xf numFmtId="165" fontId="16" fillId="0" borderId="25" xfId="2" applyFont="1" applyFill="1" applyBorder="1"/>
    <xf numFmtId="0" fontId="3" fillId="0" borderId="25" xfId="0" applyFont="1" applyFill="1" applyBorder="1" applyAlignment="1">
      <alignment horizontal="left" vertical="top"/>
    </xf>
    <xf numFmtId="165" fontId="3" fillId="0" borderId="25" xfId="2" applyFont="1" applyFill="1" applyBorder="1"/>
    <xf numFmtId="0" fontId="13" fillId="3" borderId="32" xfId="0" applyFont="1" applyFill="1" applyBorder="1" applyAlignment="1">
      <alignment horizontal="center" vertical="top"/>
    </xf>
    <xf numFmtId="0" fontId="13" fillId="3" borderId="25" xfId="0" applyFont="1" applyFill="1" applyBorder="1" applyAlignment="1">
      <alignment horizontal="center" vertical="top"/>
    </xf>
    <xf numFmtId="0" fontId="3" fillId="0" borderId="19" xfId="0" applyFont="1" applyFill="1" applyBorder="1" applyAlignment="1">
      <alignment horizontal="center" vertical="center"/>
    </xf>
    <xf numFmtId="172" fontId="13" fillId="0" borderId="9" xfId="0" applyNumberFormat="1" applyFont="1" applyFill="1" applyBorder="1" applyAlignment="1">
      <alignment horizontal="center"/>
    </xf>
    <xf numFmtId="172" fontId="13" fillId="0" borderId="16" xfId="0" applyNumberFormat="1" applyFont="1" applyFill="1" applyBorder="1" applyAlignment="1">
      <alignment horizontal="center"/>
    </xf>
    <xf numFmtId="172" fontId="13" fillId="0" borderId="29" xfId="0" applyNumberFormat="1" applyFont="1" applyFill="1" applyBorder="1" applyAlignment="1">
      <alignment horizontal="center"/>
    </xf>
    <xf numFmtId="172" fontId="13" fillId="0" borderId="31" xfId="0" applyNumberFormat="1" applyFont="1" applyFill="1" applyBorder="1" applyAlignment="1">
      <alignment horizontal="center"/>
    </xf>
    <xf numFmtId="172" fontId="3" fillId="0" borderId="0" xfId="0" applyNumberFormat="1" applyFont="1" applyFill="1"/>
    <xf numFmtId="0" fontId="13" fillId="3" borderId="25" xfId="0" applyFont="1" applyFill="1" applyBorder="1" applyAlignment="1">
      <alignment horizontal="center"/>
    </xf>
    <xf numFmtId="0" fontId="13" fillId="3" borderId="32" xfId="0" applyFont="1" applyFill="1" applyBorder="1" applyAlignment="1">
      <alignment horizontal="center"/>
    </xf>
    <xf numFmtId="0" fontId="13" fillId="3" borderId="25" xfId="0" applyFont="1" applyFill="1" applyBorder="1" applyAlignment="1">
      <alignment horizontal="left" wrapText="1"/>
    </xf>
    <xf numFmtId="165" fontId="3" fillId="0" borderId="0" xfId="0" applyNumberFormat="1" applyFont="1" applyFill="1" applyBorder="1"/>
    <xf numFmtId="0" fontId="3" fillId="0" borderId="0" xfId="0" applyFont="1" applyFill="1" applyAlignment="1">
      <alignment horizontal="center" vertical="center"/>
    </xf>
    <xf numFmtId="170" fontId="7" fillId="0" borderId="0" xfId="2" applyNumberFormat="1" applyFont="1" applyFill="1"/>
    <xf numFmtId="165" fontId="9" fillId="0" borderId="0" xfId="2" applyFont="1" applyFill="1"/>
    <xf numFmtId="165" fontId="8" fillId="0" borderId="36" xfId="2" applyFont="1" applyFill="1" applyBorder="1" applyAlignment="1">
      <alignment horizontal="left" wrapText="1"/>
    </xf>
    <xf numFmtId="166" fontId="7" fillId="0" borderId="0" xfId="0" applyNumberFormat="1" applyFont="1" applyFill="1"/>
    <xf numFmtId="166" fontId="9" fillId="0" borderId="0" xfId="0" applyNumberFormat="1" applyFont="1" applyFill="1"/>
    <xf numFmtId="9" fontId="6" fillId="0" borderId="2" xfId="8" applyFont="1" applyFill="1" applyBorder="1" applyAlignment="1">
      <alignment horizontal="center" vertical="center" wrapText="1"/>
    </xf>
    <xf numFmtId="170" fontId="3" fillId="0" borderId="0" xfId="0" applyNumberFormat="1" applyFont="1" applyFill="1"/>
    <xf numFmtId="170" fontId="9" fillId="0" borderId="0" xfId="0" applyNumberFormat="1" applyFont="1" applyFill="1"/>
    <xf numFmtId="170" fontId="7" fillId="0" borderId="0" xfId="0" applyNumberFormat="1" applyFont="1" applyFill="1"/>
    <xf numFmtId="172" fontId="3" fillId="0" borderId="0" xfId="1" applyNumberFormat="1" applyFont="1" applyFill="1"/>
    <xf numFmtId="43" fontId="3" fillId="0" borderId="0" xfId="0" applyNumberFormat="1" applyFont="1" applyFill="1"/>
    <xf numFmtId="165" fontId="13" fillId="0" borderId="31" xfId="2" applyNumberFormat="1" applyFont="1" applyFill="1" applyBorder="1" applyAlignment="1">
      <alignment horizontal="center"/>
    </xf>
    <xf numFmtId="165" fontId="13" fillId="0" borderId="31" xfId="2" applyNumberFormat="1" applyFont="1" applyFill="1" applyBorder="1" applyAlignment="1">
      <alignment horizontal="center" vertical="center"/>
    </xf>
    <xf numFmtId="165" fontId="3" fillId="0" borderId="31" xfId="0" applyNumberFormat="1" applyFont="1" applyFill="1" applyBorder="1" applyAlignment="1">
      <alignment vertical="center"/>
    </xf>
    <xf numFmtId="165" fontId="13" fillId="0" borderId="40" xfId="0" applyNumberFormat="1" applyFont="1" applyFill="1" applyBorder="1" applyAlignment="1">
      <alignment vertical="center"/>
    </xf>
    <xf numFmtId="3" fontId="3" fillId="0" borderId="25" xfId="0" applyNumberFormat="1" applyFont="1" applyFill="1" applyBorder="1" applyAlignment="1">
      <alignment horizontal="center"/>
    </xf>
    <xf numFmtId="170" fontId="6" fillId="0" borderId="2" xfId="2" applyNumberFormat="1" applyFont="1" applyFill="1" applyBorder="1" applyAlignment="1">
      <alignment horizontal="center" vertical="center" wrapText="1"/>
    </xf>
    <xf numFmtId="165" fontId="13" fillId="0" borderId="31" xfId="2" applyNumberFormat="1" applyFont="1" applyFill="1" applyBorder="1" applyAlignment="1">
      <alignment horizontal="center" vertical="top"/>
    </xf>
    <xf numFmtId="165" fontId="13" fillId="0" borderId="31" xfId="0" applyNumberFormat="1" applyFont="1" applyFill="1" applyBorder="1" applyAlignment="1">
      <alignment vertical="center"/>
    </xf>
    <xf numFmtId="43" fontId="9" fillId="0" borderId="0" xfId="0" applyNumberFormat="1" applyFont="1" applyFill="1"/>
    <xf numFmtId="3" fontId="16" fillId="0" borderId="35" xfId="0" applyNumberFormat="1" applyFont="1" applyFill="1" applyBorder="1" applyAlignment="1">
      <alignment horizontal="center"/>
    </xf>
    <xf numFmtId="0" fontId="19" fillId="0" borderId="25" xfId="7" applyFont="1" applyFill="1" applyBorder="1" applyAlignment="1">
      <alignment horizontal="left" wrapText="1"/>
    </xf>
    <xf numFmtId="0" fontId="16" fillId="0" borderId="25" xfId="0" applyFont="1" applyFill="1" applyBorder="1" applyAlignment="1">
      <alignment vertical="center"/>
    </xf>
    <xf numFmtId="0" fontId="0" fillId="0" borderId="25" xfId="0" applyFill="1" applyBorder="1"/>
    <xf numFmtId="3" fontId="3" fillId="0" borderId="25" xfId="1" applyNumberFormat="1" applyFont="1" applyFill="1" applyBorder="1" applyAlignment="1">
      <alignment vertical="top"/>
    </xf>
    <xf numFmtId="0" fontId="3" fillId="0" borderId="26" xfId="0" applyFont="1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165" fontId="0" fillId="0" borderId="25" xfId="2" applyFont="1" applyFill="1" applyBorder="1"/>
    <xf numFmtId="165" fontId="3" fillId="0" borderId="29" xfId="0" applyNumberFormat="1" applyFont="1" applyFill="1" applyBorder="1" applyAlignment="1">
      <alignment vertical="center"/>
    </xf>
    <xf numFmtId="165" fontId="13" fillId="0" borderId="29" xfId="0" applyNumberFormat="1" applyFont="1" applyFill="1" applyBorder="1" applyAlignment="1">
      <alignment vertical="top"/>
    </xf>
    <xf numFmtId="0" fontId="13" fillId="0" borderId="25" xfId="0" quotePrefix="1" applyFont="1" applyFill="1" applyBorder="1" applyAlignment="1">
      <alignment vertical="top"/>
    </xf>
    <xf numFmtId="0" fontId="3" fillId="0" borderId="0" xfId="0" applyFont="1" applyFill="1" applyAlignment="1">
      <alignment vertical="center"/>
    </xf>
    <xf numFmtId="170" fontId="13" fillId="0" borderId="9" xfId="0" applyNumberFormat="1" applyFont="1" applyFill="1" applyBorder="1" applyAlignment="1">
      <alignment horizontal="center"/>
    </xf>
    <xf numFmtId="170" fontId="13" fillId="0" borderId="16" xfId="0" applyNumberFormat="1" applyFont="1" applyFill="1" applyBorder="1" applyAlignment="1">
      <alignment horizontal="center"/>
    </xf>
    <xf numFmtId="4" fontId="13" fillId="0" borderId="46" xfId="0" applyNumberFormat="1" applyFont="1" applyFill="1" applyBorder="1" applyAlignment="1">
      <alignment vertical="center"/>
    </xf>
    <xf numFmtId="0" fontId="18" fillId="0" borderId="25" xfId="0" applyFont="1" applyFill="1" applyBorder="1"/>
    <xf numFmtId="0" fontId="18" fillId="0" borderId="25" xfId="0" applyFont="1" applyFill="1" applyBorder="1" applyAlignment="1">
      <alignment horizontal="center"/>
    </xf>
    <xf numFmtId="172" fontId="18" fillId="0" borderId="25" xfId="1" applyNumberFormat="1" applyFont="1" applyFill="1" applyBorder="1"/>
    <xf numFmtId="0" fontId="0" fillId="0" borderId="25" xfId="0" quotePrefix="1" applyFill="1" applyBorder="1"/>
    <xf numFmtId="172" fontId="0" fillId="0" borderId="25" xfId="1" applyNumberFormat="1" applyFont="1" applyFill="1" applyBorder="1"/>
    <xf numFmtId="170" fontId="13" fillId="0" borderId="29" xfId="2" applyNumberFormat="1" applyFont="1" applyFill="1" applyBorder="1" applyAlignment="1">
      <alignment horizontal="center" vertical="center"/>
    </xf>
    <xf numFmtId="170" fontId="3" fillId="0" borderId="29" xfId="2" applyNumberFormat="1" applyFont="1" applyFill="1" applyBorder="1" applyAlignment="1">
      <alignment horizontal="center" vertical="center"/>
    </xf>
    <xf numFmtId="4" fontId="13" fillId="0" borderId="25" xfId="0" applyNumberFormat="1" applyFont="1" applyFill="1" applyBorder="1" applyAlignment="1">
      <alignment horizontal="center" vertical="center"/>
    </xf>
    <xf numFmtId="43" fontId="7" fillId="0" borderId="0" xfId="0" applyNumberFormat="1" applyFont="1" applyFill="1"/>
    <xf numFmtId="166" fontId="7" fillId="0" borderId="0" xfId="1" applyFont="1" applyFill="1"/>
    <xf numFmtId="166" fontId="4" fillId="0" borderId="0" xfId="1" applyFont="1" applyFill="1"/>
    <xf numFmtId="0" fontId="23" fillId="0" borderId="25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/>
    </xf>
    <xf numFmtId="3" fontId="23" fillId="0" borderId="25" xfId="0" applyNumberFormat="1" applyFont="1" applyFill="1" applyBorder="1" applyAlignment="1">
      <alignment horizontal="center" vertical="center"/>
    </xf>
    <xf numFmtId="165" fontId="4" fillId="0" borderId="0" xfId="2" applyFont="1" applyFill="1"/>
    <xf numFmtId="0" fontId="23" fillId="0" borderId="9" xfId="0" applyFont="1" applyFill="1" applyBorder="1" applyAlignment="1">
      <alignment horizontal="center"/>
    </xf>
    <xf numFmtId="0" fontId="23" fillId="0" borderId="16" xfId="0" applyFont="1" applyFill="1" applyBorder="1" applyAlignment="1">
      <alignment horizontal="center"/>
    </xf>
    <xf numFmtId="0" fontId="4" fillId="0" borderId="22" xfId="0" applyFont="1" applyFill="1" applyBorder="1" applyAlignment="1"/>
    <xf numFmtId="0" fontId="4" fillId="0" borderId="0" xfId="0" applyFont="1" applyFill="1" applyBorder="1" applyAlignment="1"/>
    <xf numFmtId="0" fontId="23" fillId="0" borderId="29" xfId="0" applyFont="1" applyFill="1" applyBorder="1" applyAlignment="1">
      <alignment horizontal="center"/>
    </xf>
    <xf numFmtId="0" fontId="23" fillId="0" borderId="25" xfId="0" applyFont="1" applyFill="1" applyBorder="1" applyAlignment="1">
      <alignment horizontal="center" vertical="center"/>
    </xf>
    <xf numFmtId="0" fontId="23" fillId="0" borderId="25" xfId="0" applyFont="1" applyFill="1" applyBorder="1" applyAlignment="1">
      <alignment horizontal="center" wrapText="1"/>
    </xf>
    <xf numFmtId="0" fontId="23" fillId="0" borderId="31" xfId="0" applyFont="1" applyFill="1" applyBorder="1" applyAlignment="1">
      <alignment horizontal="center"/>
    </xf>
    <xf numFmtId="0" fontId="23" fillId="0" borderId="32" xfId="0" applyFont="1" applyFill="1" applyBorder="1" applyAlignment="1">
      <alignment horizontal="center"/>
    </xf>
    <xf numFmtId="0" fontId="23" fillId="0" borderId="25" xfId="0" applyFont="1" applyFill="1" applyBorder="1" applyAlignment="1">
      <alignment horizontal="left" wrapText="1"/>
    </xf>
    <xf numFmtId="172" fontId="4" fillId="0" borderId="0" xfId="1" applyNumberFormat="1" applyFont="1" applyFill="1"/>
    <xf numFmtId="0" fontId="23" fillId="0" borderId="32" xfId="0" applyFont="1" applyFill="1" applyBorder="1" applyAlignment="1">
      <alignment horizontal="center" vertical="top"/>
    </xf>
    <xf numFmtId="0" fontId="23" fillId="0" borderId="25" xfId="0" applyFont="1" applyFill="1" applyBorder="1" applyAlignment="1">
      <alignment horizontal="center" vertical="top"/>
    </xf>
    <xf numFmtId="0" fontId="23" fillId="0" borderId="25" xfId="0" quotePrefix="1" applyFont="1" applyFill="1" applyBorder="1" applyAlignment="1">
      <alignment horizontal="center" vertical="top"/>
    </xf>
    <xf numFmtId="0" fontId="23" fillId="0" borderId="25" xfId="0" applyFont="1" applyFill="1" applyBorder="1" applyAlignment="1">
      <alignment horizontal="left" vertical="top" wrapText="1"/>
    </xf>
    <xf numFmtId="0" fontId="26" fillId="0" borderId="0" xfId="0" applyFont="1" applyFill="1"/>
    <xf numFmtId="165" fontId="3" fillId="0" borderId="0" xfId="0" applyNumberFormat="1" applyFont="1" applyFill="1" applyBorder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Alignment="1">
      <alignment horizontal="center" vertical="center"/>
    </xf>
    <xf numFmtId="165" fontId="3" fillId="0" borderId="0" xfId="2" applyNumberFormat="1" applyFont="1" applyFill="1" applyAlignment="1">
      <alignment horizontal="center" vertical="center"/>
    </xf>
    <xf numFmtId="166" fontId="3" fillId="0" borderId="0" xfId="1" applyFont="1" applyFill="1" applyAlignment="1">
      <alignment horizontal="center" vertical="center"/>
    </xf>
    <xf numFmtId="0" fontId="3" fillId="0" borderId="0" xfId="0" applyFont="1" applyFill="1" applyAlignment="1">
      <alignment vertical="top"/>
    </xf>
    <xf numFmtId="0" fontId="4" fillId="0" borderId="25" xfId="0" applyFont="1" applyFill="1" applyBorder="1" applyAlignment="1">
      <alignment vertical="center" wrapText="1"/>
    </xf>
    <xf numFmtId="0" fontId="23" fillId="0" borderId="28" xfId="0" applyFont="1" applyFill="1" applyBorder="1" applyAlignment="1">
      <alignment vertical="top" wrapText="1"/>
    </xf>
    <xf numFmtId="0" fontId="4" fillId="0" borderId="35" xfId="0" applyFont="1" applyFill="1" applyBorder="1" applyAlignment="1">
      <alignment horizontal="center" vertical="top"/>
    </xf>
    <xf numFmtId="3" fontId="4" fillId="0" borderId="28" xfId="0" applyNumberFormat="1" applyFont="1" applyFill="1" applyBorder="1" applyAlignment="1">
      <alignment vertical="top" wrapText="1"/>
    </xf>
    <xf numFmtId="0" fontId="23" fillId="0" borderId="32" xfId="0" applyFont="1" applyFill="1" applyBorder="1" applyAlignment="1">
      <alignment horizontal="center" vertical="top" wrapText="1"/>
    </xf>
    <xf numFmtId="0" fontId="23" fillId="0" borderId="25" xfId="0" applyFont="1" applyFill="1" applyBorder="1" applyAlignment="1">
      <alignment horizontal="center" vertical="top" wrapText="1"/>
    </xf>
    <xf numFmtId="0" fontId="23" fillId="0" borderId="25" xfId="0" quotePrefix="1" applyFont="1" applyFill="1" applyBorder="1" applyAlignment="1">
      <alignment horizontal="center" vertical="top" wrapText="1"/>
    </xf>
    <xf numFmtId="0" fontId="4" fillId="0" borderId="25" xfId="0" applyFont="1" applyFill="1" applyBorder="1" applyAlignment="1">
      <alignment horizontal="center" vertical="top"/>
    </xf>
    <xf numFmtId="3" fontId="4" fillId="0" borderId="25" xfId="1" applyNumberFormat="1" applyFont="1" applyFill="1" applyBorder="1" applyAlignment="1">
      <alignment vertical="top"/>
    </xf>
    <xf numFmtId="165" fontId="23" fillId="0" borderId="31" xfId="2" applyNumberFormat="1" applyFont="1" applyFill="1" applyBorder="1" applyAlignment="1">
      <alignment horizontal="center"/>
    </xf>
    <xf numFmtId="165" fontId="23" fillId="0" borderId="31" xfId="2" applyNumberFormat="1" applyFont="1" applyFill="1" applyBorder="1" applyAlignment="1">
      <alignment horizontal="center" vertical="center"/>
    </xf>
    <xf numFmtId="0" fontId="23" fillId="0" borderId="32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quotePrefix="1" applyFont="1" applyFill="1" applyBorder="1" applyAlignment="1">
      <alignment horizontal="center" vertical="center" wrapText="1"/>
    </xf>
    <xf numFmtId="165" fontId="23" fillId="0" borderId="40" xfId="0" applyNumberFormat="1" applyFont="1" applyFill="1" applyBorder="1" applyAlignment="1">
      <alignment vertical="center"/>
    </xf>
    <xf numFmtId="0" fontId="4" fillId="0" borderId="28" xfId="0" applyFont="1" applyFill="1" applyBorder="1" applyAlignment="1">
      <alignment vertical="top" wrapText="1"/>
    </xf>
    <xf numFmtId="172" fontId="4" fillId="0" borderId="31" xfId="1" applyNumberFormat="1" applyFont="1" applyFill="1" applyBorder="1" applyAlignment="1">
      <alignment vertical="top"/>
    </xf>
    <xf numFmtId="172" fontId="23" fillId="0" borderId="31" xfId="1" applyNumberFormat="1" applyFont="1" applyFill="1" applyBorder="1" applyAlignment="1">
      <alignment vertical="top"/>
    </xf>
    <xf numFmtId="0" fontId="13" fillId="0" borderId="30" xfId="0" applyFont="1" applyFill="1" applyBorder="1" applyAlignment="1">
      <alignment horizontal="center"/>
    </xf>
    <xf numFmtId="3" fontId="3" fillId="0" borderId="25" xfId="0" applyNumberFormat="1" applyFont="1" applyFill="1" applyBorder="1" applyAlignment="1">
      <alignment vertical="top"/>
    </xf>
    <xf numFmtId="173" fontId="3" fillId="0" borderId="30" xfId="0" applyNumberFormat="1" applyFont="1" applyFill="1" applyBorder="1" applyAlignment="1">
      <alignment horizontal="right"/>
    </xf>
    <xf numFmtId="170" fontId="3" fillId="0" borderId="25" xfId="2" applyNumberFormat="1" applyFont="1" applyFill="1" applyBorder="1" applyAlignment="1">
      <alignment horizontal="center" vertical="top" wrapText="1"/>
    </xf>
    <xf numFmtId="165" fontId="3" fillId="0" borderId="0" xfId="0" applyNumberFormat="1" applyFont="1" applyFill="1" applyAlignment="1">
      <alignment vertical="top"/>
    </xf>
    <xf numFmtId="166" fontId="3" fillId="0" borderId="25" xfId="1" applyFont="1" applyFill="1" applyBorder="1" applyAlignment="1">
      <alignment vertical="center" wrapText="1"/>
    </xf>
    <xf numFmtId="0" fontId="30" fillId="0" borderId="0" xfId="10" applyFont="1" applyBorder="1" applyAlignment="1">
      <alignment vertical="center"/>
    </xf>
    <xf numFmtId="0" fontId="31" fillId="0" borderId="0" xfId="10" applyFont="1" applyBorder="1" applyAlignment="1">
      <alignment horizontal="center" vertical="center"/>
    </xf>
    <xf numFmtId="0" fontId="31" fillId="0" borderId="0" xfId="10" applyFont="1" applyBorder="1" applyAlignment="1">
      <alignment vertical="center"/>
    </xf>
    <xf numFmtId="0" fontId="31" fillId="0" borderId="0" xfId="10" applyFont="1" applyBorder="1" applyAlignment="1">
      <alignment horizontal="left" vertical="center"/>
    </xf>
    <xf numFmtId="0" fontId="31" fillId="0" borderId="0" xfId="10" applyFont="1" applyBorder="1" applyAlignment="1">
      <alignment horizontal="center" vertical="top"/>
    </xf>
    <xf numFmtId="0" fontId="31" fillId="0" borderId="0" xfId="11" applyFont="1" applyBorder="1" applyAlignment="1">
      <alignment vertical="top"/>
    </xf>
    <xf numFmtId="0" fontId="31" fillId="0" borderId="0" xfId="10" applyNumberFormat="1" applyFont="1" applyBorder="1" applyAlignment="1">
      <alignment vertical="center" wrapText="1"/>
    </xf>
    <xf numFmtId="0" fontId="30" fillId="0" borderId="0" xfId="10" applyFont="1" applyBorder="1" applyAlignment="1">
      <alignment vertical="center" wrapText="1"/>
    </xf>
    <xf numFmtId="0" fontId="30" fillId="0" borderId="0" xfId="10" applyFont="1" applyBorder="1" applyAlignment="1">
      <alignment horizontal="center" vertical="center" wrapText="1"/>
    </xf>
    <xf numFmtId="0" fontId="33" fillId="0" borderId="0" xfId="10" applyFont="1" applyBorder="1" applyAlignment="1">
      <alignment vertical="center"/>
    </xf>
    <xf numFmtId="0" fontId="34" fillId="0" borderId="0" xfId="10" applyFont="1" applyBorder="1" applyAlignment="1">
      <alignment horizontal="left" vertical="top"/>
    </xf>
    <xf numFmtId="0" fontId="34" fillId="0" borderId="0" xfId="10" applyFont="1" applyBorder="1" applyAlignment="1">
      <alignment horizontal="center" vertical="center"/>
    </xf>
    <xf numFmtId="0" fontId="34" fillId="0" borderId="0" xfId="10" applyFont="1" applyBorder="1" applyAlignment="1">
      <alignment vertical="center"/>
    </xf>
    <xf numFmtId="0" fontId="33" fillId="0" borderId="0" xfId="10" applyFont="1" applyBorder="1" applyAlignment="1">
      <alignment vertical="center" wrapText="1"/>
    </xf>
    <xf numFmtId="0" fontId="33" fillId="0" borderId="0" xfId="10" applyFont="1" applyBorder="1" applyAlignment="1">
      <alignment horizontal="center" vertical="center" wrapText="1"/>
    </xf>
    <xf numFmtId="0" fontId="33" fillId="0" borderId="0" xfId="10" applyNumberFormat="1" applyFont="1" applyBorder="1" applyAlignment="1">
      <alignment horizontal="left" vertical="center" wrapText="1"/>
    </xf>
    <xf numFmtId="0" fontId="34" fillId="0" borderId="0" xfId="10" applyFont="1" applyBorder="1" applyAlignment="1">
      <alignment vertical="center" wrapText="1"/>
    </xf>
    <xf numFmtId="0" fontId="33" fillId="0" borderId="0" xfId="10" applyFont="1" applyFill="1" applyBorder="1" applyAlignment="1">
      <alignment vertical="center"/>
    </xf>
    <xf numFmtId="0" fontId="34" fillId="7" borderId="0" xfId="10" applyFont="1" applyFill="1" applyBorder="1" applyAlignment="1">
      <alignment vertical="center"/>
    </xf>
    <xf numFmtId="0" fontId="37" fillId="0" borderId="0" xfId="10" applyFont="1" applyFill="1" applyBorder="1" applyAlignment="1">
      <alignment vertical="center"/>
    </xf>
    <xf numFmtId="0" fontId="34" fillId="0" borderId="0" xfId="10" applyFont="1" applyFill="1" applyBorder="1" applyAlignment="1">
      <alignment vertical="center"/>
    </xf>
    <xf numFmtId="0" fontId="37" fillId="3" borderId="0" xfId="10" applyFont="1" applyFill="1" applyBorder="1" applyAlignment="1">
      <alignment vertical="center"/>
    </xf>
    <xf numFmtId="0" fontId="33" fillId="3" borderId="0" xfId="10" applyFont="1" applyFill="1" applyBorder="1" applyAlignment="1">
      <alignment vertical="center"/>
    </xf>
    <xf numFmtId="0" fontId="38" fillId="3" borderId="0" xfId="10" applyFont="1" applyFill="1" applyBorder="1" applyAlignment="1">
      <alignment vertical="center"/>
    </xf>
    <xf numFmtId="0" fontId="40" fillId="3" borderId="0" xfId="10" applyFont="1" applyFill="1" applyBorder="1" applyAlignment="1">
      <alignment vertical="center"/>
    </xf>
    <xf numFmtId="0" fontId="34" fillId="8" borderId="0" xfId="10" applyFont="1" applyFill="1" applyBorder="1" applyAlignment="1">
      <alignment vertical="center"/>
    </xf>
    <xf numFmtId="0" fontId="34" fillId="0" borderId="0" xfId="10" applyFont="1" applyBorder="1" applyAlignment="1">
      <alignment horizontal="center" vertical="top"/>
    </xf>
    <xf numFmtId="165" fontId="34" fillId="0" borderId="0" xfId="12" applyFont="1" applyBorder="1" applyAlignment="1">
      <alignment horizontal="center" vertical="center"/>
    </xf>
    <xf numFmtId="0" fontId="34" fillId="0" borderId="0" xfId="10" applyFont="1" applyBorder="1" applyAlignment="1">
      <alignment horizontal="right" vertical="top"/>
    </xf>
    <xf numFmtId="165" fontId="33" fillId="0" borderId="0" xfId="12" applyFont="1" applyBorder="1" applyAlignment="1">
      <alignment vertical="center" wrapText="1"/>
    </xf>
    <xf numFmtId="43" fontId="33" fillId="0" borderId="0" xfId="17" applyFont="1" applyBorder="1" applyAlignment="1">
      <alignment vertical="center" wrapText="1"/>
    </xf>
    <xf numFmtId="43" fontId="33" fillId="0" borderId="0" xfId="10" applyNumberFormat="1" applyFont="1" applyBorder="1" applyAlignment="1">
      <alignment vertical="center" wrapText="1"/>
    </xf>
    <xf numFmtId="3" fontId="13" fillId="0" borderId="25" xfId="0" applyNumberFormat="1" applyFont="1" applyFill="1" applyBorder="1" applyAlignment="1">
      <alignment horizontal="center" vertical="top" wrapText="1"/>
    </xf>
    <xf numFmtId="170" fontId="3" fillId="0" borderId="31" xfId="2" applyNumberFormat="1" applyFont="1" applyFill="1" applyBorder="1" applyAlignment="1">
      <alignment horizontal="center" vertical="top"/>
    </xf>
    <xf numFmtId="43" fontId="33" fillId="0" borderId="0" xfId="10" applyNumberFormat="1" applyFont="1" applyBorder="1" applyAlignment="1">
      <alignment horizontal="center" vertical="center" wrapText="1"/>
    </xf>
    <xf numFmtId="166" fontId="33" fillId="0" borderId="0" xfId="1" applyFont="1" applyBorder="1" applyAlignment="1">
      <alignment vertical="center" wrapText="1"/>
    </xf>
    <xf numFmtId="0" fontId="33" fillId="0" borderId="0" xfId="10" applyNumberFormat="1" applyFont="1" applyBorder="1" applyAlignment="1">
      <alignment horizontal="right" vertical="center" wrapText="1"/>
    </xf>
    <xf numFmtId="0" fontId="33" fillId="0" borderId="0" xfId="10" applyFont="1" applyBorder="1" applyAlignment="1">
      <alignment horizontal="right" vertical="center" wrapText="1"/>
    </xf>
    <xf numFmtId="166" fontId="33" fillId="2" borderId="0" xfId="1" applyFont="1" applyFill="1" applyBorder="1" applyAlignment="1">
      <alignment vertical="center" wrapText="1"/>
    </xf>
    <xf numFmtId="166" fontId="33" fillId="31" borderId="0" xfId="1" applyFont="1" applyFill="1" applyBorder="1" applyAlignment="1">
      <alignment vertical="center" wrapText="1"/>
    </xf>
    <xf numFmtId="172" fontId="16" fillId="0" borderId="25" xfId="1" applyNumberFormat="1" applyFont="1" applyFill="1" applyBorder="1"/>
    <xf numFmtId="0" fontId="19" fillId="0" borderId="25" xfId="0" applyFont="1" applyFill="1" applyBorder="1" applyAlignment="1">
      <alignment horizontal="center"/>
    </xf>
    <xf numFmtId="3" fontId="85" fillId="0" borderId="25" xfId="7" applyNumberFormat="1" applyFont="1" applyFill="1" applyBorder="1" applyAlignment="1">
      <alignment horizontal="center"/>
    </xf>
    <xf numFmtId="0" fontId="86" fillId="0" borderId="25" xfId="7" applyFont="1" applyFill="1" applyBorder="1" applyAlignment="1">
      <alignment horizontal="left" wrapText="1"/>
    </xf>
    <xf numFmtId="3" fontId="86" fillId="0" borderId="25" xfId="7" applyNumberFormat="1" applyFont="1" applyFill="1" applyBorder="1" applyAlignment="1">
      <alignment horizontal="center"/>
    </xf>
    <xf numFmtId="166" fontId="3" fillId="0" borderId="0" xfId="28327" applyNumberFormat="1" applyFont="1" applyFill="1"/>
    <xf numFmtId="0" fontId="13" fillId="0" borderId="63" xfId="0" applyFont="1" applyFill="1" applyBorder="1" applyAlignment="1">
      <alignment horizontal="center"/>
    </xf>
    <xf numFmtId="170" fontId="13" fillId="0" borderId="31" xfId="1901" applyNumberFormat="1" applyFont="1" applyFill="1" applyBorder="1" applyAlignment="1">
      <alignment horizontal="center"/>
    </xf>
    <xf numFmtId="170" fontId="13" fillId="0" borderId="31" xfId="1901" applyNumberFormat="1" applyFont="1" applyFill="1" applyBorder="1" applyAlignment="1">
      <alignment horizontal="center" vertical="center"/>
    </xf>
    <xf numFmtId="172" fontId="3" fillId="0" borderId="0" xfId="0" applyNumberFormat="1" applyFont="1" applyFill="1" applyBorder="1" applyAlignment="1">
      <alignment horizontal="left"/>
    </xf>
    <xf numFmtId="170" fontId="3" fillId="0" borderId="63" xfId="2" applyNumberFormat="1" applyFont="1" applyFill="1" applyBorder="1" applyAlignment="1">
      <alignment horizontal="center" vertical="center"/>
    </xf>
    <xf numFmtId="166" fontId="3" fillId="0" borderId="0" xfId="1" applyFont="1" applyFill="1" applyAlignment="1">
      <alignment wrapText="1"/>
    </xf>
    <xf numFmtId="166" fontId="3" fillId="0" borderId="0" xfId="1" applyFont="1" applyFill="1" applyAlignment="1">
      <alignment vertical="center" wrapText="1"/>
    </xf>
    <xf numFmtId="0" fontId="88" fillId="0" borderId="0" xfId="0" applyFont="1" applyFill="1" applyAlignment="1" applyProtection="1">
      <alignment horizontal="center"/>
    </xf>
    <xf numFmtId="0" fontId="89" fillId="0" borderId="0" xfId="0" applyFont="1" applyFill="1" applyAlignment="1" applyProtection="1">
      <alignment horizontal="center"/>
    </xf>
    <xf numFmtId="0" fontId="0" fillId="0" borderId="0" xfId="0" applyFill="1" applyProtection="1"/>
    <xf numFmtId="0" fontId="91" fillId="0" borderId="25" xfId="0" applyFont="1" applyFill="1" applyBorder="1" applyAlignment="1" applyProtection="1">
      <alignment horizontal="center" vertical="center" wrapText="1"/>
    </xf>
    <xf numFmtId="0" fontId="93" fillId="0" borderId="25" xfId="0" applyFont="1" applyFill="1" applyBorder="1" applyAlignment="1" applyProtection="1">
      <alignment horizontal="left" vertical="top" wrapText="1"/>
    </xf>
    <xf numFmtId="183" fontId="92" fillId="0" borderId="25" xfId="0" applyNumberFormat="1" applyFont="1" applyFill="1" applyBorder="1" applyAlignment="1" applyProtection="1">
      <alignment horizontal="right" vertical="top" wrapText="1"/>
    </xf>
    <xf numFmtId="183" fontId="93" fillId="0" borderId="25" xfId="0" applyNumberFormat="1" applyFont="1" applyFill="1" applyBorder="1" applyAlignment="1" applyProtection="1">
      <alignment horizontal="right" vertical="top" wrapText="1"/>
    </xf>
    <xf numFmtId="0" fontId="0" fillId="0" borderId="25" xfId="0" applyFill="1" applyBorder="1" applyProtection="1"/>
    <xf numFmtId="8" fontId="0" fillId="0" borderId="25" xfId="0" applyNumberFormat="1" applyFill="1" applyBorder="1" applyProtection="1"/>
    <xf numFmtId="4" fontId="0" fillId="0" borderId="15" xfId="0" applyNumberFormat="1" applyFill="1" applyBorder="1" applyProtection="1"/>
    <xf numFmtId="4" fontId="0" fillId="0" borderId="25" xfId="0" applyNumberFormat="1" applyFill="1" applyBorder="1" applyProtection="1"/>
    <xf numFmtId="0" fontId="0" fillId="0" borderId="15" xfId="0" applyFill="1" applyBorder="1" applyProtection="1"/>
    <xf numFmtId="43" fontId="0" fillId="0" borderId="15" xfId="0" applyNumberFormat="1" applyFill="1" applyBorder="1" applyProtection="1"/>
    <xf numFmtId="43" fontId="0" fillId="0" borderId="25" xfId="0" applyNumberFormat="1" applyFill="1" applyBorder="1" applyProtection="1"/>
    <xf numFmtId="183" fontId="0" fillId="0" borderId="15" xfId="0" applyNumberFormat="1" applyFill="1" applyBorder="1" applyProtection="1"/>
    <xf numFmtId="183" fontId="0" fillId="0" borderId="25" xfId="0" applyNumberFormat="1" applyFill="1" applyBorder="1" applyProtection="1"/>
    <xf numFmtId="183" fontId="94" fillId="0" borderId="25" xfId="0" applyNumberFormat="1" applyFont="1" applyFill="1" applyBorder="1" applyAlignment="1" applyProtection="1">
      <alignment horizontal="right" vertical="top" wrapText="1"/>
    </xf>
    <xf numFmtId="183" fontId="95" fillId="0" borderId="25" xfId="0" applyNumberFormat="1" applyFont="1" applyFill="1" applyBorder="1" applyProtection="1"/>
    <xf numFmtId="0" fontId="92" fillId="0" borderId="25" xfId="0" applyFont="1" applyFill="1" applyBorder="1" applyAlignment="1" applyProtection="1">
      <alignment horizontal="center" vertical="center" wrapText="1"/>
    </xf>
    <xf numFmtId="183" fontId="93" fillId="0" borderId="30" xfId="0" applyNumberFormat="1" applyFont="1" applyFill="1" applyBorder="1" applyAlignment="1" applyProtection="1">
      <alignment horizontal="right" vertical="top" wrapText="1"/>
    </xf>
    <xf numFmtId="0" fontId="0" fillId="0" borderId="30" xfId="0" applyFill="1" applyBorder="1" applyProtection="1"/>
    <xf numFmtId="183" fontId="93" fillId="0" borderId="0" xfId="0" applyNumberFormat="1" applyFont="1" applyFill="1" applyBorder="1" applyAlignment="1" applyProtection="1">
      <alignment horizontal="right" vertical="top" wrapText="1"/>
    </xf>
    <xf numFmtId="0" fontId="0" fillId="0" borderId="0" xfId="0" applyFill="1" applyBorder="1" applyProtection="1"/>
    <xf numFmtId="0" fontId="90" fillId="0" borderId="0" xfId="0" applyFont="1" applyFill="1" applyBorder="1" applyAlignment="1" applyProtection="1">
      <alignment horizontal="center"/>
    </xf>
    <xf numFmtId="0" fontId="91" fillId="0" borderId="0" xfId="0" applyFont="1" applyFill="1" applyBorder="1" applyProtection="1"/>
    <xf numFmtId="0" fontId="91" fillId="0" borderId="0" xfId="0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alignment horizontal="center" vertical="center" wrapText="1"/>
    </xf>
    <xf numFmtId="0" fontId="93" fillId="0" borderId="0" xfId="0" applyFont="1" applyFill="1" applyBorder="1" applyAlignment="1" applyProtection="1">
      <alignment horizontal="left" vertical="top" wrapText="1"/>
    </xf>
    <xf numFmtId="4" fontId="92" fillId="0" borderId="0" xfId="0" applyNumberFormat="1" applyFont="1" applyFill="1" applyBorder="1" applyAlignment="1" applyProtection="1">
      <alignment horizontal="right" vertical="top" wrapText="1"/>
    </xf>
    <xf numFmtId="183" fontId="92" fillId="0" borderId="0" xfId="0" applyNumberFormat="1" applyFont="1" applyFill="1" applyBorder="1" applyAlignment="1" applyProtection="1">
      <alignment horizontal="right" vertical="top" wrapText="1"/>
    </xf>
    <xf numFmtId="8" fontId="0" fillId="0" borderId="13" xfId="0" applyNumberFormat="1" applyFill="1" applyBorder="1" applyProtection="1"/>
    <xf numFmtId="8" fontId="0" fillId="0" borderId="30" xfId="0" applyNumberFormat="1" applyFill="1" applyBorder="1" applyProtection="1"/>
    <xf numFmtId="166" fontId="3" fillId="0" borderId="25" xfId="1" applyFont="1" applyFill="1" applyBorder="1"/>
    <xf numFmtId="4" fontId="3" fillId="0" borderId="25" xfId="0" applyNumberFormat="1" applyFont="1" applyFill="1" applyBorder="1"/>
    <xf numFmtId="0" fontId="120" fillId="0" borderId="65" xfId="0" applyFont="1" applyFill="1" applyBorder="1" applyAlignment="1" applyProtection="1">
      <alignment vertical="center"/>
    </xf>
    <xf numFmtId="43" fontId="120" fillId="0" borderId="65" xfId="0" applyNumberFormat="1" applyFont="1" applyFill="1" applyBorder="1" applyAlignment="1" applyProtection="1">
      <alignment vertical="center"/>
    </xf>
    <xf numFmtId="183" fontId="121" fillId="0" borderId="65" xfId="0" applyNumberFormat="1" applyFont="1" applyFill="1" applyBorder="1" applyAlignment="1" applyProtection="1">
      <alignment vertical="center"/>
    </xf>
    <xf numFmtId="0" fontId="82" fillId="0" borderId="65" xfId="0" applyFont="1" applyFill="1" applyBorder="1" applyAlignment="1" applyProtection="1">
      <alignment vertical="center" wrapText="1"/>
    </xf>
    <xf numFmtId="183" fontId="2" fillId="0" borderId="65" xfId="0" applyNumberFormat="1" applyFont="1" applyFill="1" applyBorder="1" applyAlignment="1" applyProtection="1">
      <alignment vertical="center" wrapText="1"/>
    </xf>
    <xf numFmtId="0" fontId="2" fillId="0" borderId="65" xfId="0" applyFont="1" applyFill="1" applyBorder="1" applyAlignment="1" applyProtection="1">
      <alignment vertical="center" wrapText="1"/>
    </xf>
    <xf numFmtId="183" fontId="82" fillId="0" borderId="65" xfId="0" applyNumberFormat="1" applyFont="1" applyFill="1" applyBorder="1" applyAlignment="1" applyProtection="1">
      <alignment vertical="center" wrapText="1"/>
    </xf>
    <xf numFmtId="0" fontId="6" fillId="0" borderId="66" xfId="0" applyFont="1" applyFill="1" applyBorder="1" applyAlignment="1">
      <alignment horizontal="center" vertical="center"/>
    </xf>
    <xf numFmtId="0" fontId="6" fillId="0" borderId="67" xfId="0" applyFont="1" applyFill="1" applyBorder="1" applyAlignment="1">
      <alignment horizontal="center" vertical="center"/>
    </xf>
    <xf numFmtId="170" fontId="8" fillId="0" borderId="69" xfId="2" applyNumberFormat="1" applyFont="1" applyFill="1" applyBorder="1" applyAlignment="1">
      <alignment horizontal="left" vertical="top" wrapText="1"/>
    </xf>
    <xf numFmtId="0" fontId="8" fillId="0" borderId="66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0" fontId="8" fillId="0" borderId="67" xfId="0" quotePrefix="1" applyFont="1" applyFill="1" applyBorder="1" applyAlignment="1">
      <alignment horizontal="center" vertical="center"/>
    </xf>
    <xf numFmtId="0" fontId="13" fillId="0" borderId="66" xfId="0" applyFont="1" applyFill="1" applyBorder="1" applyAlignment="1">
      <alignment horizontal="center" vertical="top"/>
    </xf>
    <xf numFmtId="0" fontId="13" fillId="0" borderId="64" xfId="0" applyFont="1" applyFill="1" applyBorder="1" applyAlignment="1">
      <alignment horizontal="center"/>
    </xf>
    <xf numFmtId="0" fontId="0" fillId="0" borderId="70" xfId="0" applyFill="1" applyBorder="1" applyProtection="1"/>
    <xf numFmtId="0" fontId="85" fillId="0" borderId="25" xfId="7" applyFont="1" applyFill="1" applyBorder="1" applyAlignment="1">
      <alignment horizontal="left" wrapText="1"/>
    </xf>
    <xf numFmtId="0" fontId="19" fillId="0" borderId="25" xfId="7" applyFont="1" applyFill="1" applyBorder="1" applyAlignment="1">
      <alignment horizontal="left" vertical="top" wrapText="1"/>
    </xf>
    <xf numFmtId="3" fontId="85" fillId="0" borderId="25" xfId="7" applyNumberFormat="1" applyFont="1" applyFill="1" applyBorder="1" applyAlignment="1">
      <alignment horizontal="center" vertical="top"/>
    </xf>
    <xf numFmtId="0" fontId="85" fillId="0" borderId="25" xfId="7" applyFont="1" applyFill="1" applyBorder="1" applyAlignment="1">
      <alignment horizontal="left" vertical="top" wrapText="1"/>
    </xf>
    <xf numFmtId="3" fontId="19" fillId="0" borderId="25" xfId="7" applyNumberFormat="1" applyFont="1" applyFill="1" applyBorder="1" applyAlignment="1">
      <alignment horizontal="center" vertical="top"/>
    </xf>
    <xf numFmtId="172" fontId="3" fillId="0" borderId="25" xfId="1" applyNumberFormat="1" applyFont="1" applyFill="1" applyBorder="1" applyAlignment="1">
      <alignment vertical="center" wrapText="1"/>
    </xf>
    <xf numFmtId="166" fontId="3" fillId="0" borderId="25" xfId="1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vertical="center"/>
    </xf>
    <xf numFmtId="0" fontId="23" fillId="0" borderId="25" xfId="0" quotePrefix="1" applyFont="1" applyFill="1" applyBorder="1" applyAlignment="1">
      <alignment vertical="center"/>
    </xf>
    <xf numFmtId="0" fontId="4" fillId="0" borderId="25" xfId="0" applyFont="1" applyFill="1" applyBorder="1" applyAlignment="1">
      <alignment vertical="top" wrapText="1"/>
    </xf>
    <xf numFmtId="3" fontId="4" fillId="0" borderId="25" xfId="0" applyNumberFormat="1" applyFont="1" applyFill="1" applyBorder="1" applyAlignment="1">
      <alignment vertical="top" wrapText="1"/>
    </xf>
    <xf numFmtId="0" fontId="3" fillId="0" borderId="25" xfId="0" applyFont="1" applyFill="1" applyBorder="1" applyAlignment="1">
      <alignment horizontal="center" vertical="top" wrapText="1"/>
    </xf>
    <xf numFmtId="165" fontId="3" fillId="0" borderId="25" xfId="2" applyNumberFormat="1" applyFont="1" applyFill="1" applyBorder="1" applyAlignment="1">
      <alignment vertical="top" wrapText="1"/>
    </xf>
    <xf numFmtId="170" fontId="5" fillId="0" borderId="31" xfId="2" applyNumberFormat="1" applyFont="1" applyFill="1" applyBorder="1" applyAlignment="1">
      <alignment vertical="top"/>
    </xf>
    <xf numFmtId="170" fontId="3" fillId="0" borderId="31" xfId="1901" applyNumberFormat="1" applyFont="1" applyFill="1" applyBorder="1" applyAlignment="1">
      <alignment horizontal="center" vertical="center"/>
    </xf>
    <xf numFmtId="0" fontId="4" fillId="0" borderId="67" xfId="0" applyFont="1" applyFill="1" applyBorder="1" applyAlignment="1">
      <alignment vertical="center" wrapText="1"/>
    </xf>
    <xf numFmtId="172" fontId="3" fillId="0" borderId="25" xfId="1" applyNumberFormat="1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left" wrapText="1"/>
    </xf>
    <xf numFmtId="4" fontId="13" fillId="0" borderId="67" xfId="0" applyNumberFormat="1" applyFont="1" applyFill="1" applyBorder="1" applyAlignment="1">
      <alignment horizontal="center"/>
    </xf>
    <xf numFmtId="0" fontId="13" fillId="0" borderId="67" xfId="0" applyFont="1" applyFill="1" applyBorder="1" applyAlignment="1">
      <alignment horizontal="center"/>
    </xf>
    <xf numFmtId="3" fontId="13" fillId="0" borderId="67" xfId="0" applyNumberFormat="1" applyFont="1" applyFill="1" applyBorder="1" applyAlignment="1">
      <alignment horizontal="center" vertical="center"/>
    </xf>
    <xf numFmtId="170" fontId="13" fillId="0" borderId="69" xfId="2" applyNumberFormat="1" applyFont="1" applyFill="1" applyBorder="1" applyAlignment="1">
      <alignment horizontal="center"/>
    </xf>
    <xf numFmtId="0" fontId="13" fillId="0" borderId="67" xfId="0" applyFont="1" applyFill="1" applyBorder="1" applyAlignment="1">
      <alignment horizontal="center" vertical="top"/>
    </xf>
    <xf numFmtId="0" fontId="13" fillId="0" borderId="67" xfId="0" quotePrefix="1" applyFont="1" applyFill="1" applyBorder="1" applyAlignment="1">
      <alignment horizontal="center" vertical="top"/>
    </xf>
    <xf numFmtId="0" fontId="3" fillId="0" borderId="67" xfId="0" applyFont="1" applyFill="1" applyBorder="1" applyAlignment="1">
      <alignment horizontal="left" vertical="top" wrapText="1"/>
    </xf>
    <xf numFmtId="4" fontId="3" fillId="0" borderId="67" xfId="0" applyNumberFormat="1" applyFont="1" applyFill="1" applyBorder="1" applyAlignment="1">
      <alignment horizontal="center"/>
    </xf>
    <xf numFmtId="0" fontId="3" fillId="0" borderId="67" xfId="0" applyFont="1" applyFill="1" applyBorder="1" applyAlignment="1">
      <alignment horizontal="center"/>
    </xf>
    <xf numFmtId="3" fontId="3" fillId="0" borderId="67" xfId="0" applyNumberFormat="1" applyFont="1" applyFill="1" applyBorder="1" applyAlignment="1">
      <alignment horizontal="center" vertical="center"/>
    </xf>
    <xf numFmtId="183" fontId="93" fillId="0" borderId="67" xfId="0" applyNumberFormat="1" applyFont="1" applyFill="1" applyBorder="1" applyAlignment="1" applyProtection="1">
      <alignment horizontal="right" vertical="top" wrapText="1"/>
    </xf>
    <xf numFmtId="0" fontId="0" fillId="0" borderId="67" xfId="0" applyFill="1" applyBorder="1" applyProtection="1"/>
    <xf numFmtId="170" fontId="3" fillId="0" borderId="67" xfId="2" applyNumberFormat="1" applyFont="1" applyFill="1" applyBorder="1" applyAlignment="1">
      <alignment horizontal="center" vertical="center"/>
    </xf>
    <xf numFmtId="0" fontId="3" fillId="0" borderId="67" xfId="0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left" vertical="top" wrapText="1"/>
    </xf>
    <xf numFmtId="3" fontId="3" fillId="0" borderId="67" xfId="0" applyNumberFormat="1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top"/>
    </xf>
    <xf numFmtId="165" fontId="3" fillId="0" borderId="67" xfId="0" applyNumberFormat="1" applyFont="1" applyFill="1" applyBorder="1" applyAlignment="1">
      <alignment vertical="top"/>
    </xf>
    <xf numFmtId="0" fontId="93" fillId="0" borderId="67" xfId="0" applyFont="1" applyFill="1" applyBorder="1" applyAlignment="1" applyProtection="1">
      <alignment horizontal="left" vertical="top" wrapText="1"/>
    </xf>
    <xf numFmtId="183" fontId="93" fillId="0" borderId="13" xfId="0" applyNumberFormat="1" applyFont="1" applyFill="1" applyBorder="1" applyAlignment="1" applyProtection="1">
      <alignment horizontal="right" vertical="top" wrapText="1"/>
    </xf>
    <xf numFmtId="183" fontId="0" fillId="0" borderId="30" xfId="0" applyNumberFormat="1" applyFill="1" applyBorder="1" applyProtection="1"/>
    <xf numFmtId="0" fontId="14" fillId="0" borderId="66" xfId="0" applyFont="1" applyFill="1" applyBorder="1" applyAlignment="1">
      <alignment horizontal="center" vertical="center" wrapText="1"/>
    </xf>
    <xf numFmtId="0" fontId="14" fillId="0" borderId="67" xfId="0" applyFont="1" applyFill="1" applyBorder="1" applyAlignment="1">
      <alignment horizontal="center" vertical="center" wrapText="1"/>
    </xf>
    <xf numFmtId="0" fontId="14" fillId="0" borderId="67" xfId="0" quotePrefix="1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vertical="center" wrapText="1"/>
    </xf>
    <xf numFmtId="170" fontId="3" fillId="0" borderId="67" xfId="2" applyNumberFormat="1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165" fontId="3" fillId="0" borderId="67" xfId="2" applyNumberFormat="1" applyFont="1" applyFill="1" applyBorder="1" applyAlignment="1">
      <alignment vertical="center" wrapText="1"/>
    </xf>
    <xf numFmtId="170" fontId="5" fillId="0" borderId="69" xfId="2" applyNumberFormat="1" applyFont="1" applyFill="1" applyBorder="1" applyAlignment="1">
      <alignment vertical="center"/>
    </xf>
    <xf numFmtId="0" fontId="13" fillId="0" borderId="67" xfId="0" applyFont="1" applyFill="1" applyBorder="1" applyAlignment="1">
      <alignment vertical="center" wrapText="1"/>
    </xf>
    <xf numFmtId="0" fontId="13" fillId="0" borderId="67" xfId="0" applyFont="1" applyFill="1" applyBorder="1" applyAlignment="1">
      <alignment horizontal="center" vertical="center" wrapText="1"/>
    </xf>
    <xf numFmtId="0" fontId="14" fillId="0" borderId="71" xfId="0" applyFont="1" applyFill="1" applyBorder="1" applyAlignment="1">
      <alignment horizontal="center" vertical="center" wrapText="1"/>
    </xf>
    <xf numFmtId="170" fontId="93" fillId="0" borderId="25" xfId="0" applyNumberFormat="1" applyFont="1" applyFill="1" applyBorder="1" applyAlignment="1" applyProtection="1">
      <alignment horizontal="left" vertical="top" wrapText="1"/>
    </xf>
    <xf numFmtId="166" fontId="0" fillId="0" borderId="25" xfId="1" applyFont="1" applyFill="1" applyBorder="1" applyProtection="1"/>
    <xf numFmtId="172" fontId="93" fillId="0" borderId="25" xfId="0" applyNumberFormat="1" applyFont="1" applyFill="1" applyBorder="1" applyAlignment="1" applyProtection="1">
      <alignment horizontal="left" vertical="top" wrapText="1"/>
    </xf>
    <xf numFmtId="183" fontId="123" fillId="0" borderId="25" xfId="0" applyNumberFormat="1" applyFont="1" applyFill="1" applyBorder="1" applyProtection="1"/>
    <xf numFmtId="166" fontId="13" fillId="0" borderId="40" xfId="1" applyFont="1" applyFill="1" applyBorder="1" applyAlignment="1">
      <alignment vertical="center"/>
    </xf>
    <xf numFmtId="183" fontId="124" fillId="0" borderId="25" xfId="0" applyNumberFormat="1" applyFont="1" applyFill="1" applyBorder="1" applyAlignment="1" applyProtection="1">
      <alignment horizontal="right" vertical="top" wrapText="1"/>
    </xf>
    <xf numFmtId="0" fontId="123" fillId="0" borderId="25" xfId="0" applyFont="1" applyFill="1" applyBorder="1" applyProtection="1"/>
    <xf numFmtId="4" fontId="123" fillId="0" borderId="15" xfId="0" applyNumberFormat="1" applyFont="1" applyFill="1" applyBorder="1" applyProtection="1"/>
    <xf numFmtId="4" fontId="123" fillId="0" borderId="25" xfId="0" applyNumberFormat="1" applyFont="1" applyFill="1" applyBorder="1" applyProtection="1"/>
    <xf numFmtId="0" fontId="123" fillId="0" borderId="15" xfId="0" applyFont="1" applyFill="1" applyBorder="1" applyProtection="1"/>
    <xf numFmtId="43" fontId="123" fillId="0" borderId="15" xfId="0" applyNumberFormat="1" applyFont="1" applyFill="1" applyBorder="1" applyProtection="1"/>
    <xf numFmtId="43" fontId="123" fillId="0" borderId="25" xfId="0" applyNumberFormat="1" applyFont="1" applyFill="1" applyBorder="1" applyProtection="1"/>
    <xf numFmtId="183" fontId="123" fillId="0" borderId="15" xfId="0" applyNumberFormat="1" applyFont="1" applyFill="1" applyBorder="1" applyProtection="1"/>
    <xf numFmtId="0" fontId="123" fillId="0" borderId="67" xfId="0" applyFont="1" applyFill="1" applyBorder="1" applyProtection="1"/>
    <xf numFmtId="166" fontId="123" fillId="0" borderId="25" xfId="1" applyFont="1" applyFill="1" applyBorder="1" applyProtection="1"/>
    <xf numFmtId="166" fontId="93" fillId="0" borderId="25" xfId="0" applyNumberFormat="1" applyFont="1" applyFill="1" applyBorder="1" applyAlignment="1" applyProtection="1">
      <alignment horizontal="left" vertical="top" wrapText="1"/>
    </xf>
    <xf numFmtId="170" fontId="0" fillId="0" borderId="25" xfId="0" applyNumberFormat="1" applyFill="1" applyBorder="1" applyProtection="1"/>
    <xf numFmtId="166" fontId="3" fillId="0" borderId="69" xfId="0" applyNumberFormat="1" applyFont="1" applyFill="1" applyBorder="1" applyAlignment="1">
      <alignment vertical="center"/>
    </xf>
    <xf numFmtId="166" fontId="3" fillId="0" borderId="63" xfId="0" applyNumberFormat="1" applyFont="1" applyFill="1" applyBorder="1" applyAlignment="1">
      <alignment vertical="center"/>
    </xf>
    <xf numFmtId="165" fontId="22" fillId="0" borderId="25" xfId="2" applyFont="1" applyFill="1" applyBorder="1" applyAlignment="1"/>
    <xf numFmtId="0" fontId="0" fillId="0" borderId="25" xfId="0" quotePrefix="1" applyFill="1" applyBorder="1" applyAlignment="1">
      <alignment horizontal="left"/>
    </xf>
    <xf numFmtId="0" fontId="22" fillId="0" borderId="25" xfId="0" applyNumberFormat="1" applyFont="1" applyFill="1" applyBorder="1" applyAlignment="1">
      <alignment horizontal="center"/>
    </xf>
    <xf numFmtId="183" fontId="93" fillId="0" borderId="72" xfId="0" applyNumberFormat="1" applyFont="1" applyFill="1" applyBorder="1" applyAlignment="1" applyProtection="1">
      <alignment horizontal="right" vertical="top" wrapText="1"/>
    </xf>
    <xf numFmtId="0" fontId="91" fillId="0" borderId="72" xfId="0" applyFont="1" applyFill="1" applyBorder="1" applyAlignment="1" applyProtection="1">
      <alignment horizontal="center" vertical="center" wrapText="1"/>
    </xf>
    <xf numFmtId="183" fontId="92" fillId="0" borderId="72" xfId="0" applyNumberFormat="1" applyFont="1" applyFill="1" applyBorder="1" applyAlignment="1" applyProtection="1">
      <alignment horizontal="right" vertical="top" wrapText="1"/>
    </xf>
    <xf numFmtId="0" fontId="13" fillId="0" borderId="67" xfId="0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center" wrapText="1"/>
    </xf>
    <xf numFmtId="0" fontId="13" fillId="0" borderId="69" xfId="0" applyFont="1" applyFill="1" applyBorder="1" applyAlignment="1">
      <alignment horizontal="center"/>
    </xf>
    <xf numFmtId="0" fontId="13" fillId="0" borderId="66" xfId="0" applyFont="1" applyFill="1" applyBorder="1" applyAlignment="1">
      <alignment horizontal="center"/>
    </xf>
    <xf numFmtId="0" fontId="13" fillId="0" borderId="67" xfId="0" quotePrefix="1" applyFont="1" applyFill="1" applyBorder="1" applyAlignment="1">
      <alignment horizontal="center"/>
    </xf>
    <xf numFmtId="0" fontId="13" fillId="0" borderId="66" xfId="0" applyFont="1" applyFill="1" applyBorder="1" applyAlignment="1">
      <alignment horizontal="center" vertical="center"/>
    </xf>
    <xf numFmtId="0" fontId="13" fillId="0" borderId="67" xfId="0" quotePrefix="1" applyFont="1" applyFill="1" applyBorder="1" applyAlignment="1">
      <alignment horizontal="center" vertical="center"/>
    </xf>
    <xf numFmtId="170" fontId="13" fillId="0" borderId="69" xfId="2" applyNumberFormat="1" applyFont="1" applyFill="1" applyBorder="1" applyAlignment="1">
      <alignment horizontal="center" vertical="center"/>
    </xf>
    <xf numFmtId="0" fontId="3" fillId="0" borderId="66" xfId="0" applyFont="1" applyFill="1" applyBorder="1" applyAlignment="1">
      <alignment vertical="center"/>
    </xf>
    <xf numFmtId="0" fontId="13" fillId="0" borderId="67" xfId="0" applyFont="1" applyFill="1" applyBorder="1" applyAlignment="1">
      <alignment vertical="center"/>
    </xf>
    <xf numFmtId="0" fontId="13" fillId="0" borderId="67" xfId="0" quotePrefix="1" applyFont="1" applyFill="1" applyBorder="1" applyAlignment="1">
      <alignment vertical="center"/>
    </xf>
    <xf numFmtId="165" fontId="3" fillId="0" borderId="67" xfId="2" applyFont="1" applyFill="1" applyBorder="1" applyAlignment="1">
      <alignment vertical="center"/>
    </xf>
    <xf numFmtId="0" fontId="13" fillId="0" borderId="66" xfId="0" applyFont="1" applyFill="1" applyBorder="1" applyAlignment="1">
      <alignment horizontal="center" vertical="center" wrapText="1"/>
    </xf>
    <xf numFmtId="0" fontId="13" fillId="0" borderId="67" xfId="0" quotePrefix="1" applyFont="1" applyFill="1" applyBorder="1" applyAlignment="1">
      <alignment horizontal="center" vertical="center" wrapText="1"/>
    </xf>
    <xf numFmtId="165" fontId="3" fillId="0" borderId="67" xfId="2" applyFont="1" applyFill="1" applyBorder="1" applyAlignment="1">
      <alignment vertical="center" wrapText="1"/>
    </xf>
    <xf numFmtId="170" fontId="13" fillId="0" borderId="67" xfId="2" applyNumberFormat="1" applyFont="1" applyFill="1" applyBorder="1" applyAlignment="1">
      <alignment horizontal="center"/>
    </xf>
    <xf numFmtId="165" fontId="13" fillId="0" borderId="67" xfId="2" applyFont="1" applyFill="1" applyBorder="1" applyAlignment="1">
      <alignment horizontal="center" vertical="center"/>
    </xf>
    <xf numFmtId="0" fontId="13" fillId="0" borderId="66" xfId="0" applyFont="1" applyFill="1" applyBorder="1" applyAlignment="1">
      <alignment vertical="center" wrapText="1"/>
    </xf>
    <xf numFmtId="0" fontId="13" fillId="0" borderId="67" xfId="0" quotePrefix="1" applyFont="1" applyFill="1" applyBorder="1" applyAlignment="1">
      <alignment vertical="center" wrapText="1"/>
    </xf>
    <xf numFmtId="165" fontId="0" fillId="0" borderId="67" xfId="2" applyFont="1" applyFill="1" applyBorder="1"/>
    <xf numFmtId="4" fontId="3" fillId="0" borderId="67" xfId="0" applyNumberFormat="1" applyFont="1" applyFill="1" applyBorder="1" applyAlignment="1">
      <alignment horizontal="center" vertical="center" wrapText="1"/>
    </xf>
    <xf numFmtId="3" fontId="3" fillId="0" borderId="67" xfId="0" applyNumberFormat="1" applyFont="1" applyFill="1" applyBorder="1" applyAlignment="1">
      <alignment vertical="center" wrapText="1"/>
    </xf>
    <xf numFmtId="4" fontId="13" fillId="0" borderId="77" xfId="0" applyNumberFormat="1" applyFont="1" applyFill="1" applyBorder="1" applyAlignment="1">
      <alignment vertical="center"/>
    </xf>
    <xf numFmtId="0" fontId="0" fillId="0" borderId="78" xfId="0" applyFill="1" applyBorder="1" applyProtection="1"/>
    <xf numFmtId="172" fontId="93" fillId="0" borderId="67" xfId="0" applyNumberFormat="1" applyFont="1" applyFill="1" applyBorder="1" applyAlignment="1" applyProtection="1">
      <alignment horizontal="left" vertical="top" wrapText="1"/>
    </xf>
    <xf numFmtId="172" fontId="125" fillId="0" borderId="25" xfId="0" applyNumberFormat="1" applyFont="1" applyFill="1" applyBorder="1" applyProtection="1"/>
    <xf numFmtId="183" fontId="125" fillId="0" borderId="25" xfId="0" applyNumberFormat="1" applyFont="1" applyFill="1" applyBorder="1" applyProtection="1"/>
    <xf numFmtId="170" fontId="3" fillId="0" borderId="67" xfId="2" applyNumberFormat="1" applyFont="1" applyFill="1" applyBorder="1" applyAlignment="1">
      <alignment horizontal="center"/>
    </xf>
    <xf numFmtId="3" fontId="3" fillId="0" borderId="67" xfId="0" applyNumberFormat="1" applyFont="1" applyFill="1" applyBorder="1" applyAlignment="1">
      <alignment horizontal="right" vertical="center" wrapText="1"/>
    </xf>
    <xf numFmtId="166" fontId="13" fillId="0" borderId="69" xfId="0" applyNumberFormat="1" applyFont="1" applyFill="1" applyBorder="1" applyAlignment="1">
      <alignment vertical="center"/>
    </xf>
    <xf numFmtId="172" fontId="13" fillId="0" borderId="25" xfId="1" applyNumberFormat="1" applyFont="1" applyFill="1" applyBorder="1" applyAlignment="1">
      <alignment horizontal="center" vertical="center"/>
    </xf>
    <xf numFmtId="172" fontId="3" fillId="0" borderId="25" xfId="1" applyNumberFormat="1" applyFont="1" applyFill="1" applyBorder="1" applyAlignment="1">
      <alignment vertical="center"/>
    </xf>
    <xf numFmtId="172" fontId="3" fillId="0" borderId="67" xfId="1" applyNumberFormat="1" applyFont="1" applyFill="1" applyBorder="1" applyAlignment="1">
      <alignment horizontal="center" vertical="center"/>
    </xf>
    <xf numFmtId="170" fontId="3" fillId="0" borderId="69" xfId="2" applyNumberFormat="1" applyFont="1" applyFill="1" applyBorder="1" applyAlignment="1">
      <alignment horizontal="center"/>
    </xf>
    <xf numFmtId="0" fontId="3" fillId="0" borderId="66" xfId="0" applyFont="1" applyFill="1" applyBorder="1" applyAlignment="1">
      <alignment horizontal="center" vertical="center"/>
    </xf>
    <xf numFmtId="0" fontId="3" fillId="0" borderId="67" xfId="0" quotePrefix="1" applyFont="1" applyFill="1" applyBorder="1" applyAlignment="1">
      <alignment horizontal="center" vertical="center"/>
    </xf>
    <xf numFmtId="0" fontId="28" fillId="0" borderId="62" xfId="0" applyFont="1" applyFill="1" applyBorder="1" applyAlignment="1">
      <alignment horizontal="center" vertical="center"/>
    </xf>
    <xf numFmtId="4" fontId="3" fillId="0" borderId="67" xfId="0" applyNumberFormat="1" applyFont="1" applyFill="1" applyBorder="1" applyAlignment="1">
      <alignment horizontal="center" vertical="top"/>
    </xf>
    <xf numFmtId="0" fontId="16" fillId="0" borderId="67" xfId="0" applyFont="1" applyFill="1" applyBorder="1"/>
    <xf numFmtId="0" fontId="16" fillId="0" borderId="67" xfId="0" applyFont="1" applyFill="1" applyBorder="1" applyAlignment="1">
      <alignment horizontal="center"/>
    </xf>
    <xf numFmtId="165" fontId="3" fillId="0" borderId="67" xfId="2" applyFont="1" applyFill="1" applyBorder="1" applyAlignment="1">
      <alignment horizontal="center" vertical="center"/>
    </xf>
    <xf numFmtId="4" fontId="3" fillId="0" borderId="69" xfId="0" applyNumberFormat="1" applyFont="1" applyFill="1" applyBorder="1" applyAlignment="1">
      <alignment vertical="center"/>
    </xf>
    <xf numFmtId="4" fontId="0" fillId="0" borderId="67" xfId="0" applyNumberFormat="1" applyFill="1" applyBorder="1" applyProtection="1"/>
    <xf numFmtId="4" fontId="3" fillId="0" borderId="67" xfId="0" applyNumberFormat="1" applyFont="1" applyFill="1" applyBorder="1" applyAlignment="1">
      <alignment horizontal="center" vertical="center"/>
    </xf>
    <xf numFmtId="4" fontId="0" fillId="0" borderId="78" xfId="0" applyNumberFormat="1" applyFill="1" applyBorder="1" applyProtection="1"/>
    <xf numFmtId="0" fontId="3" fillId="0" borderId="67" xfId="0" applyFont="1" applyFill="1" applyBorder="1" applyAlignment="1">
      <alignment horizontal="left" vertical="top"/>
    </xf>
    <xf numFmtId="3" fontId="3" fillId="0" borderId="67" xfId="0" applyNumberFormat="1" applyFont="1" applyFill="1" applyBorder="1" applyAlignment="1">
      <alignment horizontal="right" vertical="center"/>
    </xf>
    <xf numFmtId="166" fontId="3" fillId="0" borderId="67" xfId="1" applyFont="1" applyFill="1" applyBorder="1"/>
    <xf numFmtId="4" fontId="3" fillId="0" borderId="67" xfId="0" applyNumberFormat="1" applyFont="1" applyFill="1" applyBorder="1"/>
    <xf numFmtId="170" fontId="93" fillId="0" borderId="67" xfId="0" applyNumberFormat="1" applyFont="1" applyFill="1" applyBorder="1" applyAlignment="1" applyProtection="1">
      <alignment horizontal="left" vertical="top" wrapText="1"/>
    </xf>
    <xf numFmtId="0" fontId="3" fillId="0" borderId="67" xfId="0" applyFont="1" applyFill="1" applyBorder="1"/>
    <xf numFmtId="166" fontId="13" fillId="0" borderId="31" xfId="1" applyFont="1" applyFill="1" applyBorder="1" applyAlignment="1">
      <alignment horizontal="center"/>
    </xf>
    <xf numFmtId="165" fontId="3" fillId="0" borderId="69" xfId="0" applyNumberFormat="1" applyFont="1" applyFill="1" applyBorder="1" applyAlignment="1">
      <alignment vertical="center"/>
    </xf>
    <xf numFmtId="0" fontId="14" fillId="0" borderId="67" xfId="0" applyFont="1" applyFill="1" applyBorder="1" applyAlignment="1">
      <alignment horizontal="left" vertical="center"/>
    </xf>
    <xf numFmtId="0" fontId="5" fillId="0" borderId="67" xfId="0" applyFont="1" applyFill="1" applyBorder="1" applyAlignment="1">
      <alignment horizontal="center" vertical="center"/>
    </xf>
    <xf numFmtId="166" fontId="3" fillId="0" borderId="31" xfId="1" applyFont="1" applyFill="1" applyBorder="1" applyAlignment="1">
      <alignment vertical="center"/>
    </xf>
    <xf numFmtId="170" fontId="19" fillId="0" borderId="25" xfId="0" applyNumberFormat="1" applyFont="1" applyFill="1" applyBorder="1"/>
    <xf numFmtId="166" fontId="19" fillId="0" borderId="25" xfId="0" applyNumberFormat="1" applyFont="1" applyFill="1" applyBorder="1"/>
    <xf numFmtId="166" fontId="3" fillId="0" borderId="0" xfId="0" applyNumberFormat="1" applyFont="1" applyFill="1" applyAlignment="1">
      <alignment vertical="center" wrapText="1"/>
    </xf>
    <xf numFmtId="0" fontId="82" fillId="0" borderId="80" xfId="0" applyFont="1" applyFill="1" applyBorder="1" applyAlignment="1" applyProtection="1">
      <alignment horizontal="center" vertical="center" wrapText="1"/>
    </xf>
    <xf numFmtId="0" fontId="82" fillId="0" borderId="80" xfId="0" applyFont="1" applyFill="1" applyBorder="1" applyAlignment="1" applyProtection="1">
      <alignment vertical="center" wrapText="1"/>
    </xf>
    <xf numFmtId="183" fontId="2" fillId="0" borderId="80" xfId="0" applyNumberFormat="1" applyFont="1" applyFill="1" applyBorder="1" applyAlignment="1" applyProtection="1">
      <alignment vertical="center" wrapText="1"/>
    </xf>
    <xf numFmtId="183" fontId="82" fillId="0" borderId="80" xfId="0" applyNumberFormat="1" applyFont="1" applyFill="1" applyBorder="1" applyAlignment="1" applyProtection="1">
      <alignment vertical="center" wrapText="1"/>
    </xf>
    <xf numFmtId="0" fontId="35" fillId="0" borderId="64" xfId="10" applyFont="1" applyFill="1" applyBorder="1" applyAlignment="1">
      <alignment horizontal="center" vertical="top"/>
    </xf>
    <xf numFmtId="0" fontId="35" fillId="0" borderId="64" xfId="10" applyFont="1" applyFill="1" applyBorder="1" applyAlignment="1">
      <alignment horizontal="center" vertical="center" wrapText="1"/>
    </xf>
    <xf numFmtId="0" fontId="31" fillId="6" borderId="82" xfId="10" applyFont="1" applyFill="1" applyBorder="1" applyAlignment="1">
      <alignment horizontal="right" vertical="top"/>
    </xf>
    <xf numFmtId="0" fontId="31" fillId="6" borderId="64" xfId="10" applyFont="1" applyFill="1" applyBorder="1" applyAlignment="1">
      <alignment horizontal="center" vertical="center" wrapText="1"/>
    </xf>
    <xf numFmtId="165" fontId="31" fillId="6" borderId="64" xfId="12" applyNumberFormat="1" applyFont="1" applyFill="1" applyBorder="1" applyAlignment="1">
      <alignment horizontal="center" vertical="center" wrapText="1"/>
    </xf>
    <xf numFmtId="0" fontId="31" fillId="0" borderId="82" xfId="10" applyFont="1" applyFill="1" applyBorder="1" applyAlignment="1">
      <alignment horizontal="right" vertical="top"/>
    </xf>
    <xf numFmtId="0" fontId="30" fillId="0" borderId="82" xfId="10" applyNumberFormat="1" applyFont="1" applyFill="1" applyBorder="1" applyAlignment="1">
      <alignment horizontal="left" vertical="center"/>
    </xf>
    <xf numFmtId="0" fontId="30" fillId="0" borderId="83" xfId="10" applyNumberFormat="1" applyFont="1" applyFill="1" applyBorder="1" applyAlignment="1">
      <alignment horizontal="left" vertical="center" wrapText="1"/>
    </xf>
    <xf numFmtId="0" fontId="30" fillId="0" borderId="64" xfId="10" applyFont="1" applyFill="1" applyBorder="1" applyAlignment="1">
      <alignment horizontal="left" vertical="center" wrapText="1"/>
    </xf>
    <xf numFmtId="0" fontId="30" fillId="0" borderId="64" xfId="10" applyFont="1" applyFill="1" applyBorder="1" applyAlignment="1">
      <alignment horizontal="center" vertical="center" wrapText="1"/>
    </xf>
    <xf numFmtId="0" fontId="31" fillId="6" borderId="64" xfId="10" applyFont="1" applyFill="1" applyBorder="1" applyAlignment="1">
      <alignment horizontal="left" vertical="center" wrapText="1"/>
    </xf>
    <xf numFmtId="0" fontId="31" fillId="3" borderId="82" xfId="10" applyNumberFormat="1" applyFont="1" applyFill="1" applyBorder="1" applyAlignment="1">
      <alignment horizontal="center" vertical="top"/>
    </xf>
    <xf numFmtId="0" fontId="31" fillId="3" borderId="82" xfId="10" applyNumberFormat="1" applyFont="1" applyFill="1" applyBorder="1" applyAlignment="1">
      <alignment horizontal="left" vertical="top"/>
    </xf>
    <xf numFmtId="0" fontId="30" fillId="3" borderId="83" xfId="10" applyNumberFormat="1" applyFont="1" applyFill="1" applyBorder="1" applyAlignment="1">
      <alignment horizontal="left" vertical="top"/>
    </xf>
    <xf numFmtId="0" fontId="30" fillId="3" borderId="64" xfId="10" applyNumberFormat="1" applyFont="1" applyFill="1" applyBorder="1" applyAlignment="1">
      <alignment horizontal="left" vertical="top" wrapText="1"/>
    </xf>
    <xf numFmtId="0" fontId="30" fillId="3" borderId="64" xfId="10" applyNumberFormat="1" applyFont="1" applyFill="1" applyBorder="1" applyAlignment="1">
      <alignment horizontal="center" vertical="center" wrapText="1"/>
    </xf>
    <xf numFmtId="0" fontId="30" fillId="3" borderId="82" xfId="10" quotePrefix="1" applyNumberFormat="1" applyFont="1" applyFill="1" applyBorder="1" applyAlignment="1">
      <alignment horizontal="left" vertical="top"/>
    </xf>
    <xf numFmtId="0" fontId="30" fillId="3" borderId="82" xfId="10" applyNumberFormat="1" applyFont="1" applyFill="1" applyBorder="1" applyAlignment="1">
      <alignment horizontal="center" vertical="top"/>
    </xf>
    <xf numFmtId="165" fontId="33" fillId="3" borderId="64" xfId="13" applyNumberFormat="1" applyFont="1" applyFill="1" applyBorder="1" applyAlignment="1">
      <alignment vertical="center"/>
    </xf>
    <xf numFmtId="0" fontId="30" fillId="3" borderId="64" xfId="10" applyFont="1" applyFill="1" applyBorder="1" applyAlignment="1">
      <alignment horizontal="center" vertical="center"/>
    </xf>
    <xf numFmtId="165" fontId="33" fillId="0" borderId="64" xfId="13" applyNumberFormat="1" applyFont="1" applyFill="1" applyBorder="1" applyAlignment="1">
      <alignment vertical="center"/>
    </xf>
    <xf numFmtId="0" fontId="30" fillId="3" borderId="82" xfId="10" applyNumberFormat="1" applyFont="1" applyFill="1" applyBorder="1" applyAlignment="1">
      <alignment horizontal="left" vertical="top"/>
    </xf>
    <xf numFmtId="0" fontId="30" fillId="3" borderId="83" xfId="10" applyNumberFormat="1" applyFont="1" applyFill="1" applyBorder="1" applyAlignment="1">
      <alignment horizontal="left" vertical="top" wrapText="1"/>
    </xf>
    <xf numFmtId="0" fontId="30" fillId="3" borderId="82" xfId="10" applyNumberFormat="1" applyFont="1" applyFill="1" applyBorder="1" applyAlignment="1">
      <alignment horizontal="center" vertical="top" wrapText="1"/>
    </xf>
    <xf numFmtId="0" fontId="20" fillId="3" borderId="82" xfId="10" applyNumberFormat="1" applyFont="1" applyFill="1" applyBorder="1" applyAlignment="1">
      <alignment horizontal="center" vertical="top"/>
    </xf>
    <xf numFmtId="0" fontId="39" fillId="3" borderId="82" xfId="10" applyNumberFormat="1" applyFont="1" applyFill="1" applyBorder="1" applyAlignment="1">
      <alignment horizontal="center" vertical="top"/>
    </xf>
    <xf numFmtId="0" fontId="39" fillId="3" borderId="82" xfId="10" applyNumberFormat="1" applyFont="1" applyFill="1" applyBorder="1" applyAlignment="1">
      <alignment horizontal="left" vertical="top"/>
    </xf>
    <xf numFmtId="0" fontId="20" fillId="3" borderId="83" xfId="10" applyNumberFormat="1" applyFont="1" applyFill="1" applyBorder="1" applyAlignment="1">
      <alignment horizontal="left" vertical="top" wrapText="1"/>
    </xf>
    <xf numFmtId="0" fontId="20" fillId="3" borderId="64" xfId="10" applyNumberFormat="1" applyFont="1" applyFill="1" applyBorder="1" applyAlignment="1">
      <alignment horizontal="left" vertical="top" wrapText="1"/>
    </xf>
    <xf numFmtId="0" fontId="20" fillId="3" borderId="82" xfId="10" applyNumberFormat="1" applyFont="1" applyFill="1" applyBorder="1" applyAlignment="1">
      <alignment horizontal="center" vertical="top" wrapText="1"/>
    </xf>
    <xf numFmtId="165" fontId="40" fillId="3" borderId="64" xfId="13" applyNumberFormat="1" applyFont="1" applyFill="1" applyBorder="1" applyAlignment="1">
      <alignment vertical="center"/>
    </xf>
    <xf numFmtId="0" fontId="20" fillId="3" borderId="82" xfId="10" applyNumberFormat="1" applyFont="1" applyFill="1" applyBorder="1" applyAlignment="1">
      <alignment horizontal="left" vertical="top"/>
    </xf>
    <xf numFmtId="0" fontId="31" fillId="3" borderId="64" xfId="10" applyNumberFormat="1" applyFont="1" applyFill="1" applyBorder="1" applyAlignment="1">
      <alignment horizontal="left" vertical="top" wrapText="1"/>
    </xf>
    <xf numFmtId="0" fontId="30" fillId="3" borderId="57" xfId="10" applyNumberFormat="1" applyFont="1" applyFill="1" applyBorder="1" applyAlignment="1">
      <alignment horizontal="left" vertical="top"/>
    </xf>
    <xf numFmtId="0" fontId="20" fillId="3" borderId="82" xfId="10" applyNumberFormat="1" applyFont="1" applyFill="1" applyBorder="1" applyAlignment="1">
      <alignment vertical="top" wrapText="1"/>
    </xf>
    <xf numFmtId="165" fontId="30" fillId="3" borderId="82" xfId="15" applyNumberFormat="1" applyFont="1" applyFill="1" applyBorder="1" applyAlignment="1">
      <alignment horizontal="center" vertical="top"/>
    </xf>
    <xf numFmtId="0" fontId="31" fillId="3" borderId="82" xfId="10" applyFont="1" applyFill="1" applyBorder="1" applyAlignment="1">
      <alignment horizontal="center" vertical="top"/>
    </xf>
    <xf numFmtId="0" fontId="30" fillId="3" borderId="82" xfId="10" applyNumberFormat="1" applyFont="1" applyFill="1" applyBorder="1" applyAlignment="1">
      <alignment vertical="top" wrapText="1"/>
    </xf>
    <xf numFmtId="0" fontId="30" fillId="3" borderId="57" xfId="10" applyNumberFormat="1" applyFont="1" applyFill="1" applyBorder="1" applyAlignment="1">
      <alignment vertical="top"/>
    </xf>
    <xf numFmtId="0" fontId="30" fillId="3" borderId="83" xfId="10" applyNumberFormat="1" applyFont="1" applyFill="1" applyBorder="1" applyAlignment="1">
      <alignment vertical="top" wrapText="1"/>
    </xf>
    <xf numFmtId="0" fontId="30" fillId="3" borderId="82" xfId="10" applyFont="1" applyFill="1" applyBorder="1" applyAlignment="1">
      <alignment vertical="top"/>
    </xf>
    <xf numFmtId="165" fontId="33" fillId="3" borderId="64" xfId="12" applyNumberFormat="1" applyFont="1" applyFill="1" applyBorder="1" applyAlignment="1">
      <alignment vertical="center"/>
    </xf>
    <xf numFmtId="0" fontId="30" fillId="3" borderId="57" xfId="10" applyNumberFormat="1" applyFont="1" applyFill="1" applyBorder="1" applyAlignment="1">
      <alignment horizontal="left" vertical="top" wrapText="1"/>
    </xf>
    <xf numFmtId="0" fontId="31" fillId="3" borderId="82" xfId="10" applyNumberFormat="1" applyFont="1" applyFill="1" applyBorder="1" applyAlignment="1">
      <alignment horizontal="left" vertical="top" wrapText="1"/>
    </xf>
    <xf numFmtId="165" fontId="33" fillId="3" borderId="64" xfId="13" applyNumberFormat="1" applyFont="1" applyFill="1" applyBorder="1" applyAlignment="1">
      <alignment vertical="top"/>
    </xf>
    <xf numFmtId="0" fontId="39" fillId="3" borderId="82" xfId="10" applyFont="1" applyFill="1" applyBorder="1" applyAlignment="1">
      <alignment horizontal="center" vertical="top"/>
    </xf>
    <xf numFmtId="165" fontId="40" fillId="3" borderId="64" xfId="13" applyNumberFormat="1" applyFont="1" applyFill="1" applyBorder="1" applyAlignment="1">
      <alignment vertical="top"/>
    </xf>
    <xf numFmtId="165" fontId="33" fillId="0" borderId="64" xfId="13" applyNumberFormat="1" applyFont="1" applyFill="1" applyBorder="1" applyAlignment="1">
      <alignment vertical="top"/>
    </xf>
    <xf numFmtId="0" fontId="31" fillId="6" borderId="82" xfId="10" applyFont="1" applyFill="1" applyBorder="1" applyAlignment="1">
      <alignment horizontal="center" vertical="top"/>
    </xf>
    <xf numFmtId="0" fontId="31" fillId="6" borderId="64" xfId="10" applyFont="1" applyFill="1" applyBorder="1" applyAlignment="1">
      <alignment horizontal="left" vertical="center"/>
    </xf>
    <xf numFmtId="0" fontId="31" fillId="6" borderId="64" xfId="10" applyFont="1" applyFill="1" applyBorder="1" applyAlignment="1">
      <alignment horizontal="center" vertical="center"/>
    </xf>
    <xf numFmtId="165" fontId="31" fillId="6" borderId="64" xfId="10" applyNumberFormat="1" applyFont="1" applyFill="1" applyBorder="1" applyAlignment="1">
      <alignment vertical="center"/>
    </xf>
    <xf numFmtId="165" fontId="33" fillId="0" borderId="0" xfId="10" applyNumberFormat="1" applyFont="1" applyBorder="1" applyAlignment="1">
      <alignment horizontal="center" vertical="center" wrapText="1"/>
    </xf>
    <xf numFmtId="166" fontId="3" fillId="0" borderId="83" xfId="1" applyFont="1" applyFill="1" applyBorder="1"/>
    <xf numFmtId="170" fontId="13" fillId="0" borderId="69" xfId="0" applyNumberFormat="1" applyFont="1" applyFill="1" applyBorder="1" applyAlignment="1">
      <alignment horizontal="center"/>
    </xf>
    <xf numFmtId="166" fontId="13" fillId="0" borderId="64" xfId="1" applyFont="1" applyFill="1" applyBorder="1" applyAlignment="1">
      <alignment horizontal="center"/>
    </xf>
    <xf numFmtId="170" fontId="3" fillId="0" borderId="69" xfId="0" applyNumberFormat="1" applyFont="1" applyFill="1" applyBorder="1" applyAlignment="1">
      <alignment horizontal="center" vertical="top"/>
    </xf>
    <xf numFmtId="170" fontId="13" fillId="0" borderId="69" xfId="0" applyNumberFormat="1" applyFont="1" applyFill="1" applyBorder="1" applyAlignment="1">
      <alignment horizontal="right" vertical="center" wrapText="1"/>
    </xf>
    <xf numFmtId="170" fontId="13" fillId="0" borderId="69" xfId="2" applyNumberFormat="1" applyFont="1" applyFill="1" applyBorder="1" applyAlignment="1">
      <alignment horizontal="right" vertical="center" wrapText="1"/>
    </xf>
    <xf numFmtId="170" fontId="3" fillId="0" borderId="69" xfId="2" applyNumberFormat="1" applyFont="1" applyFill="1" applyBorder="1" applyAlignment="1">
      <alignment horizontal="center" vertical="top"/>
    </xf>
    <xf numFmtId="0" fontId="13" fillId="0" borderId="64" xfId="0" quotePrefix="1" applyFont="1" applyFill="1" applyBorder="1" applyAlignment="1">
      <alignment horizontal="center"/>
    </xf>
    <xf numFmtId="0" fontId="13" fillId="0" borderId="64" xfId="0" applyFont="1" applyFill="1" applyBorder="1" applyAlignment="1">
      <alignment horizontal="left" wrapText="1"/>
    </xf>
    <xf numFmtId="3" fontId="13" fillId="0" borderId="64" xfId="0" applyNumberFormat="1" applyFont="1" applyFill="1" applyBorder="1" applyAlignment="1">
      <alignment horizontal="center" vertical="center"/>
    </xf>
    <xf numFmtId="170" fontId="13" fillId="0" borderId="69" xfId="2" applyNumberFormat="1" applyFont="1" applyFill="1" applyBorder="1" applyAlignment="1">
      <alignment horizontal="center" vertical="top"/>
    </xf>
    <xf numFmtId="170" fontId="13" fillId="0" borderId="77" xfId="0" applyNumberFormat="1" applyFont="1" applyFill="1" applyBorder="1" applyAlignment="1">
      <alignment horizontal="right" vertical="center"/>
    </xf>
    <xf numFmtId="0" fontId="30" fillId="3" borderId="83" xfId="10" applyNumberFormat="1" applyFont="1" applyFill="1" applyBorder="1" applyAlignment="1">
      <alignment horizontal="left" vertical="top" wrapText="1"/>
    </xf>
    <xf numFmtId="183" fontId="0" fillId="0" borderId="0" xfId="0" applyNumberFormat="1" applyFill="1" applyBorder="1" applyProtection="1"/>
    <xf numFmtId="0" fontId="0" fillId="0" borderId="67" xfId="0" applyFill="1" applyBorder="1" applyAlignment="1">
      <alignment vertical="center" wrapText="1"/>
    </xf>
    <xf numFmtId="165" fontId="3" fillId="0" borderId="67" xfId="2" applyNumberFormat="1" applyFont="1" applyFill="1" applyBorder="1" applyAlignment="1">
      <alignment horizontal="center" vertical="center"/>
    </xf>
    <xf numFmtId="3" fontId="3" fillId="0" borderId="67" xfId="1" applyNumberFormat="1" applyFont="1" applyFill="1" applyBorder="1" applyAlignment="1">
      <alignment vertical="center"/>
    </xf>
    <xf numFmtId="183" fontId="93" fillId="0" borderId="25" xfId="0" applyNumberFormat="1" applyFont="1" applyFill="1" applyBorder="1" applyAlignment="1" applyProtection="1">
      <alignment horizontal="left" vertical="top" wrapText="1"/>
    </xf>
    <xf numFmtId="0" fontId="3" fillId="0" borderId="67" xfId="0" applyFont="1" applyFill="1" applyBorder="1" applyAlignment="1">
      <alignment horizontal="left" wrapText="1"/>
    </xf>
    <xf numFmtId="183" fontId="0" fillId="0" borderId="86" xfId="0" applyNumberFormat="1" applyFill="1" applyBorder="1" applyProtection="1"/>
    <xf numFmtId="166" fontId="93" fillId="0" borderId="67" xfId="0" applyNumberFormat="1" applyFont="1" applyFill="1" applyBorder="1" applyAlignment="1" applyProtection="1">
      <alignment horizontal="left" vertical="top" wrapText="1"/>
    </xf>
    <xf numFmtId="183" fontId="0" fillId="0" borderId="67" xfId="0" applyNumberFormat="1" applyFill="1" applyBorder="1" applyProtection="1"/>
    <xf numFmtId="166" fontId="125" fillId="0" borderId="25" xfId="0" applyNumberFormat="1" applyFont="1" applyFill="1" applyBorder="1" applyProtection="1"/>
    <xf numFmtId="165" fontId="16" fillId="0" borderId="67" xfId="2" applyFont="1" applyFill="1" applyBorder="1"/>
    <xf numFmtId="183" fontId="93" fillId="0" borderId="86" xfId="0" applyNumberFormat="1" applyFont="1" applyFill="1" applyBorder="1" applyAlignment="1" applyProtection="1">
      <alignment horizontal="right" vertical="top" wrapText="1"/>
    </xf>
    <xf numFmtId="183" fontId="95" fillId="0" borderId="67" xfId="0" applyNumberFormat="1" applyFont="1" applyFill="1" applyBorder="1" applyProtection="1"/>
    <xf numFmtId="165" fontId="34" fillId="3" borderId="64" xfId="13" applyNumberFormat="1" applyFont="1" applyFill="1" applyBorder="1" applyAlignment="1">
      <alignment vertical="center"/>
    </xf>
    <xf numFmtId="165" fontId="132" fillId="3" borderId="64" xfId="13" applyNumberFormat="1" applyFont="1" applyFill="1" applyBorder="1" applyAlignment="1">
      <alignment vertical="center"/>
    </xf>
    <xf numFmtId="165" fontId="31" fillId="3" borderId="64" xfId="12" applyNumberFormat="1" applyFont="1" applyFill="1" applyBorder="1" applyAlignment="1">
      <alignment horizontal="center" vertical="center" wrapText="1"/>
    </xf>
    <xf numFmtId="0" fontId="0" fillId="0" borderId="86" xfId="0" applyFill="1" applyBorder="1" applyProtection="1"/>
    <xf numFmtId="3" fontId="16" fillId="0" borderId="67" xfId="0" applyNumberFormat="1" applyFont="1" applyFill="1" applyBorder="1" applyAlignment="1">
      <alignment horizontal="right" vertical="center"/>
    </xf>
    <xf numFmtId="166" fontId="0" fillId="0" borderId="25" xfId="0" applyNumberFormat="1" applyFill="1" applyBorder="1" applyProtection="1"/>
    <xf numFmtId="0" fontId="3" fillId="0" borderId="67" xfId="0" applyFont="1" applyFill="1" applyBorder="1" applyAlignment="1">
      <alignment vertical="center"/>
    </xf>
    <xf numFmtId="183" fontId="133" fillId="0" borderId="0" xfId="0" applyNumberFormat="1" applyFont="1" applyFill="1" applyBorder="1" applyAlignment="1" applyProtection="1">
      <alignment horizontal="right" vertical="top" wrapText="1"/>
    </xf>
    <xf numFmtId="0" fontId="3" fillId="0" borderId="67" xfId="0" quotePrefix="1" applyFont="1" applyFill="1" applyBorder="1"/>
    <xf numFmtId="0" fontId="19" fillId="0" borderId="67" xfId="7" applyFont="1" applyFill="1" applyBorder="1" applyAlignment="1">
      <alignment horizontal="left" wrapText="1"/>
    </xf>
    <xf numFmtId="3" fontId="3" fillId="0" borderId="89" xfId="0" applyNumberFormat="1" applyFont="1" applyFill="1" applyBorder="1" applyAlignment="1">
      <alignment horizontal="center"/>
    </xf>
    <xf numFmtId="3" fontId="19" fillId="0" borderId="62" xfId="7" applyNumberFormat="1" applyFont="1" applyFill="1" applyBorder="1" applyAlignment="1"/>
    <xf numFmtId="170" fontId="3" fillId="0" borderId="69" xfId="2" applyNumberFormat="1" applyFont="1" applyFill="1" applyBorder="1" applyAlignment="1">
      <alignment horizontal="center" vertical="center"/>
    </xf>
    <xf numFmtId="172" fontId="3" fillId="0" borderId="67" xfId="1" applyNumberFormat="1" applyFont="1" applyFill="1" applyBorder="1" applyAlignment="1">
      <alignment vertical="center" wrapText="1"/>
    </xf>
    <xf numFmtId="0" fontId="3" fillId="0" borderId="0" xfId="0" applyFont="1" applyFill="1" applyAlignment="1"/>
    <xf numFmtId="172" fontId="33" fillId="0" borderId="0" xfId="1" applyNumberFormat="1" applyFont="1" applyBorder="1" applyAlignment="1">
      <alignment horizontal="center" vertical="center" wrapText="1"/>
    </xf>
    <xf numFmtId="165" fontId="3" fillId="0" borderId="67" xfId="2" applyFont="1" applyFill="1" applyBorder="1" applyAlignment="1">
      <alignment vertical="top"/>
    </xf>
    <xf numFmtId="166" fontId="3" fillId="0" borderId="69" xfId="0" applyNumberFormat="1" applyFont="1" applyFill="1" applyBorder="1" applyAlignment="1">
      <alignment vertical="top"/>
    </xf>
    <xf numFmtId="0" fontId="3" fillId="0" borderId="0" xfId="0" applyFont="1" applyFill="1" applyAlignment="1">
      <alignment horizontal="center"/>
    </xf>
    <xf numFmtId="0" fontId="13" fillId="0" borderId="71" xfId="0" applyFont="1" applyFill="1" applyBorder="1" applyAlignment="1">
      <alignment horizontal="center" vertical="top"/>
    </xf>
    <xf numFmtId="39" fontId="3" fillId="0" borderId="67" xfId="0" applyNumberFormat="1" applyFont="1" applyFill="1" applyBorder="1" applyAlignment="1">
      <alignment horizontal="center" vertical="top" wrapText="1"/>
    </xf>
    <xf numFmtId="165" fontId="3" fillId="0" borderId="67" xfId="2" applyFont="1" applyFill="1" applyBorder="1" applyAlignment="1">
      <alignment vertical="top" wrapText="1"/>
    </xf>
    <xf numFmtId="0" fontId="13" fillId="0" borderId="67" xfId="0" applyFont="1" applyFill="1" applyBorder="1" applyAlignment="1">
      <alignment horizontal="left" vertical="center" wrapText="1"/>
    </xf>
    <xf numFmtId="3" fontId="13" fillId="0" borderId="67" xfId="0" applyNumberFormat="1" applyFont="1" applyFill="1" applyBorder="1" applyAlignment="1">
      <alignment horizontal="right" vertical="center"/>
    </xf>
    <xf numFmtId="165" fontId="13" fillId="0" borderId="67" xfId="2" applyFont="1" applyFill="1" applyBorder="1" applyAlignment="1">
      <alignment vertical="center" wrapText="1"/>
    </xf>
    <xf numFmtId="166" fontId="13" fillId="0" borderId="67" xfId="1" applyFont="1" applyFill="1" applyBorder="1" applyAlignment="1">
      <alignment vertical="center" wrapText="1"/>
    </xf>
    <xf numFmtId="166" fontId="13" fillId="0" borderId="67" xfId="1" applyFont="1" applyFill="1" applyBorder="1" applyAlignment="1">
      <alignment horizontal="center" vertical="center" wrapText="1"/>
    </xf>
    <xf numFmtId="166" fontId="13" fillId="0" borderId="67" xfId="1" applyFont="1" applyFill="1" applyBorder="1" applyAlignment="1">
      <alignment horizontal="center" vertical="top" wrapText="1"/>
    </xf>
    <xf numFmtId="166" fontId="3" fillId="0" borderId="67" xfId="1" applyFont="1" applyFill="1" applyBorder="1" applyAlignment="1">
      <alignment horizontal="center" vertical="top" wrapText="1"/>
    </xf>
    <xf numFmtId="170" fontId="3" fillId="0" borderId="91" xfId="2" applyNumberFormat="1" applyFont="1" applyFill="1" applyBorder="1" applyAlignment="1">
      <alignment horizontal="center" vertical="center"/>
    </xf>
    <xf numFmtId="166" fontId="3" fillId="0" borderId="86" xfId="1" applyFont="1" applyFill="1" applyBorder="1"/>
    <xf numFmtId="166" fontId="3" fillId="0" borderId="67" xfId="1" applyFont="1" applyFill="1" applyBorder="1" applyAlignment="1">
      <alignment horizontal="center" vertical="center" wrapText="1"/>
    </xf>
    <xf numFmtId="172" fontId="3" fillId="0" borderId="69" xfId="2" applyNumberFormat="1" applyFont="1" applyFill="1" applyBorder="1" applyAlignment="1">
      <alignment vertical="center" wrapText="1"/>
    </xf>
    <xf numFmtId="166" fontId="3" fillId="0" borderId="67" xfId="1" applyFont="1" applyFill="1" applyBorder="1" applyAlignment="1">
      <alignment vertical="center" wrapText="1"/>
    </xf>
    <xf numFmtId="4" fontId="0" fillId="0" borderId="86" xfId="0" applyNumberFormat="1" applyFill="1" applyBorder="1" applyProtection="1"/>
    <xf numFmtId="165" fontId="13" fillId="0" borderId="69" xfId="0" applyNumberFormat="1" applyFont="1" applyFill="1" applyBorder="1" applyAlignment="1">
      <alignment vertical="center"/>
    </xf>
    <xf numFmtId="166" fontId="16" fillId="0" borderId="86" xfId="1" applyFont="1" applyFill="1" applyBorder="1" applyAlignment="1">
      <alignment horizontal="center" vertical="center" wrapText="1"/>
    </xf>
    <xf numFmtId="39" fontId="3" fillId="0" borderId="67" xfId="0" applyNumberFormat="1" applyFont="1" applyFill="1" applyBorder="1" applyAlignment="1">
      <alignment horizontal="center" vertical="center"/>
    </xf>
    <xf numFmtId="172" fontId="16" fillId="0" borderId="86" xfId="12218" applyNumberFormat="1" applyFont="1" applyFill="1" applyBorder="1" applyAlignment="1">
      <alignment vertical="center" wrapText="1"/>
    </xf>
    <xf numFmtId="0" fontId="91" fillId="0" borderId="86" xfId="0" applyFont="1" applyFill="1" applyBorder="1" applyAlignment="1" applyProtection="1">
      <alignment horizontal="center" vertical="center" wrapText="1"/>
    </xf>
    <xf numFmtId="0" fontId="92" fillId="0" borderId="86" xfId="0" applyFont="1" applyFill="1" applyBorder="1" applyAlignment="1" applyProtection="1">
      <alignment horizontal="center" vertical="center" wrapText="1"/>
    </xf>
    <xf numFmtId="183" fontId="92" fillId="0" borderId="86" xfId="0" applyNumberFormat="1" applyFont="1" applyFill="1" applyBorder="1" applyAlignment="1" applyProtection="1">
      <alignment horizontal="right" vertical="top" wrapText="1"/>
    </xf>
    <xf numFmtId="0" fontId="13" fillId="0" borderId="91" xfId="0" applyFont="1" applyFill="1" applyBorder="1" applyAlignment="1">
      <alignment horizontal="center"/>
    </xf>
    <xf numFmtId="166" fontId="13" fillId="0" borderId="69" xfId="0" applyNumberFormat="1" applyFont="1" applyFill="1" applyBorder="1" applyAlignment="1">
      <alignment vertical="center" wrapText="1"/>
    </xf>
    <xf numFmtId="166" fontId="13" fillId="0" borderId="69" xfId="1" applyFont="1" applyFill="1" applyBorder="1" applyAlignment="1">
      <alignment horizontal="center"/>
    </xf>
    <xf numFmtId="170" fontId="13" fillId="0" borderId="69" xfId="2" applyNumberFormat="1" applyFont="1" applyFill="1" applyBorder="1" applyAlignment="1">
      <alignment vertical="center" wrapText="1"/>
    </xf>
    <xf numFmtId="170" fontId="3" fillId="0" borderId="69" xfId="2" applyNumberFormat="1" applyFont="1" applyFill="1" applyBorder="1" applyAlignment="1">
      <alignment vertical="center" wrapText="1"/>
    </xf>
    <xf numFmtId="0" fontId="13" fillId="0" borderId="67" xfId="0" applyFont="1" applyFill="1" applyBorder="1" applyAlignment="1">
      <alignment vertical="top" wrapText="1"/>
    </xf>
    <xf numFmtId="166" fontId="13" fillId="0" borderId="77" xfId="0" applyNumberFormat="1" applyFont="1" applyFill="1" applyBorder="1" applyAlignment="1">
      <alignment vertical="center"/>
    </xf>
    <xf numFmtId="0" fontId="13" fillId="0" borderId="67" xfId="0" applyFont="1" applyFill="1" applyBorder="1" applyAlignment="1">
      <alignment vertical="top"/>
    </xf>
    <xf numFmtId="166" fontId="3" fillId="0" borderId="67" xfId="1" applyFont="1" applyFill="1" applyBorder="1" applyAlignment="1">
      <alignment horizontal="center" vertical="top"/>
    </xf>
    <xf numFmtId="4" fontId="13" fillId="0" borderId="67" xfId="0" applyNumberFormat="1" applyFont="1" applyFill="1" applyBorder="1" applyAlignment="1">
      <alignment horizontal="center" vertical="top"/>
    </xf>
    <xf numFmtId="3" fontId="13" fillId="0" borderId="67" xfId="0" applyNumberFormat="1" applyFont="1" applyFill="1" applyBorder="1" applyAlignment="1">
      <alignment horizontal="center" vertical="top"/>
    </xf>
    <xf numFmtId="165" fontId="3" fillId="0" borderId="67" xfId="2" applyFont="1" applyFill="1" applyBorder="1" applyAlignment="1">
      <alignment horizontal="right" vertical="center"/>
    </xf>
    <xf numFmtId="0" fontId="13" fillId="0" borderId="67" xfId="0" applyFont="1" applyFill="1" applyBorder="1"/>
    <xf numFmtId="4" fontId="13" fillId="0" borderId="67" xfId="0" applyNumberFormat="1" applyFont="1" applyFill="1" applyBorder="1"/>
    <xf numFmtId="3" fontId="13" fillId="0" borderId="67" xfId="0" applyNumberFormat="1" applyFont="1" applyFill="1" applyBorder="1" applyAlignment="1">
      <alignment vertical="center"/>
    </xf>
    <xf numFmtId="4" fontId="13" fillId="0" borderId="69" xfId="0" applyNumberFormat="1" applyFont="1" applyFill="1" applyBorder="1"/>
    <xf numFmtId="3" fontId="3" fillId="0" borderId="67" xfId="0" applyNumberFormat="1" applyFont="1" applyFill="1" applyBorder="1" applyAlignment="1">
      <alignment vertical="top"/>
    </xf>
    <xf numFmtId="4" fontId="13" fillId="0" borderId="69" xfId="0" applyNumberFormat="1" applyFont="1" applyFill="1" applyBorder="1" applyAlignment="1">
      <alignment vertical="top" wrapText="1"/>
    </xf>
    <xf numFmtId="4" fontId="3" fillId="0" borderId="69" xfId="0" applyNumberFormat="1" applyFont="1" applyFill="1" applyBorder="1" applyAlignment="1">
      <alignment vertical="center" wrapText="1"/>
    </xf>
    <xf numFmtId="4" fontId="13" fillId="0" borderId="69" xfId="0" applyNumberFormat="1" applyFont="1" applyFill="1" applyBorder="1" applyAlignment="1">
      <alignment vertical="center" wrapText="1"/>
    </xf>
    <xf numFmtId="165" fontId="3" fillId="0" borderId="62" xfId="2" applyFont="1" applyFill="1" applyBorder="1" applyAlignment="1">
      <alignment horizontal="center" vertical="center"/>
    </xf>
    <xf numFmtId="4" fontId="13" fillId="0" borderId="91" xfId="0" applyNumberFormat="1" applyFont="1" applyFill="1" applyBorder="1" applyAlignment="1">
      <alignment vertical="center"/>
    </xf>
    <xf numFmtId="0" fontId="13" fillId="0" borderId="88" xfId="0" applyFont="1" applyFill="1" applyBorder="1" applyAlignment="1">
      <alignment horizontal="center" vertical="center"/>
    </xf>
    <xf numFmtId="0" fontId="13" fillId="0" borderId="90" xfId="0" applyFont="1" applyFill="1" applyBorder="1" applyAlignment="1">
      <alignment horizontal="center" vertical="center"/>
    </xf>
    <xf numFmtId="0" fontId="13" fillId="0" borderId="90" xfId="0" quotePrefix="1" applyFont="1" applyFill="1" applyBorder="1" applyAlignment="1">
      <alignment horizontal="center" vertical="center"/>
    </xf>
    <xf numFmtId="4" fontId="3" fillId="0" borderId="91" xfId="0" applyNumberFormat="1" applyFont="1" applyFill="1" applyBorder="1" applyAlignment="1">
      <alignment vertical="center"/>
    </xf>
    <xf numFmtId="166" fontId="3" fillId="0" borderId="86" xfId="1" applyFont="1" applyFill="1" applyBorder="1" applyAlignment="1">
      <alignment vertical="center" wrapText="1"/>
    </xf>
    <xf numFmtId="39" fontId="3" fillId="0" borderId="67" xfId="0" applyNumberFormat="1" applyFont="1" applyFill="1" applyBorder="1" applyAlignment="1">
      <alignment horizontal="center" vertical="center" wrapText="1"/>
    </xf>
    <xf numFmtId="165" fontId="13" fillId="0" borderId="69" xfId="2" applyNumberFormat="1" applyFont="1" applyFill="1" applyBorder="1" applyAlignment="1">
      <alignment horizontal="center"/>
    </xf>
    <xf numFmtId="165" fontId="3" fillId="0" borderId="69" xfId="2" applyNumberFormat="1" applyFont="1" applyFill="1" applyBorder="1" applyAlignment="1">
      <alignment horizontal="center" vertical="top"/>
    </xf>
    <xf numFmtId="0" fontId="13" fillId="0" borderId="67" xfId="0" applyFont="1" applyFill="1" applyBorder="1" applyAlignment="1">
      <alignment horizontal="left" vertical="top"/>
    </xf>
    <xf numFmtId="0" fontId="5" fillId="0" borderId="67" xfId="0" applyFont="1" applyFill="1" applyBorder="1" applyAlignment="1">
      <alignment horizontal="left" vertical="center" wrapText="1"/>
    </xf>
    <xf numFmtId="165" fontId="14" fillId="0" borderId="69" xfId="2" applyNumberFormat="1" applyFont="1" applyFill="1" applyBorder="1" applyAlignment="1">
      <alignment vertical="center"/>
    </xf>
    <xf numFmtId="165" fontId="13" fillId="0" borderId="77" xfId="0" applyNumberFormat="1" applyFont="1" applyFill="1" applyBorder="1" applyAlignment="1">
      <alignment vertical="center"/>
    </xf>
    <xf numFmtId="0" fontId="28" fillId="0" borderId="62" xfId="0" applyFont="1" applyFill="1" applyBorder="1" applyAlignment="1">
      <alignment vertical="center"/>
    </xf>
    <xf numFmtId="170" fontId="14" fillId="0" borderId="69" xfId="2" applyNumberFormat="1" applyFont="1" applyFill="1" applyBorder="1" applyAlignment="1">
      <alignment vertical="center"/>
    </xf>
    <xf numFmtId="4" fontId="14" fillId="0" borderId="77" xfId="0" applyNumberFormat="1" applyFont="1" applyFill="1" applyBorder="1" applyAlignment="1">
      <alignment vertical="center"/>
    </xf>
    <xf numFmtId="166" fontId="3" fillId="0" borderId="67" xfId="1" applyFont="1" applyFill="1" applyBorder="1" applyAlignment="1">
      <alignment horizontal="center" vertical="center"/>
    </xf>
    <xf numFmtId="166" fontId="16" fillId="0" borderId="67" xfId="1" applyFont="1" applyFill="1" applyBorder="1" applyAlignment="1">
      <alignment horizontal="center"/>
    </xf>
    <xf numFmtId="172" fontId="16" fillId="0" borderId="67" xfId="1" applyNumberFormat="1" applyFont="1" applyFill="1" applyBorder="1"/>
    <xf numFmtId="172" fontId="13" fillId="0" borderId="69" xfId="0" applyNumberFormat="1" applyFont="1" applyFill="1" applyBorder="1" applyAlignment="1">
      <alignment vertical="center" wrapText="1"/>
    </xf>
    <xf numFmtId="0" fontId="13" fillId="0" borderId="66" xfId="0" applyFont="1" applyFill="1" applyBorder="1" applyAlignment="1">
      <alignment horizontal="center" vertical="top" wrapText="1"/>
    </xf>
    <xf numFmtId="0" fontId="13" fillId="0" borderId="67" xfId="0" applyFont="1" applyFill="1" applyBorder="1" applyAlignment="1">
      <alignment horizontal="center" vertical="top" wrapText="1"/>
    </xf>
    <xf numFmtId="0" fontId="13" fillId="0" borderId="67" xfId="0" quotePrefix="1" applyFont="1" applyFill="1" applyBorder="1" applyAlignment="1">
      <alignment horizontal="center" vertical="top" wrapText="1"/>
    </xf>
    <xf numFmtId="166" fontId="3" fillId="0" borderId="67" xfId="1" applyFont="1" applyFill="1" applyBorder="1" applyAlignment="1">
      <alignment vertical="top" wrapText="1"/>
    </xf>
    <xf numFmtId="172" fontId="13" fillId="0" borderId="69" xfId="2" applyNumberFormat="1" applyFont="1" applyFill="1" applyBorder="1" applyAlignment="1">
      <alignment vertical="top" wrapText="1"/>
    </xf>
    <xf numFmtId="172" fontId="16" fillId="0" borderId="87" xfId="12218" applyNumberFormat="1" applyFont="1" applyFill="1" applyBorder="1" applyAlignment="1">
      <alignment vertical="center" wrapText="1"/>
    </xf>
    <xf numFmtId="172" fontId="13" fillId="0" borderId="77" xfId="0" applyNumberFormat="1" applyFont="1" applyFill="1" applyBorder="1" applyAlignment="1">
      <alignment vertical="center"/>
    </xf>
    <xf numFmtId="4" fontId="130" fillId="0" borderId="0" xfId="0" applyNumberFormat="1" applyFont="1" applyFill="1"/>
    <xf numFmtId="0" fontId="131" fillId="0" borderId="0" xfId="0" applyFont="1" applyFill="1"/>
    <xf numFmtId="166" fontId="126" fillId="0" borderId="0" xfId="1" applyFont="1" applyFill="1"/>
    <xf numFmtId="170" fontId="13" fillId="0" borderId="0" xfId="0" applyNumberFormat="1" applyFont="1" applyFill="1"/>
    <xf numFmtId="166" fontId="3" fillId="0" borderId="69" xfId="1" applyFont="1" applyFill="1" applyBorder="1" applyAlignment="1">
      <alignment vertical="center"/>
    </xf>
    <xf numFmtId="165" fontId="30" fillId="0" borderId="64" xfId="12" applyNumberFormat="1" applyFont="1" applyFill="1" applyBorder="1" applyAlignment="1">
      <alignment horizontal="center" vertical="center" wrapText="1"/>
    </xf>
    <xf numFmtId="183" fontId="37" fillId="0" borderId="0" xfId="10" applyNumberFormat="1" applyFont="1" applyFill="1" applyBorder="1" applyAlignment="1">
      <alignment vertical="center"/>
    </xf>
    <xf numFmtId="166" fontId="0" fillId="0" borderId="15" xfId="0" applyNumberFormat="1" applyFill="1" applyBorder="1" applyProtection="1"/>
    <xf numFmtId="170" fontId="3" fillId="0" borderId="91" xfId="2" applyNumberFormat="1" applyFont="1" applyFill="1" applyBorder="1" applyAlignment="1">
      <alignment horizontal="center" vertical="top"/>
    </xf>
    <xf numFmtId="0" fontId="85" fillId="0" borderId="67" xfId="7" applyFont="1" applyFill="1" applyBorder="1" applyAlignment="1">
      <alignment horizontal="left" wrapText="1"/>
    </xf>
    <xf numFmtId="166" fontId="19" fillId="0" borderId="25" xfId="1" applyFont="1" applyFill="1" applyBorder="1" applyAlignment="1">
      <alignment horizontal="center" wrapText="1"/>
    </xf>
    <xf numFmtId="172" fontId="0" fillId="0" borderId="15" xfId="0" applyNumberFormat="1" applyFill="1" applyBorder="1" applyProtection="1"/>
    <xf numFmtId="172" fontId="0" fillId="0" borderId="86" xfId="0" applyNumberFormat="1" applyFill="1" applyBorder="1" applyProtection="1"/>
    <xf numFmtId="0" fontId="21" fillId="0" borderId="0" xfId="0" applyFont="1" applyFill="1" applyBorder="1" applyAlignment="1">
      <alignment horizontal="center" vertical="center" wrapText="1"/>
    </xf>
    <xf numFmtId="165" fontId="21" fillId="0" borderId="0" xfId="2" applyFont="1" applyFill="1" applyBorder="1" applyAlignment="1">
      <alignment horizontal="center" vertical="center" wrapText="1"/>
    </xf>
    <xf numFmtId="165" fontId="134" fillId="0" borderId="0" xfId="2" applyFont="1" applyFill="1" applyBorder="1"/>
    <xf numFmtId="165" fontId="21" fillId="0" borderId="0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Border="1"/>
    <xf numFmtId="172" fontId="10" fillId="0" borderId="0" xfId="1" applyNumberFormat="1" applyFont="1" applyFill="1"/>
    <xf numFmtId="0" fontId="10" fillId="0" borderId="0" xfId="0" applyFont="1" applyFill="1"/>
    <xf numFmtId="170" fontId="10" fillId="0" borderId="0" xfId="2" applyNumberFormat="1" applyFont="1" applyFill="1"/>
    <xf numFmtId="0" fontId="6" fillId="0" borderId="67" xfId="0" applyFont="1" applyFill="1" applyBorder="1" applyAlignment="1">
      <alignment horizontal="center" wrapText="1"/>
    </xf>
    <xf numFmtId="0" fontId="6" fillId="0" borderId="85" xfId="2" applyNumberFormat="1" applyFont="1" applyFill="1" applyBorder="1" applyAlignment="1">
      <alignment horizontal="center" wrapText="1"/>
    </xf>
    <xf numFmtId="0" fontId="6" fillId="0" borderId="69" xfId="2" applyNumberFormat="1" applyFont="1" applyFill="1" applyBorder="1" applyAlignment="1">
      <alignment horizontal="center" vertical="center" wrapText="1"/>
    </xf>
    <xf numFmtId="0" fontId="6" fillId="0" borderId="67" xfId="0" applyFont="1" applyFill="1" applyBorder="1" applyAlignment="1">
      <alignment horizontal="left" wrapText="1"/>
    </xf>
    <xf numFmtId="165" fontId="6" fillId="0" borderId="85" xfId="2" applyFont="1" applyFill="1" applyBorder="1" applyAlignment="1">
      <alignment horizontal="center" wrapText="1"/>
    </xf>
    <xf numFmtId="170" fontId="6" fillId="0" borderId="69" xfId="2" applyNumberFormat="1" applyFont="1" applyFill="1" applyBorder="1" applyAlignment="1">
      <alignment horizontal="right" vertical="center" wrapText="1"/>
    </xf>
    <xf numFmtId="170" fontId="6" fillId="0" borderId="69" xfId="2" applyNumberFormat="1" applyFont="1" applyFill="1" applyBorder="1" applyAlignment="1">
      <alignment horizontal="center" vertical="center" wrapText="1"/>
    </xf>
    <xf numFmtId="0" fontId="9" fillId="0" borderId="67" xfId="0" applyFont="1" applyFill="1" applyBorder="1" applyAlignment="1">
      <alignment horizontal="center" vertical="center"/>
    </xf>
    <xf numFmtId="165" fontId="6" fillId="0" borderId="67" xfId="2" applyNumberFormat="1" applyFont="1" applyFill="1" applyBorder="1" applyAlignment="1">
      <alignment horizontal="right" wrapText="1"/>
    </xf>
    <xf numFmtId="170" fontId="6" fillId="0" borderId="69" xfId="2" applyNumberFormat="1" applyFont="1" applyFill="1" applyBorder="1" applyAlignment="1">
      <alignment horizontal="right" wrapText="1"/>
    </xf>
    <xf numFmtId="0" fontId="7" fillId="0" borderId="67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left" wrapText="1"/>
    </xf>
    <xf numFmtId="165" fontId="8" fillId="0" borderId="85" xfId="2" applyFont="1" applyFill="1" applyBorder="1" applyAlignment="1">
      <alignment horizontal="left" wrapText="1"/>
    </xf>
    <xf numFmtId="170" fontId="8" fillId="0" borderId="69" xfId="2" applyNumberFormat="1" applyFont="1" applyFill="1" applyBorder="1" applyAlignment="1">
      <alignment horizontal="right" wrapText="1"/>
    </xf>
    <xf numFmtId="0" fontId="7" fillId="0" borderId="67" xfId="0" quotePrefix="1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left" vertical="center" wrapText="1"/>
    </xf>
    <xf numFmtId="165" fontId="8" fillId="0" borderId="85" xfId="2" applyFont="1" applyFill="1" applyBorder="1" applyAlignment="1">
      <alignment horizontal="left" vertical="center" wrapText="1"/>
    </xf>
    <xf numFmtId="170" fontId="8" fillId="0" borderId="69" xfId="2" applyNumberFormat="1" applyFont="1" applyFill="1" applyBorder="1" applyAlignment="1">
      <alignment horizontal="left" vertical="center" wrapText="1"/>
    </xf>
    <xf numFmtId="0" fontId="6" fillId="0" borderId="67" xfId="0" quotePrefix="1" applyFont="1" applyFill="1" applyBorder="1" applyAlignment="1">
      <alignment horizontal="center" vertical="center"/>
    </xf>
    <xf numFmtId="0" fontId="9" fillId="0" borderId="67" xfId="0" applyFont="1" applyFill="1" applyBorder="1" applyAlignment="1">
      <alignment horizontal="left" vertical="top" wrapText="1"/>
    </xf>
    <xf numFmtId="165" fontId="7" fillId="0" borderId="85" xfId="2" applyFont="1" applyFill="1" applyBorder="1" applyAlignment="1">
      <alignment horizontal="left" vertical="top" wrapText="1"/>
    </xf>
    <xf numFmtId="170" fontId="9" fillId="0" borderId="69" xfId="2" applyNumberFormat="1" applyFont="1" applyFill="1" applyBorder="1" applyAlignment="1">
      <alignment horizontal="left" vertical="top" wrapText="1"/>
    </xf>
    <xf numFmtId="0" fontId="9" fillId="0" borderId="67" xfId="0" applyFont="1" applyFill="1" applyBorder="1" applyAlignment="1">
      <alignment horizontal="left" vertical="top"/>
    </xf>
    <xf numFmtId="165" fontId="9" fillId="0" borderId="85" xfId="2" applyFont="1" applyFill="1" applyBorder="1" applyAlignment="1">
      <alignment horizontal="left" vertical="top" wrapText="1"/>
    </xf>
    <xf numFmtId="0" fontId="7" fillId="0" borderId="67" xfId="0" applyFont="1" applyFill="1" applyBorder="1" applyAlignment="1">
      <alignment horizontal="left" vertical="top" wrapText="1"/>
    </xf>
    <xf numFmtId="170" fontId="7" fillId="0" borderId="69" xfId="2" applyNumberFormat="1" applyFont="1" applyFill="1" applyBorder="1" applyAlignment="1">
      <alignment horizontal="left" vertical="top" wrapText="1"/>
    </xf>
    <xf numFmtId="0" fontId="8" fillId="0" borderId="67" xfId="0" quotePrefix="1" applyFont="1" applyFill="1" applyBorder="1" applyAlignment="1">
      <alignment horizontal="center" vertical="center" wrapText="1"/>
    </xf>
    <xf numFmtId="0" fontId="7" fillId="0" borderId="67" xfId="0" applyFont="1" applyFill="1" applyBorder="1" applyAlignment="1">
      <alignment horizontal="left" vertical="center" wrapText="1"/>
    </xf>
    <xf numFmtId="165" fontId="7" fillId="0" borderId="85" xfId="2" applyFont="1" applyFill="1" applyBorder="1" applyAlignment="1">
      <alignment horizontal="left" vertical="center" wrapText="1"/>
    </xf>
    <xf numFmtId="170" fontId="7" fillId="0" borderId="69" xfId="2" applyNumberFormat="1" applyFont="1" applyFill="1" applyBorder="1" applyAlignment="1">
      <alignment horizontal="left" vertical="center" wrapText="1"/>
    </xf>
    <xf numFmtId="0" fontId="7" fillId="0" borderId="67" xfId="0" applyFont="1" applyFill="1" applyBorder="1"/>
    <xf numFmtId="165" fontId="7" fillId="0" borderId="85" xfId="2" applyFont="1" applyFill="1" applyBorder="1"/>
    <xf numFmtId="0" fontId="7" fillId="0" borderId="85" xfId="0" applyFont="1" applyFill="1" applyBorder="1"/>
    <xf numFmtId="170" fontId="7" fillId="0" borderId="69" xfId="2" applyNumberFormat="1" applyFont="1" applyFill="1" applyBorder="1"/>
    <xf numFmtId="0" fontId="6" fillId="0" borderId="67" xfId="0" applyFont="1" applyFill="1" applyBorder="1" applyAlignment="1">
      <alignment horizontal="left" vertical="top" wrapText="1"/>
    </xf>
    <xf numFmtId="165" fontId="6" fillId="0" borderId="85" xfId="2" applyFont="1" applyFill="1" applyBorder="1" applyAlignment="1">
      <alignment horizontal="left" vertical="top" wrapText="1"/>
    </xf>
    <xf numFmtId="170" fontId="6" fillId="0" borderId="69" xfId="2" applyNumberFormat="1" applyFont="1" applyFill="1" applyBorder="1" applyAlignment="1">
      <alignment horizontal="left" vertical="top" wrapText="1"/>
    </xf>
    <xf numFmtId="165" fontId="8" fillId="0" borderId="85" xfId="2" applyFont="1" applyFill="1" applyBorder="1" applyAlignment="1">
      <alignment horizontal="left" vertical="center"/>
    </xf>
    <xf numFmtId="0" fontId="8" fillId="0" borderId="67" xfId="0" applyFont="1" applyFill="1" applyBorder="1" applyAlignment="1">
      <alignment horizontal="left" vertical="top" wrapText="1"/>
    </xf>
    <xf numFmtId="165" fontId="8" fillId="0" borderId="85" xfId="2" applyFont="1" applyFill="1" applyBorder="1" applyAlignment="1">
      <alignment horizontal="left" vertical="top" wrapText="1"/>
    </xf>
    <xf numFmtId="0" fontId="30" fillId="0" borderId="79" xfId="10" applyNumberFormat="1" applyFont="1" applyFill="1" applyBorder="1" applyAlignment="1">
      <alignment horizontal="left" vertical="top" wrapText="1"/>
    </xf>
    <xf numFmtId="0" fontId="6" fillId="0" borderId="67" xfId="0" applyFont="1" applyFill="1" applyBorder="1" applyAlignment="1">
      <alignment horizontal="left" vertical="center" wrapText="1"/>
    </xf>
    <xf numFmtId="170" fontId="6" fillId="0" borderId="69" xfId="2" applyNumberFormat="1" applyFont="1" applyFill="1" applyBorder="1" applyAlignment="1">
      <alignment horizontal="left" vertical="center" wrapText="1"/>
    </xf>
    <xf numFmtId="0" fontId="10" fillId="0" borderId="79" xfId="0" applyNumberFormat="1" applyFont="1" applyFill="1" applyBorder="1" applyAlignment="1">
      <alignment horizontal="left" vertical="top"/>
    </xf>
    <xf numFmtId="0" fontId="10" fillId="0" borderId="67" xfId="0" applyFont="1" applyFill="1" applyBorder="1" applyAlignment="1"/>
    <xf numFmtId="165" fontId="10" fillId="0" borderId="67" xfId="2" applyFont="1" applyFill="1" applyBorder="1" applyAlignment="1"/>
    <xf numFmtId="170" fontId="10" fillId="0" borderId="69" xfId="2" applyNumberFormat="1" applyFont="1" applyFill="1" applyBorder="1" applyAlignment="1"/>
    <xf numFmtId="0" fontId="10" fillId="0" borderId="79" xfId="0" applyFont="1" applyFill="1" applyBorder="1" applyAlignment="1"/>
    <xf numFmtId="165" fontId="10" fillId="0" borderId="85" xfId="2" applyFont="1" applyFill="1" applyBorder="1" applyAlignment="1"/>
    <xf numFmtId="0" fontId="21" fillId="0" borderId="79" xfId="0" applyFont="1" applyFill="1" applyBorder="1" applyAlignment="1"/>
    <xf numFmtId="165" fontId="21" fillId="0" borderId="85" xfId="2" applyFont="1" applyFill="1" applyBorder="1" applyAlignment="1"/>
    <xf numFmtId="170" fontId="21" fillId="0" borderId="69" xfId="2" applyNumberFormat="1" applyFont="1" applyFill="1" applyBorder="1" applyAlignment="1"/>
    <xf numFmtId="165" fontId="6" fillId="0" borderId="93" xfId="2" applyNumberFormat="1" applyFont="1" applyFill="1" applyBorder="1" applyAlignment="1">
      <alignment horizontal="center" vertical="center" wrapText="1"/>
    </xf>
    <xf numFmtId="0" fontId="93" fillId="0" borderId="86" xfId="0" applyFont="1" applyFill="1" applyBorder="1" applyAlignment="1" applyProtection="1">
      <alignment horizontal="left" vertical="top" wrapText="1"/>
    </xf>
    <xf numFmtId="0" fontId="31" fillId="0" borderId="82" xfId="10" applyNumberFormat="1" applyFont="1" applyFill="1" applyBorder="1" applyAlignment="1">
      <alignment horizontal="center" vertical="top"/>
    </xf>
    <xf numFmtId="0" fontId="30" fillId="0" borderId="82" xfId="10" applyNumberFormat="1" applyFont="1" applyFill="1" applyBorder="1" applyAlignment="1">
      <alignment horizontal="left" vertical="top"/>
    </xf>
    <xf numFmtId="0" fontId="30" fillId="0" borderId="83" xfId="10" applyNumberFormat="1" applyFont="1" applyFill="1" applyBorder="1" applyAlignment="1">
      <alignment horizontal="left" vertical="top" wrapText="1"/>
    </xf>
    <xf numFmtId="0" fontId="30" fillId="0" borderId="64" xfId="10" applyNumberFormat="1" applyFont="1" applyFill="1" applyBorder="1" applyAlignment="1">
      <alignment horizontal="left" vertical="top" wrapText="1"/>
    </xf>
    <xf numFmtId="0" fontId="30" fillId="0" borderId="82" xfId="10" applyNumberFormat="1" applyFont="1" applyFill="1" applyBorder="1" applyAlignment="1">
      <alignment horizontal="center" vertical="top"/>
    </xf>
    <xf numFmtId="183" fontId="93" fillId="0" borderId="25" xfId="0" applyNumberFormat="1" applyFont="1" applyFill="1" applyBorder="1" applyAlignment="1" applyProtection="1">
      <alignment horizontal="right" vertical="top"/>
    </xf>
    <xf numFmtId="170" fontId="13" fillId="0" borderId="91" xfId="2" applyNumberFormat="1" applyFont="1" applyFill="1" applyBorder="1" applyAlignment="1">
      <alignment horizontal="center" vertical="center"/>
    </xf>
    <xf numFmtId="166" fontId="33" fillId="0" borderId="0" xfId="10" applyNumberFormat="1" applyFont="1" applyBorder="1" applyAlignment="1">
      <alignment vertical="center" wrapText="1"/>
    </xf>
    <xf numFmtId="0" fontId="31" fillId="0" borderId="0" xfId="10" applyFont="1" applyBorder="1" applyAlignment="1">
      <alignment horizontal="center" vertical="center"/>
    </xf>
    <xf numFmtId="0" fontId="82" fillId="0" borderId="65" xfId="0" applyFont="1" applyFill="1" applyBorder="1" applyAlignment="1" applyProtection="1">
      <alignment horizontal="center" vertical="center" wrapText="1"/>
    </xf>
    <xf numFmtId="0" fontId="82" fillId="0" borderId="80" xfId="0" applyFont="1" applyFill="1" applyBorder="1" applyAlignment="1" applyProtection="1">
      <alignment horizontal="center" vertical="center" wrapText="1"/>
    </xf>
    <xf numFmtId="165" fontId="30" fillId="0" borderId="67" xfId="12" applyNumberFormat="1" applyFont="1" applyFill="1" applyBorder="1" applyAlignment="1">
      <alignment horizontal="center" vertical="center" wrapText="1"/>
    </xf>
    <xf numFmtId="165" fontId="31" fillId="3" borderId="67" xfId="12" applyNumberFormat="1" applyFont="1" applyFill="1" applyBorder="1" applyAlignment="1">
      <alignment horizontal="center" vertical="center" wrapText="1"/>
    </xf>
    <xf numFmtId="165" fontId="33" fillId="3" borderId="67" xfId="13" applyNumberFormat="1" applyFont="1" applyFill="1" applyBorder="1" applyAlignment="1">
      <alignment vertical="center"/>
    </xf>
    <xf numFmtId="165" fontId="33" fillId="0" borderId="67" xfId="13" applyNumberFormat="1" applyFont="1" applyFill="1" applyBorder="1" applyAlignment="1">
      <alignment vertical="center"/>
    </xf>
    <xf numFmtId="165" fontId="34" fillId="3" borderId="67" xfId="13" applyNumberFormat="1" applyFont="1" applyFill="1" applyBorder="1" applyAlignment="1">
      <alignment vertical="center"/>
    </xf>
    <xf numFmtId="165" fontId="132" fillId="3" borderId="67" xfId="13" applyNumberFormat="1" applyFont="1" applyFill="1" applyBorder="1" applyAlignment="1">
      <alignment vertical="center"/>
    </xf>
    <xf numFmtId="165" fontId="33" fillId="3" borderId="67" xfId="12" applyNumberFormat="1" applyFont="1" applyFill="1" applyBorder="1" applyAlignment="1">
      <alignment vertical="center"/>
    </xf>
    <xf numFmtId="165" fontId="33" fillId="0" borderId="67" xfId="13" applyNumberFormat="1" applyFont="1" applyFill="1" applyBorder="1" applyAlignment="1">
      <alignment vertical="top"/>
    </xf>
    <xf numFmtId="165" fontId="33" fillId="3" borderId="67" xfId="13" applyNumberFormat="1" applyFont="1" applyFill="1" applyBorder="1" applyAlignment="1">
      <alignment vertical="top"/>
    </xf>
    <xf numFmtId="165" fontId="40" fillId="3" borderId="67" xfId="13" applyNumberFormat="1" applyFont="1" applyFill="1" applyBorder="1" applyAlignment="1">
      <alignment vertical="top"/>
    </xf>
    <xf numFmtId="165" fontId="40" fillId="3" borderId="67" xfId="13" applyNumberFormat="1" applyFont="1" applyFill="1" applyBorder="1" applyAlignment="1">
      <alignment vertical="center"/>
    </xf>
    <xf numFmtId="0" fontId="31" fillId="0" borderId="85" xfId="10" applyFont="1" applyFill="1" applyBorder="1" applyAlignment="1">
      <alignment horizontal="right" vertical="top"/>
    </xf>
    <xf numFmtId="0" fontId="30" fillId="0" borderId="85" xfId="10" applyNumberFormat="1" applyFont="1" applyFill="1" applyBorder="1" applyAlignment="1">
      <alignment horizontal="left" vertical="center"/>
    </xf>
    <xf numFmtId="0" fontId="30" fillId="0" borderId="86" xfId="10" applyNumberFormat="1" applyFont="1" applyFill="1" applyBorder="1" applyAlignment="1">
      <alignment horizontal="left" vertical="center" wrapText="1"/>
    </xf>
    <xf numFmtId="165" fontId="31" fillId="32" borderId="67" xfId="12" applyNumberFormat="1" applyFont="1" applyFill="1" applyBorder="1" applyAlignment="1">
      <alignment horizontal="center" vertical="center" wrapText="1"/>
    </xf>
    <xf numFmtId="0" fontId="137" fillId="0" borderId="67" xfId="10" applyFont="1" applyFill="1" applyBorder="1" applyAlignment="1">
      <alignment horizontal="center" vertical="center" wrapText="1"/>
    </xf>
    <xf numFmtId="165" fontId="7" fillId="0" borderId="0" xfId="0" applyNumberFormat="1" applyFont="1" applyFill="1"/>
    <xf numFmtId="165" fontId="31" fillId="32" borderId="67" xfId="10" applyNumberFormat="1" applyFont="1" applyFill="1" applyBorder="1" applyAlignment="1">
      <alignment vertical="center"/>
    </xf>
    <xf numFmtId="165" fontId="30" fillId="0" borderId="85" xfId="12" applyNumberFormat="1" applyFont="1" applyFill="1" applyBorder="1" applyAlignment="1">
      <alignment horizontal="center" vertical="center" wrapText="1"/>
    </xf>
    <xf numFmtId="165" fontId="30" fillId="0" borderId="86" xfId="12" applyNumberFormat="1" applyFont="1" applyFill="1" applyBorder="1" applyAlignment="1">
      <alignment horizontal="center" vertical="center" wrapText="1"/>
    </xf>
    <xf numFmtId="165" fontId="31" fillId="3" borderId="85" xfId="12" applyNumberFormat="1" applyFont="1" applyFill="1" applyBorder="1" applyAlignment="1">
      <alignment horizontal="center" vertical="center" wrapText="1"/>
    </xf>
    <xf numFmtId="165" fontId="33" fillId="3" borderId="85" xfId="13" applyNumberFormat="1" applyFont="1" applyFill="1" applyBorder="1" applyAlignment="1">
      <alignment vertical="center"/>
    </xf>
    <xf numFmtId="165" fontId="34" fillId="3" borderId="85" xfId="13" applyNumberFormat="1" applyFont="1" applyFill="1" applyBorder="1" applyAlignment="1">
      <alignment vertical="center"/>
    </xf>
    <xf numFmtId="165" fontId="132" fillId="3" borderId="85" xfId="13" applyNumberFormat="1" applyFont="1" applyFill="1" applyBorder="1" applyAlignment="1">
      <alignment vertical="center"/>
    </xf>
    <xf numFmtId="165" fontId="31" fillId="32" borderId="85" xfId="10" applyNumberFormat="1" applyFont="1" applyFill="1" applyBorder="1" applyAlignment="1">
      <alignment vertical="center"/>
    </xf>
    <xf numFmtId="165" fontId="31" fillId="32" borderId="86" xfId="10" applyNumberFormat="1" applyFont="1" applyFill="1" applyBorder="1" applyAlignment="1">
      <alignment vertical="center"/>
    </xf>
    <xf numFmtId="0" fontId="30" fillId="0" borderId="86" xfId="12" applyNumberFormat="1" applyFont="1" applyFill="1" applyBorder="1" applyAlignment="1">
      <alignment horizontal="left" vertical="center" wrapText="1"/>
    </xf>
    <xf numFmtId="165" fontId="33" fillId="3" borderId="85" xfId="13" applyNumberFormat="1" applyFont="1" applyFill="1" applyBorder="1" applyAlignment="1">
      <alignment vertical="center" wrapText="1"/>
    </xf>
    <xf numFmtId="165" fontId="33" fillId="3" borderId="85" xfId="13" applyNumberFormat="1" applyFont="1" applyFill="1" applyBorder="1" applyAlignment="1">
      <alignment horizontal="left" vertical="top" wrapText="1"/>
    </xf>
    <xf numFmtId="165" fontId="33" fillId="0" borderId="85" xfId="13" applyNumberFormat="1" applyFont="1" applyFill="1" applyBorder="1" applyAlignment="1">
      <alignment vertical="top" wrapText="1"/>
    </xf>
    <xf numFmtId="0" fontId="31" fillId="3" borderId="86" xfId="12" applyNumberFormat="1" applyFont="1" applyFill="1" applyBorder="1" applyAlignment="1">
      <alignment horizontal="left" vertical="center" wrapText="1"/>
    </xf>
    <xf numFmtId="0" fontId="33" fillId="3" borderId="86" xfId="13" applyNumberFormat="1" applyFont="1" applyFill="1" applyBorder="1" applyAlignment="1">
      <alignment horizontal="left" vertical="center"/>
    </xf>
    <xf numFmtId="0" fontId="34" fillId="3" borderId="86" xfId="13" applyNumberFormat="1" applyFont="1" applyFill="1" applyBorder="1" applyAlignment="1">
      <alignment horizontal="left" vertical="center"/>
    </xf>
    <xf numFmtId="0" fontId="132" fillId="3" borderId="86" xfId="13" applyNumberFormat="1" applyFont="1" applyFill="1" applyBorder="1" applyAlignment="1">
      <alignment horizontal="left" vertical="center"/>
    </xf>
    <xf numFmtId="0" fontId="33" fillId="0" borderId="86" xfId="13" applyNumberFormat="1" applyFont="1" applyFill="1" applyBorder="1" applyAlignment="1">
      <alignment horizontal="left" vertical="top"/>
    </xf>
    <xf numFmtId="0" fontId="33" fillId="3" borderId="86" xfId="13" applyNumberFormat="1" applyFont="1" applyFill="1" applyBorder="1" applyAlignment="1">
      <alignment horizontal="left" vertical="top"/>
    </xf>
    <xf numFmtId="0" fontId="31" fillId="3" borderId="85" xfId="10" applyFont="1" applyFill="1" applyBorder="1" applyAlignment="1">
      <alignment horizontal="center" vertical="top"/>
    </xf>
    <xf numFmtId="0" fontId="30" fillId="3" borderId="85" xfId="10" applyNumberFormat="1" applyFont="1" applyFill="1" applyBorder="1" applyAlignment="1">
      <alignment horizontal="left" vertical="top"/>
    </xf>
    <xf numFmtId="0" fontId="30" fillId="3" borderId="79" xfId="10" applyNumberFormat="1" applyFont="1" applyFill="1" applyBorder="1" applyAlignment="1">
      <alignment horizontal="left" vertical="top"/>
    </xf>
    <xf numFmtId="0" fontId="30" fillId="3" borderId="92" xfId="10" applyNumberFormat="1" applyFont="1" applyFill="1" applyBorder="1" applyAlignment="1">
      <alignment horizontal="left" vertical="top"/>
    </xf>
    <xf numFmtId="165" fontId="33" fillId="3" borderId="92" xfId="13" applyNumberFormat="1" applyFont="1" applyFill="1" applyBorder="1" applyAlignment="1">
      <alignment vertical="center" wrapText="1"/>
    </xf>
    <xf numFmtId="0" fontId="33" fillId="3" borderId="61" xfId="13" applyNumberFormat="1" applyFont="1" applyFill="1" applyBorder="1" applyAlignment="1">
      <alignment horizontal="left" vertical="center"/>
    </xf>
    <xf numFmtId="0" fontId="30" fillId="3" borderId="12" xfId="10" applyNumberFormat="1" applyFont="1" applyFill="1" applyBorder="1" applyAlignment="1">
      <alignment horizontal="left" vertical="top"/>
    </xf>
    <xf numFmtId="165" fontId="33" fillId="3" borderId="12" xfId="13" applyNumberFormat="1" applyFont="1" applyFill="1" applyBorder="1" applyAlignment="1">
      <alignment vertical="center" wrapText="1"/>
    </xf>
    <xf numFmtId="0" fontId="33" fillId="3" borderId="13" xfId="13" applyNumberFormat="1" applyFont="1" applyFill="1" applyBorder="1" applyAlignment="1">
      <alignment horizontal="left" vertical="center"/>
    </xf>
    <xf numFmtId="0" fontId="137" fillId="0" borderId="67" xfId="10" applyFont="1" applyFill="1" applyBorder="1" applyAlignment="1">
      <alignment horizontal="center" vertical="top"/>
    </xf>
    <xf numFmtId="0" fontId="31" fillId="32" borderId="85" xfId="10" applyFont="1" applyFill="1" applyBorder="1" applyAlignment="1">
      <alignment horizontal="center" vertical="center"/>
    </xf>
    <xf numFmtId="0" fontId="31" fillId="3" borderId="85" xfId="10" applyNumberFormat="1" applyFont="1" applyFill="1" applyBorder="1" applyAlignment="1">
      <alignment horizontal="center" vertical="top"/>
    </xf>
    <xf numFmtId="0" fontId="31" fillId="3" borderId="85" xfId="10" applyNumberFormat="1" applyFont="1" applyFill="1" applyBorder="1" applyAlignment="1">
      <alignment horizontal="left" vertical="top"/>
    </xf>
    <xf numFmtId="0" fontId="30" fillId="3" borderId="86" xfId="10" applyNumberFormat="1" applyFont="1" applyFill="1" applyBorder="1" applyAlignment="1">
      <alignment horizontal="left" vertical="top"/>
    </xf>
    <xf numFmtId="0" fontId="30" fillId="3" borderId="85" xfId="10" quotePrefix="1" applyNumberFormat="1" applyFont="1" applyFill="1" applyBorder="1" applyAlignment="1">
      <alignment horizontal="left" vertical="top"/>
    </xf>
    <xf numFmtId="0" fontId="31" fillId="0" borderId="85" xfId="10" applyNumberFormat="1" applyFont="1" applyFill="1" applyBorder="1" applyAlignment="1">
      <alignment horizontal="center" vertical="top"/>
    </xf>
    <xf numFmtId="0" fontId="30" fillId="0" borderId="85" xfId="10" applyNumberFormat="1" applyFont="1" applyFill="1" applyBorder="1" applyAlignment="1">
      <alignment horizontal="left" vertical="top"/>
    </xf>
    <xf numFmtId="0" fontId="30" fillId="0" borderId="86" xfId="10" applyNumberFormat="1" applyFont="1" applyFill="1" applyBorder="1" applyAlignment="1">
      <alignment horizontal="left" vertical="top" wrapText="1"/>
    </xf>
    <xf numFmtId="0" fontId="30" fillId="3" borderId="86" xfId="10" applyNumberFormat="1" applyFont="1" applyFill="1" applyBorder="1" applyAlignment="1">
      <alignment horizontal="left" vertical="top" wrapText="1"/>
    </xf>
    <xf numFmtId="0" fontId="39" fillId="3" borderId="85" xfId="10" applyNumberFormat="1" applyFont="1" applyFill="1" applyBorder="1" applyAlignment="1">
      <alignment horizontal="center" vertical="top"/>
    </xf>
    <xf numFmtId="0" fontId="39" fillId="3" borderId="85" xfId="10" applyNumberFormat="1" applyFont="1" applyFill="1" applyBorder="1" applyAlignment="1">
      <alignment horizontal="left" vertical="top"/>
    </xf>
    <xf numFmtId="0" fontId="20" fillId="3" borderId="86" xfId="10" applyNumberFormat="1" applyFont="1" applyFill="1" applyBorder="1" applyAlignment="1">
      <alignment horizontal="left" vertical="top" wrapText="1"/>
    </xf>
    <xf numFmtId="0" fontId="20" fillId="3" borderId="85" xfId="10" applyNumberFormat="1" applyFont="1" applyFill="1" applyBorder="1" applyAlignment="1">
      <alignment horizontal="left" vertical="top"/>
    </xf>
    <xf numFmtId="0" fontId="30" fillId="3" borderId="85" xfId="10" applyNumberFormat="1" applyFont="1" applyFill="1" applyBorder="1" applyAlignment="1">
      <alignment vertical="top" wrapText="1"/>
    </xf>
    <xf numFmtId="0" fontId="30" fillId="3" borderId="86" xfId="10" applyNumberFormat="1" applyFont="1" applyFill="1" applyBorder="1" applyAlignment="1">
      <alignment vertical="top" wrapText="1"/>
    </xf>
    <xf numFmtId="0" fontId="30" fillId="3" borderId="85" xfId="10" applyFont="1" applyFill="1" applyBorder="1" applyAlignment="1">
      <alignment vertical="top"/>
    </xf>
    <xf numFmtId="0" fontId="30" fillId="3" borderId="79" xfId="10" applyNumberFormat="1" applyFont="1" applyFill="1" applyBorder="1" applyAlignment="1">
      <alignment horizontal="left" vertical="top" wrapText="1"/>
    </xf>
    <xf numFmtId="0" fontId="31" fillId="3" borderId="85" xfId="10" applyNumberFormat="1" applyFont="1" applyFill="1" applyBorder="1" applyAlignment="1">
      <alignment horizontal="left" vertical="top" wrapText="1"/>
    </xf>
    <xf numFmtId="0" fontId="39" fillId="3" borderId="85" xfId="10" applyFont="1" applyFill="1" applyBorder="1" applyAlignment="1">
      <alignment horizontal="center" vertical="top"/>
    </xf>
    <xf numFmtId="0" fontId="31" fillId="32" borderId="85" xfId="10" applyFont="1" applyFill="1" applyBorder="1" applyAlignment="1">
      <alignment horizontal="center" vertical="top"/>
    </xf>
    <xf numFmtId="43" fontId="0" fillId="0" borderId="86" xfId="0" applyNumberFormat="1" applyFill="1" applyBorder="1" applyProtection="1"/>
    <xf numFmtId="170" fontId="0" fillId="0" borderId="86" xfId="0" applyNumberFormat="1" applyFill="1" applyBorder="1" applyProtection="1"/>
    <xf numFmtId="170" fontId="0" fillId="0" borderId="67" xfId="0" applyNumberFormat="1" applyFill="1" applyBorder="1" applyProtection="1"/>
    <xf numFmtId="166" fontId="0" fillId="0" borderId="86" xfId="0" applyNumberFormat="1" applyFill="1" applyBorder="1" applyProtection="1"/>
    <xf numFmtId="165" fontId="5" fillId="0" borderId="0" xfId="12" applyFont="1" applyBorder="1" applyAlignment="1">
      <alignment horizontal="center" vertical="center"/>
    </xf>
    <xf numFmtId="43" fontId="0" fillId="0" borderId="67" xfId="0" applyNumberFormat="1" applyFill="1" applyBorder="1" applyProtection="1"/>
    <xf numFmtId="183" fontId="90" fillId="0" borderId="67" xfId="0" applyNumberFormat="1" applyFont="1" applyFill="1" applyBorder="1" applyAlignment="1" applyProtection="1">
      <alignment horizontal="right" vertical="top" wrapText="1"/>
    </xf>
    <xf numFmtId="183" fontId="15" fillId="0" borderId="25" xfId="0" applyNumberFormat="1" applyFont="1" applyFill="1" applyBorder="1" applyProtection="1"/>
    <xf numFmtId="183" fontId="14" fillId="0" borderId="25" xfId="0" applyNumberFormat="1" applyFont="1" applyFill="1" applyBorder="1" applyAlignment="1" applyProtection="1">
      <alignment horizontal="right" vertical="top" wrapText="1"/>
    </xf>
    <xf numFmtId="172" fontId="16" fillId="0" borderId="28" xfId="1" applyNumberFormat="1" applyFont="1" applyFill="1" applyBorder="1" applyAlignment="1">
      <alignment horizontal="right"/>
    </xf>
    <xf numFmtId="172" fontId="3" fillId="0" borderId="25" xfId="1" applyNumberFormat="1" applyFont="1" applyFill="1" applyBorder="1" applyAlignment="1">
      <alignment horizontal="right" vertical="center" wrapText="1"/>
    </xf>
    <xf numFmtId="172" fontId="0" fillId="0" borderId="62" xfId="1" applyNumberFormat="1" applyFont="1" applyFill="1" applyBorder="1" applyAlignment="1">
      <alignment vertical="center"/>
    </xf>
    <xf numFmtId="172" fontId="13" fillId="0" borderId="67" xfId="1" applyNumberFormat="1" applyFont="1" applyFill="1" applyBorder="1" applyAlignment="1">
      <alignment horizontal="center" vertical="center"/>
    </xf>
    <xf numFmtId="172" fontId="13" fillId="0" borderId="28" xfId="1" applyNumberFormat="1" applyFont="1" applyFill="1" applyBorder="1" applyAlignment="1">
      <alignment horizontal="center" vertical="center"/>
    </xf>
    <xf numFmtId="183" fontId="5" fillId="0" borderId="25" xfId="0" applyNumberFormat="1" applyFont="1" applyFill="1" applyBorder="1" applyAlignment="1" applyProtection="1">
      <alignment horizontal="right" vertical="top" wrapText="1"/>
    </xf>
    <xf numFmtId="0" fontId="5" fillId="0" borderId="25" xfId="0" applyFont="1" applyFill="1" applyBorder="1" applyAlignment="1" applyProtection="1">
      <alignment horizontal="left" vertical="top" wrapText="1"/>
    </xf>
    <xf numFmtId="0" fontId="16" fillId="0" borderId="25" xfId="0" applyFont="1" applyFill="1" applyBorder="1" applyProtection="1"/>
    <xf numFmtId="183" fontId="5" fillId="0" borderId="30" xfId="0" applyNumberFormat="1" applyFont="1" applyFill="1" applyBorder="1" applyAlignment="1" applyProtection="1">
      <alignment horizontal="right" vertical="top" wrapText="1"/>
    </xf>
    <xf numFmtId="8" fontId="16" fillId="0" borderId="13" xfId="0" applyNumberFormat="1" applyFont="1" applyFill="1" applyBorder="1" applyProtection="1"/>
    <xf numFmtId="8" fontId="16" fillId="0" borderId="30" xfId="0" applyNumberFormat="1" applyFont="1" applyFill="1" applyBorder="1" applyProtection="1"/>
    <xf numFmtId="0" fontId="16" fillId="0" borderId="30" xfId="0" applyFont="1" applyFill="1" applyBorder="1" applyProtection="1"/>
    <xf numFmtId="4" fontId="16" fillId="0" borderId="15" xfId="0" applyNumberFormat="1" applyFont="1" applyFill="1" applyBorder="1" applyProtection="1"/>
    <xf numFmtId="4" fontId="16" fillId="0" borderId="25" xfId="0" applyNumberFormat="1" applyFont="1" applyFill="1" applyBorder="1" applyProtection="1"/>
    <xf numFmtId="0" fontId="16" fillId="0" borderId="15" xfId="0" applyFont="1" applyFill="1" applyBorder="1" applyProtection="1"/>
    <xf numFmtId="43" fontId="16" fillId="0" borderId="15" xfId="0" applyNumberFormat="1" applyFont="1" applyFill="1" applyBorder="1" applyProtection="1"/>
    <xf numFmtId="43" fontId="16" fillId="0" borderId="25" xfId="0" applyNumberFormat="1" applyFont="1" applyFill="1" applyBorder="1" applyProtection="1"/>
    <xf numFmtId="183" fontId="16" fillId="0" borderId="15" xfId="0" applyNumberFormat="1" applyFont="1" applyFill="1" applyBorder="1" applyProtection="1"/>
    <xf numFmtId="183" fontId="16" fillId="0" borderId="25" xfId="0" applyNumberFormat="1" applyFont="1" applyFill="1" applyBorder="1" applyProtection="1"/>
    <xf numFmtId="172" fontId="3" fillId="0" borderId="25" xfId="1" quotePrefix="1" applyNumberFormat="1" applyFont="1" applyFill="1" applyBorder="1" applyAlignment="1">
      <alignment horizontal="center" vertical="center"/>
    </xf>
    <xf numFmtId="183" fontId="5" fillId="0" borderId="67" xfId="0" applyNumberFormat="1" applyFont="1" applyFill="1" applyBorder="1" applyAlignment="1" applyProtection="1">
      <alignment horizontal="right" vertical="top" wrapText="1"/>
    </xf>
    <xf numFmtId="0" fontId="16" fillId="0" borderId="67" xfId="0" applyFont="1" applyFill="1" applyBorder="1" applyProtection="1"/>
    <xf numFmtId="0" fontId="16" fillId="0" borderId="86" xfId="0" applyFont="1" applyFill="1" applyBorder="1" applyProtection="1"/>
    <xf numFmtId="0" fontId="16" fillId="0" borderId="67" xfId="0" applyFont="1" applyFill="1" applyBorder="1" applyAlignment="1">
      <alignment horizontal="center" vertical="center"/>
    </xf>
    <xf numFmtId="165" fontId="16" fillId="0" borderId="85" xfId="0" applyNumberFormat="1" applyFont="1" applyFill="1" applyBorder="1" applyAlignment="1">
      <alignment horizontal="right" vertical="center"/>
    </xf>
    <xf numFmtId="183" fontId="5" fillId="0" borderId="86" xfId="0" applyNumberFormat="1" applyFont="1" applyFill="1" applyBorder="1" applyAlignment="1" applyProtection="1">
      <alignment horizontal="right" vertical="top" wrapText="1"/>
    </xf>
    <xf numFmtId="183" fontId="14" fillId="0" borderId="86" xfId="0" applyNumberFormat="1" applyFont="1" applyFill="1" applyBorder="1" applyAlignment="1" applyProtection="1">
      <alignment horizontal="right" vertical="top" wrapText="1"/>
    </xf>
    <xf numFmtId="170" fontId="5" fillId="0" borderId="25" xfId="0" applyNumberFormat="1" applyFont="1" applyFill="1" applyBorder="1" applyAlignment="1" applyProtection="1">
      <alignment horizontal="left" vertical="top" wrapText="1"/>
    </xf>
    <xf numFmtId="170" fontId="5" fillId="0" borderId="67" xfId="0" applyNumberFormat="1" applyFont="1" applyFill="1" applyBorder="1" applyAlignment="1" applyProtection="1">
      <alignment horizontal="left" vertical="top" wrapText="1"/>
    </xf>
    <xf numFmtId="0" fontId="5" fillId="0" borderId="67" xfId="0" applyFont="1" applyFill="1" applyBorder="1" applyAlignment="1" applyProtection="1">
      <alignment horizontal="left" vertical="top" wrapText="1"/>
    </xf>
    <xf numFmtId="43" fontId="16" fillId="0" borderId="86" xfId="0" applyNumberFormat="1" applyFont="1" applyFill="1" applyBorder="1" applyProtection="1"/>
    <xf numFmtId="0" fontId="35" fillId="0" borderId="67" xfId="10" applyFont="1" applyFill="1" applyBorder="1" applyAlignment="1">
      <alignment horizontal="center" vertical="center" wrapText="1"/>
    </xf>
    <xf numFmtId="183" fontId="52" fillId="0" borderId="0" xfId="0" applyNumberFormat="1" applyFont="1" applyFill="1" applyBorder="1" applyAlignment="1" applyProtection="1">
      <alignment horizontal="right" vertical="top" wrapText="1"/>
    </xf>
    <xf numFmtId="0" fontId="125" fillId="0" borderId="0" xfId="0" applyFont="1" applyFill="1" applyBorder="1" applyProtection="1"/>
    <xf numFmtId="0" fontId="16" fillId="0" borderId="67" xfId="0" applyFont="1" applyFill="1" applyBorder="1" applyAlignment="1">
      <alignment horizontal="left"/>
    </xf>
    <xf numFmtId="0" fontId="16" fillId="0" borderId="85" xfId="0" applyFont="1" applyFill="1" applyBorder="1" applyAlignment="1">
      <alignment horizontal="center" vertical="center"/>
    </xf>
    <xf numFmtId="3" fontId="16" fillId="0" borderId="67" xfId="0" applyNumberFormat="1" applyFont="1" applyFill="1" applyBorder="1" applyAlignment="1">
      <alignment horizontal="right"/>
    </xf>
    <xf numFmtId="166" fontId="13" fillId="0" borderId="69" xfId="1" applyFont="1" applyFill="1" applyBorder="1" applyAlignment="1">
      <alignment horizontal="center" vertical="center"/>
    </xf>
    <xf numFmtId="0" fontId="3" fillId="0" borderId="67" xfId="0" quotePrefix="1" applyFont="1" applyFill="1" applyBorder="1" applyAlignment="1">
      <alignment horizontal="center"/>
    </xf>
    <xf numFmtId="166" fontId="13" fillId="0" borderId="25" xfId="1" applyFont="1" applyFill="1" applyBorder="1" applyAlignment="1">
      <alignment horizontal="center"/>
    </xf>
    <xf numFmtId="166" fontId="3" fillId="0" borderId="25" xfId="1" applyFont="1" applyFill="1" applyBorder="1" applyAlignment="1">
      <alignment horizontal="center" vertical="center"/>
    </xf>
    <xf numFmtId="0" fontId="3" fillId="0" borderId="85" xfId="0" applyFont="1" applyFill="1" applyBorder="1" applyAlignment="1">
      <alignment horizontal="center"/>
    </xf>
    <xf numFmtId="166" fontId="3" fillId="0" borderId="91" xfId="0" applyNumberFormat="1" applyFont="1" applyFill="1" applyBorder="1" applyAlignment="1">
      <alignment vertical="center"/>
    </xf>
    <xf numFmtId="0" fontId="13" fillId="0" borderId="85" xfId="0" applyFont="1" applyFill="1" applyBorder="1" applyAlignment="1">
      <alignment horizontal="center"/>
    </xf>
    <xf numFmtId="166" fontId="13" fillId="0" borderId="25" xfId="1" applyFont="1" applyFill="1" applyBorder="1" applyAlignment="1">
      <alignment vertical="center" wrapText="1"/>
    </xf>
    <xf numFmtId="166" fontId="3" fillId="0" borderId="25" xfId="1" applyFont="1" applyFill="1" applyBorder="1" applyAlignment="1">
      <alignment horizontal="center"/>
    </xf>
    <xf numFmtId="0" fontId="3" fillId="0" borderId="25" xfId="0" quotePrefix="1" applyFont="1" applyFill="1" applyBorder="1" applyAlignment="1">
      <alignment horizontal="center"/>
    </xf>
    <xf numFmtId="0" fontId="16" fillId="0" borderId="85" xfId="0" applyFont="1" applyFill="1" applyBorder="1" applyAlignment="1">
      <alignment horizontal="center"/>
    </xf>
    <xf numFmtId="3" fontId="16" fillId="0" borderId="30" xfId="0" applyNumberFormat="1" applyFont="1" applyFill="1" applyBorder="1" applyAlignment="1">
      <alignment horizontal="right"/>
    </xf>
    <xf numFmtId="0" fontId="15" fillId="0" borderId="90" xfId="0" applyFont="1" applyFill="1" applyBorder="1" applyAlignment="1">
      <alignment horizontal="left"/>
    </xf>
    <xf numFmtId="166" fontId="16" fillId="0" borderId="90" xfId="1" applyFont="1" applyFill="1" applyBorder="1" applyAlignment="1">
      <alignment horizontal="center"/>
    </xf>
    <xf numFmtId="3" fontId="16" fillId="0" borderId="92" xfId="0" applyNumberFormat="1" applyFont="1" applyFill="1" applyBorder="1" applyAlignment="1">
      <alignment horizontal="center"/>
    </xf>
    <xf numFmtId="0" fontId="16" fillId="0" borderId="90" xfId="0" applyFont="1" applyFill="1" applyBorder="1" applyAlignment="1">
      <alignment horizontal="left"/>
    </xf>
    <xf numFmtId="183" fontId="85" fillId="0" borderId="25" xfId="0" applyNumberFormat="1" applyFont="1" applyFill="1" applyBorder="1" applyAlignment="1" applyProtection="1">
      <alignment horizontal="right" vertical="top" wrapText="1"/>
    </xf>
    <xf numFmtId="0" fontId="139" fillId="0" borderId="15" xfId="0" applyFont="1" applyFill="1" applyBorder="1" applyProtection="1"/>
    <xf numFmtId="0" fontId="139" fillId="0" borderId="25" xfId="0" applyFont="1" applyFill="1" applyBorder="1" applyProtection="1"/>
    <xf numFmtId="3" fontId="3" fillId="0" borderId="92" xfId="0" applyNumberFormat="1" applyFont="1" applyFill="1" applyBorder="1" applyAlignment="1">
      <alignment horizontal="center"/>
    </xf>
    <xf numFmtId="3" fontId="19" fillId="0" borderId="90" xfId="7" applyNumberFormat="1" applyFont="1" applyFill="1" applyBorder="1" applyAlignment="1"/>
    <xf numFmtId="9" fontId="3" fillId="0" borderId="0" xfId="8" applyFont="1" applyFill="1"/>
    <xf numFmtId="0" fontId="30" fillId="3" borderId="83" xfId="10" applyNumberFormat="1" applyFont="1" applyFill="1" applyBorder="1" applyAlignment="1">
      <alignment horizontal="left" vertical="top" wrapText="1"/>
    </xf>
    <xf numFmtId="0" fontId="16" fillId="0" borderId="67" xfId="0" applyFont="1" applyFill="1" applyBorder="1" applyAlignment="1">
      <alignment horizontal="center" vertical="top"/>
    </xf>
    <xf numFmtId="172" fontId="16" fillId="0" borderId="67" xfId="1" applyNumberFormat="1" applyFont="1" applyFill="1" applyBorder="1" applyAlignment="1">
      <alignment vertical="top"/>
    </xf>
    <xf numFmtId="183" fontId="140" fillId="0" borderId="25" xfId="0" applyNumberFormat="1" applyFont="1" applyFill="1" applyBorder="1" applyAlignment="1" applyProtection="1">
      <alignment horizontal="right" vertical="top" wrapText="1"/>
    </xf>
    <xf numFmtId="0" fontId="85" fillId="0" borderId="25" xfId="0" applyFont="1" applyFill="1" applyBorder="1" applyAlignment="1" applyProtection="1">
      <alignment horizontal="left" vertical="top" wrapText="1"/>
    </xf>
    <xf numFmtId="8" fontId="139" fillId="0" borderId="13" xfId="0" applyNumberFormat="1" applyFont="1" applyFill="1" applyBorder="1" applyProtection="1"/>
    <xf numFmtId="8" fontId="139" fillId="0" borderId="30" xfId="0" applyNumberFormat="1" applyFont="1" applyFill="1" applyBorder="1" applyProtection="1"/>
    <xf numFmtId="0" fontId="139" fillId="0" borderId="30" xfId="0" applyFont="1" applyFill="1" applyBorder="1" applyProtection="1"/>
    <xf numFmtId="170" fontId="85" fillId="0" borderId="67" xfId="0" applyNumberFormat="1" applyFont="1" applyFill="1" applyBorder="1" applyAlignment="1" applyProtection="1">
      <alignment horizontal="left" vertical="top" wrapText="1"/>
    </xf>
    <xf numFmtId="183" fontId="139" fillId="0" borderId="67" xfId="0" applyNumberFormat="1" applyFont="1" applyFill="1" applyBorder="1" applyProtection="1"/>
    <xf numFmtId="0" fontId="139" fillId="0" borderId="67" xfId="0" applyFont="1" applyFill="1" applyBorder="1" applyProtection="1"/>
    <xf numFmtId="0" fontId="139" fillId="0" borderId="86" xfId="0" applyFont="1" applyFill="1" applyBorder="1" applyProtection="1"/>
    <xf numFmtId="170" fontId="85" fillId="0" borderId="25" xfId="0" applyNumberFormat="1" applyFont="1" applyFill="1" applyBorder="1" applyAlignment="1" applyProtection="1">
      <alignment horizontal="left" vertical="top" wrapText="1"/>
    </xf>
    <xf numFmtId="183" fontId="15" fillId="0" borderId="67" xfId="0" applyNumberFormat="1" applyFont="1" applyFill="1" applyBorder="1" applyProtection="1"/>
    <xf numFmtId="0" fontId="13" fillId="0" borderId="0" xfId="0" applyFont="1" applyFill="1" applyBorder="1" applyAlignment="1">
      <alignment horizontal="center" wrapText="1"/>
    </xf>
    <xf numFmtId="4" fontId="13" fillId="0" borderId="0" xfId="0" applyNumberFormat="1" applyFont="1" applyFill="1" applyBorder="1" applyAlignment="1">
      <alignment vertical="center"/>
    </xf>
    <xf numFmtId="172" fontId="7" fillId="0" borderId="85" xfId="1" applyNumberFormat="1" applyFont="1" applyFill="1" applyBorder="1" applyAlignment="1">
      <alignment horizontal="left" vertical="top" wrapText="1"/>
    </xf>
    <xf numFmtId="183" fontId="85" fillId="0" borderId="67" xfId="0" applyNumberFormat="1" applyFont="1" applyFill="1" applyBorder="1" applyAlignment="1" applyProtection="1">
      <alignment horizontal="right" vertical="top" wrapText="1"/>
    </xf>
    <xf numFmtId="4" fontId="139" fillId="0" borderId="67" xfId="0" applyNumberFormat="1" applyFont="1" applyFill="1" applyBorder="1" applyProtection="1"/>
    <xf numFmtId="183" fontId="5" fillId="0" borderId="25" xfId="0" applyNumberFormat="1" applyFont="1" applyFill="1" applyBorder="1" applyAlignment="1" applyProtection="1">
      <alignment horizontal="left" vertical="top" wrapText="1"/>
    </xf>
    <xf numFmtId="172" fontId="3" fillId="0" borderId="94" xfId="2" applyNumberFormat="1" applyFont="1" applyFill="1" applyBorder="1" applyAlignment="1">
      <alignment vertical="center" wrapText="1"/>
    </xf>
    <xf numFmtId="3" fontId="3" fillId="0" borderId="30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horizontal="right"/>
    </xf>
    <xf numFmtId="183" fontId="94" fillId="0" borderId="67" xfId="0" applyNumberFormat="1" applyFont="1" applyFill="1" applyBorder="1" applyAlignment="1" applyProtection="1">
      <alignment horizontal="right" vertical="top" wrapText="1"/>
    </xf>
    <xf numFmtId="0" fontId="92" fillId="0" borderId="25" xfId="0" applyFont="1" applyFill="1" applyBorder="1" applyAlignment="1" applyProtection="1">
      <alignment horizontal="center" vertical="center" wrapText="1"/>
    </xf>
    <xf numFmtId="0" fontId="91" fillId="0" borderId="25" xfId="0" applyFont="1" applyFill="1" applyBorder="1" applyAlignment="1" applyProtection="1">
      <alignment horizontal="center" vertical="center" wrapText="1"/>
    </xf>
    <xf numFmtId="183" fontId="16" fillId="0" borderId="67" xfId="0" applyNumberFormat="1" applyFont="1" applyFill="1" applyBorder="1" applyProtection="1"/>
    <xf numFmtId="0" fontId="16" fillId="0" borderId="13" xfId="0" applyFont="1" applyFill="1" applyBorder="1" applyAlignment="1">
      <alignment vertical="center" wrapText="1"/>
    </xf>
    <xf numFmtId="0" fontId="16" fillId="0" borderId="13" xfId="0" applyFont="1" applyFill="1" applyBorder="1" applyAlignment="1">
      <alignment horizontal="center" vertical="center" wrapText="1"/>
    </xf>
    <xf numFmtId="172" fontId="16" fillId="0" borderId="13" xfId="12218" applyNumberFormat="1" applyFont="1" applyFill="1" applyBorder="1" applyAlignment="1">
      <alignment vertical="center" wrapText="1"/>
    </xf>
    <xf numFmtId="165" fontId="5" fillId="0" borderId="69" xfId="2" applyNumberFormat="1" applyFont="1" applyFill="1" applyBorder="1" applyAlignment="1">
      <alignment vertical="center"/>
    </xf>
    <xf numFmtId="0" fontId="28" fillId="0" borderId="67" xfId="0" applyFont="1" applyFill="1" applyBorder="1" applyAlignment="1">
      <alignment vertical="center"/>
    </xf>
    <xf numFmtId="165" fontId="5" fillId="0" borderId="0" xfId="12" applyFont="1" applyFill="1" applyBorder="1" applyAlignment="1">
      <alignment vertical="center"/>
    </xf>
    <xf numFmtId="165" fontId="5" fillId="0" borderId="0" xfId="12" applyFont="1" applyBorder="1" applyAlignment="1">
      <alignment vertical="center"/>
    </xf>
    <xf numFmtId="0" fontId="5" fillId="0" borderId="66" xfId="0" applyFont="1" applyFill="1" applyBorder="1" applyAlignment="1">
      <alignment horizontal="center" vertical="center"/>
    </xf>
    <xf numFmtId="0" fontId="14" fillId="0" borderId="67" xfId="0" applyFont="1" applyFill="1" applyBorder="1" applyAlignment="1">
      <alignment horizontal="center" vertical="center"/>
    </xf>
    <xf numFmtId="0" fontId="14" fillId="0" borderId="67" xfId="0" quotePrefix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vertical="top" wrapText="1"/>
    </xf>
    <xf numFmtId="4" fontId="3" fillId="0" borderId="25" xfId="2" applyNumberFormat="1" applyFont="1" applyFill="1" applyBorder="1" applyAlignment="1">
      <alignment horizontal="center" vertical="top"/>
    </xf>
    <xf numFmtId="165" fontId="3" fillId="0" borderId="25" xfId="2" applyFont="1" applyFill="1" applyBorder="1" applyAlignment="1">
      <alignment vertical="top"/>
    </xf>
    <xf numFmtId="0" fontId="13" fillId="0" borderId="25" xfId="0" applyFont="1" applyFill="1" applyBorder="1" applyAlignment="1">
      <alignment horizontal="left"/>
    </xf>
    <xf numFmtId="0" fontId="85" fillId="0" borderId="28" xfId="7" applyFont="1" applyFill="1" applyBorder="1" applyAlignment="1">
      <alignment horizontal="left"/>
    </xf>
    <xf numFmtId="0" fontId="19" fillId="0" borderId="25" xfId="0" applyFont="1" applyFill="1" applyBorder="1" applyAlignment="1">
      <alignment vertical="top" wrapText="1"/>
    </xf>
    <xf numFmtId="0" fontId="19" fillId="0" borderId="25" xfId="0" applyFont="1" applyFill="1" applyBorder="1" applyAlignment="1">
      <alignment horizontal="center" vertical="top"/>
    </xf>
    <xf numFmtId="170" fontId="3" fillId="0" borderId="16" xfId="2" applyNumberFormat="1" applyFont="1" applyFill="1" applyBorder="1" applyAlignment="1">
      <alignment horizontal="center"/>
    </xf>
    <xf numFmtId="0" fontId="3" fillId="0" borderId="28" xfId="0" applyFont="1" applyFill="1" applyBorder="1" applyAlignment="1">
      <alignment vertical="center"/>
    </xf>
    <xf numFmtId="172" fontId="3" fillId="0" borderId="35" xfId="1" quotePrefix="1" applyNumberFormat="1" applyFont="1" applyFill="1" applyBorder="1" applyAlignment="1">
      <alignment horizontal="center" vertical="center"/>
    </xf>
    <xf numFmtId="172" fontId="3" fillId="0" borderId="26" xfId="1" quotePrefix="1" applyNumberFormat="1" applyFont="1" applyFill="1" applyBorder="1" applyAlignment="1">
      <alignment horizontal="center" vertical="center"/>
    </xf>
    <xf numFmtId="0" fontId="3" fillId="0" borderId="90" xfId="0" applyFont="1" applyFill="1" applyBorder="1" applyAlignment="1">
      <alignment horizontal="left" vertical="top" wrapText="1"/>
    </xf>
    <xf numFmtId="0" fontId="3" fillId="0" borderId="90" xfId="0" applyFont="1" applyFill="1" applyBorder="1" applyAlignment="1">
      <alignment horizontal="center"/>
    </xf>
    <xf numFmtId="172" fontId="3" fillId="0" borderId="90" xfId="1" applyNumberFormat="1" applyFont="1" applyFill="1" applyBorder="1" applyAlignment="1">
      <alignment horizontal="center" vertical="center"/>
    </xf>
    <xf numFmtId="166" fontId="0" fillId="0" borderId="67" xfId="1" applyFont="1" applyFill="1" applyBorder="1" applyAlignment="1">
      <alignment horizontal="center"/>
    </xf>
    <xf numFmtId="170" fontId="0" fillId="0" borderId="15" xfId="0" applyNumberFormat="1" applyFill="1" applyBorder="1" applyProtection="1"/>
    <xf numFmtId="0" fontId="128" fillId="0" borderId="67" xfId="3759" applyFont="1" applyFill="1" applyBorder="1" applyAlignment="1">
      <alignment horizontal="left" vertical="center"/>
    </xf>
    <xf numFmtId="0" fontId="129" fillId="0" borderId="67" xfId="3759" applyFont="1" applyFill="1" applyBorder="1" applyAlignment="1">
      <alignment horizontal="center" vertical="center" wrapText="1"/>
    </xf>
    <xf numFmtId="166" fontId="5" fillId="0" borderId="25" xfId="1" applyFont="1" applyFill="1" applyBorder="1" applyAlignment="1">
      <alignment horizontal="center" vertical="center"/>
    </xf>
    <xf numFmtId="0" fontId="3" fillId="0" borderId="67" xfId="0" applyFont="1" applyFill="1" applyBorder="1" applyAlignment="1">
      <alignment horizontal="center" vertical="top" wrapText="1"/>
    </xf>
    <xf numFmtId="166" fontId="3" fillId="0" borderId="67" xfId="1" applyFont="1" applyFill="1" applyBorder="1" applyAlignment="1">
      <alignment horizontal="center"/>
    </xf>
    <xf numFmtId="3" fontId="127" fillId="0" borderId="0" xfId="0" applyNumberFormat="1" applyFont="1" applyFill="1"/>
    <xf numFmtId="0" fontId="5" fillId="0" borderId="0" xfId="0" applyFont="1" applyFill="1" applyBorder="1"/>
    <xf numFmtId="166" fontId="3" fillId="0" borderId="0" xfId="1" applyFont="1" applyFill="1" applyBorder="1"/>
    <xf numFmtId="4" fontId="3" fillId="0" borderId="0" xfId="0" applyNumberFormat="1" applyFont="1" applyFill="1" applyBorder="1"/>
    <xf numFmtId="4" fontId="16" fillId="0" borderId="0" xfId="0" applyNumberFormat="1" applyFont="1" applyFill="1" applyBorder="1"/>
    <xf numFmtId="43" fontId="16" fillId="0" borderId="0" xfId="0" applyNumberFormat="1" applyFont="1" applyFill="1" applyBorder="1"/>
    <xf numFmtId="0" fontId="16" fillId="0" borderId="0" xfId="0" applyFont="1" applyFill="1" applyBorder="1"/>
    <xf numFmtId="166" fontId="16" fillId="0" borderId="0" xfId="1" applyFont="1" applyFill="1" applyBorder="1"/>
    <xf numFmtId="165" fontId="4" fillId="0" borderId="0" xfId="0" applyNumberFormat="1" applyFont="1" applyFill="1" applyBorder="1"/>
    <xf numFmtId="43" fontId="4" fillId="0" borderId="0" xfId="0" applyNumberFormat="1" applyFont="1" applyFill="1" applyBorder="1"/>
    <xf numFmtId="166" fontId="4" fillId="0" borderId="0" xfId="1" applyFont="1" applyFill="1" applyBorder="1"/>
    <xf numFmtId="172" fontId="3" fillId="0" borderId="0" xfId="0" applyNumberFormat="1" applyFont="1" applyFill="1" applyBorder="1"/>
    <xf numFmtId="166" fontId="16" fillId="0" borderId="67" xfId="1" applyFont="1" applyFill="1" applyBorder="1" applyAlignment="1">
      <alignment horizontal="center" vertical="top"/>
    </xf>
    <xf numFmtId="170" fontId="3" fillId="0" borderId="91" xfId="0" applyNumberFormat="1" applyFont="1" applyFill="1" applyBorder="1" applyAlignment="1">
      <alignment horizontal="center" vertical="top"/>
    </xf>
    <xf numFmtId="183" fontId="141" fillId="0" borderId="80" xfId="0" applyNumberFormat="1" applyFont="1" applyFill="1" applyBorder="1" applyAlignment="1" applyProtection="1">
      <alignment vertical="center" wrapText="1"/>
    </xf>
    <xf numFmtId="183" fontId="141" fillId="0" borderId="65" xfId="0" applyNumberFormat="1" applyFont="1" applyFill="1" applyBorder="1" applyAlignment="1" applyProtection="1">
      <alignment vertical="center" wrapText="1"/>
    </xf>
    <xf numFmtId="183" fontId="82" fillId="0" borderId="0" xfId="0" applyNumberFormat="1" applyFont="1" applyFill="1" applyBorder="1" applyAlignment="1" applyProtection="1">
      <alignment horizontal="right" vertical="top" wrapText="1"/>
    </xf>
    <xf numFmtId="170" fontId="93" fillId="0" borderId="86" xfId="0" applyNumberFormat="1" applyFont="1" applyFill="1" applyBorder="1" applyAlignment="1" applyProtection="1">
      <alignment horizontal="left" vertical="top" wrapText="1"/>
    </xf>
    <xf numFmtId="165" fontId="16" fillId="0" borderId="67" xfId="0" applyNumberFormat="1" applyFont="1" applyFill="1" applyBorder="1" applyAlignment="1">
      <alignment vertical="center"/>
    </xf>
    <xf numFmtId="166" fontId="3" fillId="0" borderId="67" xfId="13029" applyNumberFormat="1" applyFont="1" applyFill="1" applyBorder="1" applyAlignment="1">
      <alignment horizontal="center" vertical="top" wrapText="1"/>
    </xf>
    <xf numFmtId="165" fontId="3" fillId="0" borderId="67" xfId="2" applyNumberFormat="1" applyFont="1" applyFill="1" applyBorder="1" applyAlignment="1">
      <alignment vertical="top" wrapText="1"/>
    </xf>
    <xf numFmtId="170" fontId="3" fillId="0" borderId="67" xfId="2" applyNumberFormat="1" applyFont="1" applyFill="1" applyBorder="1" applyAlignment="1">
      <alignment horizontal="center" vertical="top" wrapText="1"/>
    </xf>
    <xf numFmtId="166" fontId="13" fillId="0" borderId="67" xfId="1" applyFont="1" applyFill="1" applyBorder="1" applyAlignment="1">
      <alignment horizontal="center"/>
    </xf>
    <xf numFmtId="0" fontId="15" fillId="0" borderId="67" xfId="0" applyFont="1" applyFill="1" applyBorder="1"/>
    <xf numFmtId="0" fontId="15" fillId="0" borderId="67" xfId="0" applyFont="1" applyFill="1" applyBorder="1" applyAlignment="1">
      <alignment horizontal="left"/>
    </xf>
    <xf numFmtId="166" fontId="19" fillId="0" borderId="67" xfId="1" applyFont="1" applyFill="1" applyBorder="1" applyAlignment="1">
      <alignment horizontal="center" wrapText="1"/>
    </xf>
    <xf numFmtId="0" fontId="3" fillId="0" borderId="90" xfId="0" applyFont="1" applyFill="1" applyBorder="1" applyAlignment="1">
      <alignment horizontal="center" vertical="center"/>
    </xf>
    <xf numFmtId="3" fontId="3" fillId="0" borderId="90" xfId="0" applyNumberFormat="1" applyFont="1" applyFill="1" applyBorder="1" applyAlignment="1">
      <alignment vertical="center"/>
    </xf>
    <xf numFmtId="166" fontId="5" fillId="0" borderId="67" xfId="1" applyFont="1" applyFill="1" applyBorder="1" applyAlignment="1">
      <alignment horizontal="center" vertical="center"/>
    </xf>
    <xf numFmtId="166" fontId="123" fillId="0" borderId="67" xfId="1" applyFont="1" applyFill="1" applyBorder="1" applyProtection="1"/>
    <xf numFmtId="183" fontId="124" fillId="0" borderId="86" xfId="0" applyNumberFormat="1" applyFont="1" applyFill="1" applyBorder="1" applyAlignment="1" applyProtection="1">
      <alignment horizontal="right" vertical="top" wrapText="1"/>
    </xf>
    <xf numFmtId="0" fontId="31" fillId="0" borderId="0" xfId="10" applyFont="1" applyBorder="1" applyAlignment="1">
      <alignment horizontal="center" vertical="center"/>
    </xf>
    <xf numFmtId="165" fontId="31" fillId="6" borderId="67" xfId="12" applyNumberFormat="1" applyFont="1" applyFill="1" applyBorder="1" applyAlignment="1">
      <alignment horizontal="center" vertical="center" wrapText="1"/>
    </xf>
    <xf numFmtId="165" fontId="31" fillId="6" borderId="67" xfId="10" applyNumberFormat="1" applyFont="1" applyFill="1" applyBorder="1" applyAlignment="1">
      <alignment vertical="center"/>
    </xf>
    <xf numFmtId="0" fontId="3" fillId="0" borderId="67" xfId="0" quotePrefix="1" applyFont="1" applyFill="1" applyBorder="1" applyAlignment="1">
      <alignment horizontal="center" vertical="top"/>
    </xf>
    <xf numFmtId="0" fontId="0" fillId="0" borderId="67" xfId="0" applyFont="1" applyFill="1" applyBorder="1" applyProtection="1"/>
    <xf numFmtId="0" fontId="3" fillId="0" borderId="66" xfId="0" applyFont="1" applyFill="1" applyBorder="1" applyAlignment="1">
      <alignment horizontal="center" vertical="top"/>
    </xf>
    <xf numFmtId="0" fontId="13" fillId="0" borderId="67" xfId="0" quotePrefix="1" applyFont="1" applyFill="1" applyBorder="1" applyAlignment="1">
      <alignment vertical="top"/>
    </xf>
    <xf numFmtId="172" fontId="0" fillId="0" borderId="67" xfId="0" applyNumberFormat="1" applyFont="1" applyFill="1" applyBorder="1" applyProtection="1"/>
    <xf numFmtId="166" fontId="13" fillId="0" borderId="69" xfId="1" applyFont="1" applyFill="1" applyBorder="1" applyAlignment="1">
      <alignment horizontal="right" vertical="center" wrapText="1"/>
    </xf>
    <xf numFmtId="165" fontId="0" fillId="0" borderId="30" xfId="0" applyNumberFormat="1" applyFill="1" applyBorder="1" applyProtection="1"/>
    <xf numFmtId="165" fontId="3" fillId="0" borderId="69" xfId="2" applyNumberFormat="1" applyFont="1" applyFill="1" applyBorder="1" applyAlignment="1">
      <alignment horizontal="center"/>
    </xf>
    <xf numFmtId="166" fontId="0" fillId="0" borderId="67" xfId="1" applyFont="1" applyFill="1" applyBorder="1" applyAlignment="1">
      <alignment horizontal="center" vertical="center"/>
    </xf>
    <xf numFmtId="0" fontId="31" fillId="6" borderId="34" xfId="10" applyFont="1" applyFill="1" applyBorder="1" applyAlignment="1">
      <alignment horizontal="center" vertical="center" wrapText="1"/>
    </xf>
    <xf numFmtId="172" fontId="93" fillId="0" borderId="86" xfId="0" applyNumberFormat="1" applyFont="1" applyFill="1" applyBorder="1" applyAlignment="1" applyProtection="1">
      <alignment horizontal="left" vertical="top" wrapText="1"/>
    </xf>
    <xf numFmtId="0" fontId="0" fillId="0" borderId="13" xfId="0" applyFill="1" applyBorder="1" applyProtection="1"/>
    <xf numFmtId="0" fontId="6" fillId="0" borderId="71" xfId="0" applyFont="1" applyFill="1" applyBorder="1" applyAlignment="1">
      <alignment horizontal="center" vertical="center"/>
    </xf>
    <xf numFmtId="0" fontId="6" fillId="0" borderId="79" xfId="0" applyFont="1" applyFill="1" applyBorder="1" applyAlignment="1">
      <alignment horizontal="center" vertical="center"/>
    </xf>
    <xf numFmtId="0" fontId="9" fillId="0" borderId="85" xfId="0" applyFont="1" applyFill="1" applyBorder="1" applyAlignment="1">
      <alignment horizontal="center"/>
    </xf>
    <xf numFmtId="0" fontId="9" fillId="0" borderId="86" xfId="0" applyFont="1" applyFill="1" applyBorder="1" applyAlignment="1">
      <alignment horizontal="center"/>
    </xf>
    <xf numFmtId="170" fontId="6" fillId="0" borderId="77" xfId="2" applyNumberFormat="1" applyFont="1" applyFill="1" applyBorder="1" applyAlignment="1">
      <alignment horizontal="center" vertical="center" wrapText="1"/>
    </xf>
    <xf numFmtId="0" fontId="10" fillId="0" borderId="67" xfId="0" applyFont="1" applyFill="1" applyBorder="1" applyAlignment="1">
      <alignment horizontal="left" vertical="center" wrapText="1"/>
    </xf>
    <xf numFmtId="165" fontId="10" fillId="0" borderId="85" xfId="2" applyFont="1" applyFill="1" applyBorder="1" applyAlignment="1">
      <alignment horizontal="left" vertical="center" wrapText="1"/>
    </xf>
    <xf numFmtId="165" fontId="10" fillId="0" borderId="85" xfId="2" applyFont="1" applyFill="1" applyBorder="1" applyAlignment="1">
      <alignment horizontal="left" vertical="center"/>
    </xf>
    <xf numFmtId="165" fontId="34" fillId="0" borderId="0" xfId="12" applyFont="1" applyFill="1" applyBorder="1" applyAlignment="1">
      <alignment horizontal="center" vertical="center"/>
    </xf>
    <xf numFmtId="0" fontId="92" fillId="0" borderId="25" xfId="0" applyFont="1" applyFill="1" applyBorder="1" applyAlignment="1" applyProtection="1">
      <alignment horizontal="center" vertical="center" wrapText="1"/>
    </xf>
    <xf numFmtId="0" fontId="91" fillId="0" borderId="25" xfId="0" applyFont="1" applyFill="1" applyBorder="1" applyAlignment="1" applyProtection="1">
      <alignment horizontal="center" vertical="center" wrapText="1"/>
    </xf>
    <xf numFmtId="166" fontId="16" fillId="0" borderId="13" xfId="1" applyFont="1" applyFill="1" applyBorder="1" applyAlignment="1">
      <alignment horizontal="center" vertical="center" wrapText="1"/>
    </xf>
    <xf numFmtId="166" fontId="16" fillId="0" borderId="35" xfId="1" applyFont="1" applyFill="1" applyBorder="1" applyAlignment="1">
      <alignment horizontal="center"/>
    </xf>
    <xf numFmtId="166" fontId="0" fillId="0" borderId="62" xfId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vertical="top"/>
    </xf>
    <xf numFmtId="166" fontId="3" fillId="0" borderId="25" xfId="1" applyFont="1" applyFill="1" applyBorder="1" applyAlignment="1">
      <alignment horizontal="center" vertical="top"/>
    </xf>
    <xf numFmtId="166" fontId="23" fillId="0" borderId="25" xfId="1" applyFont="1" applyFill="1" applyBorder="1" applyAlignment="1">
      <alignment horizontal="center"/>
    </xf>
    <xf numFmtId="166" fontId="14" fillId="0" borderId="25" xfId="1" applyFont="1" applyFill="1" applyBorder="1" applyAlignment="1">
      <alignment horizontal="center" vertical="center"/>
    </xf>
    <xf numFmtId="166" fontId="3" fillId="0" borderId="25" xfId="1" applyFont="1" applyFill="1" applyBorder="1" applyAlignment="1">
      <alignment horizontal="center" vertical="top" wrapText="1"/>
    </xf>
    <xf numFmtId="166" fontId="4" fillId="0" borderId="25" xfId="1" applyFont="1" applyFill="1" applyBorder="1" applyAlignment="1">
      <alignment horizontal="center" vertical="top"/>
    </xf>
    <xf numFmtId="166" fontId="4" fillId="0" borderId="25" xfId="1" applyFont="1" applyFill="1" applyBorder="1" applyAlignment="1">
      <alignment horizontal="center" vertical="top" wrapText="1"/>
    </xf>
    <xf numFmtId="166" fontId="4" fillId="0" borderId="35" xfId="1" applyFont="1" applyFill="1" applyBorder="1" applyAlignment="1">
      <alignment horizontal="center" vertical="top" wrapText="1"/>
    </xf>
    <xf numFmtId="166" fontId="16" fillId="0" borderId="25" xfId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65" fontId="16" fillId="0" borderId="28" xfId="2" applyFont="1" applyFill="1" applyBorder="1" applyAlignment="1">
      <alignment vertical="center" wrapText="1"/>
    </xf>
    <xf numFmtId="166" fontId="13" fillId="0" borderId="25" xfId="1" applyFont="1" applyFill="1" applyBorder="1" applyAlignment="1">
      <alignment horizontal="center" vertical="top" wrapText="1"/>
    </xf>
    <xf numFmtId="166" fontId="3" fillId="0" borderId="90" xfId="1" applyFont="1" applyFill="1" applyBorder="1" applyAlignment="1">
      <alignment horizontal="center" vertical="center"/>
    </xf>
    <xf numFmtId="166" fontId="16" fillId="0" borderId="28" xfId="1" applyFont="1" applyFill="1" applyBorder="1" applyAlignment="1">
      <alignment horizontal="center" vertical="center" wrapText="1"/>
    </xf>
    <xf numFmtId="166" fontId="19" fillId="0" borderId="25" xfId="1" applyFont="1" applyFill="1" applyBorder="1" applyAlignment="1">
      <alignment horizontal="center" vertical="top" wrapText="1"/>
    </xf>
    <xf numFmtId="166" fontId="19" fillId="0" borderId="25" xfId="1" applyFont="1" applyFill="1" applyBorder="1" applyAlignment="1">
      <alignment horizontal="center" vertical="top"/>
    </xf>
    <xf numFmtId="166" fontId="86" fillId="0" borderId="25" xfId="1" applyFont="1" applyFill="1" applyBorder="1" applyAlignment="1">
      <alignment horizontal="center" wrapText="1"/>
    </xf>
    <xf numFmtId="166" fontId="19" fillId="0" borderId="25" xfId="1" applyFont="1" applyFill="1" applyBorder="1" applyAlignment="1">
      <alignment horizontal="center"/>
    </xf>
    <xf numFmtId="166" fontId="87" fillId="0" borderId="25" xfId="1" applyFont="1" applyFill="1" applyBorder="1" applyAlignment="1">
      <alignment horizontal="center" vertical="center"/>
    </xf>
    <xf numFmtId="166" fontId="19" fillId="0" borderId="62" xfId="1" applyFont="1" applyFill="1" applyBorder="1" applyAlignment="1">
      <alignment horizontal="center"/>
    </xf>
    <xf numFmtId="166" fontId="19" fillId="0" borderId="90" xfId="1" applyFont="1" applyFill="1" applyBorder="1" applyAlignment="1">
      <alignment horizontal="center"/>
    </xf>
    <xf numFmtId="166" fontId="16" fillId="0" borderId="25" xfId="1" applyFont="1" applyFill="1" applyBorder="1" applyAlignment="1">
      <alignment horizontal="center" vertical="center"/>
    </xf>
    <xf numFmtId="166" fontId="16" fillId="0" borderId="67" xfId="1" applyFont="1" applyFill="1" applyBorder="1" applyAlignment="1">
      <alignment horizontal="center" vertical="center"/>
    </xf>
    <xf numFmtId="166" fontId="16" fillId="0" borderId="85" xfId="1" applyFont="1" applyFill="1" applyBorder="1" applyAlignment="1">
      <alignment horizontal="center"/>
    </xf>
    <xf numFmtId="166" fontId="3" fillId="0" borderId="26" xfId="1" applyFont="1" applyFill="1" applyBorder="1" applyAlignment="1">
      <alignment horizontal="center"/>
    </xf>
    <xf numFmtId="166" fontId="3" fillId="0" borderId="25" xfId="1" quotePrefix="1" applyFont="1" applyFill="1" applyBorder="1" applyAlignment="1">
      <alignment vertical="center"/>
    </xf>
    <xf numFmtId="166" fontId="3" fillId="0" borderId="25" xfId="1" applyFont="1" applyFill="1" applyBorder="1" applyAlignment="1">
      <alignment vertical="center"/>
    </xf>
    <xf numFmtId="166" fontId="3" fillId="0" borderId="28" xfId="1" applyFont="1" applyFill="1" applyBorder="1" applyAlignment="1">
      <alignment vertical="center"/>
    </xf>
    <xf numFmtId="166" fontId="3" fillId="0" borderId="28" xfId="1" quotePrefix="1" applyFont="1" applyFill="1" applyBorder="1" applyAlignment="1">
      <alignment vertical="center"/>
    </xf>
    <xf numFmtId="166" fontId="13" fillId="0" borderId="28" xfId="1" applyFont="1" applyFill="1" applyBorder="1" applyAlignment="1">
      <alignment horizontal="center"/>
    </xf>
    <xf numFmtId="166" fontId="3" fillId="0" borderId="90" xfId="1" applyFont="1" applyFill="1" applyBorder="1" applyAlignment="1">
      <alignment horizontal="center"/>
    </xf>
    <xf numFmtId="166" fontId="3" fillId="0" borderId="85" xfId="1" applyFont="1" applyFill="1" applyBorder="1" applyAlignment="1">
      <alignment horizontal="center"/>
    </xf>
    <xf numFmtId="166" fontId="13" fillId="0" borderId="85" xfId="1" applyFont="1" applyFill="1" applyBorder="1" applyAlignment="1">
      <alignment horizontal="center"/>
    </xf>
    <xf numFmtId="0" fontId="3" fillId="0" borderId="84" xfId="0" applyFont="1" applyFill="1" applyBorder="1" applyAlignment="1">
      <alignment horizontal="center" vertical="top"/>
    </xf>
    <xf numFmtId="165" fontId="3" fillId="0" borderId="91" xfId="2" applyNumberFormat="1" applyFont="1" applyFill="1" applyBorder="1" applyAlignment="1">
      <alignment horizontal="center" vertical="top"/>
    </xf>
    <xf numFmtId="0" fontId="0" fillId="0" borderId="86" xfId="0" applyFont="1" applyFill="1" applyBorder="1" applyProtection="1"/>
    <xf numFmtId="165" fontId="0" fillId="0" borderId="67" xfId="0" applyNumberFormat="1" applyFont="1" applyFill="1" applyBorder="1" applyProtection="1"/>
    <xf numFmtId="0" fontId="3" fillId="0" borderId="67" xfId="0" quotePrefix="1" applyFont="1" applyFill="1" applyBorder="1" applyAlignment="1">
      <alignment vertical="top"/>
    </xf>
    <xf numFmtId="166" fontId="0" fillId="0" borderId="67" xfId="0" applyNumberFormat="1" applyFont="1" applyFill="1" applyBorder="1" applyProtection="1"/>
    <xf numFmtId="166" fontId="3" fillId="0" borderId="67" xfId="1" applyFont="1" applyFill="1" applyBorder="1" applyAlignment="1">
      <alignment vertical="center"/>
    </xf>
    <xf numFmtId="183" fontId="94" fillId="0" borderId="86" xfId="0" applyNumberFormat="1" applyFont="1" applyFill="1" applyBorder="1" applyAlignment="1" applyProtection="1">
      <alignment horizontal="right" vertical="top" wrapText="1"/>
    </xf>
    <xf numFmtId="183" fontId="85" fillId="0" borderId="86" xfId="0" applyNumberFormat="1" applyFont="1" applyFill="1" applyBorder="1" applyAlignment="1" applyProtection="1">
      <alignment horizontal="right" vertical="top" wrapText="1"/>
    </xf>
    <xf numFmtId="166" fontId="14" fillId="0" borderId="69" xfId="1" applyFont="1" applyFill="1" applyBorder="1" applyAlignment="1">
      <alignment vertical="center"/>
    </xf>
    <xf numFmtId="166" fontId="5" fillId="0" borderId="69" xfId="1" applyFont="1" applyFill="1" applyBorder="1" applyAlignment="1">
      <alignment vertical="center"/>
    </xf>
    <xf numFmtId="166" fontId="13" fillId="0" borderId="69" xfId="1" applyFont="1" applyFill="1" applyBorder="1" applyAlignment="1">
      <alignment vertical="center"/>
    </xf>
    <xf numFmtId="166" fontId="13" fillId="0" borderId="77" xfId="1" applyFont="1" applyFill="1" applyBorder="1" applyAlignment="1">
      <alignment vertical="center"/>
    </xf>
    <xf numFmtId="170" fontId="13" fillId="0" borderId="91" xfId="0" applyNumberFormat="1" applyFont="1" applyFill="1" applyBorder="1" applyAlignment="1">
      <alignment horizontal="center"/>
    </xf>
    <xf numFmtId="170" fontId="14" fillId="0" borderId="69" xfId="1532" applyNumberFormat="1" applyFont="1" applyFill="1" applyBorder="1" applyAlignment="1">
      <alignment vertical="center"/>
    </xf>
    <xf numFmtId="0" fontId="13" fillId="0" borderId="90" xfId="0" applyFont="1" applyFill="1" applyBorder="1" applyAlignment="1">
      <alignment horizontal="left" vertical="top" wrapText="1"/>
    </xf>
    <xf numFmtId="166" fontId="16" fillId="0" borderId="92" xfId="1" applyFont="1" applyFill="1" applyBorder="1" applyAlignment="1">
      <alignment horizontal="center"/>
    </xf>
    <xf numFmtId="0" fontId="3" fillId="0" borderId="67" xfId="0" applyFont="1" applyFill="1" applyBorder="1" applyAlignment="1">
      <alignment vertical="top" wrapText="1"/>
    </xf>
    <xf numFmtId="0" fontId="16" fillId="0" borderId="67" xfId="0" applyFont="1" applyFill="1" applyBorder="1" applyAlignment="1">
      <alignment vertical="top"/>
    </xf>
    <xf numFmtId="4" fontId="13" fillId="0" borderId="69" xfId="0" applyNumberFormat="1" applyFont="1" applyFill="1" applyBorder="1" applyAlignment="1">
      <alignment vertical="center"/>
    </xf>
    <xf numFmtId="4" fontId="3" fillId="0" borderId="69" xfId="0" applyNumberFormat="1" applyFont="1" applyFill="1" applyBorder="1" applyAlignment="1">
      <alignment vertical="top"/>
    </xf>
    <xf numFmtId="172" fontId="3" fillId="0" borderId="64" xfId="1" applyNumberFormat="1" applyFont="1" applyFill="1" applyBorder="1" applyAlignment="1">
      <alignment horizontal="center" vertical="center"/>
    </xf>
    <xf numFmtId="183" fontId="139" fillId="0" borderId="25" xfId="0" applyNumberFormat="1" applyFont="1" applyFill="1" applyBorder="1" applyProtection="1"/>
    <xf numFmtId="166" fontId="3" fillId="0" borderId="69" xfId="0" applyNumberFormat="1" applyFont="1" applyFill="1" applyBorder="1" applyAlignment="1">
      <alignment vertical="center" wrapText="1"/>
    </xf>
    <xf numFmtId="183" fontId="125" fillId="0" borderId="0" xfId="0" applyNumberFormat="1" applyFont="1" applyFill="1" applyBorder="1" applyProtection="1"/>
    <xf numFmtId="166" fontId="0" fillId="0" borderId="67" xfId="0" applyNumberFormat="1" applyFill="1" applyBorder="1" applyProtection="1"/>
    <xf numFmtId="166" fontId="125" fillId="0" borderId="0" xfId="1" applyFont="1" applyFill="1" applyBorder="1" applyProtection="1"/>
    <xf numFmtId="166" fontId="0" fillId="0" borderId="0" xfId="0" applyNumberFormat="1" applyFill="1" applyBorder="1" applyProtection="1"/>
    <xf numFmtId="4" fontId="16" fillId="0" borderId="86" xfId="0" applyNumberFormat="1" applyFont="1" applyFill="1" applyBorder="1" applyProtection="1"/>
    <xf numFmtId="4" fontId="16" fillId="0" borderId="67" xfId="0" applyNumberFormat="1" applyFont="1" applyFill="1" applyBorder="1" applyProtection="1"/>
    <xf numFmtId="0" fontId="30" fillId="0" borderId="0" xfId="10" applyFont="1" applyFill="1" applyBorder="1" applyAlignment="1">
      <alignment vertical="center"/>
    </xf>
    <xf numFmtId="183" fontId="143" fillId="0" borderId="0" xfId="0" applyNumberFormat="1" applyFont="1" applyFill="1" applyBorder="1" applyAlignment="1" applyProtection="1">
      <alignment horizontal="right" vertical="top" wrapText="1"/>
    </xf>
    <xf numFmtId="190" fontId="144" fillId="0" borderId="0" xfId="0" applyNumberFormat="1" applyFont="1" applyFill="1" applyBorder="1" applyProtection="1"/>
    <xf numFmtId="43" fontId="144" fillId="0" borderId="0" xfId="0" applyNumberFormat="1" applyFont="1" applyFill="1" applyBorder="1" applyProtection="1"/>
    <xf numFmtId="166" fontId="144" fillId="0" borderId="0" xfId="1" applyFont="1" applyFill="1" applyBorder="1" applyProtection="1"/>
    <xf numFmtId="0" fontId="144" fillId="0" borderId="0" xfId="0" applyFont="1" applyFill="1" applyBorder="1" applyProtection="1"/>
    <xf numFmtId="183" fontId="144" fillId="0" borderId="0" xfId="0" applyNumberFormat="1" applyFont="1" applyFill="1" applyBorder="1" applyProtection="1"/>
    <xf numFmtId="183" fontId="140" fillId="0" borderId="67" xfId="0" applyNumberFormat="1" applyFont="1" applyFill="1" applyBorder="1" applyAlignment="1" applyProtection="1">
      <alignment horizontal="right" vertical="top" wrapText="1"/>
    </xf>
    <xf numFmtId="0" fontId="85" fillId="0" borderId="67" xfId="0" applyFont="1" applyFill="1" applyBorder="1" applyAlignment="1" applyProtection="1">
      <alignment horizontal="left" vertical="top" wrapText="1"/>
    </xf>
    <xf numFmtId="0" fontId="3" fillId="0" borderId="92" xfId="0" applyFont="1" applyFill="1" applyBorder="1" applyAlignment="1">
      <alignment horizontal="center"/>
    </xf>
    <xf numFmtId="170" fontId="86" fillId="0" borderId="67" xfId="0" applyNumberFormat="1" applyFont="1" applyFill="1" applyBorder="1" applyProtection="1"/>
    <xf numFmtId="170" fontId="123" fillId="0" borderId="25" xfId="0" applyNumberFormat="1" applyFont="1" applyFill="1" applyBorder="1" applyProtection="1"/>
    <xf numFmtId="166" fontId="19" fillId="0" borderId="25" xfId="1" applyFont="1" applyFill="1" applyBorder="1"/>
    <xf numFmtId="4" fontId="0" fillId="0" borderId="0" xfId="0" applyNumberFormat="1" applyFill="1" applyBorder="1" applyProtection="1"/>
    <xf numFmtId="183" fontId="95" fillId="0" borderId="0" xfId="0" applyNumberFormat="1" applyFont="1" applyFill="1" applyBorder="1" applyProtection="1"/>
    <xf numFmtId="165" fontId="3" fillId="0" borderId="90" xfId="2" applyFont="1" applyFill="1" applyBorder="1" applyAlignment="1">
      <alignment horizontal="center" vertical="center"/>
    </xf>
    <xf numFmtId="4" fontId="5" fillId="0" borderId="25" xfId="0" applyNumberFormat="1" applyFont="1" applyFill="1" applyBorder="1" applyAlignment="1" applyProtection="1">
      <alignment horizontal="left" vertical="top" wrapText="1"/>
    </xf>
    <xf numFmtId="170" fontId="0" fillId="0" borderId="0" xfId="2" applyNumberFormat="1" applyFont="1" applyFill="1" applyBorder="1" applyProtection="1"/>
    <xf numFmtId="170" fontId="123" fillId="0" borderId="15" xfId="0" applyNumberFormat="1" applyFont="1" applyFill="1" applyBorder="1" applyProtection="1"/>
    <xf numFmtId="166" fontId="123" fillId="0" borderId="15" xfId="0" applyNumberFormat="1" applyFont="1" applyFill="1" applyBorder="1" applyProtection="1"/>
    <xf numFmtId="166" fontId="16" fillId="0" borderId="86" xfId="0" applyNumberFormat="1" applyFont="1" applyFill="1" applyBorder="1" applyProtection="1"/>
    <xf numFmtId="170" fontId="3" fillId="0" borderId="91" xfId="1532" applyNumberFormat="1" applyFont="1" applyFill="1" applyBorder="1" applyAlignment="1">
      <alignment horizontal="center" vertical="center"/>
    </xf>
    <xf numFmtId="0" fontId="3" fillId="0" borderId="66" xfId="0" applyFont="1" applyFill="1" applyBorder="1" applyAlignment="1">
      <alignment horizontal="center"/>
    </xf>
    <xf numFmtId="0" fontId="13" fillId="0" borderId="25" xfId="0" applyFont="1" applyFill="1" applyBorder="1" applyAlignment="1">
      <alignment vertical="top" wrapText="1"/>
    </xf>
    <xf numFmtId="172" fontId="16" fillId="0" borderId="0" xfId="1" applyNumberFormat="1" applyFont="1" applyFill="1"/>
    <xf numFmtId="165" fontId="5" fillId="0" borderId="67" xfId="2" applyNumberFormat="1" applyFont="1" applyFill="1" applyBorder="1" applyAlignment="1">
      <alignment horizontal="right" vertical="center"/>
    </xf>
    <xf numFmtId="183" fontId="89" fillId="0" borderId="0" xfId="0" applyNumberFormat="1" applyFont="1" applyFill="1" applyBorder="1" applyAlignment="1" applyProtection="1">
      <alignment horizontal="right" vertical="top" wrapText="1"/>
    </xf>
    <xf numFmtId="165" fontId="16" fillId="0" borderId="25" xfId="0" applyNumberFormat="1" applyFont="1" applyFill="1" applyBorder="1" applyProtection="1"/>
    <xf numFmtId="170" fontId="13" fillId="0" borderId="91" xfId="1532" applyNumberFormat="1" applyFont="1" applyFill="1" applyBorder="1" applyAlignment="1">
      <alignment horizontal="center" vertical="center"/>
    </xf>
    <xf numFmtId="166" fontId="4" fillId="0" borderId="0" xfId="0" applyNumberFormat="1" applyFont="1" applyFill="1"/>
    <xf numFmtId="183" fontId="52" fillId="0" borderId="25" xfId="0" applyNumberFormat="1" applyFont="1" applyFill="1" applyBorder="1" applyAlignment="1" applyProtection="1">
      <alignment horizontal="right" vertical="top" wrapText="1"/>
    </xf>
    <xf numFmtId="3" fontId="16" fillId="0" borderId="85" xfId="0" applyNumberFormat="1" applyFont="1" applyFill="1" applyBorder="1" applyAlignment="1">
      <alignment horizontal="center"/>
    </xf>
    <xf numFmtId="43" fontId="16" fillId="0" borderId="0" xfId="0" applyNumberFormat="1" applyFont="1" applyFill="1"/>
    <xf numFmtId="166" fontId="123" fillId="0" borderId="86" xfId="0" applyNumberFormat="1" applyFont="1" applyFill="1" applyBorder="1" applyProtection="1"/>
    <xf numFmtId="170" fontId="16" fillId="0" borderId="0" xfId="0" applyNumberFormat="1" applyFont="1" applyFill="1"/>
    <xf numFmtId="165" fontId="0" fillId="0" borderId="0" xfId="0" applyNumberFormat="1" applyFill="1" applyBorder="1" applyProtection="1"/>
    <xf numFmtId="170" fontId="5" fillId="0" borderId="69" xfId="1532" applyNumberFormat="1" applyFont="1" applyFill="1" applyBorder="1" applyAlignment="1">
      <alignment vertical="center"/>
    </xf>
    <xf numFmtId="0" fontId="13" fillId="0" borderId="67" xfId="0" applyFont="1" applyFill="1" applyBorder="1" applyAlignment="1">
      <alignment horizontal="center" vertical="center" wrapText="1"/>
    </xf>
    <xf numFmtId="0" fontId="3" fillId="0" borderId="0" xfId="14" applyFont="1" applyFill="1" applyBorder="1" applyAlignment="1">
      <alignment horizontal="left"/>
    </xf>
    <xf numFmtId="172" fontId="3" fillId="0" borderId="67" xfId="1" applyNumberFormat="1" applyFont="1" applyFill="1" applyBorder="1" applyAlignment="1">
      <alignment vertical="top"/>
    </xf>
    <xf numFmtId="170" fontId="3" fillId="0" borderId="69" xfId="0" applyNumberFormat="1" applyFont="1" applyFill="1" applyBorder="1" applyAlignment="1">
      <alignment horizontal="right" vertical="top" wrapText="1"/>
    </xf>
    <xf numFmtId="170" fontId="3" fillId="0" borderId="69" xfId="2" applyNumberFormat="1" applyFont="1" applyFill="1" applyBorder="1" applyAlignment="1">
      <alignment horizontal="right" vertical="center" wrapText="1"/>
    </xf>
    <xf numFmtId="172" fontId="3" fillId="0" borderId="67" xfId="1" applyNumberFormat="1" applyFont="1" applyFill="1" applyBorder="1" applyAlignment="1">
      <alignment horizontal="right" vertical="top"/>
    </xf>
    <xf numFmtId="3" fontId="16" fillId="0" borderId="67" xfId="0" applyNumberFormat="1" applyFont="1" applyFill="1" applyBorder="1" applyAlignment="1">
      <alignment horizontal="center"/>
    </xf>
    <xf numFmtId="172" fontId="3" fillId="0" borderId="67" xfId="1" applyNumberFormat="1" applyFont="1" applyFill="1" applyBorder="1" applyAlignment="1">
      <alignment horizontal="center" vertical="top"/>
    </xf>
    <xf numFmtId="170" fontId="0" fillId="0" borderId="25" xfId="0" applyNumberFormat="1" applyFill="1" applyBorder="1" applyAlignment="1" applyProtection="1">
      <alignment vertical="top"/>
    </xf>
    <xf numFmtId="172" fontId="3" fillId="0" borderId="67" xfId="1" applyNumberFormat="1" applyFont="1" applyFill="1" applyBorder="1" applyAlignment="1">
      <alignment horizontal="center" vertical="top" wrapText="1"/>
    </xf>
    <xf numFmtId="170" fontId="3" fillId="0" borderId="69" xfId="1532" applyNumberFormat="1" applyFont="1" applyFill="1" applyBorder="1" applyAlignment="1">
      <alignment horizontal="center" vertical="center"/>
    </xf>
    <xf numFmtId="166" fontId="15" fillId="0" borderId="67" xfId="1" applyFont="1" applyFill="1" applyBorder="1" applyAlignment="1">
      <alignment horizontal="center"/>
    </xf>
    <xf numFmtId="0" fontId="15" fillId="0" borderId="67" xfId="0" applyFont="1" applyFill="1" applyBorder="1" applyAlignment="1">
      <alignment horizontal="center"/>
    </xf>
    <xf numFmtId="172" fontId="13" fillId="0" borderId="91" xfId="1" applyNumberFormat="1" applyFont="1" applyFill="1" applyBorder="1" applyAlignment="1">
      <alignment horizontal="center" vertical="center"/>
    </xf>
    <xf numFmtId="175" fontId="3" fillId="0" borderId="0" xfId="0" applyNumberFormat="1" applyFont="1" applyFill="1"/>
    <xf numFmtId="166" fontId="3" fillId="0" borderId="0" xfId="1" applyFont="1" applyFill="1" applyAlignment="1">
      <alignment horizontal="center"/>
    </xf>
    <xf numFmtId="165" fontId="13" fillId="0" borderId="91" xfId="2" applyNumberFormat="1" applyFont="1" applyFill="1" applyBorder="1" applyAlignment="1">
      <alignment horizontal="center" vertical="top"/>
    </xf>
    <xf numFmtId="9" fontId="3" fillId="0" borderId="0" xfId="0" applyNumberFormat="1" applyFont="1" applyFill="1"/>
    <xf numFmtId="4" fontId="16" fillId="0" borderId="0" xfId="0" applyNumberFormat="1" applyFont="1" applyFill="1"/>
    <xf numFmtId="43" fontId="4" fillId="0" borderId="0" xfId="0" applyNumberFormat="1" applyFont="1" applyFill="1"/>
    <xf numFmtId="0" fontId="31" fillId="0" borderId="0" xfId="10" applyFont="1" applyBorder="1" applyAlignment="1">
      <alignment horizontal="center" vertical="center"/>
    </xf>
    <xf numFmtId="0" fontId="138" fillId="0" borderId="0" xfId="10" applyFont="1" applyBorder="1" applyAlignment="1">
      <alignment horizontal="center" vertical="center"/>
    </xf>
    <xf numFmtId="0" fontId="138" fillId="0" borderId="0" xfId="10" applyFont="1" applyBorder="1" applyAlignment="1">
      <alignment horizontal="center" vertical="top"/>
    </xf>
    <xf numFmtId="0" fontId="31" fillId="0" borderId="0" xfId="10" applyFont="1" applyBorder="1" applyAlignment="1">
      <alignment horizontal="center" vertical="center"/>
    </xf>
    <xf numFmtId="0" fontId="31" fillId="32" borderId="47" xfId="10" applyFont="1" applyFill="1" applyBorder="1" applyAlignment="1">
      <alignment horizontal="center" vertical="center" wrapText="1"/>
    </xf>
    <xf numFmtId="0" fontId="31" fillId="32" borderId="30" xfId="10" applyFont="1" applyFill="1" applyBorder="1" applyAlignment="1">
      <alignment horizontal="center" vertical="center" wrapText="1"/>
    </xf>
    <xf numFmtId="165" fontId="31" fillId="32" borderId="85" xfId="12" applyNumberFormat="1" applyFont="1" applyFill="1" applyBorder="1" applyAlignment="1">
      <alignment horizontal="center" vertical="center" wrapText="1"/>
    </xf>
    <xf numFmtId="0" fontId="36" fillId="0" borderId="67" xfId="10" applyFont="1" applyBorder="1" applyAlignment="1">
      <alignment horizontal="center"/>
    </xf>
    <xf numFmtId="0" fontId="137" fillId="0" borderId="85" xfId="10" applyFont="1" applyFill="1" applyBorder="1" applyAlignment="1">
      <alignment horizontal="center" vertical="center" wrapText="1"/>
    </xf>
    <xf numFmtId="0" fontId="31" fillId="32" borderId="0" xfId="10" applyFont="1" applyFill="1" applyBorder="1" applyAlignment="1">
      <alignment horizontal="center" vertical="center" wrapText="1"/>
    </xf>
    <xf numFmtId="0" fontId="137" fillId="0" borderId="0" xfId="10" applyFont="1" applyFill="1" applyBorder="1" applyAlignment="1">
      <alignment horizontal="center" vertical="center" wrapText="1"/>
    </xf>
    <xf numFmtId="165" fontId="31" fillId="32" borderId="0" xfId="12" applyNumberFormat="1" applyFont="1" applyFill="1" applyBorder="1" applyAlignment="1">
      <alignment horizontal="center" vertical="center" wrapText="1"/>
    </xf>
    <xf numFmtId="0" fontId="30" fillId="0" borderId="0" xfId="12" applyNumberFormat="1" applyFont="1" applyFill="1" applyBorder="1" applyAlignment="1">
      <alignment horizontal="left" vertical="center" wrapText="1"/>
    </xf>
    <xf numFmtId="165" fontId="30" fillId="0" borderId="0" xfId="12" applyNumberFormat="1" applyFont="1" applyFill="1" applyBorder="1" applyAlignment="1">
      <alignment horizontal="center" vertical="center" wrapText="1"/>
    </xf>
    <xf numFmtId="165" fontId="30" fillId="0" borderId="0" xfId="12" applyNumberFormat="1" applyFont="1" applyFill="1" applyBorder="1" applyAlignment="1">
      <alignment horizontal="left" vertical="center" wrapText="1"/>
    </xf>
    <xf numFmtId="0" fontId="31" fillId="3" borderId="0" xfId="12" applyNumberFormat="1" applyFont="1" applyFill="1" applyBorder="1" applyAlignment="1">
      <alignment horizontal="left" vertical="center" wrapText="1"/>
    </xf>
    <xf numFmtId="165" fontId="33" fillId="3" borderId="0" xfId="13" applyNumberFormat="1" applyFont="1" applyFill="1" applyBorder="1" applyAlignment="1">
      <alignment horizontal="left" vertical="center"/>
    </xf>
    <xf numFmtId="165" fontId="33" fillId="3" borderId="0" xfId="13" applyNumberFormat="1" applyFont="1" applyFill="1" applyBorder="1" applyAlignment="1">
      <alignment horizontal="left" vertical="center" wrapText="1"/>
    </xf>
    <xf numFmtId="0" fontId="33" fillId="3" borderId="0" xfId="13" applyNumberFormat="1" applyFont="1" applyFill="1" applyBorder="1" applyAlignment="1">
      <alignment horizontal="left" vertical="center"/>
    </xf>
    <xf numFmtId="0" fontId="34" fillId="3" borderId="0" xfId="13" applyNumberFormat="1" applyFont="1" applyFill="1" applyBorder="1" applyAlignment="1">
      <alignment horizontal="left" vertical="center"/>
    </xf>
    <xf numFmtId="0" fontId="132" fillId="3" borderId="0" xfId="13" applyNumberFormat="1" applyFont="1" applyFill="1" applyBorder="1" applyAlignment="1">
      <alignment horizontal="left" vertical="center"/>
    </xf>
    <xf numFmtId="0" fontId="33" fillId="0" borderId="0" xfId="13" applyNumberFormat="1" applyFont="1" applyFill="1" applyBorder="1" applyAlignment="1">
      <alignment horizontal="left" vertical="top"/>
    </xf>
    <xf numFmtId="165" fontId="33" fillId="3" borderId="0" xfId="13" applyNumberFormat="1" applyFont="1" applyFill="1" applyBorder="1" applyAlignment="1">
      <alignment horizontal="left" vertical="top"/>
    </xf>
    <xf numFmtId="0" fontId="33" fillId="3" borderId="0" xfId="13" applyNumberFormat="1" applyFont="1" applyFill="1" applyBorder="1" applyAlignment="1">
      <alignment horizontal="left" vertical="top"/>
    </xf>
    <xf numFmtId="165" fontId="33" fillId="0" borderId="0" xfId="13" applyNumberFormat="1" applyFont="1" applyFill="1" applyBorder="1" applyAlignment="1">
      <alignment horizontal="left" vertical="center" wrapText="1"/>
    </xf>
    <xf numFmtId="165" fontId="31" fillId="32" borderId="0" xfId="10" applyNumberFormat="1" applyFont="1" applyFill="1" applyBorder="1" applyAlignment="1">
      <alignment vertical="center"/>
    </xf>
    <xf numFmtId="165" fontId="31" fillId="0" borderId="85" xfId="12" applyNumberFormat="1" applyFont="1" applyFill="1" applyBorder="1" applyAlignment="1">
      <alignment horizontal="center" vertical="center" wrapText="1"/>
    </xf>
    <xf numFmtId="165" fontId="30" fillId="0" borderId="85" xfId="12" applyNumberFormat="1" applyFont="1" applyFill="1" applyBorder="1" applyAlignment="1">
      <alignment horizontal="center" vertical="top" wrapText="1"/>
    </xf>
    <xf numFmtId="165" fontId="14" fillId="0" borderId="31" xfId="2" applyNumberFormat="1" applyFont="1" applyFill="1" applyBorder="1" applyAlignment="1">
      <alignment vertical="center"/>
    </xf>
    <xf numFmtId="165" fontId="5" fillId="0" borderId="31" xfId="2" applyNumberFormat="1" applyFont="1" applyFill="1" applyBorder="1" applyAlignment="1">
      <alignment vertical="center"/>
    </xf>
    <xf numFmtId="43" fontId="0" fillId="0" borderId="67" xfId="0" applyNumberFormat="1" applyFont="1" applyFill="1" applyBorder="1" applyProtection="1"/>
    <xf numFmtId="166" fontId="0" fillId="0" borderId="85" xfId="1" applyFont="1" applyFill="1" applyBorder="1" applyAlignment="1">
      <alignment vertical="center"/>
    </xf>
    <xf numFmtId="172" fontId="0" fillId="0" borderId="90" xfId="1" applyNumberFormat="1" applyFont="1" applyFill="1" applyBorder="1" applyAlignment="1">
      <alignment vertical="center"/>
    </xf>
    <xf numFmtId="0" fontId="82" fillId="0" borderId="65" xfId="0" applyFont="1" applyFill="1" applyBorder="1" applyAlignment="1" applyProtection="1">
      <alignment horizontal="center" vertical="center" wrapText="1"/>
    </xf>
    <xf numFmtId="0" fontId="92" fillId="0" borderId="86" xfId="0" applyFont="1" applyFill="1" applyBorder="1" applyAlignment="1" applyProtection="1">
      <alignment horizontal="center" vertical="center" wrapText="1"/>
    </xf>
    <xf numFmtId="0" fontId="92" fillId="0" borderId="25" xfId="0" applyFont="1" applyFill="1" applyBorder="1" applyAlignment="1" applyProtection="1">
      <alignment horizontal="center" vertical="center" wrapText="1"/>
    </xf>
    <xf numFmtId="0" fontId="91" fillId="0" borderId="25" xfId="0" applyFont="1" applyFill="1" applyBorder="1" applyAlignment="1" applyProtection="1">
      <alignment horizontal="center" vertical="center" wrapText="1"/>
    </xf>
    <xf numFmtId="0" fontId="3" fillId="0" borderId="85" xfId="0" applyFont="1" applyFill="1" applyBorder="1" applyAlignment="1">
      <alignment horizontal="center" vertical="center"/>
    </xf>
    <xf numFmtId="0" fontId="92" fillId="0" borderId="72" xfId="0" applyFont="1" applyFill="1" applyBorder="1" applyAlignment="1" applyProtection="1">
      <alignment horizontal="center" vertical="center" wrapText="1"/>
    </xf>
    <xf numFmtId="0" fontId="14" fillId="0" borderId="86" xfId="0" applyFont="1" applyFill="1" applyBorder="1" applyAlignment="1" applyProtection="1">
      <alignment horizontal="center" vertical="center" wrapText="1"/>
    </xf>
    <xf numFmtId="0" fontId="14" fillId="0" borderId="25" xfId="0" applyFont="1" applyFill="1" applyBorder="1" applyAlignment="1" applyProtection="1">
      <alignment horizontal="center" vertical="center" wrapText="1"/>
    </xf>
    <xf numFmtId="165" fontId="5" fillId="0" borderId="0" xfId="12" applyFont="1" applyFill="1" applyBorder="1" applyAlignment="1">
      <alignment horizontal="center" vertical="center"/>
    </xf>
    <xf numFmtId="0" fontId="140" fillId="0" borderId="25" xfId="0" applyFont="1" applyFill="1" applyBorder="1" applyAlignment="1" applyProtection="1">
      <alignment horizontal="center" vertical="center" wrapText="1"/>
    </xf>
    <xf numFmtId="166" fontId="5" fillId="0" borderId="67" xfId="1" applyFont="1" applyFill="1" applyBorder="1" applyAlignment="1" applyProtection="1">
      <alignment horizontal="right" vertical="top" wrapText="1"/>
    </xf>
    <xf numFmtId="172" fontId="5" fillId="0" borderId="67" xfId="1" applyNumberFormat="1" applyFont="1" applyFill="1" applyBorder="1" applyAlignment="1" applyProtection="1">
      <alignment horizontal="right" vertical="top" wrapText="1"/>
    </xf>
    <xf numFmtId="166" fontId="93" fillId="0" borderId="67" xfId="1" applyFont="1" applyFill="1" applyBorder="1" applyAlignment="1" applyProtection="1">
      <alignment horizontal="right" vertical="top" wrapText="1"/>
    </xf>
    <xf numFmtId="166" fontId="13" fillId="0" borderId="0" xfId="1" applyFont="1" applyFill="1" applyBorder="1"/>
    <xf numFmtId="3" fontId="3" fillId="0" borderId="0" xfId="0" applyNumberFormat="1" applyFont="1" applyFill="1"/>
    <xf numFmtId="0" fontId="86" fillId="0" borderId="25" xfId="0" applyFont="1" applyFill="1" applyBorder="1" applyProtection="1"/>
    <xf numFmtId="165" fontId="3" fillId="0" borderId="91" xfId="2" applyNumberFormat="1" applyFont="1" applyFill="1" applyBorder="1" applyAlignment="1">
      <alignment horizontal="center" vertical="center"/>
    </xf>
    <xf numFmtId="165" fontId="3" fillId="0" borderId="29" xfId="2" applyNumberFormat="1" applyFont="1" applyFill="1" applyBorder="1" applyAlignment="1">
      <alignment horizontal="center" vertical="center"/>
    </xf>
    <xf numFmtId="165" fontId="3" fillId="0" borderId="69" xfId="2" applyNumberFormat="1" applyFont="1" applyFill="1" applyBorder="1" applyAlignment="1">
      <alignment horizontal="center" vertical="center"/>
    </xf>
    <xf numFmtId="170" fontId="4" fillId="0" borderId="25" xfId="2" applyNumberFormat="1" applyFont="1" applyFill="1" applyBorder="1" applyAlignment="1">
      <alignment horizontal="center" vertical="center" wrapText="1"/>
    </xf>
    <xf numFmtId="3" fontId="4" fillId="0" borderId="25" xfId="0" applyNumberFormat="1" applyFont="1" applyFill="1" applyBorder="1" applyAlignment="1">
      <alignment vertical="center" wrapText="1"/>
    </xf>
    <xf numFmtId="165" fontId="4" fillId="0" borderId="31" xfId="0" applyNumberFormat="1" applyFont="1" applyFill="1" applyBorder="1" applyAlignment="1">
      <alignment vertical="center"/>
    </xf>
    <xf numFmtId="172" fontId="3" fillId="0" borderId="67" xfId="1" applyNumberFormat="1" applyFont="1" applyFill="1" applyBorder="1" applyAlignment="1">
      <alignment horizontal="right" vertical="center"/>
    </xf>
    <xf numFmtId="0" fontId="5" fillId="0" borderId="25" xfId="7" applyFont="1" applyFill="1" applyBorder="1" applyAlignment="1">
      <alignment horizontal="left"/>
    </xf>
    <xf numFmtId="0" fontId="34" fillId="0" borderId="0" xfId="10" applyFont="1" applyFill="1" applyBorder="1" applyAlignment="1">
      <alignment vertical="center" wrapText="1"/>
    </xf>
    <xf numFmtId="0" fontId="40" fillId="0" borderId="0" xfId="10" applyFont="1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166" fontId="0" fillId="0" borderId="30" xfId="1" applyFont="1" applyFill="1" applyBorder="1" applyAlignment="1">
      <alignment horizontal="center" vertical="center"/>
    </xf>
    <xf numFmtId="39" fontId="3" fillId="0" borderId="30" xfId="0" applyNumberFormat="1" applyFont="1" applyFill="1" applyBorder="1" applyAlignment="1">
      <alignment horizontal="center" vertical="top" wrapText="1"/>
    </xf>
    <xf numFmtId="172" fontId="29" fillId="0" borderId="30" xfId="1" applyNumberFormat="1" applyFont="1" applyFill="1" applyBorder="1" applyAlignment="1">
      <alignment vertical="center"/>
    </xf>
    <xf numFmtId="172" fontId="0" fillId="0" borderId="0" xfId="1" applyNumberFormat="1" applyFont="1" applyFill="1" applyBorder="1" applyProtection="1"/>
    <xf numFmtId="43" fontId="33" fillId="0" borderId="0" xfId="10" applyNumberFormat="1" applyFont="1" applyFill="1" applyBorder="1" applyAlignment="1">
      <alignment horizontal="center" vertical="center" wrapText="1"/>
    </xf>
    <xf numFmtId="0" fontId="92" fillId="0" borderId="86" xfId="0" applyFont="1" applyFill="1" applyBorder="1" applyAlignment="1" applyProtection="1">
      <alignment horizontal="center" vertical="center" wrapText="1"/>
    </xf>
    <xf numFmtId="0" fontId="92" fillId="0" borderId="25" xfId="0" applyFont="1" applyFill="1" applyBorder="1" applyAlignment="1" applyProtection="1">
      <alignment horizontal="center" vertical="center" wrapText="1"/>
    </xf>
    <xf numFmtId="0" fontId="91" fillId="0" borderId="25" xfId="0" applyFont="1" applyFill="1" applyBorder="1" applyAlignment="1" applyProtection="1">
      <alignment horizontal="center" vertical="center" wrapText="1"/>
    </xf>
    <xf numFmtId="166" fontId="93" fillId="0" borderId="86" xfId="1" applyFont="1" applyFill="1" applyBorder="1" applyAlignment="1" applyProtection="1">
      <alignment horizontal="right" vertical="top" wrapText="1"/>
    </xf>
    <xf numFmtId="172" fontId="3" fillId="0" borderId="67" xfId="1" applyNumberFormat="1" applyFont="1" applyFill="1" applyBorder="1" applyAlignment="1">
      <alignment vertical="top" wrapText="1"/>
    </xf>
    <xf numFmtId="0" fontId="31" fillId="6" borderId="85" xfId="10" applyFont="1" applyFill="1" applyBorder="1" applyAlignment="1">
      <alignment horizontal="center" vertical="center" wrapText="1"/>
    </xf>
    <xf numFmtId="0" fontId="35" fillId="0" borderId="85" xfId="1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92" fillId="0" borderId="25" xfId="0" applyFont="1" applyFill="1" applyBorder="1" applyAlignment="1" applyProtection="1">
      <alignment horizontal="center" vertical="center" wrapText="1"/>
    </xf>
    <xf numFmtId="0" fontId="91" fillId="0" borderId="25" xfId="0" applyFont="1" applyFill="1" applyBorder="1" applyAlignment="1" applyProtection="1">
      <alignment horizontal="center" vertical="center" wrapText="1"/>
    </xf>
    <xf numFmtId="0" fontId="3" fillId="0" borderId="17" xfId="0" applyFont="1" applyFill="1" applyBorder="1" applyAlignment="1">
      <alignment horizontal="center" vertical="center"/>
    </xf>
    <xf numFmtId="165" fontId="5" fillId="0" borderId="0" xfId="12" applyFont="1" applyFill="1" applyBorder="1" applyAlignment="1">
      <alignment horizontal="center" vertical="center"/>
    </xf>
    <xf numFmtId="0" fontId="14" fillId="0" borderId="25" xfId="0" applyFont="1" applyFill="1" applyBorder="1" applyAlignment="1" applyProtection="1">
      <alignment horizontal="center" vertical="center" wrapText="1"/>
    </xf>
    <xf numFmtId="0" fontId="3" fillId="0" borderId="32" xfId="0" applyFont="1" applyFill="1" applyBorder="1" applyAlignment="1">
      <alignment horizontal="center" vertical="top"/>
    </xf>
    <xf numFmtId="0" fontId="3" fillId="0" borderId="25" xfId="0" quotePrefix="1" applyFont="1" applyFill="1" applyBorder="1" applyAlignment="1">
      <alignment horizontal="center" vertical="top"/>
    </xf>
    <xf numFmtId="172" fontId="3" fillId="0" borderId="26" xfId="1" applyNumberFormat="1" applyFont="1" applyFill="1" applyBorder="1" applyAlignment="1">
      <alignment horizontal="center" vertical="center"/>
    </xf>
    <xf numFmtId="172" fontId="15" fillId="0" borderId="87" xfId="12218" applyNumberFormat="1" applyFont="1" applyFill="1" applyBorder="1" applyAlignment="1">
      <alignment vertical="center" wrapText="1"/>
    </xf>
    <xf numFmtId="0" fontId="0" fillId="0" borderId="30" xfId="0" applyFont="1" applyFill="1" applyBorder="1" applyAlignment="1">
      <alignment vertical="center"/>
    </xf>
    <xf numFmtId="165" fontId="13" fillId="0" borderId="69" xfId="2" applyNumberFormat="1" applyFont="1" applyFill="1" applyBorder="1" applyAlignment="1">
      <alignment vertical="top" wrapText="1"/>
    </xf>
    <xf numFmtId="172" fontId="27" fillId="0" borderId="67" xfId="1" applyNumberFormat="1" applyFont="1" applyFill="1" applyBorder="1" applyAlignment="1">
      <alignment horizontal="center" vertical="center" wrapText="1"/>
    </xf>
    <xf numFmtId="172" fontId="3" fillId="0" borderId="67" xfId="1" applyNumberFormat="1" applyFont="1" applyFill="1" applyBorder="1" applyAlignment="1">
      <alignment vertical="center"/>
    </xf>
    <xf numFmtId="172" fontId="3" fillId="0" borderId="69" xfId="0" applyNumberFormat="1" applyFont="1" applyFill="1" applyBorder="1" applyAlignment="1">
      <alignment vertical="center"/>
    </xf>
    <xf numFmtId="0" fontId="20" fillId="3" borderId="85" xfId="10" applyNumberFormat="1" applyFont="1" applyFill="1" applyBorder="1" applyAlignment="1">
      <alignment vertical="top" wrapText="1"/>
    </xf>
    <xf numFmtId="0" fontId="30" fillId="3" borderId="79" xfId="10" applyNumberFormat="1" applyFont="1" applyFill="1" applyBorder="1" applyAlignment="1">
      <alignment vertical="top"/>
    </xf>
    <xf numFmtId="165" fontId="30" fillId="3" borderId="85" xfId="15" applyNumberFormat="1" applyFont="1" applyFill="1" applyBorder="1" applyAlignment="1">
      <alignment horizontal="center" vertical="top"/>
    </xf>
    <xf numFmtId="0" fontId="30" fillId="3" borderId="79" xfId="10" applyNumberFormat="1" applyFont="1" applyFill="1" applyBorder="1" applyAlignment="1">
      <alignment vertical="top" wrapText="1"/>
    </xf>
    <xf numFmtId="0" fontId="30" fillId="3" borderId="67" xfId="10" applyNumberFormat="1" applyFont="1" applyFill="1" applyBorder="1" applyAlignment="1">
      <alignment horizontal="left" vertical="top" wrapText="1"/>
    </xf>
    <xf numFmtId="172" fontId="7" fillId="0" borderId="0" xfId="1" applyNumberFormat="1" applyFont="1" applyFill="1"/>
    <xf numFmtId="166" fontId="13" fillId="0" borderId="2" xfId="1" applyFont="1" applyFill="1" applyBorder="1"/>
    <xf numFmtId="166" fontId="3" fillId="0" borderId="0" xfId="1" applyFont="1" applyFill="1" applyBorder="1" applyAlignment="1"/>
    <xf numFmtId="166" fontId="16" fillId="0" borderId="35" xfId="1" applyFont="1" applyFill="1" applyBorder="1" applyAlignment="1">
      <alignment horizontal="center" vertical="top"/>
    </xf>
    <xf numFmtId="3" fontId="16" fillId="0" borderId="35" xfId="0" applyNumberFormat="1" applyFont="1" applyFill="1" applyBorder="1" applyAlignment="1">
      <alignment horizontal="center" vertical="top"/>
    </xf>
    <xf numFmtId="172" fontId="16" fillId="0" borderId="90" xfId="1" applyNumberFormat="1" applyFont="1" applyFill="1" applyBorder="1" applyAlignment="1">
      <alignment horizontal="right" vertical="top"/>
    </xf>
    <xf numFmtId="0" fontId="0" fillId="0" borderId="67" xfId="0" applyFill="1" applyBorder="1" applyAlignment="1">
      <alignment horizontal="center" vertical="center"/>
    </xf>
    <xf numFmtId="172" fontId="0" fillId="0" borderId="67" xfId="1" applyNumberFormat="1" applyFont="1" applyFill="1" applyBorder="1" applyAlignment="1">
      <alignment vertical="center"/>
    </xf>
    <xf numFmtId="0" fontId="0" fillId="0" borderId="67" xfId="0" applyFill="1" applyBorder="1" applyAlignment="1">
      <alignment horizontal="center"/>
    </xf>
    <xf numFmtId="170" fontId="15" fillId="0" borderId="95" xfId="2" applyNumberFormat="1" applyFont="1" applyFill="1" applyBorder="1" applyAlignment="1">
      <alignment horizontal="center" vertical="center" wrapText="1"/>
    </xf>
    <xf numFmtId="39" fontId="13" fillId="0" borderId="0" xfId="0" applyNumberFormat="1" applyFont="1" applyFill="1" applyBorder="1"/>
    <xf numFmtId="166" fontId="13" fillId="0" borderId="31" xfId="0" applyNumberFormat="1" applyFont="1" applyFill="1" applyBorder="1" applyAlignment="1">
      <alignment vertical="center" wrapText="1"/>
    </xf>
    <xf numFmtId="166" fontId="3" fillId="0" borderId="69" xfId="2" applyNumberFormat="1" applyFont="1" applyFill="1" applyBorder="1" applyAlignment="1">
      <alignment vertical="center" wrapText="1"/>
    </xf>
    <xf numFmtId="166" fontId="3" fillId="0" borderId="31" xfId="2" applyNumberFormat="1" applyFont="1" applyFill="1" applyBorder="1" applyAlignment="1">
      <alignment vertical="center" wrapText="1"/>
    </xf>
    <xf numFmtId="166" fontId="13" fillId="0" borderId="40" xfId="0" applyNumberFormat="1" applyFont="1" applyFill="1" applyBorder="1" applyAlignment="1">
      <alignment vertical="center"/>
    </xf>
    <xf numFmtId="172" fontId="3" fillId="0" borderId="29" xfId="0" applyNumberFormat="1" applyFont="1" applyFill="1" applyBorder="1" applyAlignment="1">
      <alignment vertical="center"/>
    </xf>
    <xf numFmtId="0" fontId="28" fillId="0" borderId="25" xfId="0" applyFont="1" applyFill="1" applyBorder="1" applyAlignment="1">
      <alignment vertical="center"/>
    </xf>
    <xf numFmtId="0" fontId="28" fillId="0" borderId="85" xfId="0" applyFont="1" applyFill="1" applyBorder="1" applyAlignment="1">
      <alignment vertical="center"/>
    </xf>
    <xf numFmtId="0" fontId="28" fillId="0" borderId="67" xfId="0" applyFont="1" applyFill="1" applyBorder="1" applyAlignment="1">
      <alignment horizontal="center" vertical="center"/>
    </xf>
    <xf numFmtId="165" fontId="0" fillId="0" borderId="86" xfId="0" applyNumberFormat="1" applyFill="1" applyBorder="1" applyAlignment="1">
      <alignment vertical="center"/>
    </xf>
    <xf numFmtId="0" fontId="28" fillId="0" borderId="30" xfId="0" applyFont="1" applyFill="1" applyBorder="1" applyAlignment="1">
      <alignment vertical="center"/>
    </xf>
    <xf numFmtId="0" fontId="0" fillId="0" borderId="30" xfId="0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vertical="center"/>
    </xf>
    <xf numFmtId="165" fontId="0" fillId="0" borderId="67" xfId="0" applyNumberFormat="1" applyFill="1" applyBorder="1" applyAlignment="1">
      <alignment vertical="center"/>
    </xf>
    <xf numFmtId="0" fontId="28" fillId="0" borderId="90" xfId="0" applyFont="1" applyFill="1" applyBorder="1" applyAlignment="1">
      <alignment vertical="center"/>
    </xf>
    <xf numFmtId="165" fontId="0" fillId="0" borderId="90" xfId="0" applyNumberFormat="1" applyFill="1" applyBorder="1" applyAlignment="1">
      <alignment vertical="center"/>
    </xf>
    <xf numFmtId="170" fontId="13" fillId="0" borderId="31" xfId="0" applyNumberFormat="1" applyFont="1" applyFill="1" applyBorder="1" applyAlignment="1">
      <alignment vertical="center"/>
    </xf>
    <xf numFmtId="170" fontId="3" fillId="0" borderId="29" xfId="0" applyNumberFormat="1" applyFont="1" applyFill="1" applyBorder="1" applyAlignment="1">
      <alignment vertical="center"/>
    </xf>
    <xf numFmtId="170" fontId="13" fillId="0" borderId="40" xfId="0" applyNumberFormat="1" applyFont="1" applyFill="1" applyBorder="1" applyAlignment="1">
      <alignment vertical="center"/>
    </xf>
    <xf numFmtId="166" fontId="13" fillId="0" borderId="31" xfId="1" applyNumberFormat="1" applyFont="1" applyFill="1" applyBorder="1" applyAlignment="1">
      <alignment horizontal="center"/>
    </xf>
    <xf numFmtId="166" fontId="13" fillId="0" borderId="31" xfId="1" applyNumberFormat="1" applyFont="1" applyFill="1" applyBorder="1" applyAlignment="1">
      <alignment horizontal="center" vertical="center"/>
    </xf>
    <xf numFmtId="166" fontId="3" fillId="0" borderId="31" xfId="1" applyNumberFormat="1" applyFont="1" applyFill="1" applyBorder="1" applyAlignment="1">
      <alignment vertical="top"/>
    </xf>
    <xf numFmtId="166" fontId="3" fillId="0" borderId="31" xfId="1" applyNumberFormat="1" applyFont="1" applyFill="1" applyBorder="1" applyAlignment="1">
      <alignment vertical="center"/>
    </xf>
    <xf numFmtId="166" fontId="3" fillId="0" borderId="29" xfId="1" applyNumberFormat="1" applyFont="1" applyFill="1" applyBorder="1" applyAlignment="1">
      <alignment vertical="center"/>
    </xf>
    <xf numFmtId="166" fontId="14" fillId="0" borderId="31" xfId="2" applyNumberFormat="1" applyFont="1" applyFill="1" applyBorder="1" applyAlignment="1">
      <alignment vertical="center"/>
    </xf>
    <xf numFmtId="166" fontId="3" fillId="0" borderId="29" xfId="1" applyNumberFormat="1" applyFont="1" applyFill="1" applyBorder="1" applyAlignment="1">
      <alignment vertical="top"/>
    </xf>
    <xf numFmtId="166" fontId="13" fillId="0" borderId="31" xfId="1" applyNumberFormat="1" applyFont="1" applyFill="1" applyBorder="1" applyAlignment="1">
      <alignment vertical="center"/>
    </xf>
    <xf numFmtId="166" fontId="13" fillId="0" borderId="40" xfId="1" applyNumberFormat="1" applyFont="1" applyFill="1" applyBorder="1" applyAlignment="1">
      <alignment vertical="center"/>
    </xf>
    <xf numFmtId="166" fontId="13" fillId="0" borderId="69" xfId="1" applyFont="1" applyFill="1" applyBorder="1" applyAlignment="1">
      <alignment vertical="top" wrapText="1"/>
    </xf>
    <xf numFmtId="172" fontId="16" fillId="0" borderId="25" xfId="1" applyNumberFormat="1" applyFont="1" applyFill="1" applyBorder="1" applyAlignment="1">
      <alignment horizontal="center" vertical="center"/>
    </xf>
    <xf numFmtId="172" fontId="16" fillId="0" borderId="86" xfId="1" applyNumberFormat="1" applyFont="1" applyFill="1" applyBorder="1" applyAlignment="1">
      <alignment vertical="center" wrapText="1"/>
    </xf>
    <xf numFmtId="172" fontId="13" fillId="0" borderId="67" xfId="1" applyNumberFormat="1" applyFont="1" applyFill="1" applyBorder="1" applyAlignment="1">
      <alignment vertical="center" wrapText="1"/>
    </xf>
    <xf numFmtId="172" fontId="16" fillId="0" borderId="90" xfId="1" applyNumberFormat="1" applyFont="1" applyFill="1" applyBorder="1" applyAlignment="1">
      <alignment horizontal="right"/>
    </xf>
    <xf numFmtId="172" fontId="13" fillId="0" borderId="67" xfId="1" applyNumberFormat="1" applyFont="1" applyFill="1" applyBorder="1" applyAlignment="1">
      <alignment horizontal="center" vertical="top" wrapText="1"/>
    </xf>
    <xf numFmtId="172" fontId="15" fillId="0" borderId="67" xfId="1" applyNumberFormat="1" applyFont="1" applyFill="1" applyBorder="1"/>
    <xf numFmtId="184" fontId="108" fillId="0" borderId="47" xfId="28340" applyNumberFormat="1" applyFont="1" applyFill="1" applyBorder="1"/>
    <xf numFmtId="0" fontId="146" fillId="0" borderId="92" xfId="28340" applyFill="1" applyBorder="1" applyAlignment="1"/>
    <xf numFmtId="0" fontId="146" fillId="0" borderId="59" xfId="28340" applyFill="1" applyBorder="1"/>
    <xf numFmtId="0" fontId="146" fillId="0" borderId="61" xfId="28340" applyFill="1" applyBorder="1"/>
    <xf numFmtId="0" fontId="99" fillId="0" borderId="0" xfId="28340" applyFont="1" applyFill="1"/>
    <xf numFmtId="165" fontId="99" fillId="0" borderId="0" xfId="28341" applyFont="1" applyFill="1"/>
    <xf numFmtId="165" fontId="0" fillId="0" borderId="0" xfId="28341" applyFont="1" applyFill="1"/>
    <xf numFmtId="0" fontId="146" fillId="0" borderId="0" xfId="28340" applyFill="1"/>
    <xf numFmtId="0" fontId="102" fillId="0" borderId="0" xfId="28340" applyFont="1" applyFill="1"/>
    <xf numFmtId="0" fontId="146" fillId="0" borderId="36" xfId="28340" applyFill="1" applyBorder="1" applyAlignment="1"/>
    <xf numFmtId="0" fontId="146" fillId="0" borderId="0" xfId="28340" applyFill="1" applyBorder="1"/>
    <xf numFmtId="0" fontId="146" fillId="0" borderId="47" xfId="28340" applyFill="1" applyBorder="1"/>
    <xf numFmtId="0" fontId="146" fillId="0" borderId="12" xfId="28340" applyFill="1" applyBorder="1" applyAlignment="1"/>
    <xf numFmtId="0" fontId="146" fillId="0" borderId="11" xfId="28340" applyFill="1" applyBorder="1"/>
    <xf numFmtId="0" fontId="146" fillId="0" borderId="13" xfId="28340" applyFill="1" applyBorder="1"/>
    <xf numFmtId="0" fontId="99" fillId="0" borderId="85" xfId="28340" applyFont="1" applyFill="1" applyBorder="1" applyAlignment="1"/>
    <xf numFmtId="0" fontId="99" fillId="0" borderId="79" xfId="28340" applyFont="1" applyFill="1" applyBorder="1" applyAlignment="1"/>
    <xf numFmtId="0" fontId="99" fillId="0" borderId="79" xfId="28340" applyFont="1" applyFill="1" applyBorder="1" applyAlignment="1">
      <alignment horizontal="center"/>
    </xf>
    <xf numFmtId="0" fontId="99" fillId="0" borderId="79" xfId="28340" quotePrefix="1" applyFont="1" applyFill="1" applyBorder="1" applyAlignment="1"/>
    <xf numFmtId="0" fontId="19" fillId="0" borderId="79" xfId="28340" quotePrefix="1" applyFont="1" applyFill="1" applyBorder="1" applyAlignment="1"/>
    <xf numFmtId="0" fontId="19" fillId="0" borderId="86" xfId="28340" quotePrefix="1" applyFont="1" applyFill="1" applyBorder="1" applyAlignment="1"/>
    <xf numFmtId="165" fontId="19" fillId="0" borderId="0" xfId="28341" applyFont="1" applyFill="1"/>
    <xf numFmtId="0" fontId="19" fillId="0" borderId="0" xfId="28340" applyFont="1" applyFill="1"/>
    <xf numFmtId="0" fontId="101" fillId="0" borderId="85" xfId="28340" applyFont="1" applyFill="1" applyBorder="1" applyAlignment="1">
      <alignment horizontal="center"/>
    </xf>
    <xf numFmtId="0" fontId="99" fillId="0" borderId="90" xfId="28340" applyFont="1" applyFill="1" applyBorder="1" applyAlignment="1">
      <alignment horizontal="left"/>
    </xf>
    <xf numFmtId="165" fontId="99" fillId="0" borderId="0" xfId="28341" applyFont="1" applyFill="1" applyAlignment="1"/>
    <xf numFmtId="165" fontId="102" fillId="0" borderId="0" xfId="28341" applyFont="1" applyFill="1"/>
    <xf numFmtId="0" fontId="99" fillId="0" borderId="34" xfId="28340" applyFont="1" applyFill="1" applyBorder="1" applyAlignment="1">
      <alignment horizontal="left"/>
    </xf>
    <xf numFmtId="0" fontId="99" fillId="0" borderId="30" xfId="28340" applyFont="1" applyFill="1" applyBorder="1" applyAlignment="1">
      <alignment horizontal="left"/>
    </xf>
    <xf numFmtId="0" fontId="99" fillId="0" borderId="67" xfId="28340" applyFont="1" applyFill="1" applyBorder="1" applyAlignment="1">
      <alignment horizontal="left"/>
    </xf>
    <xf numFmtId="3" fontId="99" fillId="0" borderId="36" xfId="28340" applyNumberFormat="1" applyFont="1" applyFill="1" applyBorder="1" applyAlignment="1"/>
    <xf numFmtId="0" fontId="99" fillId="0" borderId="36" xfId="28340" applyFont="1" applyFill="1" applyBorder="1" applyAlignment="1"/>
    <xf numFmtId="0" fontId="99" fillId="0" borderId="36" xfId="28340" applyFont="1" applyFill="1" applyBorder="1"/>
    <xf numFmtId="0" fontId="103" fillId="0" borderId="0" xfId="28340" applyFont="1" applyFill="1" applyBorder="1" applyAlignment="1"/>
    <xf numFmtId="186" fontId="99" fillId="0" borderId="0" xfId="28340" applyNumberFormat="1" applyFont="1" applyFill="1" applyBorder="1" applyAlignment="1"/>
    <xf numFmtId="0" fontId="99" fillId="0" borderId="0" xfId="28340" applyFont="1" applyFill="1" applyBorder="1"/>
    <xf numFmtId="0" fontId="99" fillId="0" borderId="47" xfId="28340" applyFont="1" applyFill="1" applyBorder="1"/>
    <xf numFmtId="184" fontId="136" fillId="0" borderId="36" xfId="28340" applyNumberFormat="1" applyFont="1" applyFill="1" applyBorder="1" applyAlignment="1"/>
    <xf numFmtId="165" fontId="102" fillId="0" borderId="0" xfId="28341" applyFont="1" applyFill="1" applyAlignment="1"/>
    <xf numFmtId="0" fontId="103" fillId="0" borderId="0" xfId="28340" applyFont="1" applyFill="1" applyBorder="1"/>
    <xf numFmtId="186" fontId="99" fillId="0" borderId="0" xfId="28340" applyNumberFormat="1" applyFont="1" applyFill="1" applyBorder="1" applyAlignment="1">
      <alignment horizontal="left"/>
    </xf>
    <xf numFmtId="0" fontId="99" fillId="0" borderId="12" xfId="28340" applyFont="1" applyFill="1" applyBorder="1" applyAlignment="1"/>
    <xf numFmtId="0" fontId="99" fillId="0" borderId="12" xfId="28340" applyFont="1" applyFill="1" applyBorder="1"/>
    <xf numFmtId="0" fontId="103" fillId="0" borderId="11" xfId="28340" applyFont="1" applyFill="1" applyBorder="1"/>
    <xf numFmtId="0" fontId="103" fillId="0" borderId="11" xfId="28340" applyFont="1" applyFill="1" applyBorder="1" applyAlignment="1">
      <alignment horizontal="center"/>
    </xf>
    <xf numFmtId="0" fontId="99" fillId="0" borderId="11" xfId="28340" applyFont="1" applyFill="1" applyBorder="1"/>
    <xf numFmtId="0" fontId="99" fillId="0" borderId="13" xfId="28340" applyFont="1" applyFill="1" applyBorder="1"/>
    <xf numFmtId="165" fontId="136" fillId="0" borderId="0" xfId="28341" applyFont="1" applyFill="1" applyAlignment="1"/>
    <xf numFmtId="0" fontId="99" fillId="0" borderId="90" xfId="28340" applyFont="1" applyFill="1" applyBorder="1"/>
    <xf numFmtId="0" fontId="102" fillId="0" borderId="0" xfId="28340" applyFont="1" applyFill="1" applyBorder="1"/>
    <xf numFmtId="172" fontId="102" fillId="0" borderId="0" xfId="28340" applyNumberFormat="1" applyFont="1" applyFill="1"/>
    <xf numFmtId="0" fontId="102" fillId="0" borderId="11" xfId="28340" applyFont="1" applyFill="1" applyBorder="1"/>
    <xf numFmtId="0" fontId="99" fillId="0" borderId="0" xfId="28340" applyFont="1" applyFill="1" applyBorder="1" applyAlignment="1"/>
    <xf numFmtId="9" fontId="99" fillId="0" borderId="0" xfId="28342" applyFont="1" applyFill="1" applyAlignment="1"/>
    <xf numFmtId="184" fontId="99" fillId="0" borderId="11" xfId="28340" applyNumberFormat="1" applyFont="1" applyFill="1" applyBorder="1" applyAlignment="1"/>
    <xf numFmtId="0" fontId="99" fillId="0" borderId="11" xfId="28340" applyFont="1" applyFill="1" applyBorder="1" applyAlignment="1"/>
    <xf numFmtId="0" fontId="105" fillId="0" borderId="0" xfId="28340" applyFont="1" applyFill="1" applyBorder="1"/>
    <xf numFmtId="0" fontId="105" fillId="0" borderId="11" xfId="28340" applyFont="1" applyFill="1" applyBorder="1"/>
    <xf numFmtId="166" fontId="99" fillId="0" borderId="0" xfId="28340" applyNumberFormat="1" applyFont="1" applyFill="1" applyAlignment="1"/>
    <xf numFmtId="0" fontId="100" fillId="0" borderId="67" xfId="28340" applyFont="1" applyFill="1" applyBorder="1"/>
    <xf numFmtId="0" fontId="99" fillId="0" borderId="92" xfId="28340" applyFont="1" applyFill="1" applyBorder="1" applyAlignment="1">
      <alignment horizontal="left"/>
    </xf>
    <xf numFmtId="0" fontId="99" fillId="0" borderId="59" xfId="28340" applyFont="1" applyFill="1" applyBorder="1" applyAlignment="1">
      <alignment horizontal="left"/>
    </xf>
    <xf numFmtId="0" fontId="99" fillId="0" borderId="61" xfId="28340" applyFont="1" applyFill="1" applyBorder="1" applyAlignment="1">
      <alignment horizontal="left"/>
    </xf>
    <xf numFmtId="4" fontId="99" fillId="0" borderId="0" xfId="28340" applyNumberFormat="1" applyFont="1" applyFill="1"/>
    <xf numFmtId="0" fontId="99" fillId="0" borderId="34" xfId="28340" applyFont="1" applyFill="1" applyBorder="1"/>
    <xf numFmtId="0" fontId="99" fillId="0" borderId="36" xfId="28340" applyFont="1" applyFill="1" applyBorder="1" applyAlignment="1">
      <alignment horizontal="left"/>
    </xf>
    <xf numFmtId="0" fontId="103" fillId="0" borderId="0" xfId="28340" applyFont="1" applyFill="1" applyBorder="1" applyAlignment="1">
      <alignment horizontal="left"/>
    </xf>
    <xf numFmtId="0" fontId="99" fillId="0" borderId="0" xfId="28340" applyFont="1" applyFill="1" applyBorder="1" applyAlignment="1">
      <alignment horizontal="left"/>
    </xf>
    <xf numFmtId="0" fontId="99" fillId="0" borderId="47" xfId="28340" applyFont="1" applyFill="1" applyBorder="1" applyAlignment="1">
      <alignment horizontal="left"/>
    </xf>
    <xf numFmtId="0" fontId="99" fillId="0" borderId="90" xfId="28340" applyFont="1" applyFill="1" applyBorder="1" applyAlignment="1">
      <alignment vertical="top"/>
    </xf>
    <xf numFmtId="165" fontId="99" fillId="0" borderId="36" xfId="28341" applyFont="1" applyFill="1" applyBorder="1" applyAlignment="1">
      <alignment vertical="top"/>
    </xf>
    <xf numFmtId="165" fontId="99" fillId="0" borderId="0" xfId="28341" applyFont="1" applyFill="1" applyAlignment="1">
      <alignment vertical="top"/>
    </xf>
    <xf numFmtId="0" fontId="99" fillId="0" borderId="0" xfId="28340" applyFont="1" applyFill="1" applyAlignment="1">
      <alignment vertical="top"/>
    </xf>
    <xf numFmtId="165" fontId="102" fillId="0" borderId="0" xfId="28341" applyFont="1" applyFill="1" applyAlignment="1">
      <alignment vertical="top"/>
    </xf>
    <xf numFmtId="0" fontId="102" fillId="0" borderId="0" xfId="28340" applyFont="1" applyFill="1" applyAlignment="1">
      <alignment vertical="top"/>
    </xf>
    <xf numFmtId="0" fontId="99" fillId="0" borderId="36" xfId="28340" applyFont="1" applyFill="1" applyBorder="1" applyAlignment="1">
      <alignment vertical="center"/>
    </xf>
    <xf numFmtId="0" fontId="103" fillId="0" borderId="0" xfId="28340" applyFont="1" applyFill="1" applyBorder="1" applyAlignment="1">
      <alignment vertical="center"/>
    </xf>
    <xf numFmtId="0" fontId="99" fillId="0" borderId="0" xfId="28340" applyFont="1" applyFill="1" applyBorder="1" applyAlignment="1">
      <alignment vertical="center"/>
    </xf>
    <xf numFmtId="0" fontId="103" fillId="0" borderId="47" xfId="28340" applyFont="1" applyFill="1" applyBorder="1" applyAlignment="1">
      <alignment vertical="center"/>
    </xf>
    <xf numFmtId="0" fontId="99" fillId="0" borderId="12" xfId="28340" applyFont="1" applyFill="1" applyBorder="1" applyAlignment="1">
      <alignment vertical="center"/>
    </xf>
    <xf numFmtId="0" fontId="103" fillId="0" borderId="11" xfId="28340" applyFont="1" applyFill="1" applyBorder="1" applyAlignment="1">
      <alignment vertical="center"/>
    </xf>
    <xf numFmtId="0" fontId="99" fillId="0" borderId="11" xfId="28340" applyFont="1" applyFill="1" applyBorder="1" applyAlignment="1">
      <alignment vertical="center"/>
    </xf>
    <xf numFmtId="0" fontId="103" fillId="0" borderId="13" xfId="28340" applyFont="1" applyFill="1" applyBorder="1" applyAlignment="1">
      <alignment vertical="center"/>
    </xf>
    <xf numFmtId="0" fontId="99" fillId="0" borderId="34" xfId="28340" applyFont="1" applyFill="1" applyBorder="1" applyAlignment="1">
      <alignment vertical="center"/>
    </xf>
    <xf numFmtId="0" fontId="99" fillId="0" borderId="92" xfId="28340" applyFont="1" applyFill="1" applyBorder="1" applyAlignment="1">
      <alignment vertical="center"/>
    </xf>
    <xf numFmtId="0" fontId="103" fillId="0" borderId="59" xfId="28340" applyFont="1" applyFill="1" applyBorder="1" applyAlignment="1">
      <alignment vertical="center"/>
    </xf>
    <xf numFmtId="0" fontId="99" fillId="0" borderId="59" xfId="28340" applyFont="1" applyFill="1" applyBorder="1" applyAlignment="1">
      <alignment vertical="center"/>
    </xf>
    <xf numFmtId="0" fontId="106" fillId="0" borderId="59" xfId="28340" applyNumberFormat="1" applyFont="1" applyFill="1" applyBorder="1" applyAlignment="1">
      <alignment vertical="center"/>
    </xf>
    <xf numFmtId="0" fontId="103" fillId="0" borderId="47" xfId="28340" applyFont="1" applyFill="1" applyBorder="1"/>
    <xf numFmtId="0" fontId="99" fillId="0" borderId="0" xfId="28340" applyNumberFormat="1" applyFont="1" applyFill="1" applyAlignment="1"/>
    <xf numFmtId="0" fontId="110" fillId="0" borderId="92" xfId="28340" applyFont="1" applyFill="1" applyBorder="1"/>
    <xf numFmtId="0" fontId="110" fillId="0" borderId="59" xfId="28340" applyFont="1" applyFill="1" applyBorder="1"/>
    <xf numFmtId="0" fontId="111" fillId="0" borderId="59" xfId="28340" applyFont="1" applyFill="1" applyBorder="1"/>
    <xf numFmtId="0" fontId="111" fillId="0" borderId="61" xfId="28340" applyFont="1" applyFill="1" applyBorder="1"/>
    <xf numFmtId="0" fontId="112" fillId="0" borderId="36" xfId="28340" applyFont="1" applyFill="1" applyBorder="1"/>
    <xf numFmtId="0" fontId="113" fillId="0" borderId="0" xfId="28340" applyFont="1" applyFill="1"/>
    <xf numFmtId="0" fontId="114" fillId="0" borderId="0" xfId="28340" applyFont="1" applyFill="1" applyBorder="1"/>
    <xf numFmtId="184" fontId="114" fillId="0" borderId="0" xfId="28340" applyNumberFormat="1" applyFont="1" applyFill="1" applyBorder="1"/>
    <xf numFmtId="0" fontId="114" fillId="0" borderId="0" xfId="28340" applyFont="1" applyFill="1"/>
    <xf numFmtId="0" fontId="113" fillId="0" borderId="0" xfId="28340" applyFont="1" applyFill="1" applyBorder="1"/>
    <xf numFmtId="0" fontId="110" fillId="0" borderId="0" xfId="28340" applyFont="1" applyFill="1" applyBorder="1"/>
    <xf numFmtId="0" fontId="111" fillId="0" borderId="0" xfId="28340" applyFont="1" applyFill="1" applyBorder="1"/>
    <xf numFmtId="0" fontId="114" fillId="0" borderId="36" xfId="28340" applyFont="1" applyFill="1" applyBorder="1"/>
    <xf numFmtId="0" fontId="111" fillId="0" borderId="47" xfId="28340" applyFont="1" applyFill="1" applyBorder="1"/>
    <xf numFmtId="0" fontId="113" fillId="0" borderId="36" xfId="28340" applyFont="1" applyFill="1" applyBorder="1"/>
    <xf numFmtId="0" fontId="113" fillId="0" borderId="12" xfId="28340" applyFont="1" applyFill="1" applyBorder="1"/>
    <xf numFmtId="0" fontId="113" fillId="0" borderId="11" xfId="28340" applyFont="1" applyFill="1" applyBorder="1"/>
    <xf numFmtId="0" fontId="114" fillId="0" borderId="11" xfId="28340" applyFont="1" applyFill="1" applyBorder="1"/>
    <xf numFmtId="0" fontId="110" fillId="0" borderId="11" xfId="28340" applyFont="1" applyFill="1" applyBorder="1"/>
    <xf numFmtId="0" fontId="111" fillId="0" borderId="11" xfId="28340" applyFont="1" applyFill="1" applyBorder="1"/>
    <xf numFmtId="0" fontId="115" fillId="0" borderId="0" xfId="28340" applyFont="1" applyFill="1" applyBorder="1"/>
    <xf numFmtId="0" fontId="116" fillId="0" borderId="0" xfId="28340" applyFont="1" applyFill="1" applyBorder="1"/>
    <xf numFmtId="0" fontId="117" fillId="0" borderId="0" xfId="28340" applyFont="1" applyFill="1" applyBorder="1"/>
    <xf numFmtId="165" fontId="114" fillId="0" borderId="0" xfId="28341" applyFont="1" applyFill="1" applyBorder="1"/>
    <xf numFmtId="165" fontId="116" fillId="0" borderId="0" xfId="28341" applyFont="1" applyFill="1" applyBorder="1"/>
    <xf numFmtId="0" fontId="115" fillId="0" borderId="0" xfId="28340" applyFont="1" applyFill="1" applyBorder="1" applyAlignment="1">
      <alignment horizontal="center"/>
    </xf>
    <xf numFmtId="0" fontId="112" fillId="0" borderId="0" xfId="28340" applyFont="1" applyFill="1" applyBorder="1"/>
    <xf numFmtId="165" fontId="112" fillId="0" borderId="0" xfId="28341" applyFont="1" applyFill="1" applyBorder="1"/>
    <xf numFmtId="165" fontId="115" fillId="0" borderId="0" xfId="28341" applyFont="1" applyFill="1" applyBorder="1"/>
    <xf numFmtId="189" fontId="119" fillId="0" borderId="0" xfId="28340" applyNumberFormat="1" applyFont="1" applyFill="1" applyBorder="1" applyAlignment="1">
      <alignment horizontal="center"/>
    </xf>
    <xf numFmtId="165" fontId="119" fillId="0" borderId="0" xfId="28341" applyFont="1" applyFill="1" applyBorder="1"/>
    <xf numFmtId="0" fontId="119" fillId="0" borderId="0" xfId="28340" applyFont="1" applyFill="1" applyBorder="1"/>
    <xf numFmtId="0" fontId="99" fillId="0" borderId="30" xfId="28340" applyFont="1" applyFill="1" applyBorder="1"/>
    <xf numFmtId="0" fontId="99" fillId="0" borderId="12" xfId="28340" applyFont="1" applyFill="1" applyBorder="1" applyAlignment="1">
      <alignment horizontal="left"/>
    </xf>
    <xf numFmtId="0" fontId="103" fillId="0" borderId="11" xfId="28340" applyFont="1" applyFill="1" applyBorder="1" applyAlignment="1">
      <alignment horizontal="left"/>
    </xf>
    <xf numFmtId="0" fontId="99" fillId="0" borderId="11" xfId="28340" applyFont="1" applyFill="1" applyBorder="1" applyAlignment="1">
      <alignment horizontal="left"/>
    </xf>
    <xf numFmtId="0" fontId="99" fillId="0" borderId="13" xfId="28340" applyFont="1" applyFill="1" applyBorder="1" applyAlignment="1">
      <alignment horizontal="left"/>
    </xf>
    <xf numFmtId="0" fontId="13" fillId="0" borderId="84" xfId="0" applyFont="1" applyFill="1" applyBorder="1" applyAlignment="1">
      <alignment vertical="center" wrapText="1"/>
    </xf>
    <xf numFmtId="166" fontId="13" fillId="0" borderId="67" xfId="1" applyFont="1" applyFill="1" applyBorder="1"/>
    <xf numFmtId="43" fontId="13" fillId="0" borderId="67" xfId="0" applyNumberFormat="1" applyFont="1" applyFill="1" applyBorder="1"/>
    <xf numFmtId="0" fontId="21" fillId="0" borderId="0" xfId="0" applyFont="1" applyFill="1" applyAlignment="1">
      <alignment horizontal="center"/>
    </xf>
    <xf numFmtId="0" fontId="13" fillId="0" borderId="86" xfId="0" applyFont="1" applyFill="1" applyBorder="1" applyAlignment="1">
      <alignment horizontal="center" wrapText="1"/>
    </xf>
    <xf numFmtId="43" fontId="3" fillId="0" borderId="67" xfId="0" applyNumberFormat="1" applyFont="1" applyFill="1" applyBorder="1"/>
    <xf numFmtId="166" fontId="3" fillId="0" borderId="67" xfId="0" applyNumberFormat="1" applyFont="1" applyFill="1" applyBorder="1"/>
    <xf numFmtId="0" fontId="23" fillId="0" borderId="67" xfId="0" applyFont="1" applyFill="1" applyBorder="1" applyAlignment="1">
      <alignment horizontal="center" vertical="center" wrapText="1"/>
    </xf>
    <xf numFmtId="0" fontId="13" fillId="0" borderId="85" xfId="0" applyFont="1" applyFill="1" applyBorder="1" applyAlignment="1">
      <alignment horizontal="center" vertical="center"/>
    </xf>
    <xf numFmtId="43" fontId="3" fillId="0" borderId="67" xfId="0" applyNumberFormat="1" applyFont="1" applyFill="1" applyBorder="1" applyAlignment="1">
      <alignment horizontal="left" wrapText="1"/>
    </xf>
    <xf numFmtId="0" fontId="13" fillId="0" borderId="86" xfId="0" applyFont="1" applyFill="1" applyBorder="1" applyAlignment="1">
      <alignment horizontal="center"/>
    </xf>
    <xf numFmtId="43" fontId="0" fillId="0" borderId="0" xfId="0" applyNumberFormat="1"/>
    <xf numFmtId="43" fontId="0" fillId="0" borderId="67" xfId="0" applyNumberFormat="1" applyBorder="1"/>
    <xf numFmtId="0" fontId="0" fillId="0" borderId="67" xfId="0" applyBorder="1"/>
    <xf numFmtId="166" fontId="0" fillId="0" borderId="0" xfId="1" applyFont="1"/>
    <xf numFmtId="166" fontId="0" fillId="0" borderId="0" xfId="0" applyNumberFormat="1"/>
    <xf numFmtId="0" fontId="13" fillId="0" borderId="0" xfId="0" applyFont="1" applyFill="1" applyBorder="1"/>
    <xf numFmtId="43" fontId="3" fillId="0" borderId="0" xfId="0" applyNumberFormat="1" applyFont="1" applyFill="1" applyBorder="1"/>
    <xf numFmtId="39" fontId="3" fillId="0" borderId="30" xfId="0" applyNumberFormat="1" applyFont="1" applyFill="1" applyBorder="1" applyAlignment="1">
      <alignment horizontal="center" vertical="center"/>
    </xf>
    <xf numFmtId="172" fontId="0" fillId="0" borderId="13" xfId="0" applyNumberFormat="1" applyFill="1" applyBorder="1" applyProtection="1"/>
    <xf numFmtId="172" fontId="16" fillId="0" borderId="13" xfId="1" applyNumberFormat="1" applyFont="1" applyFill="1" applyBorder="1" applyAlignment="1">
      <alignment vertical="center" wrapText="1"/>
    </xf>
    <xf numFmtId="172" fontId="16" fillId="0" borderId="67" xfId="1" applyNumberFormat="1" applyFont="1" applyFill="1" applyBorder="1" applyAlignment="1">
      <alignment horizontal="center"/>
    </xf>
    <xf numFmtId="0" fontId="13" fillId="0" borderId="84" xfId="0" applyFont="1" applyFill="1" applyBorder="1" applyAlignment="1">
      <alignment horizontal="center" vertical="top"/>
    </xf>
    <xf numFmtId="165" fontId="3" fillId="0" borderId="91" xfId="0" applyNumberFormat="1" applyFont="1" applyFill="1" applyBorder="1" applyAlignment="1">
      <alignment vertical="center"/>
    </xf>
    <xf numFmtId="165" fontId="16" fillId="0" borderId="86" xfId="0" applyNumberFormat="1" applyFont="1" applyFill="1" applyBorder="1" applyProtection="1"/>
    <xf numFmtId="170" fontId="123" fillId="0" borderId="67" xfId="0" applyNumberFormat="1" applyFont="1" applyFill="1" applyBorder="1" applyProtection="1"/>
    <xf numFmtId="4" fontId="3" fillId="0" borderId="67" xfId="2" applyNumberFormat="1" applyFont="1" applyFill="1" applyBorder="1" applyAlignment="1">
      <alignment horizontal="center" vertical="top"/>
    </xf>
    <xf numFmtId="0" fontId="5" fillId="0" borderId="67" xfId="0" quotePrefix="1" applyFont="1" applyFill="1" applyBorder="1" applyAlignment="1">
      <alignment horizontal="center" vertical="center"/>
    </xf>
    <xf numFmtId="0" fontId="30" fillId="3" borderId="83" xfId="10" applyNumberFormat="1" applyFont="1" applyFill="1" applyBorder="1" applyAlignment="1">
      <alignment horizontal="left" vertical="top" wrapText="1"/>
    </xf>
    <xf numFmtId="166" fontId="34" fillId="0" borderId="0" xfId="1" applyFont="1" applyBorder="1" applyAlignment="1">
      <alignment horizontal="center" vertical="center" wrapText="1"/>
    </xf>
    <xf numFmtId="165" fontId="139" fillId="0" borderId="86" xfId="0" applyNumberFormat="1" applyFont="1" applyFill="1" applyBorder="1" applyProtection="1"/>
    <xf numFmtId="0" fontId="3" fillId="0" borderId="67" xfId="0" applyFont="1" applyFill="1" applyBorder="1" applyAlignment="1">
      <alignment horizontal="left"/>
    </xf>
    <xf numFmtId="170" fontId="3" fillId="0" borderId="91" xfId="2" applyNumberFormat="1" applyFont="1" applyFill="1" applyBorder="1" applyAlignment="1">
      <alignment horizontal="center"/>
    </xf>
    <xf numFmtId="0" fontId="16" fillId="0" borderId="92" xfId="0" applyFont="1" applyFill="1" applyBorder="1" applyAlignment="1">
      <alignment horizontal="center"/>
    </xf>
    <xf numFmtId="165" fontId="16" fillId="0" borderId="90" xfId="2" applyFont="1" applyFill="1" applyBorder="1"/>
    <xf numFmtId="165" fontId="13" fillId="0" borderId="91" xfId="2" applyNumberFormat="1" applyFont="1" applyFill="1" applyBorder="1" applyAlignment="1">
      <alignment horizontal="center" vertical="center"/>
    </xf>
    <xf numFmtId="0" fontId="3" fillId="0" borderId="67" xfId="0" applyFont="1" applyFill="1" applyBorder="1" applyAlignment="1">
      <alignment horizontal="left" vertical="center" wrapText="1"/>
    </xf>
    <xf numFmtId="166" fontId="19" fillId="0" borderId="0" xfId="1" applyFont="1" applyFill="1"/>
    <xf numFmtId="183" fontId="122" fillId="0" borderId="0" xfId="0" applyNumberFormat="1" applyFont="1" applyFill="1" applyBorder="1" applyAlignment="1" applyProtection="1">
      <alignment horizontal="right" vertical="top" wrapText="1"/>
    </xf>
    <xf numFmtId="0" fontId="21" fillId="0" borderId="0" xfId="0" applyFont="1" applyFill="1" applyAlignment="1">
      <alignment horizontal="center"/>
    </xf>
    <xf numFmtId="0" fontId="13" fillId="33" borderId="67" xfId="0" applyFont="1" applyFill="1" applyBorder="1" applyAlignment="1">
      <alignment horizontal="center" vertical="center"/>
    </xf>
    <xf numFmtId="0" fontId="13" fillId="34" borderId="67" xfId="0" applyFont="1" applyFill="1" applyBorder="1"/>
    <xf numFmtId="166" fontId="13" fillId="34" borderId="67" xfId="1" applyFont="1" applyFill="1" applyBorder="1"/>
    <xf numFmtId="4" fontId="13" fillId="34" borderId="67" xfId="0" applyNumberFormat="1" applyFont="1" applyFill="1" applyBorder="1"/>
    <xf numFmtId="43" fontId="13" fillId="32" borderId="67" xfId="0" applyNumberFormat="1" applyFont="1" applyFill="1" applyBorder="1"/>
    <xf numFmtId="0" fontId="18" fillId="0" borderId="67" xfId="0" applyFont="1" applyBorder="1" applyAlignment="1">
      <alignment horizontal="center" vertical="center"/>
    </xf>
    <xf numFmtId="0" fontId="18" fillId="34" borderId="67" xfId="0" applyFont="1" applyFill="1" applyBorder="1" applyAlignment="1">
      <alignment horizontal="center" vertical="center"/>
    </xf>
    <xf numFmtId="0" fontId="18" fillId="33" borderId="67" xfId="0" applyFont="1" applyFill="1" applyBorder="1" applyAlignment="1">
      <alignment horizontal="center" vertical="center"/>
    </xf>
    <xf numFmtId="0" fontId="13" fillId="33" borderId="67" xfId="0" applyFont="1" applyFill="1" applyBorder="1" applyAlignment="1">
      <alignment vertical="center"/>
    </xf>
    <xf numFmtId="43" fontId="18" fillId="34" borderId="67" xfId="0" applyNumberFormat="1" applyFont="1" applyFill="1" applyBorder="1"/>
    <xf numFmtId="172" fontId="13" fillId="0" borderId="69" xfId="1" applyNumberFormat="1" applyFont="1" applyFill="1" applyBorder="1" applyAlignment="1">
      <alignment vertical="center"/>
    </xf>
    <xf numFmtId="172" fontId="3" fillId="0" borderId="69" xfId="1" applyNumberFormat="1" applyFont="1" applyFill="1" applyBorder="1" applyAlignment="1">
      <alignment vertical="center"/>
    </xf>
    <xf numFmtId="172" fontId="0" fillId="0" borderId="67" xfId="0" applyNumberFormat="1" applyFill="1" applyBorder="1" applyProtection="1"/>
    <xf numFmtId="0" fontId="3" fillId="0" borderId="84" xfId="0" applyFont="1" applyFill="1" applyBorder="1" applyAlignment="1">
      <alignment horizontal="center" vertical="center"/>
    </xf>
    <xf numFmtId="172" fontId="3" fillId="0" borderId="91" xfId="1" applyNumberFormat="1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left" vertical="top"/>
    </xf>
    <xf numFmtId="166" fontId="3" fillId="0" borderId="30" xfId="1" applyFont="1" applyFill="1" applyBorder="1" applyAlignment="1">
      <alignment vertical="center"/>
    </xf>
    <xf numFmtId="0" fontId="3" fillId="0" borderId="30" xfId="0" applyFont="1" applyFill="1" applyBorder="1" applyAlignment="1">
      <alignment horizontal="center" vertical="center"/>
    </xf>
    <xf numFmtId="172" fontId="3" fillId="0" borderId="87" xfId="0" applyNumberFormat="1" applyFont="1" applyFill="1" applyBorder="1" applyAlignment="1">
      <alignment vertical="center"/>
    </xf>
    <xf numFmtId="166" fontId="0" fillId="0" borderId="30" xfId="0" applyNumberFormat="1" applyFill="1" applyBorder="1" applyProtection="1"/>
    <xf numFmtId="166" fontId="3" fillId="0" borderId="86" xfId="1" applyFont="1" applyFill="1" applyBorder="1" applyAlignment="1">
      <alignment horizontal="center" vertical="center"/>
    </xf>
    <xf numFmtId="3" fontId="3" fillId="0" borderId="86" xfId="0" applyNumberFormat="1" applyFont="1" applyFill="1" applyBorder="1" applyAlignment="1">
      <alignment vertical="center"/>
    </xf>
    <xf numFmtId="166" fontId="22" fillId="0" borderId="13" xfId="1" applyFont="1" applyFill="1" applyBorder="1" applyAlignment="1">
      <alignment horizontal="center" vertical="center"/>
    </xf>
    <xf numFmtId="172" fontId="29" fillId="0" borderId="13" xfId="1" applyNumberFormat="1" applyFont="1" applyFill="1" applyBorder="1" applyAlignment="1">
      <alignment vertical="center"/>
    </xf>
    <xf numFmtId="172" fontId="3" fillId="0" borderId="87" xfId="2" applyNumberFormat="1" applyFont="1" applyFill="1" applyBorder="1" applyAlignment="1">
      <alignment vertical="center" wrapText="1"/>
    </xf>
    <xf numFmtId="166" fontId="0" fillId="0" borderId="86" xfId="0" applyNumberFormat="1" applyFont="1" applyFill="1" applyBorder="1" applyProtection="1"/>
    <xf numFmtId="0" fontId="3" fillId="0" borderId="30" xfId="0" applyFont="1" applyFill="1" applyBorder="1" applyAlignment="1">
      <alignment vertical="center" wrapText="1"/>
    </xf>
    <xf numFmtId="0" fontId="123" fillId="0" borderId="86" xfId="0" applyFont="1" applyFill="1" applyBorder="1" applyProtection="1"/>
    <xf numFmtId="4" fontId="123" fillId="0" borderId="86" xfId="0" applyNumberFormat="1" applyFont="1" applyFill="1" applyBorder="1" applyProtection="1"/>
    <xf numFmtId="43" fontId="0" fillId="0" borderId="86" xfId="0" applyNumberFormat="1" applyFont="1" applyFill="1" applyBorder="1" applyProtection="1"/>
    <xf numFmtId="172" fontId="13" fillId="0" borderId="87" xfId="0" applyNumberFormat="1" applyFont="1" applyFill="1" applyBorder="1" applyAlignment="1">
      <alignment vertical="center"/>
    </xf>
    <xf numFmtId="172" fontId="3" fillId="0" borderId="27" xfId="1" applyNumberFormat="1" applyFont="1" applyFill="1" applyBorder="1" applyAlignment="1">
      <alignment horizontal="center" vertical="center"/>
    </xf>
    <xf numFmtId="0" fontId="29" fillId="0" borderId="90" xfId="28728" applyBorder="1" applyAlignment="1">
      <alignment vertical="center"/>
    </xf>
    <xf numFmtId="0" fontId="145" fillId="0" borderId="67" xfId="28728" applyFont="1" applyBorder="1" applyAlignment="1">
      <alignment vertical="center"/>
    </xf>
    <xf numFmtId="0" fontId="29" fillId="0" borderId="67" xfId="28728" applyFont="1" applyBorder="1" applyAlignment="1">
      <alignment vertical="center"/>
    </xf>
    <xf numFmtId="0" fontId="29" fillId="0" borderId="90" xfId="28728" applyFont="1" applyBorder="1" applyAlignment="1">
      <alignment vertical="center"/>
    </xf>
    <xf numFmtId="0" fontId="29" fillId="0" borderId="30" xfId="28728" applyFont="1" applyBorder="1" applyAlignment="1">
      <alignment vertical="center"/>
    </xf>
    <xf numFmtId="0" fontId="29" fillId="0" borderId="90" xfId="28825" applyBorder="1" applyAlignment="1">
      <alignment horizontal="center" vertical="center"/>
    </xf>
    <xf numFmtId="0" fontId="29" fillId="0" borderId="67" xfId="28825" applyFont="1" applyBorder="1" applyAlignment="1">
      <alignment horizontal="center" vertical="center"/>
    </xf>
    <xf numFmtId="165" fontId="29" fillId="0" borderId="30" xfId="28825" applyNumberFormat="1" applyFont="1" applyBorder="1" applyAlignment="1">
      <alignment vertical="center"/>
    </xf>
    <xf numFmtId="165" fontId="29" fillId="0" borderId="67" xfId="28825" applyNumberFormat="1" applyFont="1" applyBorder="1" applyAlignment="1">
      <alignment vertical="center"/>
    </xf>
    <xf numFmtId="3" fontId="29" fillId="0" borderId="67" xfId="28825" applyNumberFormat="1" applyFont="1" applyBorder="1" applyAlignment="1">
      <alignment vertical="center"/>
    </xf>
    <xf numFmtId="3" fontId="29" fillId="0" borderId="30" xfId="28825" applyNumberFormat="1" applyFont="1" applyBorder="1" applyAlignment="1">
      <alignment vertical="center"/>
    </xf>
    <xf numFmtId="165" fontId="29" fillId="0" borderId="90" xfId="28825" applyNumberFormat="1" applyFont="1" applyBorder="1" applyAlignment="1">
      <alignment vertical="center"/>
    </xf>
    <xf numFmtId="165" fontId="22" fillId="0" borderId="67" xfId="28825" applyNumberFormat="1" applyFont="1" applyBorder="1" applyAlignment="1">
      <alignment vertical="center"/>
    </xf>
    <xf numFmtId="0" fontId="29" fillId="0" borderId="30" xfId="28825" applyFont="1" applyBorder="1" applyAlignment="1">
      <alignment horizontal="center" vertical="center"/>
    </xf>
    <xf numFmtId="0" fontId="22" fillId="0" borderId="67" xfId="28825" applyFont="1" applyBorder="1" applyAlignment="1">
      <alignment horizontal="center" vertical="center"/>
    </xf>
    <xf numFmtId="0" fontId="145" fillId="0" borderId="67" xfId="28825" applyFont="1" applyBorder="1" applyAlignment="1">
      <alignment horizontal="center" vertical="center"/>
    </xf>
    <xf numFmtId="0" fontId="29" fillId="0" borderId="90" xfId="28825" applyFont="1" applyBorder="1" applyAlignment="1">
      <alignment horizontal="center" vertical="center"/>
    </xf>
    <xf numFmtId="165" fontId="29" fillId="0" borderId="67" xfId="28825" applyNumberFormat="1" applyFont="1" applyFill="1" applyBorder="1" applyAlignment="1">
      <alignment vertical="center"/>
    </xf>
    <xf numFmtId="0" fontId="29" fillId="0" borderId="67" xfId="28922" applyBorder="1" applyAlignment="1">
      <alignment horizontal="center"/>
    </xf>
    <xf numFmtId="165" fontId="29" fillId="0" borderId="67" xfId="28923" applyFont="1" applyBorder="1"/>
    <xf numFmtId="172" fontId="3" fillId="0" borderId="85" xfId="1" applyNumberFormat="1" applyFont="1" applyFill="1" applyBorder="1" applyAlignment="1">
      <alignment horizontal="center" vertical="center"/>
    </xf>
    <xf numFmtId="183" fontId="16" fillId="0" borderId="86" xfId="0" applyNumberFormat="1" applyFont="1" applyFill="1" applyBorder="1" applyProtection="1"/>
    <xf numFmtId="0" fontId="14" fillId="0" borderId="25" xfId="0" applyFont="1" applyFill="1" applyBorder="1" applyAlignment="1" applyProtection="1">
      <alignment horizontal="center" vertical="center" wrapText="1"/>
    </xf>
    <xf numFmtId="0" fontId="13" fillId="0" borderId="64" xfId="0" applyFont="1" applyFill="1" applyBorder="1" applyAlignment="1">
      <alignment horizontal="center" vertical="top"/>
    </xf>
    <xf numFmtId="0" fontId="13" fillId="0" borderId="64" xfId="0" quotePrefix="1" applyFont="1" applyFill="1" applyBorder="1" applyAlignment="1">
      <alignment horizontal="center" vertical="top"/>
    </xf>
    <xf numFmtId="0" fontId="13" fillId="0" borderId="64" xfId="0" quotePrefix="1" applyFont="1" applyFill="1" applyBorder="1" applyAlignment="1">
      <alignment vertical="center"/>
    </xf>
    <xf numFmtId="0" fontId="3" fillId="0" borderId="64" xfId="0" applyFont="1" applyFill="1" applyBorder="1" applyAlignment="1">
      <alignment horizontal="left" vertical="top" wrapText="1"/>
    </xf>
    <xf numFmtId="166" fontId="3" fillId="0" borderId="64" xfId="1" applyFont="1" applyFill="1" applyBorder="1" applyAlignment="1">
      <alignment horizontal="center"/>
    </xf>
    <xf numFmtId="0" fontId="3" fillId="0" borderId="64" xfId="0" applyFont="1" applyFill="1" applyBorder="1" applyAlignment="1">
      <alignment horizontal="center" vertical="center"/>
    </xf>
    <xf numFmtId="0" fontId="0" fillId="0" borderId="64" xfId="0" applyFill="1" applyBorder="1" applyProtection="1"/>
    <xf numFmtId="183" fontId="5" fillId="0" borderId="78" xfId="0" applyNumberFormat="1" applyFont="1" applyFill="1" applyBorder="1" applyAlignment="1" applyProtection="1">
      <alignment horizontal="right" vertical="top" wrapText="1"/>
    </xf>
    <xf numFmtId="166" fontId="16" fillId="0" borderId="25" xfId="0" applyNumberFormat="1" applyFont="1" applyFill="1" applyBorder="1" applyProtection="1"/>
    <xf numFmtId="166" fontId="16" fillId="0" borderId="67" xfId="0" applyNumberFormat="1" applyFont="1" applyFill="1" applyBorder="1" applyProtection="1"/>
    <xf numFmtId="172" fontId="13" fillId="0" borderId="31" xfId="1" applyNumberFormat="1" applyFont="1" applyFill="1" applyBorder="1" applyAlignment="1">
      <alignment vertical="top"/>
    </xf>
    <xf numFmtId="172" fontId="5" fillId="0" borderId="25" xfId="0" applyNumberFormat="1" applyFont="1" applyFill="1" applyBorder="1" applyAlignment="1" applyProtection="1">
      <alignment horizontal="left" vertical="top" wrapText="1"/>
    </xf>
    <xf numFmtId="0" fontId="14" fillId="0" borderId="32" xfId="0" applyFont="1" applyFill="1" applyBorder="1" applyAlignment="1">
      <alignment horizontal="center" vertical="top"/>
    </xf>
    <xf numFmtId="0" fontId="14" fillId="0" borderId="25" xfId="0" applyFont="1" applyFill="1" applyBorder="1" applyAlignment="1">
      <alignment horizontal="center" vertical="top"/>
    </xf>
    <xf numFmtId="0" fontId="14" fillId="0" borderId="25" xfId="0" quotePrefix="1" applyFont="1" applyFill="1" applyBorder="1" applyAlignment="1">
      <alignment horizontal="center" vertical="top"/>
    </xf>
    <xf numFmtId="0" fontId="14" fillId="0" borderId="25" xfId="0" applyFont="1" applyFill="1" applyBorder="1" applyAlignment="1">
      <alignment horizontal="left" vertical="center"/>
    </xf>
    <xf numFmtId="0" fontId="14" fillId="0" borderId="25" xfId="0" applyFont="1" applyFill="1" applyBorder="1" applyAlignment="1">
      <alignment horizontal="right" vertical="center"/>
    </xf>
    <xf numFmtId="165" fontId="14" fillId="0" borderId="31" xfId="2" applyNumberFormat="1" applyFont="1" applyFill="1" applyBorder="1" applyAlignment="1">
      <alignment horizontal="center" vertical="center"/>
    </xf>
    <xf numFmtId="4" fontId="14" fillId="0" borderId="25" xfId="0" applyNumberFormat="1" applyFont="1" applyFill="1" applyBorder="1" applyAlignment="1">
      <alignment horizontal="right" vertical="center"/>
    </xf>
    <xf numFmtId="165" fontId="14" fillId="0" borderId="31" xfId="2" applyNumberFormat="1" applyFont="1" applyFill="1" applyBorder="1" applyAlignment="1">
      <alignment horizontal="center" vertical="top"/>
    </xf>
    <xf numFmtId="0" fontId="5" fillId="0" borderId="66" xfId="0" applyFont="1" applyFill="1" applyBorder="1" applyAlignment="1">
      <alignment horizontal="center" vertical="top"/>
    </xf>
    <xf numFmtId="0" fontId="5" fillId="0" borderId="67" xfId="0" applyFont="1" applyFill="1" applyBorder="1" applyAlignment="1">
      <alignment horizontal="center" vertical="top"/>
    </xf>
    <xf numFmtId="0" fontId="5" fillId="0" borderId="67" xfId="0" quotePrefix="1" applyFont="1" applyFill="1" applyBorder="1" applyAlignment="1">
      <alignment horizontal="center" vertical="top"/>
    </xf>
    <xf numFmtId="0" fontId="5" fillId="0" borderId="67" xfId="0" applyFont="1" applyFill="1" applyBorder="1" applyAlignment="1">
      <alignment horizontal="left" vertical="top" wrapText="1"/>
    </xf>
    <xf numFmtId="3" fontId="5" fillId="0" borderId="67" xfId="0" applyNumberFormat="1" applyFont="1" applyFill="1" applyBorder="1" applyAlignment="1">
      <alignment horizontal="right" vertical="center"/>
    </xf>
    <xf numFmtId="172" fontId="16" fillId="0" borderId="86" xfId="0" applyNumberFormat="1" applyFont="1" applyFill="1" applyBorder="1" applyProtection="1"/>
    <xf numFmtId="172" fontId="16" fillId="0" borderId="67" xfId="0" applyNumberFormat="1" applyFont="1" applyFill="1" applyBorder="1" applyProtection="1"/>
    <xf numFmtId="3" fontId="3" fillId="0" borderId="67" xfId="1" applyNumberFormat="1" applyFont="1" applyFill="1" applyBorder="1" applyAlignment="1">
      <alignment vertical="top"/>
    </xf>
    <xf numFmtId="172" fontId="3" fillId="0" borderId="31" xfId="1" applyNumberFormat="1" applyFont="1" applyFill="1" applyBorder="1" applyAlignment="1">
      <alignment vertical="top"/>
    </xf>
    <xf numFmtId="0" fontId="3" fillId="0" borderId="30" xfId="0" applyFont="1" applyFill="1" applyBorder="1" applyAlignment="1">
      <alignment vertical="top" wrapText="1"/>
    </xf>
    <xf numFmtId="0" fontId="16" fillId="0" borderId="30" xfId="0" applyFont="1" applyFill="1" applyBorder="1"/>
    <xf numFmtId="172" fontId="3" fillId="0" borderId="91" xfId="1" applyNumberFormat="1" applyFont="1" applyFill="1" applyBorder="1" applyAlignment="1">
      <alignment vertical="top"/>
    </xf>
    <xf numFmtId="172" fontId="13" fillId="0" borderId="91" xfId="1" applyNumberFormat="1" applyFont="1" applyFill="1" applyBorder="1" applyAlignment="1">
      <alignment vertical="top"/>
    </xf>
    <xf numFmtId="0" fontId="16" fillId="0" borderId="67" xfId="0" applyFont="1" applyFill="1" applyBorder="1" applyAlignment="1">
      <alignment wrapText="1"/>
    </xf>
    <xf numFmtId="0" fontId="3" fillId="0" borderId="90" xfId="0" applyFont="1" applyFill="1" applyBorder="1" applyAlignment="1">
      <alignment vertical="top" wrapText="1"/>
    </xf>
    <xf numFmtId="172" fontId="5" fillId="0" borderId="67" xfId="0" applyNumberFormat="1" applyFont="1" applyFill="1" applyBorder="1" applyAlignment="1" applyProtection="1">
      <alignment horizontal="left" vertical="top" wrapText="1"/>
    </xf>
    <xf numFmtId="0" fontId="14" fillId="0" borderId="25" xfId="0" applyFont="1" applyFill="1" applyBorder="1" applyAlignment="1">
      <alignment horizontal="left" vertical="top" wrapText="1"/>
    </xf>
    <xf numFmtId="165" fontId="0" fillId="0" borderId="86" xfId="0" applyNumberFormat="1" applyFont="1" applyFill="1" applyBorder="1" applyProtection="1"/>
    <xf numFmtId="172" fontId="13" fillId="0" borderId="87" xfId="2" applyNumberFormat="1" applyFont="1" applyFill="1" applyBorder="1" applyAlignment="1">
      <alignment vertical="center" wrapText="1"/>
    </xf>
    <xf numFmtId="170" fontId="3" fillId="0" borderId="91" xfId="2" applyNumberFormat="1" applyFont="1" applyFill="1" applyBorder="1" applyAlignment="1">
      <alignment horizontal="left" vertical="center" indent="3"/>
    </xf>
    <xf numFmtId="172" fontId="13" fillId="0" borderId="69" xfId="1" applyNumberFormat="1" applyFont="1" applyFill="1" applyBorder="1" applyAlignment="1">
      <alignment horizontal="left" vertical="center" indent="3"/>
    </xf>
    <xf numFmtId="165" fontId="3" fillId="0" borderId="91" xfId="2" applyNumberFormat="1" applyFont="1" applyFill="1" applyBorder="1" applyAlignment="1">
      <alignment horizontal="left" vertical="center" indent="3"/>
    </xf>
    <xf numFmtId="165" fontId="3" fillId="0" borderId="91" xfId="2" applyNumberFormat="1" applyFont="1" applyFill="1" applyBorder="1" applyAlignment="1">
      <alignment horizontal="left" vertical="center"/>
    </xf>
    <xf numFmtId="165" fontId="30" fillId="0" borderId="85" xfId="12" applyNumberFormat="1" applyFont="1" applyFill="1" applyBorder="1" applyAlignment="1">
      <alignment horizontal="left" vertical="center" wrapText="1"/>
    </xf>
    <xf numFmtId="165" fontId="31" fillId="32" borderId="85" xfId="12" applyNumberFormat="1" applyFont="1" applyFill="1" applyBorder="1" applyAlignment="1">
      <alignment horizontal="center" vertical="center" wrapText="1"/>
    </xf>
    <xf numFmtId="165" fontId="31" fillId="32" borderId="86" xfId="12" applyNumberFormat="1" applyFont="1" applyFill="1" applyBorder="1" applyAlignment="1">
      <alignment horizontal="center" vertical="center" wrapText="1"/>
    </xf>
    <xf numFmtId="0" fontId="31" fillId="0" borderId="0" xfId="10" applyFont="1" applyBorder="1" applyAlignment="1">
      <alignment horizontal="center" vertical="center"/>
    </xf>
    <xf numFmtId="165" fontId="30" fillId="0" borderId="90" xfId="12" applyNumberFormat="1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 vertical="center"/>
    </xf>
    <xf numFmtId="0" fontId="92" fillId="0" borderId="86" xfId="0" applyFont="1" applyFill="1" applyBorder="1" applyAlignment="1" applyProtection="1">
      <alignment horizontal="center" vertical="center" wrapText="1"/>
    </xf>
    <xf numFmtId="0" fontId="92" fillId="0" borderId="25" xfId="0" applyFont="1" applyFill="1" applyBorder="1" applyAlignment="1" applyProtection="1">
      <alignment horizontal="center" vertical="center" wrapText="1"/>
    </xf>
    <xf numFmtId="0" fontId="91" fillId="0" borderId="25" xfId="0" applyFont="1" applyFill="1" applyBorder="1" applyAlignment="1" applyProtection="1">
      <alignment horizontal="center" vertical="center" wrapText="1"/>
    </xf>
    <xf numFmtId="0" fontId="3" fillId="0" borderId="71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14" fillId="0" borderId="86" xfId="0" applyFont="1" applyFill="1" applyBorder="1" applyAlignment="1" applyProtection="1">
      <alignment horizontal="center" vertical="center" wrapText="1"/>
    </xf>
    <xf numFmtId="0" fontId="14" fillId="0" borderId="25" xfId="0" applyFont="1" applyFill="1" applyBorder="1" applyAlignment="1" applyProtection="1">
      <alignment horizontal="center" vertical="center" wrapText="1"/>
    </xf>
    <xf numFmtId="0" fontId="31" fillId="32" borderId="34" xfId="10" applyFont="1" applyFill="1" applyBorder="1" applyAlignment="1">
      <alignment horizontal="center" vertical="center" wrapText="1"/>
    </xf>
    <xf numFmtId="0" fontId="89" fillId="0" borderId="80" xfId="0" applyFont="1" applyFill="1" applyBorder="1" applyAlignment="1" applyProtection="1">
      <alignment horizontal="center" vertical="center" wrapText="1"/>
    </xf>
    <xf numFmtId="0" fontId="89" fillId="0" borderId="65" xfId="0" applyFont="1" applyFill="1" applyBorder="1" applyAlignment="1" applyProtection="1">
      <alignment horizontal="center" vertical="center" wrapText="1"/>
    </xf>
    <xf numFmtId="0" fontId="150" fillId="0" borderId="0" xfId="10" applyFont="1" applyFill="1" applyBorder="1" applyAlignment="1">
      <alignment vertical="center"/>
    </xf>
    <xf numFmtId="0" fontId="151" fillId="0" borderId="67" xfId="10" applyFont="1" applyFill="1" applyBorder="1" applyAlignment="1">
      <alignment horizontal="center" vertical="top"/>
    </xf>
    <xf numFmtId="0" fontId="151" fillId="0" borderId="67" xfId="10" applyFont="1" applyFill="1" applyBorder="1" applyAlignment="1">
      <alignment horizontal="center" vertical="center" wrapText="1"/>
    </xf>
    <xf numFmtId="175" fontId="151" fillId="0" borderId="85" xfId="13029" applyNumberFormat="1" applyFont="1" applyFill="1" applyBorder="1" applyAlignment="1">
      <alignment horizontal="center" vertical="center" wrapText="1"/>
    </xf>
    <xf numFmtId="0" fontId="153" fillId="0" borderId="80" xfId="0" applyFont="1" applyFill="1" applyBorder="1" applyAlignment="1" applyProtection="1">
      <alignment horizontal="center" vertical="center" wrapText="1"/>
    </xf>
    <xf numFmtId="0" fontId="153" fillId="0" borderId="65" xfId="0" applyFont="1" applyFill="1" applyBorder="1" applyAlignment="1" applyProtection="1">
      <alignment horizontal="center" vertical="center" wrapText="1"/>
    </xf>
    <xf numFmtId="0" fontId="31" fillId="32" borderId="67" xfId="10" applyFont="1" applyFill="1" applyBorder="1" applyAlignment="1">
      <alignment horizontal="left" vertical="center"/>
    </xf>
    <xf numFmtId="0" fontId="31" fillId="32" borderId="67" xfId="10" applyFont="1" applyFill="1" applyBorder="1" applyAlignment="1">
      <alignment horizontal="center" vertical="center"/>
    </xf>
    <xf numFmtId="183" fontId="154" fillId="0" borderId="65" xfId="0" applyNumberFormat="1" applyFont="1" applyFill="1" applyBorder="1" applyAlignment="1" applyProtection="1">
      <alignment vertical="center"/>
    </xf>
    <xf numFmtId="0" fontId="31" fillId="32" borderId="67" xfId="10" applyFont="1" applyFill="1" applyBorder="1" applyAlignment="1">
      <alignment horizontal="center" vertical="center" wrapText="1"/>
    </xf>
    <xf numFmtId="0" fontId="89" fillId="0" borderId="80" xfId="0" applyFont="1" applyFill="1" applyBorder="1" applyAlignment="1" applyProtection="1">
      <alignment vertical="center" wrapText="1"/>
    </xf>
    <xf numFmtId="0" fontId="89" fillId="0" borderId="65" xfId="0" applyFont="1" applyFill="1" applyBorder="1" applyAlignment="1" applyProtection="1">
      <alignment vertical="center" wrapText="1"/>
    </xf>
    <xf numFmtId="0" fontId="30" fillId="0" borderId="67" xfId="10" applyFont="1" applyFill="1" applyBorder="1" applyAlignment="1">
      <alignment horizontal="left" vertical="center" wrapText="1"/>
    </xf>
    <xf numFmtId="0" fontId="30" fillId="0" borderId="67" xfId="10" applyFont="1" applyFill="1" applyBorder="1" applyAlignment="1">
      <alignment horizontal="center" vertical="center" wrapText="1"/>
    </xf>
    <xf numFmtId="175" fontId="30" fillId="0" borderId="67" xfId="13029" applyNumberFormat="1" applyFont="1" applyFill="1" applyBorder="1" applyAlignment="1">
      <alignment horizontal="center" vertical="center" wrapText="1"/>
    </xf>
    <xf numFmtId="183" fontId="155" fillId="0" borderId="80" xfId="0" applyNumberFormat="1" applyFont="1" applyFill="1" applyBorder="1" applyAlignment="1" applyProtection="1">
      <alignment vertical="center" wrapText="1"/>
    </xf>
    <xf numFmtId="183" fontId="155" fillId="0" borderId="65" xfId="0" applyNumberFormat="1" applyFont="1" applyFill="1" applyBorder="1" applyAlignment="1" applyProtection="1">
      <alignment vertical="center" wrapText="1"/>
    </xf>
    <xf numFmtId="0" fontId="155" fillId="0" borderId="65" xfId="0" applyFont="1" applyFill="1" applyBorder="1" applyAlignment="1" applyProtection="1">
      <alignment vertical="center" wrapText="1"/>
    </xf>
    <xf numFmtId="183" fontId="89" fillId="0" borderId="65" xfId="0" applyNumberFormat="1" applyFont="1" applyFill="1" applyBorder="1" applyAlignment="1" applyProtection="1">
      <alignment vertical="center" wrapText="1"/>
    </xf>
    <xf numFmtId="166" fontId="37" fillId="0" borderId="0" xfId="2580" applyFont="1" applyFill="1" applyBorder="1" applyAlignment="1">
      <alignment vertical="center"/>
    </xf>
    <xf numFmtId="0" fontId="31" fillId="32" borderId="67" xfId="10" applyFont="1" applyFill="1" applyBorder="1" applyAlignment="1">
      <alignment horizontal="left" vertical="center" wrapText="1"/>
    </xf>
    <xf numFmtId="166" fontId="33" fillId="0" borderId="0" xfId="2580" applyFont="1" applyFill="1" applyBorder="1" applyAlignment="1">
      <alignment vertical="center"/>
    </xf>
    <xf numFmtId="0" fontId="31" fillId="0" borderId="85" xfId="10" applyNumberFormat="1" applyFont="1" applyFill="1" applyBorder="1" applyAlignment="1">
      <alignment horizontal="left" vertical="top"/>
    </xf>
    <xf numFmtId="0" fontId="30" fillId="0" borderId="86" xfId="10" applyNumberFormat="1" applyFont="1" applyFill="1" applyBorder="1" applyAlignment="1">
      <alignment horizontal="left" vertical="top"/>
    </xf>
    <xf numFmtId="0" fontId="30" fillId="0" borderId="67" xfId="10" applyNumberFormat="1" applyFont="1" applyFill="1" applyBorder="1" applyAlignment="1">
      <alignment horizontal="left" vertical="top" wrapText="1"/>
    </xf>
    <xf numFmtId="0" fontId="30" fillId="0" borderId="67" xfId="10" applyNumberFormat="1" applyFont="1" applyFill="1" applyBorder="1" applyAlignment="1">
      <alignment horizontal="center" vertical="center" wrapText="1"/>
    </xf>
    <xf numFmtId="165" fontId="31" fillId="0" borderId="67" xfId="12" applyNumberFormat="1" applyFont="1" applyFill="1" applyBorder="1" applyAlignment="1">
      <alignment horizontal="center" vertical="center" wrapText="1"/>
    </xf>
    <xf numFmtId="165" fontId="31" fillId="0" borderId="86" xfId="12" applyNumberFormat="1" applyFont="1" applyFill="1" applyBorder="1" applyAlignment="1">
      <alignment horizontal="center" vertical="center" wrapText="1"/>
    </xf>
    <xf numFmtId="183" fontId="89" fillId="0" borderId="80" xfId="0" applyNumberFormat="1" applyFont="1" applyFill="1" applyBorder="1" applyAlignment="1" applyProtection="1">
      <alignment vertical="center" wrapText="1"/>
    </xf>
    <xf numFmtId="183" fontId="33" fillId="0" borderId="0" xfId="10" applyNumberFormat="1" applyFont="1" applyFill="1" applyBorder="1" applyAlignment="1">
      <alignment vertical="center"/>
    </xf>
    <xf numFmtId="0" fontId="30" fillId="0" borderId="85" xfId="10" quotePrefix="1" applyNumberFormat="1" applyFont="1" applyFill="1" applyBorder="1" applyAlignment="1">
      <alignment horizontal="left" vertical="top"/>
    </xf>
    <xf numFmtId="0" fontId="30" fillId="0" borderId="86" xfId="10" applyNumberFormat="1" applyFont="1" applyFill="1" applyBorder="1" applyAlignment="1">
      <alignment horizontal="left" vertical="center"/>
    </xf>
    <xf numFmtId="0" fontId="30" fillId="0" borderId="85" xfId="10" applyNumberFormat="1" applyFont="1" applyFill="1" applyBorder="1" applyAlignment="1">
      <alignment horizontal="center" vertical="top"/>
    </xf>
    <xf numFmtId="175" fontId="30" fillId="0" borderId="85" xfId="13029" applyNumberFormat="1" applyFont="1" applyFill="1" applyBorder="1" applyAlignment="1">
      <alignment horizontal="center" vertical="top"/>
    </xf>
    <xf numFmtId="0" fontId="30" fillId="0" borderId="67" xfId="10" applyFont="1" applyFill="1" applyBorder="1" applyAlignment="1">
      <alignment horizontal="center" vertical="center"/>
    </xf>
    <xf numFmtId="175" fontId="30" fillId="0" borderId="67" xfId="13029" applyNumberFormat="1" applyFont="1" applyFill="1" applyBorder="1" applyAlignment="1">
      <alignment horizontal="center" vertical="center"/>
    </xf>
    <xf numFmtId="165" fontId="33" fillId="0" borderId="85" xfId="13" applyNumberFormat="1" applyFont="1" applyFill="1" applyBorder="1" applyAlignment="1">
      <alignment vertical="center"/>
    </xf>
    <xf numFmtId="0" fontId="33" fillId="0" borderId="86" xfId="13" applyNumberFormat="1" applyFont="1" applyFill="1" applyBorder="1" applyAlignment="1">
      <alignment horizontal="left" vertical="center"/>
    </xf>
    <xf numFmtId="0" fontId="30" fillId="0" borderId="85" xfId="10" applyNumberFormat="1" applyFont="1" applyFill="1" applyBorder="1" applyAlignment="1">
      <alignment horizontal="center" vertical="top" wrapText="1"/>
    </xf>
    <xf numFmtId="165" fontId="34" fillId="0" borderId="67" xfId="13" applyNumberFormat="1" applyFont="1" applyFill="1" applyBorder="1" applyAlignment="1">
      <alignment vertical="center"/>
    </xf>
    <xf numFmtId="165" fontId="34" fillId="0" borderId="85" xfId="13" applyNumberFormat="1" applyFont="1" applyFill="1" applyBorder="1" applyAlignment="1">
      <alignment vertical="center"/>
    </xf>
    <xf numFmtId="165" fontId="34" fillId="0" borderId="86" xfId="13" applyNumberFormat="1" applyFont="1" applyFill="1" applyBorder="1" applyAlignment="1">
      <alignment vertical="center"/>
    </xf>
    <xf numFmtId="43" fontId="156" fillId="0" borderId="65" xfId="0" applyNumberFormat="1" applyFont="1" applyFill="1" applyBorder="1" applyAlignment="1" applyProtection="1">
      <alignment vertical="center"/>
    </xf>
    <xf numFmtId="0" fontId="156" fillId="0" borderId="65" xfId="0" applyFont="1" applyFill="1" applyBorder="1" applyAlignment="1" applyProtection="1">
      <alignment vertical="center"/>
    </xf>
    <xf numFmtId="0" fontId="31" fillId="0" borderId="85" xfId="10" applyNumberFormat="1" applyFont="1" applyFill="1" applyBorder="1" applyAlignment="1">
      <alignment horizontal="left" vertical="center"/>
    </xf>
    <xf numFmtId="0" fontId="31" fillId="0" borderId="67" xfId="10" applyNumberFormat="1" applyFont="1" applyFill="1" applyBorder="1" applyAlignment="1">
      <alignment horizontal="left" vertical="top" wrapText="1"/>
    </xf>
    <xf numFmtId="0" fontId="30" fillId="0" borderId="79" xfId="10" applyNumberFormat="1" applyFont="1" applyFill="1" applyBorder="1" applyAlignment="1">
      <alignment horizontal="left" vertical="center"/>
    </xf>
    <xf numFmtId="0" fontId="30" fillId="0" borderId="85" xfId="10" applyNumberFormat="1" applyFont="1" applyFill="1" applyBorder="1" applyAlignment="1">
      <alignment vertical="top" wrapText="1"/>
    </xf>
    <xf numFmtId="0" fontId="30" fillId="0" borderId="86" xfId="10" applyNumberFormat="1" applyFont="1" applyFill="1" applyBorder="1" applyAlignment="1">
      <alignment vertical="center"/>
    </xf>
    <xf numFmtId="165" fontId="30" fillId="0" borderId="85" xfId="15" applyNumberFormat="1" applyFont="1" applyFill="1" applyBorder="1" applyAlignment="1">
      <alignment horizontal="center" vertical="top"/>
    </xf>
    <xf numFmtId="0" fontId="30" fillId="0" borderId="79" xfId="10" applyNumberFormat="1" applyFont="1" applyFill="1" applyBorder="1" applyAlignment="1">
      <alignment vertical="top" wrapText="1"/>
    </xf>
    <xf numFmtId="0" fontId="31" fillId="0" borderId="85" xfId="10" applyFont="1" applyFill="1" applyBorder="1" applyAlignment="1">
      <alignment horizontal="center" vertical="top"/>
    </xf>
    <xf numFmtId="0" fontId="30" fillId="0" borderId="79" xfId="10" applyNumberFormat="1" applyFont="1" applyFill="1" applyBorder="1" applyAlignment="1">
      <alignment vertical="center"/>
    </xf>
    <xf numFmtId="0" fontId="30" fillId="0" borderId="86" xfId="10" applyNumberFormat="1" applyFont="1" applyFill="1" applyBorder="1" applyAlignment="1">
      <alignment vertical="top" wrapText="1"/>
    </xf>
    <xf numFmtId="0" fontId="30" fillId="0" borderId="85" xfId="10" applyFont="1" applyFill="1" applyBorder="1" applyAlignment="1">
      <alignment vertical="top"/>
    </xf>
    <xf numFmtId="165" fontId="33" fillId="0" borderId="67" xfId="12" applyNumberFormat="1" applyFont="1" applyFill="1" applyBorder="1" applyAlignment="1">
      <alignment vertical="center"/>
    </xf>
    <xf numFmtId="0" fontId="31" fillId="0" borderId="85" xfId="10" applyNumberFormat="1" applyFont="1" applyFill="1" applyBorder="1" applyAlignment="1">
      <alignment horizontal="left" vertical="top" wrapText="1"/>
    </xf>
    <xf numFmtId="0" fontId="30" fillId="0" borderId="79" xfId="10" applyNumberFormat="1" applyFont="1" applyFill="1" applyBorder="1" applyAlignment="1">
      <alignment horizontal="left" vertical="center" wrapText="1"/>
    </xf>
    <xf numFmtId="165" fontId="33" fillId="0" borderId="85" xfId="13" applyNumberFormat="1" applyFont="1" applyFill="1" applyBorder="1" applyAlignment="1">
      <alignment horizontal="left" vertical="top" wrapText="1"/>
    </xf>
    <xf numFmtId="0" fontId="33" fillId="0" borderId="86" xfId="13" applyNumberFormat="1" applyFont="1" applyFill="1" applyBorder="1" applyAlignment="1">
      <alignment horizontal="left" vertical="center" wrapText="1"/>
    </xf>
    <xf numFmtId="165" fontId="30" fillId="0" borderId="67" xfId="12" applyNumberFormat="1" applyFont="1" applyFill="1" applyBorder="1" applyAlignment="1">
      <alignment horizontal="center" vertical="top" wrapText="1"/>
    </xf>
    <xf numFmtId="165" fontId="33" fillId="0" borderId="86" xfId="13" applyNumberFormat="1" applyFont="1" applyFill="1" applyBorder="1" applyAlignment="1">
      <alignment vertical="top" wrapText="1"/>
    </xf>
    <xf numFmtId="165" fontId="33" fillId="0" borderId="85" xfId="13" applyNumberFormat="1" applyFont="1" applyFill="1" applyBorder="1" applyAlignment="1">
      <alignment vertical="center" wrapText="1"/>
    </xf>
    <xf numFmtId="0" fontId="30" fillId="0" borderId="92" xfId="10" applyNumberFormat="1" applyFont="1" applyFill="1" applyBorder="1" applyAlignment="1">
      <alignment horizontal="left" vertical="top"/>
    </xf>
    <xf numFmtId="0" fontId="30" fillId="0" borderId="59" xfId="10" applyNumberFormat="1" applyFont="1" applyFill="1" applyBorder="1" applyAlignment="1">
      <alignment horizontal="left" vertical="center"/>
    </xf>
    <xf numFmtId="0" fontId="30" fillId="0" borderId="90" xfId="10" applyNumberFormat="1" applyFont="1" applyFill="1" applyBorder="1" applyAlignment="1">
      <alignment horizontal="left" vertical="top" wrapText="1"/>
    </xf>
    <xf numFmtId="0" fontId="30" fillId="0" borderId="92" xfId="10" applyNumberFormat="1" applyFont="1" applyFill="1" applyBorder="1" applyAlignment="1">
      <alignment horizontal="center" vertical="top"/>
    </xf>
    <xf numFmtId="175" fontId="30" fillId="0" borderId="92" xfId="13029" applyNumberFormat="1" applyFont="1" applyFill="1" applyBorder="1" applyAlignment="1">
      <alignment horizontal="center" vertical="top"/>
    </xf>
    <xf numFmtId="165" fontId="33" fillId="0" borderId="90" xfId="13" applyNumberFormat="1" applyFont="1" applyFill="1" applyBorder="1" applyAlignment="1">
      <alignment vertical="top"/>
    </xf>
    <xf numFmtId="165" fontId="33" fillId="0" borderId="92" xfId="13" applyNumberFormat="1" applyFont="1" applyFill="1" applyBorder="1" applyAlignment="1">
      <alignment vertical="center" wrapText="1"/>
    </xf>
    <xf numFmtId="0" fontId="33" fillId="0" borderId="61" xfId="13" applyNumberFormat="1" applyFont="1" applyFill="1" applyBorder="1" applyAlignment="1">
      <alignment horizontal="left" vertical="top"/>
    </xf>
    <xf numFmtId="165" fontId="33" fillId="0" borderId="92" xfId="13" applyNumberFormat="1" applyFont="1" applyFill="1" applyBorder="1" applyAlignment="1">
      <alignment vertical="top" wrapText="1"/>
    </xf>
    <xf numFmtId="0" fontId="33" fillId="0" borderId="61" xfId="13" applyNumberFormat="1" applyFont="1" applyFill="1" applyBorder="1" applyAlignment="1">
      <alignment horizontal="left" vertical="top" wrapText="1"/>
    </xf>
    <xf numFmtId="0" fontId="33" fillId="0" borderId="61" xfId="13" applyNumberFormat="1" applyFont="1" applyFill="1" applyBorder="1" applyAlignment="1">
      <alignment horizontal="left" vertical="center"/>
    </xf>
    <xf numFmtId="0" fontId="30" fillId="0" borderId="12" xfId="10" applyNumberFormat="1" applyFont="1" applyFill="1" applyBorder="1" applyAlignment="1">
      <alignment horizontal="left" vertical="top"/>
    </xf>
    <xf numFmtId="0" fontId="30" fillId="0" borderId="30" xfId="10" applyNumberFormat="1" applyFont="1" applyFill="1" applyBorder="1" applyAlignment="1">
      <alignment horizontal="left" vertical="top" wrapText="1"/>
    </xf>
    <xf numFmtId="0" fontId="30" fillId="0" borderId="12" xfId="10" applyNumberFormat="1" applyFont="1" applyFill="1" applyBorder="1" applyAlignment="1">
      <alignment horizontal="center" vertical="top"/>
    </xf>
    <xf numFmtId="175" fontId="30" fillId="0" borderId="12" xfId="13029" applyNumberFormat="1" applyFont="1" applyFill="1" applyBorder="1" applyAlignment="1">
      <alignment horizontal="center" vertical="top"/>
    </xf>
    <xf numFmtId="165" fontId="33" fillId="0" borderId="30" xfId="13" applyNumberFormat="1" applyFont="1" applyFill="1" applyBorder="1" applyAlignment="1">
      <alignment vertical="top"/>
    </xf>
    <xf numFmtId="165" fontId="30" fillId="0" borderId="30" xfId="12" applyNumberFormat="1" applyFont="1" applyFill="1" applyBorder="1" applyAlignment="1">
      <alignment horizontal="center" vertical="center" wrapText="1"/>
    </xf>
    <xf numFmtId="165" fontId="33" fillId="0" borderId="12" xfId="13" applyNumberFormat="1" applyFont="1" applyFill="1" applyBorder="1" applyAlignment="1">
      <alignment vertical="center" wrapText="1"/>
    </xf>
    <xf numFmtId="0" fontId="33" fillId="0" borderId="13" xfId="13" applyNumberFormat="1" applyFont="1" applyFill="1" applyBorder="1" applyAlignment="1">
      <alignment horizontal="left" vertical="center"/>
    </xf>
    <xf numFmtId="0" fontId="30" fillId="0" borderId="11" xfId="10" applyNumberFormat="1" applyFont="1" applyFill="1" applyBorder="1" applyAlignment="1">
      <alignment horizontal="left" vertical="top"/>
    </xf>
    <xf numFmtId="165" fontId="33" fillId="0" borderId="12" xfId="13" applyNumberFormat="1" applyFont="1" applyFill="1" applyBorder="1" applyAlignment="1">
      <alignment vertical="top" wrapText="1"/>
    </xf>
    <xf numFmtId="0" fontId="33" fillId="0" borderId="13" xfId="13" applyNumberFormat="1" applyFont="1" applyFill="1" applyBorder="1" applyAlignment="1">
      <alignment horizontal="left" vertical="center" wrapText="1"/>
    </xf>
    <xf numFmtId="0" fontId="30" fillId="0" borderId="79" xfId="10" applyNumberFormat="1" applyFont="1" applyFill="1" applyBorder="1" applyAlignment="1">
      <alignment horizontal="left" vertical="top"/>
    </xf>
    <xf numFmtId="175" fontId="30" fillId="0" borderId="85" xfId="13029" applyNumberFormat="1" applyFont="1" applyFill="1" applyBorder="1" applyAlignment="1">
      <alignment horizontal="center" vertical="center"/>
    </xf>
    <xf numFmtId="183" fontId="157" fillId="0" borderId="0" xfId="0" applyNumberFormat="1" applyFont="1" applyFill="1" applyBorder="1" applyAlignment="1" applyProtection="1">
      <alignment horizontal="right" vertical="top" wrapText="1"/>
    </xf>
    <xf numFmtId="190" fontId="158" fillId="0" borderId="0" xfId="0" applyNumberFormat="1" applyFont="1" applyFill="1" applyBorder="1" applyProtection="1"/>
    <xf numFmtId="43" fontId="158" fillId="0" borderId="0" xfId="0" applyNumberFormat="1" applyFont="1" applyFill="1" applyBorder="1" applyProtection="1"/>
    <xf numFmtId="166" fontId="158" fillId="0" borderId="0" xfId="2580" applyFont="1" applyFill="1" applyBorder="1" applyProtection="1"/>
    <xf numFmtId="0" fontId="158" fillId="0" borderId="0" xfId="0" applyFont="1" applyFill="1" applyBorder="1" applyProtection="1"/>
    <xf numFmtId="183" fontId="158" fillId="0" borderId="0" xfId="0" applyNumberFormat="1" applyFont="1" applyFill="1" applyBorder="1" applyProtection="1"/>
    <xf numFmtId="183" fontId="155" fillId="0" borderId="0" xfId="0" applyNumberFormat="1" applyFont="1" applyFill="1" applyBorder="1" applyAlignment="1" applyProtection="1">
      <alignment horizontal="right" vertical="top" wrapText="1"/>
    </xf>
    <xf numFmtId="0" fontId="159" fillId="0" borderId="0" xfId="0" applyFont="1" applyFill="1" applyBorder="1" applyProtection="1"/>
    <xf numFmtId="183" fontId="160" fillId="0" borderId="0" xfId="0" applyNumberFormat="1" applyFont="1" applyFill="1" applyBorder="1" applyProtection="1"/>
    <xf numFmtId="183" fontId="159" fillId="0" borderId="0" xfId="0" applyNumberFormat="1" applyFont="1" applyFill="1" applyBorder="1" applyProtection="1"/>
    <xf numFmtId="166" fontId="159" fillId="0" borderId="0" xfId="2580" applyFont="1" applyFill="1" applyBorder="1" applyProtection="1"/>
    <xf numFmtId="43" fontId="159" fillId="0" borderId="0" xfId="0" applyNumberFormat="1" applyFont="1" applyFill="1" applyBorder="1" applyProtection="1"/>
    <xf numFmtId="165" fontId="159" fillId="0" borderId="0" xfId="2" applyFont="1" applyFill="1" applyBorder="1" applyProtection="1"/>
    <xf numFmtId="165" fontId="159" fillId="0" borderId="0" xfId="0" applyNumberFormat="1" applyFont="1" applyFill="1" applyBorder="1" applyProtection="1"/>
    <xf numFmtId="166" fontId="33" fillId="0" borderId="0" xfId="2580" applyFont="1" applyBorder="1" applyAlignment="1">
      <alignment horizontal="center" vertical="center" wrapText="1"/>
    </xf>
    <xf numFmtId="0" fontId="160" fillId="0" borderId="0" xfId="0" applyFont="1" applyFill="1" applyBorder="1" applyProtection="1"/>
    <xf numFmtId="4" fontId="159" fillId="0" borderId="0" xfId="0" applyNumberFormat="1" applyFont="1" applyFill="1" applyBorder="1" applyProtection="1"/>
    <xf numFmtId="175" fontId="33" fillId="0" borderId="0" xfId="13029" applyNumberFormat="1" applyFont="1" applyBorder="1" applyAlignment="1">
      <alignment horizontal="center" vertical="center" wrapText="1"/>
    </xf>
    <xf numFmtId="172" fontId="33" fillId="0" borderId="0" xfId="2580" applyNumberFormat="1" applyFont="1" applyBorder="1" applyAlignment="1">
      <alignment horizontal="center" vertical="center" wrapText="1"/>
    </xf>
    <xf numFmtId="166" fontId="160" fillId="0" borderId="0" xfId="2580" applyFont="1" applyFill="1" applyBorder="1" applyProtection="1"/>
    <xf numFmtId="170" fontId="159" fillId="0" borderId="0" xfId="2" applyNumberFormat="1" applyFont="1" applyFill="1" applyBorder="1" applyProtection="1"/>
    <xf numFmtId="166" fontId="159" fillId="0" borderId="0" xfId="0" applyNumberFormat="1" applyFont="1" applyFill="1" applyBorder="1" applyProtection="1"/>
    <xf numFmtId="166" fontId="160" fillId="0" borderId="0" xfId="0" applyNumberFormat="1" applyFont="1" applyFill="1" applyBorder="1" applyProtection="1"/>
    <xf numFmtId="166" fontId="33" fillId="2" borderId="0" xfId="2580" applyFont="1" applyFill="1" applyBorder="1" applyAlignment="1">
      <alignment vertical="center" wrapText="1"/>
    </xf>
    <xf numFmtId="166" fontId="33" fillId="0" borderId="0" xfId="2580" applyFont="1" applyBorder="1" applyAlignment="1">
      <alignment vertical="center" wrapText="1"/>
    </xf>
    <xf numFmtId="166" fontId="33" fillId="31" borderId="0" xfId="2580" applyFont="1" applyFill="1" applyBorder="1" applyAlignment="1">
      <alignment vertical="center" wrapText="1"/>
    </xf>
    <xf numFmtId="172" fontId="159" fillId="0" borderId="0" xfId="2580" applyNumberFormat="1" applyFont="1" applyFill="1" applyBorder="1" applyProtection="1"/>
    <xf numFmtId="0" fontId="31" fillId="32" borderId="85" xfId="10" applyFont="1" applyFill="1" applyBorder="1" applyAlignment="1">
      <alignment horizontal="right" vertical="top"/>
    </xf>
    <xf numFmtId="0" fontId="16" fillId="0" borderId="28" xfId="0" applyFont="1" applyFill="1" applyBorder="1" applyAlignment="1">
      <alignment horizontal="left"/>
    </xf>
    <xf numFmtId="0" fontId="0" fillId="0" borderId="67" xfId="0" applyFill="1" applyBorder="1"/>
    <xf numFmtId="165" fontId="0" fillId="0" borderId="67" xfId="0" applyNumberFormat="1" applyFill="1" applyBorder="1" applyProtection="1"/>
    <xf numFmtId="0" fontId="3" fillId="0" borderId="100" xfId="0" applyFont="1" applyFill="1" applyBorder="1" applyAlignment="1">
      <alignment horizontal="center"/>
    </xf>
    <xf numFmtId="0" fontId="3" fillId="0" borderId="101" xfId="0" applyFont="1" applyFill="1" applyBorder="1" applyAlignment="1">
      <alignment horizontal="center"/>
    </xf>
    <xf numFmtId="0" fontId="3" fillId="0" borderId="101" xfId="0" applyFont="1" applyFill="1" applyBorder="1" applyAlignment="1">
      <alignment horizontal="left" wrapText="1"/>
    </xf>
    <xf numFmtId="172" fontId="3" fillId="0" borderId="101" xfId="1" applyNumberFormat="1" applyFont="1" applyFill="1" applyBorder="1" applyAlignment="1">
      <alignment horizontal="center" vertical="center"/>
    </xf>
    <xf numFmtId="183" fontId="93" fillId="0" borderId="101" xfId="0" applyNumberFormat="1" applyFont="1" applyFill="1" applyBorder="1" applyAlignment="1" applyProtection="1">
      <alignment horizontal="right" vertical="top" wrapText="1"/>
    </xf>
    <xf numFmtId="0" fontId="93" fillId="0" borderId="101" xfId="0" applyFont="1" applyFill="1" applyBorder="1" applyAlignment="1" applyProtection="1">
      <alignment horizontal="left" vertical="top" wrapText="1"/>
    </xf>
    <xf numFmtId="170" fontId="93" fillId="0" borderId="101" xfId="0" applyNumberFormat="1" applyFont="1" applyFill="1" applyBorder="1" applyAlignment="1" applyProtection="1">
      <alignment horizontal="left" vertical="top" wrapText="1"/>
    </xf>
    <xf numFmtId="0" fontId="3" fillId="0" borderId="100" xfId="0" applyFont="1" applyFill="1" applyBorder="1" applyAlignment="1">
      <alignment horizontal="center" vertical="center"/>
    </xf>
    <xf numFmtId="0" fontId="3" fillId="0" borderId="101" xfId="0" applyFont="1" applyFill="1" applyBorder="1" applyAlignment="1">
      <alignment horizontal="center" vertical="center"/>
    </xf>
    <xf numFmtId="0" fontId="3" fillId="0" borderId="101" xfId="0" quotePrefix="1" applyFont="1" applyFill="1" applyBorder="1" applyAlignment="1">
      <alignment horizontal="center" vertical="center"/>
    </xf>
    <xf numFmtId="0" fontId="3" fillId="0" borderId="101" xfId="0" applyFont="1" applyFill="1" applyBorder="1" applyAlignment="1">
      <alignment horizontal="left" vertical="center" wrapText="1"/>
    </xf>
    <xf numFmtId="166" fontId="3" fillId="0" borderId="101" xfId="1" applyFont="1" applyFill="1" applyBorder="1" applyAlignment="1">
      <alignment horizontal="center"/>
    </xf>
    <xf numFmtId="3" fontId="3" fillId="0" borderId="101" xfId="0" applyNumberFormat="1" applyFont="1" applyFill="1" applyBorder="1" applyAlignment="1">
      <alignment horizontal="right" vertical="center"/>
    </xf>
    <xf numFmtId="0" fontId="0" fillId="0" borderId="101" xfId="0" applyFont="1" applyFill="1" applyBorder="1" applyProtection="1"/>
    <xf numFmtId="0" fontId="19" fillId="0" borderId="101" xfId="7" applyFont="1" applyFill="1" applyBorder="1" applyAlignment="1">
      <alignment horizontal="left" wrapText="1"/>
    </xf>
    <xf numFmtId="170" fontId="3" fillId="0" borderId="102" xfId="2" applyNumberFormat="1" applyFont="1" applyFill="1" applyBorder="1" applyAlignment="1">
      <alignment horizontal="center" vertical="top"/>
    </xf>
    <xf numFmtId="0" fontId="0" fillId="0" borderId="101" xfId="0" applyFill="1" applyBorder="1" applyProtection="1"/>
    <xf numFmtId="3" fontId="85" fillId="0" borderId="25" xfId="7" applyNumberFormat="1" applyFont="1" applyFill="1" applyBorder="1" applyAlignment="1">
      <alignment horizontal="right"/>
    </xf>
    <xf numFmtId="3" fontId="85" fillId="0" borderId="25" xfId="7" applyNumberFormat="1" applyFont="1" applyFill="1" applyBorder="1" applyAlignment="1">
      <alignment horizontal="right" vertical="top"/>
    </xf>
    <xf numFmtId="3" fontId="19" fillId="0" borderId="25" xfId="7" applyNumberFormat="1" applyFont="1" applyFill="1" applyBorder="1" applyAlignment="1">
      <alignment horizontal="right" vertical="top"/>
    </xf>
    <xf numFmtId="3" fontId="86" fillId="0" borderId="25" xfId="7" applyNumberFormat="1" applyFont="1" applyFill="1" applyBorder="1" applyAlignment="1">
      <alignment horizontal="right"/>
    </xf>
    <xf numFmtId="3" fontId="19" fillId="0" borderId="25" xfId="0" applyNumberFormat="1" applyFont="1" applyFill="1" applyBorder="1" applyAlignment="1">
      <alignment horizontal="right"/>
    </xf>
    <xf numFmtId="3" fontId="85" fillId="0" borderId="67" xfId="7" applyNumberFormat="1" applyFont="1" applyFill="1" applyBorder="1" applyAlignment="1">
      <alignment horizontal="right"/>
    </xf>
    <xf numFmtId="0" fontId="13" fillId="0" borderId="71" xfId="0" applyFont="1" applyFill="1" applyBorder="1" applyAlignment="1">
      <alignment horizontal="center"/>
    </xf>
    <xf numFmtId="166" fontId="19" fillId="0" borderId="67" xfId="1" applyFont="1" applyFill="1" applyBorder="1"/>
    <xf numFmtId="0" fontId="92" fillId="0" borderId="25" xfId="0" applyFont="1" applyFill="1" applyBorder="1" applyAlignment="1" applyProtection="1">
      <alignment horizontal="center" vertical="center" wrapText="1"/>
    </xf>
    <xf numFmtId="0" fontId="91" fillId="0" borderId="25" xfId="0" applyFont="1" applyFill="1" applyBorder="1" applyAlignment="1" applyProtection="1">
      <alignment horizontal="center" vertical="center" wrapText="1"/>
    </xf>
    <xf numFmtId="0" fontId="13" fillId="0" borderId="100" xfId="0" applyFont="1" applyFill="1" applyBorder="1" applyAlignment="1">
      <alignment horizontal="center" vertical="top"/>
    </xf>
    <xf numFmtId="0" fontId="13" fillId="0" borderId="101" xfId="0" applyFont="1" applyFill="1" applyBorder="1" applyAlignment="1">
      <alignment horizontal="center" vertical="top"/>
    </xf>
    <xf numFmtId="0" fontId="13" fillId="0" borderId="101" xfId="0" quotePrefix="1" applyFont="1" applyFill="1" applyBorder="1" applyAlignment="1">
      <alignment horizontal="center" vertical="top"/>
    </xf>
    <xf numFmtId="0" fontId="13" fillId="0" borderId="101" xfId="0" applyFont="1" applyFill="1" applyBorder="1" applyAlignment="1">
      <alignment horizontal="center"/>
    </xf>
    <xf numFmtId="0" fontId="3" fillId="0" borderId="101" xfId="0" applyFont="1" applyFill="1" applyBorder="1" applyAlignment="1">
      <alignment horizontal="left" vertical="top" wrapText="1"/>
    </xf>
    <xf numFmtId="0" fontId="13" fillId="0" borderId="104" xfId="0" applyFont="1" applyFill="1" applyBorder="1" applyAlignment="1">
      <alignment horizontal="center" vertical="top"/>
    </xf>
    <xf numFmtId="0" fontId="3" fillId="0" borderId="101" xfId="0" applyFont="1" applyFill="1" applyBorder="1" applyAlignment="1">
      <alignment vertical="center" wrapText="1"/>
    </xf>
    <xf numFmtId="183" fontId="5" fillId="0" borderId="101" xfId="0" applyNumberFormat="1" applyFont="1" applyFill="1" applyBorder="1" applyAlignment="1" applyProtection="1">
      <alignment horizontal="right" vertical="top" wrapText="1"/>
    </xf>
    <xf numFmtId="0" fontId="5" fillId="0" borderId="101" xfId="0" applyFont="1" applyFill="1" applyBorder="1" applyAlignment="1" applyProtection="1">
      <alignment horizontal="left" vertical="top" wrapText="1"/>
    </xf>
    <xf numFmtId="0" fontId="3" fillId="0" borderId="101" xfId="0" applyFont="1" applyFill="1" applyBorder="1" applyAlignment="1">
      <alignment horizontal="left" vertical="top"/>
    </xf>
    <xf numFmtId="166" fontId="3" fillId="0" borderId="101" xfId="1" applyFont="1" applyFill="1" applyBorder="1"/>
    <xf numFmtId="172" fontId="3" fillId="0" borderId="101" xfId="1" applyNumberFormat="1" applyFont="1" applyFill="1" applyBorder="1" applyAlignment="1">
      <alignment vertical="center"/>
    </xf>
    <xf numFmtId="166" fontId="3" fillId="0" borderId="103" xfId="1" applyFont="1" applyFill="1" applyBorder="1"/>
    <xf numFmtId="4" fontId="3" fillId="0" borderId="101" xfId="0" applyNumberFormat="1" applyFont="1" applyFill="1" applyBorder="1"/>
    <xf numFmtId="0" fontId="3" fillId="0" borderId="101" xfId="0" applyFont="1" applyFill="1" applyBorder="1"/>
    <xf numFmtId="0" fontId="13" fillId="0" borderId="100" xfId="0" applyFont="1" applyFill="1" applyBorder="1" applyAlignment="1">
      <alignment horizontal="center"/>
    </xf>
    <xf numFmtId="0" fontId="13" fillId="0" borderId="101" xfId="0" quotePrefix="1" applyFont="1" applyFill="1" applyBorder="1" applyAlignment="1">
      <alignment horizontal="center"/>
    </xf>
    <xf numFmtId="166" fontId="3" fillId="0" borderId="101" xfId="1" applyFont="1" applyFill="1" applyBorder="1" applyAlignment="1">
      <alignment horizontal="center" vertical="top"/>
    </xf>
    <xf numFmtId="172" fontId="3" fillId="0" borderId="101" xfId="1" applyNumberFormat="1" applyFont="1" applyFill="1" applyBorder="1" applyAlignment="1">
      <alignment horizontal="right" vertical="top"/>
    </xf>
    <xf numFmtId="165" fontId="3" fillId="0" borderId="102" xfId="2" applyNumberFormat="1" applyFont="1" applyFill="1" applyBorder="1" applyAlignment="1">
      <alignment horizontal="center" vertical="top"/>
    </xf>
    <xf numFmtId="183" fontId="5" fillId="0" borderId="103" xfId="0" applyNumberFormat="1" applyFont="1" applyFill="1" applyBorder="1" applyAlignment="1" applyProtection="1">
      <alignment horizontal="right" vertical="top" wrapText="1"/>
    </xf>
    <xf numFmtId="165" fontId="5" fillId="0" borderId="101" xfId="0" applyNumberFormat="1" applyFont="1" applyFill="1" applyBorder="1" applyAlignment="1" applyProtection="1">
      <alignment horizontal="left" vertical="top" wrapText="1"/>
    </xf>
    <xf numFmtId="183" fontId="5" fillId="0" borderId="101" xfId="0" applyNumberFormat="1" applyFont="1" applyFill="1" applyBorder="1" applyAlignment="1" applyProtection="1">
      <alignment horizontal="left" vertical="top" wrapText="1"/>
    </xf>
    <xf numFmtId="166" fontId="19" fillId="0" borderId="105" xfId="1" applyFont="1" applyFill="1" applyBorder="1" applyAlignment="1">
      <alignment horizontal="center"/>
    </xf>
    <xf numFmtId="3" fontId="3" fillId="0" borderId="106" xfId="0" applyNumberFormat="1" applyFont="1" applyFill="1" applyBorder="1" applyAlignment="1">
      <alignment horizontal="center"/>
    </xf>
    <xf numFmtId="3" fontId="19" fillId="0" borderId="105" xfId="7" applyNumberFormat="1" applyFont="1" applyFill="1" applyBorder="1" applyAlignment="1"/>
    <xf numFmtId="0" fontId="13" fillId="0" borderId="107" xfId="0" applyFont="1" applyFill="1" applyBorder="1" applyAlignment="1">
      <alignment horizontal="center" vertical="center"/>
    </xf>
    <xf numFmtId="0" fontId="13" fillId="0" borderId="101" xfId="0" applyFont="1" applyFill="1" applyBorder="1" applyAlignment="1">
      <alignment horizontal="center" vertical="center"/>
    </xf>
    <xf numFmtId="0" fontId="13" fillId="0" borderId="101" xfId="0" quotePrefix="1" applyFont="1" applyFill="1" applyBorder="1" applyAlignment="1">
      <alignment horizontal="center" vertical="center"/>
    </xf>
    <xf numFmtId="170" fontId="3" fillId="0" borderId="108" xfId="1901" applyNumberFormat="1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wrapText="1"/>
    </xf>
    <xf numFmtId="0" fontId="19" fillId="0" borderId="101" xfId="7" applyFont="1" applyFill="1" applyBorder="1" applyAlignment="1">
      <alignment horizontal="left"/>
    </xf>
    <xf numFmtId="0" fontId="85" fillId="0" borderId="34" xfId="7" applyFont="1" applyFill="1" applyBorder="1" applyAlignment="1">
      <alignment horizontal="left" vertical="top" wrapText="1"/>
    </xf>
    <xf numFmtId="0" fontId="85" fillId="0" borderId="28" xfId="7" applyFont="1" applyFill="1" applyBorder="1" applyAlignment="1">
      <alignment horizontal="left" wrapText="1"/>
    </xf>
    <xf numFmtId="0" fontId="13" fillId="0" borderId="100" xfId="0" applyFont="1" applyFill="1" applyBorder="1" applyAlignment="1">
      <alignment horizontal="center" vertical="center"/>
    </xf>
    <xf numFmtId="166" fontId="3" fillId="0" borderId="101" xfId="1" applyFont="1" applyFill="1" applyBorder="1" applyAlignment="1">
      <alignment vertical="center" wrapText="1"/>
    </xf>
    <xf numFmtId="39" fontId="3" fillId="0" borderId="101" xfId="0" applyNumberFormat="1" applyFont="1" applyFill="1" applyBorder="1" applyAlignment="1">
      <alignment horizontal="center" vertical="center" wrapText="1"/>
    </xf>
    <xf numFmtId="172" fontId="3" fillId="0" borderId="101" xfId="1" applyNumberFormat="1" applyFont="1" applyFill="1" applyBorder="1" applyAlignment="1">
      <alignment vertical="center" wrapText="1"/>
    </xf>
    <xf numFmtId="170" fontId="3" fillId="0" borderId="102" xfId="2" applyNumberFormat="1" applyFont="1" applyFill="1" applyBorder="1" applyAlignment="1">
      <alignment horizontal="right" vertical="center" wrapText="1"/>
    </xf>
    <xf numFmtId="183" fontId="93" fillId="0" borderId="103" xfId="0" applyNumberFormat="1" applyFont="1" applyFill="1" applyBorder="1" applyAlignment="1" applyProtection="1">
      <alignment horizontal="right" vertical="top" wrapText="1"/>
    </xf>
    <xf numFmtId="0" fontId="0" fillId="0" borderId="103" xfId="0" applyFill="1" applyBorder="1" applyProtection="1"/>
    <xf numFmtId="172" fontId="93" fillId="0" borderId="86" xfId="1" applyNumberFormat="1" applyFont="1" applyFill="1" applyBorder="1" applyAlignment="1" applyProtection="1">
      <alignment horizontal="right" vertical="top" wrapText="1"/>
    </xf>
    <xf numFmtId="166" fontId="3" fillId="35" borderId="67" xfId="1" applyFont="1" applyFill="1" applyBorder="1" applyAlignment="1">
      <alignment horizontal="center" vertical="center"/>
    </xf>
    <xf numFmtId="0" fontId="3" fillId="35" borderId="71" xfId="0" applyFont="1" applyFill="1" applyBorder="1" applyAlignment="1">
      <alignment horizontal="center" vertical="center"/>
    </xf>
    <xf numFmtId="0" fontId="3" fillId="35" borderId="67" xfId="0" applyFont="1" applyFill="1" applyBorder="1"/>
    <xf numFmtId="0" fontId="3" fillId="35" borderId="67" xfId="0" quotePrefix="1" applyFont="1" applyFill="1" applyBorder="1"/>
    <xf numFmtId="0" fontId="3" fillId="35" borderId="67" xfId="0" applyFont="1" applyFill="1" applyBorder="1" applyAlignment="1">
      <alignment vertical="center" wrapText="1"/>
    </xf>
    <xf numFmtId="0" fontId="3" fillId="35" borderId="67" xfId="0" applyFont="1" applyFill="1" applyBorder="1" applyAlignment="1">
      <alignment horizontal="center" vertical="center"/>
    </xf>
    <xf numFmtId="3" fontId="3" fillId="35" borderId="67" xfId="0" applyNumberFormat="1" applyFont="1" applyFill="1" applyBorder="1" applyAlignment="1">
      <alignment vertical="center"/>
    </xf>
    <xf numFmtId="166" fontId="3" fillId="35" borderId="69" xfId="0" applyNumberFormat="1" applyFont="1" applyFill="1" applyBorder="1" applyAlignment="1">
      <alignment vertical="center"/>
    </xf>
    <xf numFmtId="183" fontId="93" fillId="35" borderId="67" xfId="0" applyNumberFormat="1" applyFont="1" applyFill="1" applyBorder="1" applyAlignment="1" applyProtection="1">
      <alignment horizontal="right" vertical="top" wrapText="1"/>
    </xf>
    <xf numFmtId="166" fontId="93" fillId="35" borderId="67" xfId="0" applyNumberFormat="1" applyFont="1" applyFill="1" applyBorder="1" applyAlignment="1" applyProtection="1">
      <alignment horizontal="left" vertical="top" wrapText="1"/>
    </xf>
    <xf numFmtId="0" fontId="93" fillId="35" borderId="67" xfId="0" applyFont="1" applyFill="1" applyBorder="1" applyAlignment="1" applyProtection="1">
      <alignment horizontal="left" vertical="top" wrapText="1"/>
    </xf>
    <xf numFmtId="0" fontId="3" fillId="35" borderId="0" xfId="0" applyFont="1" applyFill="1"/>
    <xf numFmtId="0" fontId="3" fillId="35" borderId="66" xfId="0" applyFont="1" applyFill="1" applyBorder="1" applyAlignment="1">
      <alignment horizontal="center" vertical="center"/>
    </xf>
    <xf numFmtId="0" fontId="13" fillId="35" borderId="0" xfId="0" applyFont="1" applyFill="1" applyAlignment="1">
      <alignment vertical="top"/>
    </xf>
    <xf numFmtId="0" fontId="3" fillId="35" borderId="25" xfId="0" applyFont="1" applyFill="1" applyBorder="1" applyAlignment="1">
      <alignment vertical="center" wrapText="1"/>
    </xf>
    <xf numFmtId="166" fontId="3" fillId="35" borderId="25" xfId="1" applyFont="1" applyFill="1" applyBorder="1" applyAlignment="1">
      <alignment horizontal="center" vertical="center"/>
    </xf>
    <xf numFmtId="0" fontId="3" fillId="35" borderId="0" xfId="0" applyFont="1" applyFill="1" applyAlignment="1">
      <alignment vertical="top"/>
    </xf>
    <xf numFmtId="0" fontId="123" fillId="35" borderId="67" xfId="0" applyFont="1" applyFill="1" applyBorder="1" applyProtection="1"/>
    <xf numFmtId="0" fontId="0" fillId="35" borderId="67" xfId="0" applyFill="1" applyBorder="1" applyProtection="1"/>
    <xf numFmtId="4" fontId="99" fillId="0" borderId="12" xfId="28340" applyNumberFormat="1" applyFont="1" applyFill="1" applyBorder="1" applyAlignment="1">
      <alignment horizontal="right" vertical="center"/>
    </xf>
    <xf numFmtId="4" fontId="99" fillId="0" borderId="11" xfId="28340" applyNumberFormat="1" applyFont="1" applyFill="1" applyBorder="1" applyAlignment="1">
      <alignment horizontal="right" vertical="center"/>
    </xf>
    <xf numFmtId="4" fontId="99" fillId="0" borderId="13" xfId="28340" applyNumberFormat="1" applyFont="1" applyFill="1" applyBorder="1" applyAlignment="1">
      <alignment horizontal="right" vertical="center"/>
    </xf>
    <xf numFmtId="185" fontId="103" fillId="0" borderId="11" xfId="28340" applyNumberFormat="1" applyFont="1" applyFill="1" applyBorder="1" applyAlignment="1">
      <alignment horizontal="left"/>
    </xf>
    <xf numFmtId="4" fontId="103" fillId="0" borderId="12" xfId="28340" applyNumberFormat="1" applyFont="1" applyFill="1" applyBorder="1" applyAlignment="1">
      <alignment vertical="center"/>
    </xf>
    <xf numFmtId="4" fontId="103" fillId="0" borderId="11" xfId="28340" applyNumberFormat="1" applyFont="1" applyFill="1" applyBorder="1" applyAlignment="1">
      <alignment vertical="center"/>
    </xf>
    <xf numFmtId="4" fontId="103" fillId="0" borderId="13" xfId="28340" applyNumberFormat="1" applyFont="1" applyFill="1" applyBorder="1" applyAlignment="1">
      <alignment vertical="center"/>
    </xf>
    <xf numFmtId="184" fontId="103" fillId="0" borderId="11" xfId="28340" applyNumberFormat="1" applyFont="1" applyFill="1" applyBorder="1" applyAlignment="1">
      <alignment horizontal="center" vertical="center"/>
    </xf>
    <xf numFmtId="188" fontId="103" fillId="0" borderId="11" xfId="28340" applyNumberFormat="1" applyFont="1" applyFill="1" applyBorder="1" applyAlignment="1">
      <alignment horizontal="center"/>
    </xf>
    <xf numFmtId="185" fontId="103" fillId="0" borderId="13" xfId="28340" applyNumberFormat="1" applyFont="1" applyFill="1" applyBorder="1" applyAlignment="1">
      <alignment horizontal="left"/>
    </xf>
    <xf numFmtId="165" fontId="99" fillId="0" borderId="12" xfId="28341" applyFont="1" applyFill="1" applyBorder="1" applyAlignment="1">
      <alignment horizontal="center" vertical="center"/>
    </xf>
    <xf numFmtId="165" fontId="99" fillId="0" borderId="11" xfId="28341" applyFont="1" applyFill="1" applyBorder="1" applyAlignment="1">
      <alignment horizontal="center" vertical="center"/>
    </xf>
    <xf numFmtId="165" fontId="99" fillId="0" borderId="13" xfId="28341" applyFont="1" applyFill="1" applyBorder="1" applyAlignment="1">
      <alignment horizontal="center" vertical="center"/>
    </xf>
    <xf numFmtId="0" fontId="99" fillId="0" borderId="12" xfId="28340" applyFont="1" applyFill="1" applyBorder="1" applyAlignment="1">
      <alignment horizontal="center" vertical="center"/>
    </xf>
    <xf numFmtId="0" fontId="99" fillId="0" borderId="11" xfId="28340" applyFont="1" applyFill="1" applyBorder="1" applyAlignment="1">
      <alignment horizontal="center" vertical="center"/>
    </xf>
    <xf numFmtId="0" fontId="99" fillId="0" borderId="13" xfId="2834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18" fillId="0" borderId="101" xfId="0" applyFont="1" applyBorder="1" applyAlignment="1">
      <alignment horizontal="center" vertical="center"/>
    </xf>
    <xf numFmtId="0" fontId="18" fillId="0" borderId="101" xfId="0" applyFont="1" applyBorder="1" applyAlignment="1">
      <alignment horizontal="left" vertical="center"/>
    </xf>
    <xf numFmtId="0" fontId="23" fillId="2" borderId="32" xfId="0" applyFont="1" applyFill="1" applyBorder="1" applyAlignment="1">
      <alignment horizontal="center" vertical="top" wrapText="1"/>
    </xf>
    <xf numFmtId="0" fontId="23" fillId="2" borderId="25" xfId="0" applyFont="1" applyFill="1" applyBorder="1" applyAlignment="1">
      <alignment horizontal="center" vertical="top" wrapText="1"/>
    </xf>
    <xf numFmtId="0" fontId="23" fillId="2" borderId="25" xfId="0" quotePrefix="1" applyFont="1" applyFill="1" applyBorder="1" applyAlignment="1">
      <alignment horizontal="center" vertical="top" wrapText="1"/>
    </xf>
    <xf numFmtId="0" fontId="4" fillId="2" borderId="25" xfId="0" applyFont="1" applyFill="1" applyBorder="1" applyAlignment="1">
      <alignment vertical="top" wrapText="1"/>
    </xf>
    <xf numFmtId="166" fontId="4" fillId="2" borderId="25" xfId="1" applyFont="1" applyFill="1" applyBorder="1" applyAlignment="1">
      <alignment horizontal="center" vertical="top"/>
    </xf>
    <xf numFmtId="0" fontId="4" fillId="2" borderId="25" xfId="0" applyFont="1" applyFill="1" applyBorder="1" applyAlignment="1">
      <alignment horizontal="center" vertical="top"/>
    </xf>
    <xf numFmtId="3" fontId="4" fillId="2" borderId="25" xfId="1" applyNumberFormat="1" applyFont="1" applyFill="1" applyBorder="1" applyAlignment="1">
      <alignment vertical="top"/>
    </xf>
    <xf numFmtId="172" fontId="4" fillId="2" borderId="31" xfId="1" applyNumberFormat="1" applyFont="1" applyFill="1" applyBorder="1" applyAlignment="1">
      <alignment vertical="top"/>
    </xf>
    <xf numFmtId="183" fontId="93" fillId="2" borderId="25" xfId="0" applyNumberFormat="1" applyFont="1" applyFill="1" applyBorder="1" applyAlignment="1" applyProtection="1">
      <alignment horizontal="right" vertical="top" wrapText="1"/>
    </xf>
    <xf numFmtId="172" fontId="93" fillId="2" borderId="25" xfId="0" applyNumberFormat="1" applyFont="1" applyFill="1" applyBorder="1" applyAlignment="1" applyProtection="1">
      <alignment horizontal="left" vertical="top" wrapText="1"/>
    </xf>
    <xf numFmtId="0" fontId="0" fillId="2" borderId="25" xfId="0" applyFill="1" applyBorder="1" applyProtection="1"/>
    <xf numFmtId="166" fontId="4" fillId="2" borderId="0" xfId="1" applyFont="1" applyFill="1"/>
    <xf numFmtId="0" fontId="4" fillId="2" borderId="0" xfId="0" applyFont="1" applyFill="1"/>
    <xf numFmtId="0" fontId="16" fillId="0" borderId="67" xfId="29020" applyFont="1" applyBorder="1"/>
    <xf numFmtId="0" fontId="13" fillId="2" borderId="66" xfId="0" applyFont="1" applyFill="1" applyBorder="1" applyAlignment="1">
      <alignment horizontal="center" vertical="top" wrapText="1"/>
    </xf>
    <xf numFmtId="0" fontId="13" fillId="2" borderId="67" xfId="0" applyFont="1" applyFill="1" applyBorder="1" applyAlignment="1">
      <alignment horizontal="center" vertical="top" wrapText="1"/>
    </xf>
    <xf numFmtId="0" fontId="13" fillId="2" borderId="67" xfId="0" quotePrefix="1" applyFont="1" applyFill="1" applyBorder="1" applyAlignment="1">
      <alignment horizontal="center" vertical="top" wrapText="1"/>
    </xf>
    <xf numFmtId="0" fontId="18" fillId="2" borderId="30" xfId="0" applyFont="1" applyFill="1" applyBorder="1" applyAlignment="1">
      <alignment vertical="center"/>
    </xf>
    <xf numFmtId="166" fontId="0" fillId="2" borderId="30" xfId="1" applyFont="1" applyFill="1" applyBorder="1" applyAlignment="1">
      <alignment horizontal="center" vertical="center"/>
    </xf>
    <xf numFmtId="39" fontId="3" fillId="2" borderId="30" xfId="0" applyNumberFormat="1" applyFont="1" applyFill="1" applyBorder="1" applyAlignment="1">
      <alignment horizontal="center" vertical="top" wrapText="1"/>
    </xf>
    <xf numFmtId="172" fontId="29" fillId="2" borderId="30" xfId="1" applyNumberFormat="1" applyFont="1" applyFill="1" applyBorder="1" applyAlignment="1">
      <alignment vertical="center"/>
    </xf>
    <xf numFmtId="172" fontId="3" fillId="2" borderId="69" xfId="2" applyNumberFormat="1" applyFont="1" applyFill="1" applyBorder="1" applyAlignment="1">
      <alignment vertical="center" wrapText="1"/>
    </xf>
    <xf numFmtId="183" fontId="93" fillId="2" borderId="13" xfId="0" applyNumberFormat="1" applyFont="1" applyFill="1" applyBorder="1" applyAlignment="1" applyProtection="1">
      <alignment horizontal="right" vertical="top" wrapText="1"/>
    </xf>
    <xf numFmtId="172" fontId="0" fillId="2" borderId="15" xfId="0" applyNumberFormat="1" applyFill="1" applyBorder="1" applyProtection="1"/>
    <xf numFmtId="8" fontId="0" fillId="2" borderId="30" xfId="0" applyNumberFormat="1" applyFill="1" applyBorder="1" applyProtection="1"/>
    <xf numFmtId="0" fontId="0" fillId="2" borderId="30" xfId="0" applyFill="1" applyBorder="1" applyProtection="1"/>
    <xf numFmtId="0" fontId="0" fillId="2" borderId="67" xfId="0" applyFill="1" applyBorder="1" applyProtection="1"/>
    <xf numFmtId="0" fontId="3" fillId="2" borderId="0" xfId="0" applyFont="1" applyFill="1" applyAlignment="1">
      <alignment vertical="center" wrapText="1"/>
    </xf>
    <xf numFmtId="0" fontId="18" fillId="2" borderId="30" xfId="0" applyFont="1" applyFill="1" applyBorder="1" applyAlignment="1">
      <alignment vertical="center" wrapText="1"/>
    </xf>
    <xf numFmtId="172" fontId="16" fillId="2" borderId="87" xfId="12218" applyNumberFormat="1" applyFont="1" applyFill="1" applyBorder="1" applyAlignment="1">
      <alignment vertical="center" wrapText="1"/>
    </xf>
    <xf numFmtId="0" fontId="3" fillId="2" borderId="66" xfId="0" applyFont="1" applyFill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0" fontId="3" fillId="2" borderId="67" xfId="0" quotePrefix="1" applyFont="1" applyFill="1" applyBorder="1" applyAlignment="1">
      <alignment horizontal="center" vertical="center"/>
    </xf>
    <xf numFmtId="0" fontId="3" fillId="2" borderId="0" xfId="0" applyFont="1" applyFill="1"/>
    <xf numFmtId="0" fontId="3" fillId="2" borderId="30" xfId="0" applyFont="1" applyFill="1" applyBorder="1" applyAlignment="1">
      <alignment vertical="center" wrapText="1"/>
    </xf>
    <xf numFmtId="166" fontId="16" fillId="2" borderId="13" xfId="1" applyFont="1" applyFill="1" applyBorder="1" applyAlignment="1">
      <alignment horizontal="center" vertical="center" wrapText="1"/>
    </xf>
    <xf numFmtId="39" fontId="3" fillId="2" borderId="30" xfId="0" applyNumberFormat="1" applyFont="1" applyFill="1" applyBorder="1" applyAlignment="1">
      <alignment horizontal="center" vertical="center"/>
    </xf>
    <xf numFmtId="172" fontId="16" fillId="2" borderId="13" xfId="12218" applyNumberFormat="1" applyFont="1" applyFill="1" applyBorder="1" applyAlignment="1">
      <alignment vertical="center" wrapText="1"/>
    </xf>
    <xf numFmtId="2" fontId="3" fillId="0" borderId="0" xfId="0" applyNumberFormat="1" applyFont="1" applyFill="1"/>
    <xf numFmtId="0" fontId="99" fillId="36" borderId="34" xfId="28340" applyFont="1" applyFill="1" applyBorder="1"/>
    <xf numFmtId="0" fontId="99" fillId="36" borderId="36" xfId="28340" applyFont="1" applyFill="1" applyBorder="1" applyAlignment="1">
      <alignment horizontal="left"/>
    </xf>
    <xf numFmtId="0" fontId="103" fillId="36" borderId="0" xfId="28340" applyFont="1" applyFill="1" applyBorder="1" applyAlignment="1">
      <alignment horizontal="left"/>
    </xf>
    <xf numFmtId="0" fontId="99" fillId="36" borderId="0" xfId="28340" applyFont="1" applyFill="1" applyBorder="1" applyAlignment="1">
      <alignment horizontal="left"/>
    </xf>
    <xf numFmtId="0" fontId="99" fillId="36" borderId="47" xfId="28340" applyFont="1" applyFill="1" applyBorder="1" applyAlignment="1">
      <alignment horizontal="left"/>
    </xf>
    <xf numFmtId="0" fontId="99" fillId="36" borderId="0" xfId="28340" applyFont="1" applyFill="1"/>
    <xf numFmtId="165" fontId="99" fillId="36" borderId="0" xfId="28341" applyFont="1" applyFill="1"/>
    <xf numFmtId="165" fontId="102" fillId="36" borderId="0" xfId="28341" applyFont="1" applyFill="1"/>
    <xf numFmtId="0" fontId="102" fillId="36" borderId="0" xfId="28340" applyFont="1" applyFill="1"/>
    <xf numFmtId="0" fontId="99" fillId="2" borderId="0" xfId="28340" applyFont="1" applyFill="1"/>
    <xf numFmtId="165" fontId="99" fillId="2" borderId="0" xfId="28341" applyFont="1" applyFill="1"/>
    <xf numFmtId="165" fontId="102" fillId="2" borderId="0" xfId="28341" applyFont="1" applyFill="1"/>
    <xf numFmtId="0" fontId="102" fillId="2" borderId="0" xfId="28340" applyFont="1" applyFill="1"/>
    <xf numFmtId="0" fontId="3" fillId="0" borderId="17" xfId="0" applyFont="1" applyFill="1" applyBorder="1" applyAlignment="1">
      <alignment horizontal="center" vertical="center"/>
    </xf>
    <xf numFmtId="0" fontId="28" fillId="0" borderId="101" xfId="0" applyFont="1" applyFill="1" applyBorder="1" applyAlignment="1">
      <alignment vertical="center"/>
    </xf>
    <xf numFmtId="0" fontId="0" fillId="0" borderId="109" xfId="0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166" fontId="3" fillId="0" borderId="108" xfId="0" applyNumberFormat="1" applyFont="1" applyFill="1" applyBorder="1" applyAlignment="1">
      <alignment vertical="center"/>
    </xf>
    <xf numFmtId="166" fontId="0" fillId="0" borderId="103" xfId="0" applyNumberFormat="1" applyFill="1" applyBorder="1" applyProtection="1"/>
    <xf numFmtId="166" fontId="3" fillId="0" borderId="101" xfId="1" applyFont="1" applyFill="1" applyBorder="1" applyAlignment="1">
      <alignment horizontal="center" vertical="center"/>
    </xf>
    <xf numFmtId="0" fontId="3" fillId="0" borderId="101" xfId="0" quotePrefix="1" applyFont="1" applyFill="1" applyBorder="1"/>
    <xf numFmtId="3" fontId="3" fillId="0" borderId="101" xfId="0" applyNumberFormat="1" applyFont="1" applyFill="1" applyBorder="1" applyAlignment="1">
      <alignment vertical="center"/>
    </xf>
    <xf numFmtId="172" fontId="93" fillId="0" borderId="101" xfId="0" applyNumberFormat="1" applyFont="1" applyFill="1" applyBorder="1" applyAlignment="1" applyProtection="1">
      <alignment horizontal="left" vertical="top" wrapText="1"/>
    </xf>
    <xf numFmtId="4" fontId="0" fillId="0" borderId="101" xfId="0" applyNumberFormat="1" applyFill="1" applyBorder="1" applyProtection="1"/>
    <xf numFmtId="166" fontId="13" fillId="0" borderId="102" xfId="0" applyNumberFormat="1" applyFont="1" applyFill="1" applyBorder="1" applyAlignment="1">
      <alignment vertical="center"/>
    </xf>
    <xf numFmtId="166" fontId="0" fillId="2" borderId="30" xfId="1" applyFont="1" applyFill="1" applyBorder="1" applyAlignment="1">
      <alignment horizontal="center" vertical="top"/>
    </xf>
    <xf numFmtId="172" fontId="29" fillId="2" borderId="30" xfId="1" applyNumberFormat="1" applyFont="1" applyFill="1" applyBorder="1" applyAlignment="1">
      <alignment vertical="top"/>
    </xf>
    <xf numFmtId="172" fontId="3" fillId="2" borderId="69" xfId="2" applyNumberFormat="1" applyFont="1" applyFill="1" applyBorder="1" applyAlignment="1">
      <alignment vertical="top" wrapText="1"/>
    </xf>
    <xf numFmtId="172" fontId="0" fillId="2" borderId="15" xfId="0" applyNumberFormat="1" applyFill="1" applyBorder="1" applyAlignment="1" applyProtection="1">
      <alignment vertical="top"/>
    </xf>
    <xf numFmtId="172" fontId="5" fillId="0" borderId="67" xfId="1" applyNumberFormat="1" applyFont="1" applyFill="1" applyBorder="1" applyAlignment="1">
      <alignment horizontal="right" vertical="center"/>
    </xf>
    <xf numFmtId="165" fontId="14" fillId="0" borderId="69" xfId="2" applyNumberFormat="1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horizontal="left" vertical="center"/>
    </xf>
    <xf numFmtId="165" fontId="5" fillId="0" borderId="69" xfId="2" applyNumberFormat="1" applyFont="1" applyFill="1" applyBorder="1" applyAlignment="1">
      <alignment horizontal="center" vertical="center"/>
    </xf>
    <xf numFmtId="165" fontId="13" fillId="0" borderId="69" xfId="2" applyNumberFormat="1" applyFont="1" applyFill="1" applyBorder="1" applyAlignment="1">
      <alignment horizontal="center" vertical="center"/>
    </xf>
    <xf numFmtId="165" fontId="13" fillId="0" borderId="69" xfId="0" applyNumberFormat="1" applyFont="1" applyFill="1" applyBorder="1" applyAlignment="1">
      <alignment vertical="top"/>
    </xf>
    <xf numFmtId="0" fontId="16" fillId="0" borderId="86" xfId="0" applyFont="1" applyFill="1" applyBorder="1" applyAlignment="1">
      <alignment vertical="center" wrapText="1"/>
    </xf>
    <xf numFmtId="0" fontId="16" fillId="0" borderId="86" xfId="0" applyFont="1" applyFill="1" applyBorder="1" applyAlignment="1">
      <alignment horizontal="center" vertical="center" wrapText="1"/>
    </xf>
    <xf numFmtId="165" fontId="16" fillId="0" borderId="67" xfId="0" applyNumberFormat="1" applyFont="1" applyFill="1" applyBorder="1" applyProtection="1"/>
    <xf numFmtId="0" fontId="3" fillId="2" borderId="66" xfId="0" applyFont="1" applyFill="1" applyBorder="1" applyAlignment="1">
      <alignment horizontal="center"/>
    </xf>
    <xf numFmtId="0" fontId="3" fillId="2" borderId="67" xfId="0" applyFont="1" applyFill="1" applyBorder="1" applyAlignment="1">
      <alignment horizontal="center"/>
    </xf>
    <xf numFmtId="0" fontId="3" fillId="2" borderId="67" xfId="0" applyFont="1" applyFill="1" applyBorder="1" applyAlignment="1">
      <alignment horizontal="left" wrapText="1"/>
    </xf>
    <xf numFmtId="166" fontId="3" fillId="2" borderId="67" xfId="1" applyFont="1" applyFill="1" applyBorder="1" applyAlignment="1">
      <alignment horizontal="center"/>
    </xf>
    <xf numFmtId="172" fontId="3" fillId="2" borderId="67" xfId="1" applyNumberFormat="1" applyFont="1" applyFill="1" applyBorder="1" applyAlignment="1">
      <alignment horizontal="center" vertical="center"/>
    </xf>
    <xf numFmtId="165" fontId="3" fillId="2" borderId="69" xfId="0" applyNumberFormat="1" applyFont="1" applyFill="1" applyBorder="1" applyAlignment="1">
      <alignment vertical="center"/>
    </xf>
    <xf numFmtId="43" fontId="16" fillId="2" borderId="86" xfId="0" applyNumberFormat="1" applyFont="1" applyFill="1" applyBorder="1" applyProtection="1"/>
    <xf numFmtId="183" fontId="5" fillId="2" borderId="67" xfId="0" applyNumberFormat="1" applyFont="1" applyFill="1" applyBorder="1" applyAlignment="1" applyProtection="1">
      <alignment horizontal="right" vertical="top" wrapText="1"/>
    </xf>
    <xf numFmtId="0" fontId="16" fillId="2" borderId="67" xfId="0" applyFont="1" applyFill="1" applyBorder="1" applyProtection="1"/>
    <xf numFmtId="166" fontId="3" fillId="2" borderId="0" xfId="1" applyFont="1" applyFill="1"/>
    <xf numFmtId="0" fontId="3" fillId="2" borderId="66" xfId="0" applyFont="1" applyFill="1" applyBorder="1" applyAlignment="1">
      <alignment horizontal="center" vertical="top"/>
    </xf>
    <xf numFmtId="0" fontId="3" fillId="2" borderId="67" xfId="0" applyFont="1" applyFill="1" applyBorder="1" applyAlignment="1">
      <alignment horizontal="center" vertical="top"/>
    </xf>
    <xf numFmtId="0" fontId="3" fillId="2" borderId="67" xfId="0" quotePrefix="1" applyFont="1" applyFill="1" applyBorder="1" applyAlignment="1">
      <alignment horizontal="center" vertical="top"/>
    </xf>
    <xf numFmtId="0" fontId="3" fillId="2" borderId="86" xfId="0" applyFont="1" applyFill="1" applyBorder="1" applyAlignment="1">
      <alignment horizontal="left" vertical="top" wrapText="1"/>
    </xf>
    <xf numFmtId="166" fontId="3" fillId="2" borderId="86" xfId="1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172" fontId="3" fillId="2" borderId="86" xfId="1" applyNumberFormat="1" applyFont="1" applyFill="1" applyBorder="1" applyAlignment="1">
      <alignment vertical="center"/>
    </xf>
    <xf numFmtId="0" fontId="16" fillId="2" borderId="86" xfId="0" applyFont="1" applyFill="1" applyBorder="1" applyAlignment="1">
      <alignment vertical="center" wrapText="1"/>
    </xf>
    <xf numFmtId="0" fontId="13" fillId="2" borderId="66" xfId="0" applyFont="1" applyFill="1" applyBorder="1" applyAlignment="1">
      <alignment horizontal="center" vertical="center"/>
    </xf>
    <xf numFmtId="0" fontId="13" fillId="2" borderId="67" xfId="0" applyFont="1" applyFill="1" applyBorder="1" applyAlignment="1">
      <alignment horizontal="center" vertical="center"/>
    </xf>
    <xf numFmtId="0" fontId="13" fillId="2" borderId="67" xfId="0" quotePrefix="1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vertical="center" wrapText="1"/>
    </xf>
    <xf numFmtId="0" fontId="16" fillId="2" borderId="13" xfId="0" applyFont="1" applyFill="1" applyBorder="1" applyAlignment="1">
      <alignment horizontal="center" vertical="center" wrapText="1"/>
    </xf>
    <xf numFmtId="172" fontId="16" fillId="2" borderId="13" xfId="1" applyNumberFormat="1" applyFont="1" applyFill="1" applyBorder="1" applyAlignment="1">
      <alignment vertical="center" wrapText="1"/>
    </xf>
    <xf numFmtId="165" fontId="5" fillId="2" borderId="69" xfId="2" applyNumberFormat="1" applyFont="1" applyFill="1" applyBorder="1" applyAlignment="1">
      <alignment vertical="center"/>
    </xf>
    <xf numFmtId="165" fontId="16" fillId="2" borderId="67" xfId="0" applyNumberFormat="1" applyFont="1" applyFill="1" applyBorder="1" applyProtection="1"/>
    <xf numFmtId="0" fontId="13" fillId="2" borderId="84" xfId="0" applyFont="1" applyFill="1" applyBorder="1" applyAlignment="1">
      <alignment horizontal="center" vertical="top"/>
    </xf>
    <xf numFmtId="0" fontId="13" fillId="2" borderId="67" xfId="0" applyFont="1" applyFill="1" applyBorder="1" applyAlignment="1">
      <alignment horizontal="center" vertical="top"/>
    </xf>
    <xf numFmtId="0" fontId="13" fillId="2" borderId="67" xfId="0" quotePrefix="1" applyFont="1" applyFill="1" applyBorder="1" applyAlignment="1">
      <alignment horizontal="center" vertical="top"/>
    </xf>
    <xf numFmtId="0" fontId="13" fillId="2" borderId="67" xfId="0" applyFont="1" applyFill="1" applyBorder="1" applyAlignment="1">
      <alignment horizontal="center"/>
    </xf>
    <xf numFmtId="0" fontId="16" fillId="2" borderId="67" xfId="0" applyFont="1" applyFill="1" applyBorder="1"/>
    <xf numFmtId="166" fontId="16" fillId="2" borderId="67" xfId="1" applyFont="1" applyFill="1" applyBorder="1" applyAlignment="1">
      <alignment horizontal="center"/>
    </xf>
    <xf numFmtId="0" fontId="16" fillId="2" borderId="67" xfId="0" applyFont="1" applyFill="1" applyBorder="1" applyAlignment="1">
      <alignment horizontal="center"/>
    </xf>
    <xf numFmtId="172" fontId="16" fillId="2" borderId="67" xfId="1" applyNumberFormat="1" applyFont="1" applyFill="1" applyBorder="1" applyAlignment="1">
      <alignment horizontal="center"/>
    </xf>
    <xf numFmtId="165" fontId="16" fillId="2" borderId="86" xfId="0" applyNumberFormat="1" applyFont="1" applyFill="1" applyBorder="1" applyProtection="1"/>
    <xf numFmtId="0" fontId="16" fillId="2" borderId="86" xfId="0" applyFont="1" applyFill="1" applyBorder="1" applyProtection="1"/>
    <xf numFmtId="0" fontId="3" fillId="2" borderId="67" xfId="0" quotePrefix="1" applyFont="1" applyFill="1" applyBorder="1" applyAlignment="1">
      <alignment vertical="top"/>
    </xf>
    <xf numFmtId="0" fontId="3" fillId="2" borderId="67" xfId="0" applyFont="1" applyFill="1" applyBorder="1" applyAlignment="1">
      <alignment vertical="center" wrapText="1"/>
    </xf>
    <xf numFmtId="166" fontId="3" fillId="2" borderId="67" xfId="1" applyFont="1" applyFill="1" applyBorder="1" applyAlignment="1">
      <alignment horizontal="center" vertical="center"/>
    </xf>
    <xf numFmtId="3" fontId="3" fillId="2" borderId="67" xfId="0" applyNumberFormat="1" applyFont="1" applyFill="1" applyBorder="1" applyAlignment="1">
      <alignment vertical="center"/>
    </xf>
    <xf numFmtId="172" fontId="3" fillId="2" borderId="91" xfId="1" applyNumberFormat="1" applyFont="1" applyFill="1" applyBorder="1" applyAlignment="1">
      <alignment horizontal="center" vertical="center"/>
    </xf>
    <xf numFmtId="172" fontId="0" fillId="2" borderId="86" xfId="0" applyNumberFormat="1" applyFill="1" applyBorder="1" applyProtection="1"/>
    <xf numFmtId="0" fontId="0" fillId="2" borderId="67" xfId="0" applyFont="1" applyFill="1" applyBorder="1" applyProtection="1"/>
    <xf numFmtId="0" fontId="13" fillId="2" borderId="66" xfId="0" applyFont="1" applyFill="1" applyBorder="1" applyAlignment="1">
      <alignment horizontal="center" vertical="top"/>
    </xf>
    <xf numFmtId="0" fontId="3" fillId="2" borderId="67" xfId="0" applyFont="1" applyFill="1" applyBorder="1" applyAlignment="1">
      <alignment horizontal="left" vertical="top" wrapText="1"/>
    </xf>
    <xf numFmtId="172" fontId="3" fillId="2" borderId="69" xfId="1" applyNumberFormat="1" applyFont="1" applyFill="1" applyBorder="1" applyAlignment="1">
      <alignment vertical="center"/>
    </xf>
    <xf numFmtId="183" fontId="93" fillId="2" borderId="67" xfId="0" applyNumberFormat="1" applyFont="1" applyFill="1" applyBorder="1" applyAlignment="1" applyProtection="1">
      <alignment horizontal="right" vertical="top" wrapText="1"/>
    </xf>
    <xf numFmtId="172" fontId="0" fillId="2" borderId="67" xfId="0" applyNumberFormat="1" applyFill="1" applyBorder="1" applyProtection="1"/>
    <xf numFmtId="0" fontId="13" fillId="2" borderId="100" xfId="0" applyFont="1" applyFill="1" applyBorder="1" applyAlignment="1">
      <alignment horizontal="center" vertical="top"/>
    </xf>
    <xf numFmtId="0" fontId="13" fillId="2" borderId="101" xfId="0" applyFont="1" applyFill="1" applyBorder="1" applyAlignment="1">
      <alignment horizontal="center" vertical="top"/>
    </xf>
    <xf numFmtId="0" fontId="13" fillId="2" borderId="101" xfId="0" quotePrefix="1" applyFont="1" applyFill="1" applyBorder="1" applyAlignment="1">
      <alignment horizontal="center" vertical="top"/>
    </xf>
    <xf numFmtId="0" fontId="13" fillId="2" borderId="101" xfId="0" applyFont="1" applyFill="1" applyBorder="1" applyAlignment="1">
      <alignment horizontal="center"/>
    </xf>
    <xf numFmtId="0" fontId="3" fillId="2" borderId="101" xfId="0" applyFont="1" applyFill="1" applyBorder="1" applyAlignment="1">
      <alignment horizontal="center" vertical="center"/>
    </xf>
    <xf numFmtId="0" fontId="0" fillId="2" borderId="101" xfId="0" applyFill="1" applyBorder="1" applyProtection="1"/>
    <xf numFmtId="0" fontId="3" fillId="2" borderId="101" xfId="0" applyFont="1" applyFill="1" applyBorder="1" applyAlignment="1">
      <alignment vertical="center" wrapText="1"/>
    </xf>
    <xf numFmtId="0" fontId="3" fillId="2" borderId="30" xfId="0" applyFont="1" applyFill="1" applyBorder="1" applyAlignment="1">
      <alignment horizontal="left" vertical="top"/>
    </xf>
    <xf numFmtId="166" fontId="3" fillId="2" borderId="30" xfId="1" applyFont="1" applyFill="1" applyBorder="1" applyAlignment="1">
      <alignment vertical="center"/>
    </xf>
    <xf numFmtId="0" fontId="3" fillId="2" borderId="30" xfId="0" applyFont="1" applyFill="1" applyBorder="1" applyAlignment="1">
      <alignment horizontal="center" vertical="center"/>
    </xf>
    <xf numFmtId="3" fontId="3" fillId="2" borderId="30" xfId="0" applyNumberFormat="1" applyFont="1" applyFill="1" applyBorder="1" applyAlignment="1">
      <alignment vertical="center"/>
    </xf>
    <xf numFmtId="172" fontId="3" fillId="2" borderId="69" xfId="0" applyNumberFormat="1" applyFont="1" applyFill="1" applyBorder="1" applyAlignment="1">
      <alignment vertical="center"/>
    </xf>
    <xf numFmtId="172" fontId="0" fillId="2" borderId="30" xfId="0" applyNumberFormat="1" applyFill="1" applyBorder="1" applyProtection="1"/>
    <xf numFmtId="172" fontId="3" fillId="2" borderId="87" xfId="0" applyNumberFormat="1" applyFont="1" applyFill="1" applyBorder="1" applyAlignment="1">
      <alignment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101" xfId="0" quotePrefix="1" applyFont="1" applyFill="1" applyBorder="1" applyAlignment="1">
      <alignment horizontal="center" vertical="center"/>
    </xf>
    <xf numFmtId="166" fontId="3" fillId="2" borderId="101" xfId="1" applyFont="1" applyFill="1" applyBorder="1" applyAlignment="1">
      <alignment horizontal="center" vertical="center" wrapText="1"/>
    </xf>
    <xf numFmtId="39" fontId="3" fillId="2" borderId="101" xfId="0" applyNumberFormat="1" applyFont="1" applyFill="1" applyBorder="1" applyAlignment="1">
      <alignment horizontal="center" vertical="center" wrapText="1"/>
    </xf>
    <xf numFmtId="165" fontId="3" fillId="2" borderId="101" xfId="2" applyFont="1" applyFill="1" applyBorder="1" applyAlignment="1">
      <alignment vertical="center" wrapText="1"/>
    </xf>
    <xf numFmtId="166" fontId="3" fillId="2" borderId="69" xfId="2" applyNumberFormat="1" applyFont="1" applyFill="1" applyBorder="1" applyAlignment="1">
      <alignment vertical="center" wrapText="1"/>
    </xf>
    <xf numFmtId="165" fontId="3" fillId="2" borderId="67" xfId="2" applyFont="1" applyFill="1" applyBorder="1" applyAlignment="1">
      <alignment vertical="center" wrapText="1"/>
    </xf>
    <xf numFmtId="172" fontId="93" fillId="2" borderId="67" xfId="0" applyNumberFormat="1" applyFont="1" applyFill="1" applyBorder="1" applyAlignment="1" applyProtection="1">
      <alignment horizontal="left" vertical="top" wrapText="1"/>
    </xf>
    <xf numFmtId="0" fontId="13" fillId="2" borderId="71" xfId="0" applyFont="1" applyFill="1" applyBorder="1" applyAlignment="1">
      <alignment horizontal="center"/>
    </xf>
    <xf numFmtId="0" fontId="13" fillId="2" borderId="67" xfId="0" quotePrefix="1" applyFont="1" applyFill="1" applyBorder="1" applyAlignment="1">
      <alignment horizontal="center"/>
    </xf>
    <xf numFmtId="166" fontId="3" fillId="2" borderId="67" xfId="1" applyFont="1" applyFill="1" applyBorder="1" applyAlignment="1">
      <alignment horizontal="center" vertical="center" wrapText="1"/>
    </xf>
    <xf numFmtId="0" fontId="3" fillId="2" borderId="67" xfId="0" applyFont="1" applyFill="1" applyBorder="1" applyAlignment="1">
      <alignment horizontal="center" vertical="center" wrapText="1"/>
    </xf>
    <xf numFmtId="165" fontId="3" fillId="2" borderId="67" xfId="2" applyNumberFormat="1" applyFont="1" applyFill="1" applyBorder="1" applyAlignment="1">
      <alignment vertical="center" wrapText="1"/>
    </xf>
    <xf numFmtId="170" fontId="3" fillId="2" borderId="63" xfId="2" applyNumberFormat="1" applyFont="1" applyFill="1" applyBorder="1" applyAlignment="1">
      <alignment horizontal="center" vertical="center"/>
    </xf>
    <xf numFmtId="166" fontId="3" fillId="2" borderId="83" xfId="1" applyFont="1" applyFill="1" applyBorder="1"/>
    <xf numFmtId="166" fontId="3" fillId="2" borderId="86" xfId="1" applyFont="1" applyFill="1" applyBorder="1"/>
    <xf numFmtId="166" fontId="19" fillId="2" borderId="67" xfId="1" applyFont="1" applyFill="1" applyBorder="1"/>
    <xf numFmtId="4" fontId="3" fillId="2" borderId="67" xfId="0" applyNumberFormat="1" applyFont="1" applyFill="1" applyBorder="1"/>
    <xf numFmtId="170" fontId="85" fillId="2" borderId="67" xfId="0" applyNumberFormat="1" applyFont="1" applyFill="1" applyBorder="1" applyAlignment="1" applyProtection="1">
      <alignment horizontal="left" vertical="top" wrapText="1"/>
    </xf>
    <xf numFmtId="0" fontId="3" fillId="2" borderId="67" xfId="0" applyFont="1" applyFill="1" applyBorder="1"/>
    <xf numFmtId="0" fontId="13" fillId="2" borderId="67" xfId="0" applyFont="1" applyFill="1" applyBorder="1" applyAlignment="1">
      <alignment vertical="center" wrapText="1"/>
    </xf>
    <xf numFmtId="172" fontId="16" fillId="2" borderId="67" xfId="1" applyNumberFormat="1" applyFont="1" applyFill="1" applyBorder="1"/>
    <xf numFmtId="170" fontId="3" fillId="2" borderId="91" xfId="2" applyNumberFormat="1" applyFont="1" applyFill="1" applyBorder="1" applyAlignment="1">
      <alignment horizontal="center" vertical="center"/>
    </xf>
    <xf numFmtId="170" fontId="86" fillId="2" borderId="67" xfId="0" applyNumberFormat="1" applyFont="1" applyFill="1" applyBorder="1" applyProtection="1"/>
    <xf numFmtId="183" fontId="139" fillId="2" borderId="67" xfId="0" applyNumberFormat="1" applyFont="1" applyFill="1" applyBorder="1" applyProtection="1"/>
    <xf numFmtId="0" fontId="139" fillId="2" borderId="67" xfId="0" applyFont="1" applyFill="1" applyBorder="1" applyProtection="1"/>
    <xf numFmtId="165" fontId="16" fillId="2" borderId="67" xfId="2" applyFont="1" applyFill="1" applyBorder="1"/>
    <xf numFmtId="173" fontId="3" fillId="2" borderId="30" xfId="0" applyNumberFormat="1" applyFont="1" applyFill="1" applyBorder="1" applyAlignment="1">
      <alignment horizontal="right"/>
    </xf>
    <xf numFmtId="4" fontId="3" fillId="2" borderId="31" xfId="0" applyNumberFormat="1" applyFont="1" applyFill="1" applyBorder="1" applyAlignment="1">
      <alignment vertical="center"/>
    </xf>
    <xf numFmtId="4" fontId="123" fillId="2" borderId="86" xfId="0" applyNumberFormat="1" applyFont="1" applyFill="1" applyBorder="1" applyProtection="1"/>
    <xf numFmtId="166" fontId="123" fillId="2" borderId="67" xfId="1" applyFont="1" applyFill="1" applyBorder="1" applyProtection="1"/>
    <xf numFmtId="0" fontId="123" fillId="2" borderId="67" xfId="0" applyFont="1" applyFill="1" applyBorder="1" applyProtection="1"/>
    <xf numFmtId="3" fontId="3" fillId="2" borderId="30" xfId="0" applyNumberFormat="1" applyFont="1" applyFill="1" applyBorder="1" applyAlignment="1">
      <alignment horizontal="right"/>
    </xf>
    <xf numFmtId="4" fontId="3" fillId="2" borderId="69" xfId="0" applyNumberFormat="1" applyFont="1" applyFill="1" applyBorder="1" applyAlignment="1">
      <alignment vertical="center"/>
    </xf>
    <xf numFmtId="183" fontId="124" fillId="2" borderId="67" xfId="0" applyNumberFormat="1" applyFont="1" applyFill="1" applyBorder="1" applyAlignment="1" applyProtection="1">
      <alignment horizontal="right" vertical="top" wrapText="1"/>
    </xf>
    <xf numFmtId="183" fontId="93" fillId="0" borderId="67" xfId="0" applyNumberFormat="1" applyFont="1" applyFill="1" applyBorder="1" applyAlignment="1" applyProtection="1">
      <alignment horizontal="right" vertical="center" wrapText="1"/>
    </xf>
    <xf numFmtId="172" fontId="0" fillId="0" borderId="86" xfId="1" applyNumberFormat="1" applyFont="1" applyFill="1" applyBorder="1" applyAlignment="1" applyProtection="1">
      <alignment vertical="center"/>
    </xf>
    <xf numFmtId="0" fontId="0" fillId="0" borderId="67" xfId="0" applyFont="1" applyFill="1" applyBorder="1" applyAlignment="1" applyProtection="1">
      <alignment vertical="center"/>
    </xf>
    <xf numFmtId="172" fontId="22" fillId="0" borderId="67" xfId="1" applyNumberFormat="1" applyFont="1" applyFill="1" applyBorder="1" applyAlignment="1">
      <alignment vertical="center"/>
    </xf>
    <xf numFmtId="165" fontId="3" fillId="0" borderId="31" xfId="2" applyNumberFormat="1" applyFont="1" applyFill="1" applyBorder="1" applyAlignment="1">
      <alignment horizontal="center" vertical="center"/>
    </xf>
    <xf numFmtId="183" fontId="93" fillId="0" borderId="25" xfId="0" applyNumberFormat="1" applyFont="1" applyFill="1" applyBorder="1" applyAlignment="1" applyProtection="1">
      <alignment horizontal="right" vertical="center" wrapText="1"/>
    </xf>
    <xf numFmtId="172" fontId="0" fillId="0" borderId="15" xfId="1" applyNumberFormat="1" applyFont="1" applyFill="1" applyBorder="1" applyAlignment="1" applyProtection="1">
      <alignment vertical="center"/>
    </xf>
    <xf numFmtId="0" fontId="0" fillId="0" borderId="25" xfId="0" applyFill="1" applyBorder="1" applyAlignment="1" applyProtection="1">
      <alignment vertical="center"/>
    </xf>
    <xf numFmtId="170" fontId="0" fillId="0" borderId="25" xfId="0" applyNumberFormat="1" applyFill="1" applyBorder="1" applyAlignment="1" applyProtection="1">
      <alignment vertical="center"/>
    </xf>
    <xf numFmtId="172" fontId="93" fillId="0" borderId="86" xfId="1" applyNumberFormat="1" applyFont="1" applyFill="1" applyBorder="1" applyAlignment="1" applyProtection="1">
      <alignment horizontal="right" vertical="center" wrapText="1"/>
    </xf>
    <xf numFmtId="0" fontId="93" fillId="0" borderId="67" xfId="0" applyFont="1" applyFill="1" applyBorder="1" applyAlignment="1" applyProtection="1">
      <alignment horizontal="left" vertical="center" wrapText="1"/>
    </xf>
    <xf numFmtId="170" fontId="3" fillId="0" borderId="102" xfId="2" applyNumberFormat="1" applyFont="1" applyFill="1" applyBorder="1" applyAlignment="1">
      <alignment horizontal="center" vertical="center"/>
    </xf>
    <xf numFmtId="0" fontId="3" fillId="2" borderId="101" xfId="0" applyFont="1" applyFill="1" applyBorder="1" applyAlignment="1">
      <alignment horizontal="left" vertical="center" wrapText="1"/>
    </xf>
    <xf numFmtId="166" fontId="3" fillId="2" borderId="101" xfId="1" applyFont="1" applyFill="1" applyBorder="1" applyAlignment="1">
      <alignment horizontal="center"/>
    </xf>
    <xf numFmtId="0" fontId="3" fillId="2" borderId="101" xfId="0" applyFont="1" applyFill="1" applyBorder="1" applyAlignment="1">
      <alignment horizontal="center"/>
    </xf>
    <xf numFmtId="3" fontId="3" fillId="2" borderId="101" xfId="0" applyNumberFormat="1" applyFont="1" applyFill="1" applyBorder="1" applyAlignment="1">
      <alignment horizontal="right" vertical="center"/>
    </xf>
    <xf numFmtId="0" fontId="3" fillId="36" borderId="101" xfId="0" applyFont="1" applyFill="1" applyBorder="1" applyAlignment="1">
      <alignment horizontal="left" vertical="center" wrapText="1"/>
    </xf>
    <xf numFmtId="166" fontId="3" fillId="36" borderId="101" xfId="1" applyFont="1" applyFill="1" applyBorder="1" applyAlignment="1">
      <alignment horizontal="center"/>
    </xf>
    <xf numFmtId="0" fontId="3" fillId="36" borderId="101" xfId="0" applyFont="1" applyFill="1" applyBorder="1" applyAlignment="1">
      <alignment horizontal="center"/>
    </xf>
    <xf numFmtId="3" fontId="3" fillId="36" borderId="101" xfId="0" applyNumberFormat="1" applyFont="1" applyFill="1" applyBorder="1" applyAlignment="1">
      <alignment horizontal="right" vertical="center"/>
    </xf>
    <xf numFmtId="0" fontId="3" fillId="37" borderId="101" xfId="0" applyFont="1" applyFill="1" applyBorder="1" applyAlignment="1">
      <alignment horizontal="left" vertical="center" wrapText="1"/>
    </xf>
    <xf numFmtId="0" fontId="3" fillId="37" borderId="101" xfId="0" applyFont="1" applyFill="1" applyBorder="1" applyAlignment="1">
      <alignment horizontal="center"/>
    </xf>
    <xf numFmtId="3" fontId="3" fillId="37" borderId="101" xfId="0" applyNumberFormat="1" applyFont="1" applyFill="1" applyBorder="1" applyAlignment="1">
      <alignment horizontal="right" vertical="center"/>
    </xf>
    <xf numFmtId="0" fontId="3" fillId="38" borderId="101" xfId="0" applyFont="1" applyFill="1" applyBorder="1" applyAlignment="1">
      <alignment horizontal="left" vertical="center" wrapText="1"/>
    </xf>
    <xf numFmtId="0" fontId="3" fillId="38" borderId="101" xfId="0" applyFont="1" applyFill="1" applyBorder="1" applyAlignment="1">
      <alignment horizontal="center"/>
    </xf>
    <xf numFmtId="3" fontId="3" fillId="38" borderId="101" xfId="0" applyNumberFormat="1" applyFont="1" applyFill="1" applyBorder="1" applyAlignment="1">
      <alignment horizontal="right" vertical="center"/>
    </xf>
    <xf numFmtId="0" fontId="3" fillId="39" borderId="101" xfId="0" applyFont="1" applyFill="1" applyBorder="1" applyAlignment="1">
      <alignment horizontal="left" vertical="center" wrapText="1"/>
    </xf>
    <xf numFmtId="0" fontId="3" fillId="39" borderId="101" xfId="0" applyFont="1" applyFill="1" applyBorder="1" applyAlignment="1">
      <alignment horizontal="center"/>
    </xf>
    <xf numFmtId="3" fontId="3" fillId="39" borderId="101" xfId="0" applyNumberFormat="1" applyFont="1" applyFill="1" applyBorder="1" applyAlignment="1">
      <alignment horizontal="right" vertical="center"/>
    </xf>
    <xf numFmtId="0" fontId="3" fillId="40" borderId="101" xfId="0" applyFont="1" applyFill="1" applyBorder="1" applyAlignment="1">
      <alignment horizontal="left" vertical="center" wrapText="1"/>
    </xf>
    <xf numFmtId="166" fontId="3" fillId="40" borderId="101" xfId="1" applyFont="1" applyFill="1" applyBorder="1" applyAlignment="1">
      <alignment horizontal="center"/>
    </xf>
    <xf numFmtId="0" fontId="3" fillId="40" borderId="101" xfId="0" applyFont="1" applyFill="1" applyBorder="1" applyAlignment="1">
      <alignment horizontal="center"/>
    </xf>
    <xf numFmtId="3" fontId="3" fillId="40" borderId="101" xfId="0" applyNumberFormat="1" applyFont="1" applyFill="1" applyBorder="1" applyAlignment="1">
      <alignment horizontal="right" vertical="center"/>
    </xf>
    <xf numFmtId="0" fontId="3" fillId="41" borderId="101" xfId="0" applyFont="1" applyFill="1" applyBorder="1" applyAlignment="1">
      <alignment horizontal="left" vertical="center" wrapText="1"/>
    </xf>
    <xf numFmtId="166" fontId="3" fillId="41" borderId="101" xfId="1" applyFont="1" applyFill="1" applyBorder="1" applyAlignment="1">
      <alignment horizontal="center"/>
    </xf>
    <xf numFmtId="0" fontId="3" fillId="41" borderId="101" xfId="0" applyFont="1" applyFill="1" applyBorder="1" applyAlignment="1">
      <alignment horizontal="center"/>
    </xf>
    <xf numFmtId="3" fontId="3" fillId="41" borderId="101" xfId="0" applyNumberFormat="1" applyFont="1" applyFill="1" applyBorder="1" applyAlignment="1">
      <alignment horizontal="right" vertical="center"/>
    </xf>
    <xf numFmtId="0" fontId="16" fillId="0" borderId="101" xfId="0" applyFont="1" applyFill="1" applyBorder="1"/>
    <xf numFmtId="170" fontId="86" fillId="0" borderId="101" xfId="0" applyNumberFormat="1" applyFont="1" applyFill="1" applyBorder="1" applyProtection="1"/>
    <xf numFmtId="183" fontId="139" fillId="0" borderId="101" xfId="0" applyNumberFormat="1" applyFont="1" applyFill="1" applyBorder="1" applyProtection="1"/>
    <xf numFmtId="0" fontId="139" fillId="0" borderId="101" xfId="0" applyFont="1" applyFill="1" applyBorder="1" applyProtection="1"/>
    <xf numFmtId="0" fontId="16" fillId="2" borderId="101" xfId="0" applyFont="1" applyFill="1" applyBorder="1"/>
    <xf numFmtId="166" fontId="16" fillId="2" borderId="101" xfId="1" applyFont="1" applyFill="1" applyBorder="1" applyAlignment="1">
      <alignment horizontal="center"/>
    </xf>
    <xf numFmtId="0" fontId="16" fillId="2" borderId="101" xfId="0" applyFont="1" applyFill="1" applyBorder="1" applyAlignment="1">
      <alignment horizontal="center"/>
    </xf>
    <xf numFmtId="172" fontId="16" fillId="2" borderId="101" xfId="1" applyNumberFormat="1" applyFont="1" applyFill="1" applyBorder="1"/>
    <xf numFmtId="165" fontId="3" fillId="2" borderId="91" xfId="2" applyNumberFormat="1" applyFont="1" applyFill="1" applyBorder="1" applyAlignment="1">
      <alignment horizontal="center" vertical="center"/>
    </xf>
    <xf numFmtId="165" fontId="16" fillId="2" borderId="101" xfId="2" applyFont="1" applyFill="1" applyBorder="1"/>
    <xf numFmtId="0" fontId="16" fillId="36" borderId="101" xfId="0" applyFont="1" applyFill="1" applyBorder="1"/>
    <xf numFmtId="166" fontId="16" fillId="36" borderId="101" xfId="1" applyFont="1" applyFill="1" applyBorder="1" applyAlignment="1">
      <alignment horizontal="center"/>
    </xf>
    <xf numFmtId="0" fontId="16" fillId="36" borderId="101" xfId="0" applyFont="1" applyFill="1" applyBorder="1" applyAlignment="1">
      <alignment horizontal="center"/>
    </xf>
    <xf numFmtId="172" fontId="16" fillId="36" borderId="101" xfId="1" applyNumberFormat="1" applyFont="1" applyFill="1" applyBorder="1"/>
    <xf numFmtId="165" fontId="3" fillId="36" borderId="91" xfId="2" applyNumberFormat="1" applyFont="1" applyFill="1" applyBorder="1" applyAlignment="1">
      <alignment horizontal="center" vertical="center"/>
    </xf>
    <xf numFmtId="165" fontId="16" fillId="36" borderId="101" xfId="2" applyFont="1" applyFill="1" applyBorder="1"/>
    <xf numFmtId="0" fontId="16" fillId="40" borderId="101" xfId="0" applyFont="1" applyFill="1" applyBorder="1"/>
    <xf numFmtId="166" fontId="16" fillId="40" borderId="101" xfId="1" applyFont="1" applyFill="1" applyBorder="1" applyAlignment="1">
      <alignment horizontal="center"/>
    </xf>
    <xf numFmtId="0" fontId="16" fillId="40" borderId="101" xfId="0" applyFont="1" applyFill="1" applyBorder="1" applyAlignment="1">
      <alignment horizontal="center"/>
    </xf>
    <xf numFmtId="172" fontId="16" fillId="40" borderId="101" xfId="1" applyNumberFormat="1" applyFont="1" applyFill="1" applyBorder="1"/>
    <xf numFmtId="165" fontId="3" fillId="40" borderId="91" xfId="2" applyNumberFormat="1" applyFont="1" applyFill="1" applyBorder="1" applyAlignment="1">
      <alignment horizontal="center" vertical="center"/>
    </xf>
    <xf numFmtId="165" fontId="16" fillId="40" borderId="101" xfId="2" applyFont="1" applyFill="1" applyBorder="1"/>
    <xf numFmtId="0" fontId="16" fillId="41" borderId="101" xfId="0" applyFont="1" applyFill="1" applyBorder="1"/>
    <xf numFmtId="166" fontId="16" fillId="41" borderId="101" xfId="1" applyFont="1" applyFill="1" applyBorder="1" applyAlignment="1">
      <alignment horizontal="center"/>
    </xf>
    <xf numFmtId="0" fontId="16" fillId="41" borderId="101" xfId="0" applyFont="1" applyFill="1" applyBorder="1" applyAlignment="1">
      <alignment horizontal="center"/>
    </xf>
    <xf numFmtId="172" fontId="16" fillId="41" borderId="101" xfId="1" applyNumberFormat="1" applyFont="1" applyFill="1" applyBorder="1"/>
    <xf numFmtId="165" fontId="3" fillId="41" borderId="91" xfId="2" applyNumberFormat="1" applyFont="1" applyFill="1" applyBorder="1" applyAlignment="1">
      <alignment horizontal="center" vertical="center"/>
    </xf>
    <xf numFmtId="165" fontId="16" fillId="41" borderId="101" xfId="2" applyFont="1" applyFill="1" applyBorder="1"/>
    <xf numFmtId="0" fontId="15" fillId="0" borderId="101" xfId="0" applyFont="1" applyFill="1" applyBorder="1"/>
    <xf numFmtId="166" fontId="16" fillId="0" borderId="101" xfId="1" applyFont="1" applyFill="1" applyBorder="1" applyAlignment="1">
      <alignment horizontal="center"/>
    </xf>
    <xf numFmtId="0" fontId="16" fillId="0" borderId="101" xfId="0" applyFont="1" applyFill="1" applyBorder="1" applyAlignment="1">
      <alignment horizontal="center"/>
    </xf>
    <xf numFmtId="172" fontId="16" fillId="0" borderId="101" xfId="1" applyNumberFormat="1" applyFont="1" applyFill="1" applyBorder="1"/>
    <xf numFmtId="165" fontId="16" fillId="0" borderId="101" xfId="2" applyFont="1" applyFill="1" applyBorder="1"/>
    <xf numFmtId="0" fontId="3" fillId="0" borderId="101" xfId="0" quotePrefix="1" applyFont="1" applyFill="1" applyBorder="1" applyAlignment="1">
      <alignment horizontal="center"/>
    </xf>
    <xf numFmtId="0" fontId="3" fillId="2" borderId="101" xfId="0" applyFont="1" applyFill="1" applyBorder="1" applyAlignment="1">
      <alignment horizontal="left" wrapText="1"/>
    </xf>
    <xf numFmtId="165" fontId="3" fillId="2" borderId="91" xfId="2" applyNumberFormat="1" applyFont="1" applyFill="1" applyBorder="1" applyAlignment="1">
      <alignment horizontal="center" vertical="top"/>
    </xf>
    <xf numFmtId="0" fontId="3" fillId="2" borderId="101" xfId="0" applyFont="1" applyFill="1" applyBorder="1" applyAlignment="1">
      <alignment horizontal="left"/>
    </xf>
    <xf numFmtId="0" fontId="3" fillId="36" borderId="101" xfId="0" applyFont="1" applyFill="1" applyBorder="1" applyAlignment="1">
      <alignment horizontal="left" wrapText="1"/>
    </xf>
    <xf numFmtId="165" fontId="3" fillId="36" borderId="91" xfId="2" applyNumberFormat="1" applyFont="1" applyFill="1" applyBorder="1" applyAlignment="1">
      <alignment horizontal="center" vertical="top"/>
    </xf>
    <xf numFmtId="0" fontId="3" fillId="36" borderId="101" xfId="0" applyFont="1" applyFill="1" applyBorder="1" applyAlignment="1">
      <alignment horizontal="left"/>
    </xf>
    <xf numFmtId="0" fontId="3" fillId="42" borderId="101" xfId="0" applyFont="1" applyFill="1" applyBorder="1" applyAlignment="1">
      <alignment horizontal="left" wrapText="1"/>
    </xf>
    <xf numFmtId="165" fontId="3" fillId="42" borderId="91" xfId="2" applyNumberFormat="1" applyFont="1" applyFill="1" applyBorder="1" applyAlignment="1">
      <alignment horizontal="center" vertical="center"/>
    </xf>
    <xf numFmtId="0" fontId="3" fillId="37" borderId="101" xfId="0" applyFont="1" applyFill="1" applyBorder="1" applyAlignment="1">
      <alignment horizontal="left" wrapText="1"/>
    </xf>
    <xf numFmtId="165" fontId="3" fillId="37" borderId="91" xfId="2" applyNumberFormat="1" applyFont="1" applyFill="1" applyBorder="1" applyAlignment="1">
      <alignment horizontal="center" vertical="center"/>
    </xf>
    <xf numFmtId="0" fontId="3" fillId="38" borderId="101" xfId="0" applyFont="1" applyFill="1" applyBorder="1" applyAlignment="1">
      <alignment horizontal="left" wrapText="1"/>
    </xf>
    <xf numFmtId="165" fontId="3" fillId="38" borderId="91" xfId="2" applyNumberFormat="1" applyFont="1" applyFill="1" applyBorder="1" applyAlignment="1">
      <alignment horizontal="center" vertical="center"/>
    </xf>
    <xf numFmtId="0" fontId="3" fillId="39" borderId="101" xfId="0" applyFont="1" applyFill="1" applyBorder="1" applyAlignment="1">
      <alignment horizontal="left" wrapText="1"/>
    </xf>
    <xf numFmtId="165" fontId="3" fillId="39" borderId="91" xfId="2" applyNumberFormat="1" applyFont="1" applyFill="1" applyBorder="1" applyAlignment="1">
      <alignment horizontal="center" vertical="center"/>
    </xf>
    <xf numFmtId="0" fontId="3" fillId="40" borderId="101" xfId="0" applyFont="1" applyFill="1" applyBorder="1" applyAlignment="1">
      <alignment horizontal="left" wrapText="1"/>
    </xf>
    <xf numFmtId="0" fontId="3" fillId="43" borderId="101" xfId="0" applyFont="1" applyFill="1" applyBorder="1" applyAlignment="1">
      <alignment horizontal="left" wrapText="1"/>
    </xf>
    <xf numFmtId="165" fontId="3" fillId="43" borderId="91" xfId="2" applyNumberFormat="1" applyFont="1" applyFill="1" applyBorder="1" applyAlignment="1">
      <alignment horizontal="center" vertical="center"/>
    </xf>
    <xf numFmtId="0" fontId="3" fillId="41" borderId="101" xfId="0" applyFont="1" applyFill="1" applyBorder="1" applyAlignment="1">
      <alignment horizontal="left" wrapText="1"/>
    </xf>
    <xf numFmtId="0" fontId="13" fillId="0" borderId="101" xfId="0" applyFont="1" applyFill="1" applyBorder="1" applyAlignment="1">
      <alignment horizontal="left" wrapText="1"/>
    </xf>
    <xf numFmtId="166" fontId="13" fillId="0" borderId="101" xfId="1" applyFont="1" applyFill="1" applyBorder="1" applyAlignment="1">
      <alignment horizontal="center"/>
    </xf>
    <xf numFmtId="3" fontId="13" fillId="0" borderId="101" xfId="0" applyNumberFormat="1" applyFont="1" applyFill="1" applyBorder="1" applyAlignment="1">
      <alignment horizontal="center" vertical="center"/>
    </xf>
    <xf numFmtId="170" fontId="13" fillId="0" borderId="102" xfId="2" applyNumberFormat="1" applyFont="1" applyFill="1" applyBorder="1" applyAlignment="1">
      <alignment horizontal="center"/>
    </xf>
    <xf numFmtId="183" fontId="91" fillId="0" borderId="101" xfId="0" applyNumberFormat="1" applyFont="1" applyFill="1" applyBorder="1" applyAlignment="1" applyProtection="1">
      <alignment horizontal="right" vertical="top" wrapText="1"/>
    </xf>
    <xf numFmtId="0" fontId="13" fillId="0" borderId="101" xfId="0" applyFont="1" applyFill="1" applyBorder="1" applyAlignment="1">
      <alignment horizontal="left" vertical="top" wrapText="1"/>
    </xf>
    <xf numFmtId="166" fontId="13" fillId="0" borderId="101" xfId="1" applyFont="1" applyFill="1" applyBorder="1" applyAlignment="1">
      <alignment horizontal="center" vertical="top" wrapText="1"/>
    </xf>
    <xf numFmtId="0" fontId="13" fillId="0" borderId="101" xfId="0" applyFont="1" applyFill="1" applyBorder="1" applyAlignment="1">
      <alignment horizontal="center" vertical="top" wrapText="1"/>
    </xf>
    <xf numFmtId="3" fontId="13" fillId="0" borderId="101" xfId="0" applyNumberFormat="1" applyFont="1" applyFill="1" applyBorder="1" applyAlignment="1">
      <alignment horizontal="center" vertical="top" wrapText="1"/>
    </xf>
    <xf numFmtId="170" fontId="13" fillId="0" borderId="102" xfId="2" applyNumberFormat="1" applyFont="1" applyFill="1" applyBorder="1" applyAlignment="1">
      <alignment horizontal="center" vertical="center"/>
    </xf>
    <xf numFmtId="0" fontId="3" fillId="36" borderId="0" xfId="0" applyFont="1" applyFill="1"/>
    <xf numFmtId="0" fontId="3" fillId="36" borderId="100" xfId="0" applyFont="1" applyFill="1" applyBorder="1" applyAlignment="1">
      <alignment horizontal="center" vertical="center"/>
    </xf>
    <xf numFmtId="0" fontId="3" fillId="36" borderId="101" xfId="0" applyFont="1" applyFill="1" applyBorder="1" applyAlignment="1">
      <alignment horizontal="center" vertical="center"/>
    </xf>
    <xf numFmtId="0" fontId="3" fillId="36" borderId="101" xfId="0" quotePrefix="1" applyFont="1" applyFill="1" applyBorder="1" applyAlignment="1">
      <alignment horizontal="center" vertical="center"/>
    </xf>
    <xf numFmtId="0" fontId="3" fillId="36" borderId="101" xfId="0" applyFont="1" applyFill="1" applyBorder="1" applyAlignment="1">
      <alignment horizontal="left" vertical="top" wrapText="1"/>
    </xf>
    <xf numFmtId="183" fontId="93" fillId="36" borderId="101" xfId="0" applyNumberFormat="1" applyFont="1" applyFill="1" applyBorder="1" applyAlignment="1" applyProtection="1">
      <alignment horizontal="right" vertical="top" wrapText="1"/>
    </xf>
    <xf numFmtId="0" fontId="93" fillId="36" borderId="101" xfId="0" applyFont="1" applyFill="1" applyBorder="1" applyAlignment="1" applyProtection="1">
      <alignment horizontal="left" vertical="top" wrapText="1"/>
    </xf>
    <xf numFmtId="166" fontId="3" fillId="36" borderId="0" xfId="1" applyFont="1" applyFill="1"/>
    <xf numFmtId="172" fontId="3" fillId="2" borderId="101" xfId="1" applyNumberFormat="1" applyFont="1" applyFill="1" applyBorder="1" applyAlignment="1">
      <alignment horizontal="center" vertical="center"/>
    </xf>
    <xf numFmtId="172" fontId="3" fillId="36" borderId="101" xfId="1" applyNumberFormat="1" applyFont="1" applyFill="1" applyBorder="1" applyAlignment="1">
      <alignment horizontal="center" vertical="center"/>
    </xf>
    <xf numFmtId="166" fontId="3" fillId="42" borderId="101" xfId="1" applyFont="1" applyFill="1" applyBorder="1" applyAlignment="1">
      <alignment horizontal="center"/>
    </xf>
    <xf numFmtId="0" fontId="3" fillId="42" borderId="101" xfId="0" applyFont="1" applyFill="1" applyBorder="1" applyAlignment="1">
      <alignment horizontal="center"/>
    </xf>
    <xf numFmtId="172" fontId="3" fillId="42" borderId="101" xfId="1" applyNumberFormat="1" applyFont="1" applyFill="1" applyBorder="1" applyAlignment="1">
      <alignment horizontal="center" vertical="center"/>
    </xf>
    <xf numFmtId="172" fontId="3" fillId="37" borderId="101" xfId="1" applyNumberFormat="1" applyFont="1" applyFill="1" applyBorder="1" applyAlignment="1">
      <alignment horizontal="center" vertical="center"/>
    </xf>
    <xf numFmtId="172" fontId="3" fillId="38" borderId="101" xfId="1" applyNumberFormat="1" applyFont="1" applyFill="1" applyBorder="1" applyAlignment="1">
      <alignment horizontal="center" vertical="center"/>
    </xf>
    <xf numFmtId="172" fontId="3" fillId="39" borderId="101" xfId="1" applyNumberFormat="1" applyFont="1" applyFill="1" applyBorder="1" applyAlignment="1">
      <alignment horizontal="center" vertical="center"/>
    </xf>
    <xf numFmtId="0" fontId="3" fillId="43" borderId="101" xfId="0" applyFont="1" applyFill="1" applyBorder="1" applyAlignment="1">
      <alignment horizontal="center"/>
    </xf>
    <xf numFmtId="172" fontId="3" fillId="43" borderId="101" xfId="1" applyNumberFormat="1" applyFont="1" applyFill="1" applyBorder="1" applyAlignment="1">
      <alignment horizontal="center" vertical="center"/>
    </xf>
    <xf numFmtId="4" fontId="3" fillId="2" borderId="101" xfId="0" applyNumberFormat="1" applyFont="1" applyFill="1" applyBorder="1" applyAlignment="1">
      <alignment horizontal="center"/>
    </xf>
    <xf numFmtId="4" fontId="3" fillId="36" borderId="101" xfId="0" applyNumberFormat="1" applyFont="1" applyFill="1" applyBorder="1" applyAlignment="1">
      <alignment horizontal="center"/>
    </xf>
    <xf numFmtId="4" fontId="3" fillId="42" borderId="101" xfId="0" applyNumberFormat="1" applyFont="1" applyFill="1" applyBorder="1" applyAlignment="1">
      <alignment horizontal="center"/>
    </xf>
    <xf numFmtId="4" fontId="3" fillId="37" borderId="101" xfId="0" applyNumberFormat="1" applyFont="1" applyFill="1" applyBorder="1" applyAlignment="1">
      <alignment horizontal="center"/>
    </xf>
    <xf numFmtId="4" fontId="3" fillId="38" borderId="101" xfId="0" applyNumberFormat="1" applyFont="1" applyFill="1" applyBorder="1" applyAlignment="1">
      <alignment horizontal="center"/>
    </xf>
    <xf numFmtId="4" fontId="3" fillId="39" borderId="101" xfId="0" applyNumberFormat="1" applyFont="1" applyFill="1" applyBorder="1" applyAlignment="1">
      <alignment horizontal="center"/>
    </xf>
    <xf numFmtId="4" fontId="3" fillId="43" borderId="101" xfId="0" applyNumberFormat="1" applyFont="1" applyFill="1" applyBorder="1" applyAlignment="1">
      <alignment horizontal="center"/>
    </xf>
    <xf numFmtId="4" fontId="3" fillId="41" borderId="101" xfId="0" applyNumberFormat="1" applyFont="1" applyFill="1" applyBorder="1" applyAlignment="1">
      <alignment horizontal="center"/>
    </xf>
    <xf numFmtId="172" fontId="3" fillId="41" borderId="101" xfId="1" applyNumberFormat="1" applyFont="1" applyFill="1" applyBorder="1" applyAlignment="1">
      <alignment horizontal="center" vertical="center"/>
    </xf>
    <xf numFmtId="0" fontId="3" fillId="0" borderId="101" xfId="0" applyFont="1" applyFill="1" applyBorder="1" applyAlignment="1">
      <alignment vertical="top" wrapText="1"/>
    </xf>
    <xf numFmtId="0" fontId="3" fillId="0" borderId="101" xfId="0" applyFont="1" applyFill="1" applyBorder="1" applyAlignment="1">
      <alignment horizontal="center" vertical="top"/>
    </xf>
    <xf numFmtId="3" fontId="3" fillId="0" borderId="101" xfId="0" applyNumberFormat="1" applyFont="1" applyFill="1" applyBorder="1" applyAlignment="1">
      <alignment vertical="top"/>
    </xf>
    <xf numFmtId="166" fontId="3" fillId="0" borderId="91" xfId="1" applyNumberFormat="1" applyFont="1" applyFill="1" applyBorder="1" applyAlignment="1">
      <alignment vertical="top"/>
    </xf>
    <xf numFmtId="0" fontId="13" fillId="0" borderId="101" xfId="0" quotePrefix="1" applyFont="1" applyFill="1" applyBorder="1" applyAlignment="1">
      <alignment vertical="top"/>
    </xf>
    <xf numFmtId="0" fontId="13" fillId="0" borderId="101" xfId="0" applyFont="1" applyFill="1" applyBorder="1" applyAlignment="1">
      <alignment vertical="center" wrapText="1"/>
    </xf>
    <xf numFmtId="172" fontId="13" fillId="0" borderId="102" xfId="1" applyNumberFormat="1" applyFont="1" applyFill="1" applyBorder="1" applyAlignment="1">
      <alignment vertical="center"/>
    </xf>
    <xf numFmtId="0" fontId="3" fillId="0" borderId="100" xfId="0" applyFont="1" applyFill="1" applyBorder="1" applyAlignment="1">
      <alignment horizontal="center" vertical="top"/>
    </xf>
    <xf numFmtId="0" fontId="3" fillId="0" borderId="101" xfId="0" quotePrefix="1" applyFont="1" applyFill="1" applyBorder="1" applyAlignment="1">
      <alignment horizontal="center" vertical="top"/>
    </xf>
    <xf numFmtId="0" fontId="3" fillId="0" borderId="101" xfId="0" quotePrefix="1" applyFont="1" applyFill="1" applyBorder="1" applyAlignment="1">
      <alignment vertical="top"/>
    </xf>
    <xf numFmtId="172" fontId="0" fillId="0" borderId="86" xfId="0" applyNumberFormat="1" applyFont="1" applyFill="1" applyBorder="1" applyProtection="1"/>
    <xf numFmtId="172" fontId="0" fillId="0" borderId="101" xfId="0" applyNumberFormat="1" applyFill="1" applyBorder="1" applyProtection="1"/>
    <xf numFmtId="165" fontId="3" fillId="0" borderId="101" xfId="2" applyFont="1" applyFill="1" applyBorder="1" applyAlignment="1">
      <alignment horizontal="center" vertical="center"/>
    </xf>
    <xf numFmtId="183" fontId="162" fillId="0" borderId="0" xfId="0" applyNumberFormat="1" applyFont="1" applyFill="1" applyBorder="1" applyAlignment="1" applyProtection="1">
      <alignment horizontal="right" vertical="top" wrapText="1"/>
    </xf>
    <xf numFmtId="0" fontId="13" fillId="0" borderId="17" xfId="0" applyFont="1" applyFill="1" applyBorder="1" applyAlignment="1">
      <alignment horizontal="center" vertical="center"/>
    </xf>
    <xf numFmtId="0" fontId="14" fillId="0" borderId="25" xfId="0" applyFont="1" applyFill="1" applyBorder="1" applyAlignment="1" applyProtection="1">
      <alignment horizontal="center" vertical="center" wrapText="1"/>
    </xf>
    <xf numFmtId="3" fontId="3" fillId="0" borderId="101" xfId="0" applyNumberFormat="1" applyFont="1" applyFill="1" applyBorder="1" applyAlignment="1">
      <alignment horizontal="center" vertical="center"/>
    </xf>
    <xf numFmtId="170" fontId="3" fillId="0" borderId="102" xfId="2" applyNumberFormat="1" applyFont="1" applyFill="1" applyBorder="1" applyAlignment="1">
      <alignment horizontal="center"/>
    </xf>
    <xf numFmtId="166" fontId="3" fillId="0" borderId="25" xfId="1" applyFont="1" applyFill="1" applyBorder="1" applyAlignment="1">
      <alignment horizontal="center" wrapText="1"/>
    </xf>
    <xf numFmtId="3" fontId="5" fillId="0" borderId="25" xfId="7" applyNumberFormat="1" applyFont="1" applyFill="1" applyBorder="1" applyAlignment="1">
      <alignment horizontal="center"/>
    </xf>
    <xf numFmtId="4" fontId="5" fillId="0" borderId="25" xfId="7" applyNumberFormat="1" applyFont="1" applyFill="1" applyBorder="1" applyAlignment="1">
      <alignment horizontal="right"/>
    </xf>
    <xf numFmtId="0" fontId="5" fillId="0" borderId="67" xfId="7" applyFont="1" applyFill="1" applyBorder="1" applyAlignment="1">
      <alignment horizontal="left" wrapText="1"/>
    </xf>
    <xf numFmtId="166" fontId="3" fillId="0" borderId="67" xfId="1" applyFont="1" applyFill="1" applyBorder="1" applyAlignment="1">
      <alignment horizontal="center" wrapText="1"/>
    </xf>
    <xf numFmtId="3" fontId="5" fillId="0" borderId="67" xfId="7" applyNumberFormat="1" applyFont="1" applyFill="1" applyBorder="1" applyAlignment="1">
      <alignment horizontal="center"/>
    </xf>
    <xf numFmtId="4" fontId="5" fillId="0" borderId="67" xfId="7" applyNumberFormat="1" applyFont="1" applyFill="1" applyBorder="1" applyAlignment="1">
      <alignment horizontal="right"/>
    </xf>
    <xf numFmtId="166" fontId="3" fillId="0" borderId="90" xfId="1" applyFont="1" applyFill="1" applyBorder="1" applyAlignment="1">
      <alignment horizontal="center" wrapText="1"/>
    </xf>
    <xf numFmtId="3" fontId="5" fillId="0" borderId="90" xfId="7" applyNumberFormat="1" applyFont="1" applyFill="1" applyBorder="1" applyAlignment="1">
      <alignment horizontal="center"/>
    </xf>
    <xf numFmtId="4" fontId="5" fillId="0" borderId="90" xfId="7" applyNumberFormat="1" applyFont="1" applyFill="1" applyBorder="1" applyAlignment="1">
      <alignment horizontal="right"/>
    </xf>
    <xf numFmtId="172" fontId="16" fillId="0" borderId="15" xfId="1" applyNumberFormat="1" applyFont="1" applyFill="1" applyBorder="1"/>
    <xf numFmtId="43" fontId="16" fillId="0" borderId="67" xfId="0" applyNumberFormat="1" applyFont="1" applyFill="1" applyBorder="1" applyProtection="1"/>
    <xf numFmtId="170" fontId="13" fillId="0" borderId="102" xfId="2" applyNumberFormat="1" applyFont="1" applyFill="1" applyBorder="1" applyAlignment="1">
      <alignment horizontal="center" vertical="top"/>
    </xf>
    <xf numFmtId="10" fontId="0" fillId="0" borderId="0" xfId="8" applyNumberFormat="1" applyFont="1"/>
    <xf numFmtId="0" fontId="3" fillId="42" borderId="101" xfId="0" applyFont="1" applyFill="1" applyBorder="1" applyAlignment="1">
      <alignment horizontal="left" vertical="center" wrapText="1"/>
    </xf>
    <xf numFmtId="3" fontId="3" fillId="42" borderId="101" xfId="0" applyNumberFormat="1" applyFont="1" applyFill="1" applyBorder="1" applyAlignment="1">
      <alignment horizontal="right" vertical="center"/>
    </xf>
    <xf numFmtId="170" fontId="3" fillId="42" borderId="102" xfId="2" applyNumberFormat="1" applyFont="1" applyFill="1" applyBorder="1" applyAlignment="1">
      <alignment horizontal="center" vertical="center"/>
    </xf>
    <xf numFmtId="0" fontId="15" fillId="42" borderId="101" xfId="0" applyFont="1" applyFill="1" applyBorder="1"/>
    <xf numFmtId="166" fontId="16" fillId="42" borderId="90" xfId="1" applyFont="1" applyFill="1" applyBorder="1" applyAlignment="1">
      <alignment horizontal="center"/>
    </xf>
    <xf numFmtId="0" fontId="16" fillId="42" borderId="92" xfId="0" applyFont="1" applyFill="1" applyBorder="1" applyAlignment="1">
      <alignment horizontal="center"/>
    </xf>
    <xf numFmtId="165" fontId="16" fillId="42" borderId="90" xfId="2" applyFont="1" applyFill="1" applyBorder="1"/>
    <xf numFmtId="0" fontId="16" fillId="42" borderId="101" xfId="0" applyFont="1" applyFill="1" applyBorder="1"/>
    <xf numFmtId="166" fontId="16" fillId="42" borderId="101" xfId="1" applyFont="1" applyFill="1" applyBorder="1" applyAlignment="1">
      <alignment horizontal="center"/>
    </xf>
    <xf numFmtId="0" fontId="16" fillId="42" borderId="101" xfId="0" applyFont="1" applyFill="1" applyBorder="1" applyAlignment="1">
      <alignment horizontal="center"/>
    </xf>
    <xf numFmtId="172" fontId="16" fillId="42" borderId="101" xfId="1" applyNumberFormat="1" applyFont="1" applyFill="1" applyBorder="1"/>
    <xf numFmtId="170" fontId="3" fillId="42" borderId="91" xfId="2" applyNumberFormat="1" applyFont="1" applyFill="1" applyBorder="1" applyAlignment="1">
      <alignment horizontal="center" vertical="center"/>
    </xf>
    <xf numFmtId="165" fontId="16" fillId="42" borderId="101" xfId="2" applyFont="1" applyFill="1" applyBorder="1"/>
    <xf numFmtId="165" fontId="5" fillId="0" borderId="0" xfId="12" applyFont="1" applyFill="1" applyBorder="1" applyAlignment="1">
      <alignment horizontal="center" vertical="center"/>
    </xf>
    <xf numFmtId="0" fontId="13" fillId="0" borderId="100" xfId="0" applyFont="1" applyFill="1" applyBorder="1" applyAlignment="1">
      <alignment vertical="center" wrapText="1"/>
    </xf>
    <xf numFmtId="0" fontId="13" fillId="0" borderId="101" xfId="0" quotePrefix="1" applyFont="1" applyFill="1" applyBorder="1" applyAlignment="1">
      <alignment vertical="center" wrapText="1"/>
    </xf>
    <xf numFmtId="166" fontId="93" fillId="0" borderId="86" xfId="0" applyNumberFormat="1" applyFont="1" applyFill="1" applyBorder="1" applyAlignment="1" applyProtection="1">
      <alignment horizontal="left" vertical="top" wrapText="1"/>
    </xf>
    <xf numFmtId="166" fontId="93" fillId="0" borderId="101" xfId="0" applyNumberFormat="1" applyFont="1" applyFill="1" applyBorder="1" applyAlignment="1" applyProtection="1">
      <alignment horizontal="left" vertical="top" wrapText="1"/>
    </xf>
    <xf numFmtId="43" fontId="0" fillId="0" borderId="101" xfId="0" applyNumberFormat="1" applyFill="1" applyBorder="1" applyProtection="1"/>
    <xf numFmtId="4" fontId="3" fillId="0" borderId="101" xfId="0" applyNumberFormat="1" applyFont="1" applyFill="1" applyBorder="1" applyAlignment="1">
      <alignment horizontal="center" vertical="center" wrapText="1"/>
    </xf>
    <xf numFmtId="3" fontId="3" fillId="0" borderId="101" xfId="0" applyNumberFormat="1" applyFont="1" applyFill="1" applyBorder="1" applyAlignment="1">
      <alignment vertical="center" wrapText="1"/>
    </xf>
    <xf numFmtId="0" fontId="3" fillId="0" borderId="100" xfId="0" applyFont="1" applyFill="1" applyBorder="1" applyAlignment="1">
      <alignment vertical="center"/>
    </xf>
    <xf numFmtId="0" fontId="13" fillId="0" borderId="101" xfId="0" applyFont="1" applyFill="1" applyBorder="1" applyAlignment="1">
      <alignment vertical="center"/>
    </xf>
    <xf numFmtId="0" fontId="13" fillId="0" borderId="101" xfId="0" quotePrefix="1" applyFont="1" applyFill="1" applyBorder="1" applyAlignment="1">
      <alignment vertical="center"/>
    </xf>
    <xf numFmtId="0" fontId="13" fillId="0" borderId="100" xfId="0" applyFont="1" applyFill="1" applyBorder="1" applyAlignment="1">
      <alignment horizontal="center" vertical="center" wrapText="1"/>
    </xf>
    <xf numFmtId="0" fontId="13" fillId="0" borderId="101" xfId="0" applyFont="1" applyFill="1" applyBorder="1" applyAlignment="1">
      <alignment horizontal="center" vertical="center" wrapText="1"/>
    </xf>
    <xf numFmtId="0" fontId="13" fillId="0" borderId="101" xfId="0" quotePrefix="1" applyFont="1" applyFill="1" applyBorder="1" applyAlignment="1">
      <alignment horizontal="center" vertical="center" wrapText="1"/>
    </xf>
    <xf numFmtId="166" fontId="0" fillId="0" borderId="101" xfId="0" applyNumberFormat="1" applyFill="1" applyBorder="1" applyProtection="1"/>
    <xf numFmtId="0" fontId="3" fillId="32" borderId="101" xfId="0" applyFont="1" applyFill="1" applyBorder="1" applyAlignment="1">
      <alignment vertical="center" wrapText="1"/>
    </xf>
    <xf numFmtId="170" fontId="3" fillId="32" borderId="101" xfId="2" applyNumberFormat="1" applyFont="1" applyFill="1" applyBorder="1" applyAlignment="1">
      <alignment horizontal="center" vertical="center"/>
    </xf>
    <xf numFmtId="0" fontId="3" fillId="32" borderId="101" xfId="0" applyFont="1" applyFill="1" applyBorder="1" applyAlignment="1">
      <alignment horizontal="center" vertical="center"/>
    </xf>
    <xf numFmtId="165" fontId="3" fillId="32" borderId="101" xfId="2" applyFont="1" applyFill="1" applyBorder="1" applyAlignment="1">
      <alignment vertical="center"/>
    </xf>
    <xf numFmtId="166" fontId="3" fillId="32" borderId="69" xfId="0" applyNumberFormat="1" applyFont="1" applyFill="1" applyBorder="1" applyAlignment="1">
      <alignment vertical="center"/>
    </xf>
    <xf numFmtId="0" fontId="4" fillId="32" borderId="101" xfId="0" applyFont="1" applyFill="1" applyBorder="1" applyAlignment="1">
      <alignment vertical="center" wrapText="1"/>
    </xf>
    <xf numFmtId="170" fontId="3" fillId="32" borderId="101" xfId="2" applyNumberFormat="1" applyFont="1" applyFill="1" applyBorder="1" applyAlignment="1">
      <alignment horizontal="center" vertical="center" wrapText="1"/>
    </xf>
    <xf numFmtId="165" fontId="3" fillId="32" borderId="101" xfId="2" applyFont="1" applyFill="1" applyBorder="1" applyAlignment="1">
      <alignment vertical="center" wrapText="1"/>
    </xf>
    <xf numFmtId="165" fontId="0" fillId="32" borderId="101" xfId="2" applyFont="1" applyFill="1" applyBorder="1"/>
    <xf numFmtId="0" fontId="3" fillId="0" borderId="64" xfId="9" applyFont="1" applyFill="1" applyBorder="1"/>
    <xf numFmtId="173" fontId="3" fillId="0" borderId="64" xfId="9" applyNumberFormat="1" applyFont="1" applyFill="1" applyBorder="1" applyAlignment="1">
      <alignment horizontal="center"/>
    </xf>
    <xf numFmtId="0" fontId="3" fillId="0" borderId="62" xfId="9" applyFont="1" applyFill="1" applyBorder="1"/>
    <xf numFmtId="173" fontId="3" fillId="0" borderId="62" xfId="9" applyNumberFormat="1" applyFont="1" applyFill="1" applyBorder="1" applyAlignment="1">
      <alignment horizontal="center"/>
    </xf>
    <xf numFmtId="173" fontId="3" fillId="0" borderId="64" xfId="9" applyNumberFormat="1" applyFont="1" applyFill="1" applyBorder="1" applyAlignment="1">
      <alignment horizontal="right"/>
    </xf>
    <xf numFmtId="0" fontId="3" fillId="0" borderId="34" xfId="9" applyFont="1" applyFill="1" applyBorder="1"/>
    <xf numFmtId="0" fontId="3" fillId="0" borderId="67" xfId="9" applyFont="1" applyFill="1" applyBorder="1"/>
    <xf numFmtId="173" fontId="3" fillId="0" borderId="67" xfId="9" applyNumberFormat="1" applyFont="1" applyFill="1" applyBorder="1" applyAlignment="1">
      <alignment horizontal="center"/>
    </xf>
    <xf numFmtId="0" fontId="3" fillId="0" borderId="101" xfId="9" applyFont="1" applyFill="1" applyBorder="1"/>
    <xf numFmtId="173" fontId="3" fillId="0" borderId="101" xfId="9" applyNumberFormat="1" applyFont="1" applyFill="1" applyBorder="1" applyAlignment="1">
      <alignment horizontal="center"/>
    </xf>
    <xf numFmtId="183" fontId="3" fillId="0" borderId="25" xfId="0" applyNumberFormat="1" applyFont="1" applyFill="1" applyBorder="1" applyAlignment="1" applyProtection="1">
      <alignment horizontal="right" vertical="top" wrapText="1"/>
    </xf>
    <xf numFmtId="0" fontId="3" fillId="0" borderId="25" xfId="0" applyFont="1" applyFill="1" applyBorder="1" applyAlignment="1" applyProtection="1">
      <alignment horizontal="left" vertical="top" wrapText="1"/>
    </xf>
    <xf numFmtId="0" fontId="13" fillId="0" borderId="25" xfId="0" applyFont="1" applyFill="1" applyBorder="1" applyAlignment="1" applyProtection="1">
      <alignment horizontal="center" vertical="center" wrapText="1"/>
    </xf>
    <xf numFmtId="183" fontId="13" fillId="0" borderId="25" xfId="0" applyNumberFormat="1" applyFont="1" applyFill="1" applyBorder="1" applyAlignment="1" applyProtection="1">
      <alignment horizontal="right" vertical="top" wrapText="1"/>
    </xf>
    <xf numFmtId="173" fontId="3" fillId="0" borderId="30" xfId="0" applyNumberFormat="1" applyFont="1" applyFill="1" applyBorder="1"/>
    <xf numFmtId="170" fontId="3" fillId="0" borderId="25" xfId="0" applyNumberFormat="1" applyFont="1" applyFill="1" applyBorder="1" applyAlignment="1" applyProtection="1">
      <alignment horizontal="left" vertical="top" wrapText="1"/>
    </xf>
    <xf numFmtId="173" fontId="3" fillId="0" borderId="64" xfId="0" applyNumberFormat="1" applyFont="1" applyFill="1" applyBorder="1"/>
    <xf numFmtId="0" fontId="3" fillId="0" borderId="25" xfId="0" applyFont="1" applyFill="1" applyBorder="1" applyProtection="1"/>
    <xf numFmtId="8" fontId="3" fillId="0" borderId="30" xfId="0" applyNumberFormat="1" applyFont="1" applyFill="1" applyBorder="1" applyProtection="1"/>
    <xf numFmtId="0" fontId="3" fillId="0" borderId="30" xfId="0" applyFont="1" applyFill="1" applyBorder="1" applyProtection="1"/>
    <xf numFmtId="4" fontId="3" fillId="0" borderId="25" xfId="0" applyNumberFormat="1" applyFont="1" applyFill="1" applyBorder="1" applyProtection="1"/>
    <xf numFmtId="43" fontId="3" fillId="0" borderId="25" xfId="0" applyNumberFormat="1" applyFont="1" applyFill="1" applyBorder="1" applyProtection="1"/>
    <xf numFmtId="183" fontId="3" fillId="0" borderId="25" xfId="0" applyNumberFormat="1" applyFont="1" applyFill="1" applyBorder="1" applyProtection="1"/>
    <xf numFmtId="173" fontId="3" fillId="0" borderId="64" xfId="0" applyNumberFormat="1" applyFont="1" applyFill="1" applyBorder="1" applyAlignment="1">
      <alignment horizontal="right"/>
    </xf>
    <xf numFmtId="173" fontId="3" fillId="0" borderId="67" xfId="0" applyNumberFormat="1" applyFont="1" applyFill="1" applyBorder="1"/>
    <xf numFmtId="0" fontId="3" fillId="0" borderId="67" xfId="0" applyFont="1" applyFill="1" applyBorder="1" applyProtection="1"/>
    <xf numFmtId="173" fontId="3" fillId="0" borderId="101" xfId="0" applyNumberFormat="1" applyFont="1" applyFill="1" applyBorder="1"/>
    <xf numFmtId="183" fontId="3" fillId="0" borderId="101" xfId="0" applyNumberFormat="1" applyFont="1" applyFill="1" applyBorder="1" applyAlignment="1" applyProtection="1">
      <alignment horizontal="right" vertical="top" wrapText="1"/>
    </xf>
    <xf numFmtId="170" fontId="3" fillId="0" borderId="103" xfId="0" applyNumberFormat="1" applyFont="1" applyFill="1" applyBorder="1" applyAlignment="1" applyProtection="1">
      <alignment horizontal="left" vertical="top" wrapText="1"/>
    </xf>
    <xf numFmtId="170" fontId="3" fillId="0" borderId="101" xfId="0" applyNumberFormat="1" applyFont="1" applyFill="1" applyBorder="1" applyAlignment="1" applyProtection="1">
      <alignment horizontal="left" vertical="top" wrapText="1"/>
    </xf>
    <xf numFmtId="0" fontId="3" fillId="0" borderId="101" xfId="0" applyFont="1" applyFill="1" applyBorder="1" applyProtection="1"/>
    <xf numFmtId="0" fontId="3" fillId="0" borderId="15" xfId="0" applyFont="1" applyFill="1" applyBorder="1" applyProtection="1"/>
    <xf numFmtId="183" fontId="3" fillId="0" borderId="67" xfId="0" applyNumberFormat="1" applyFont="1" applyFill="1" applyBorder="1" applyAlignment="1" applyProtection="1">
      <alignment horizontal="right" vertical="top" wrapText="1"/>
    </xf>
    <xf numFmtId="0" fontId="3" fillId="0" borderId="86" xfId="0" applyFont="1" applyFill="1" applyBorder="1" applyProtection="1"/>
    <xf numFmtId="183" fontId="3" fillId="0" borderId="86" xfId="0" applyNumberFormat="1" applyFont="1" applyFill="1" applyBorder="1" applyAlignment="1" applyProtection="1">
      <alignment horizontal="right" vertical="top" wrapText="1"/>
    </xf>
    <xf numFmtId="166" fontId="160" fillId="0" borderId="101" xfId="1" applyFont="1" applyBorder="1" applyAlignment="1">
      <alignment vertical="center"/>
    </xf>
    <xf numFmtId="166" fontId="159" fillId="0" borderId="0" xfId="1" applyFont="1" applyAlignment="1">
      <alignment vertical="center"/>
    </xf>
    <xf numFmtId="166" fontId="159" fillId="0" borderId="101" xfId="1" applyFont="1" applyBorder="1" applyAlignment="1">
      <alignment vertical="center"/>
    </xf>
    <xf numFmtId="166" fontId="159" fillId="0" borderId="0" xfId="1" applyFont="1"/>
    <xf numFmtId="172" fontId="3" fillId="0" borderId="0" xfId="0" applyNumberFormat="1" applyFont="1" applyFill="1" applyAlignment="1">
      <alignment horizontal="left"/>
    </xf>
    <xf numFmtId="166" fontId="0" fillId="2" borderId="30" xfId="0" applyNumberFormat="1" applyFill="1" applyBorder="1" applyProtection="1"/>
    <xf numFmtId="165" fontId="10" fillId="2" borderId="85" xfId="2" applyFont="1" applyFill="1" applyBorder="1" applyAlignment="1">
      <alignment horizontal="left" vertical="center"/>
    </xf>
    <xf numFmtId="165" fontId="8" fillId="2" borderId="85" xfId="2" applyFont="1" applyFill="1" applyBorder="1" applyAlignment="1">
      <alignment horizontal="left" vertical="center"/>
    </xf>
    <xf numFmtId="0" fontId="13" fillId="31" borderId="100" xfId="0" applyFont="1" applyFill="1" applyBorder="1" applyAlignment="1">
      <alignment horizontal="center" vertical="top"/>
    </xf>
    <xf numFmtId="0" fontId="13" fillId="31" borderId="101" xfId="0" applyFont="1" applyFill="1" applyBorder="1" applyAlignment="1">
      <alignment horizontal="center" vertical="top"/>
    </xf>
    <xf numFmtId="0" fontId="13" fillId="31" borderId="101" xfId="0" quotePrefix="1" applyFont="1" applyFill="1" applyBorder="1" applyAlignment="1">
      <alignment horizontal="center" vertical="top"/>
    </xf>
    <xf numFmtId="0" fontId="3" fillId="31" borderId="30" xfId="0" applyFont="1" applyFill="1" applyBorder="1" applyAlignment="1">
      <alignment horizontal="left" vertical="top"/>
    </xf>
    <xf numFmtId="166" fontId="3" fillId="31" borderId="30" xfId="1" applyFont="1" applyFill="1" applyBorder="1" applyAlignment="1">
      <alignment vertical="center"/>
    </xf>
    <xf numFmtId="0" fontId="3" fillId="31" borderId="30" xfId="0" applyFont="1" applyFill="1" applyBorder="1" applyAlignment="1">
      <alignment horizontal="center" vertical="center"/>
    </xf>
    <xf numFmtId="3" fontId="3" fillId="31" borderId="30" xfId="0" applyNumberFormat="1" applyFont="1" applyFill="1" applyBorder="1" applyAlignment="1">
      <alignment vertical="center"/>
    </xf>
    <xf numFmtId="172" fontId="3" fillId="31" borderId="69" xfId="0" applyNumberFormat="1" applyFont="1" applyFill="1" applyBorder="1" applyAlignment="1">
      <alignment vertical="center"/>
    </xf>
    <xf numFmtId="172" fontId="0" fillId="31" borderId="86" xfId="0" applyNumberFormat="1" applyFill="1" applyBorder="1" applyProtection="1"/>
    <xf numFmtId="0" fontId="0" fillId="31" borderId="30" xfId="0" applyFill="1" applyBorder="1" applyProtection="1"/>
    <xf numFmtId="166" fontId="0" fillId="31" borderId="30" xfId="0" applyNumberFormat="1" applyFill="1" applyBorder="1" applyProtection="1"/>
    <xf numFmtId="0" fontId="0" fillId="31" borderId="101" xfId="0" applyFill="1" applyBorder="1" applyProtection="1"/>
    <xf numFmtId="0" fontId="3" fillId="31" borderId="0" xfId="0" applyFont="1" applyFill="1"/>
    <xf numFmtId="0" fontId="13" fillId="31" borderId="101" xfId="0" applyFont="1" applyFill="1" applyBorder="1" applyAlignment="1">
      <alignment horizontal="center"/>
    </xf>
    <xf numFmtId="172" fontId="0" fillId="31" borderId="30" xfId="0" applyNumberFormat="1" applyFill="1" applyBorder="1" applyProtection="1"/>
    <xf numFmtId="165" fontId="8" fillId="2" borderId="85" xfId="2" applyFont="1" applyFill="1" applyBorder="1" applyAlignment="1">
      <alignment horizontal="left" wrapText="1"/>
    </xf>
    <xf numFmtId="172" fontId="13" fillId="0" borderId="101" xfId="1" applyNumberFormat="1" applyFont="1" applyFill="1" applyBorder="1" applyAlignment="1">
      <alignment horizontal="center" vertical="center"/>
    </xf>
    <xf numFmtId="166" fontId="13" fillId="0" borderId="102" xfId="1" applyFont="1" applyFill="1" applyBorder="1" applyAlignment="1">
      <alignment horizontal="center"/>
    </xf>
    <xf numFmtId="170" fontId="0" fillId="0" borderId="101" xfId="0" applyNumberFormat="1" applyFill="1" applyBorder="1" applyProtection="1"/>
    <xf numFmtId="166" fontId="3" fillId="0" borderId="102" xfId="1" applyFont="1" applyFill="1" applyBorder="1" applyAlignment="1">
      <alignment horizontal="center"/>
    </xf>
    <xf numFmtId="170" fontId="0" fillId="0" borderId="101" xfId="0" applyNumberFormat="1" applyFont="1" applyFill="1" applyBorder="1" applyProtection="1"/>
    <xf numFmtId="166" fontId="3" fillId="0" borderId="101" xfId="1" applyFont="1" applyFill="1" applyBorder="1" applyAlignment="1">
      <alignment vertical="top" wrapText="1"/>
    </xf>
    <xf numFmtId="172" fontId="3" fillId="0" borderId="101" xfId="1" applyNumberFormat="1" applyFont="1" applyFill="1" applyBorder="1" applyAlignment="1">
      <alignment horizontal="right" vertical="center"/>
    </xf>
    <xf numFmtId="172" fontId="3" fillId="0" borderId="101" xfId="1" applyNumberFormat="1" applyFont="1" applyFill="1" applyBorder="1" applyAlignment="1">
      <alignment horizontal="center" vertical="top"/>
    </xf>
    <xf numFmtId="0" fontId="13" fillId="0" borderId="25" xfId="0" applyFont="1" applyFill="1" applyBorder="1" applyAlignment="1">
      <alignment vertical="top"/>
    </xf>
    <xf numFmtId="166" fontId="33" fillId="0" borderId="0" xfId="1" applyFont="1" applyBorder="1" applyAlignment="1">
      <alignment vertical="center"/>
    </xf>
    <xf numFmtId="166" fontId="33" fillId="0" borderId="0" xfId="1" applyFont="1" applyFill="1" applyBorder="1" applyAlignment="1">
      <alignment vertical="center"/>
    </xf>
    <xf numFmtId="4" fontId="30" fillId="0" borderId="0" xfId="10" applyNumberFormat="1" applyFont="1" applyFill="1" applyBorder="1" applyAlignment="1">
      <alignment vertical="center"/>
    </xf>
    <xf numFmtId="0" fontId="99" fillId="2" borderId="34" xfId="28340" applyFont="1" applyFill="1" applyBorder="1"/>
    <xf numFmtId="0" fontId="99" fillId="2" borderId="36" xfId="28340" applyFont="1" applyFill="1" applyBorder="1" applyAlignment="1">
      <alignment horizontal="left"/>
    </xf>
    <xf numFmtId="0" fontId="103" fillId="2" borderId="0" xfId="28340" applyFont="1" applyFill="1" applyBorder="1" applyAlignment="1">
      <alignment horizontal="left"/>
    </xf>
    <xf numFmtId="0" fontId="99" fillId="2" borderId="0" xfId="28340" applyFont="1" applyFill="1" applyBorder="1" applyAlignment="1">
      <alignment horizontal="left"/>
    </xf>
    <xf numFmtId="0" fontId="99" fillId="2" borderId="47" xfId="28340" applyFont="1" applyFill="1" applyBorder="1" applyAlignment="1">
      <alignment horizontal="left"/>
    </xf>
    <xf numFmtId="0" fontId="99" fillId="31" borderId="30" xfId="28340" applyFont="1" applyFill="1" applyBorder="1"/>
    <xf numFmtId="0" fontId="99" fillId="31" borderId="12" xfId="28340" applyFont="1" applyFill="1" applyBorder="1" applyAlignment="1">
      <alignment horizontal="left"/>
    </xf>
    <xf numFmtId="0" fontId="103" fillId="31" borderId="11" xfId="28340" applyFont="1" applyFill="1" applyBorder="1" applyAlignment="1">
      <alignment horizontal="left"/>
    </xf>
    <xf numFmtId="0" fontId="99" fillId="31" borderId="11" xfId="28340" applyFont="1" applyFill="1" applyBorder="1" applyAlignment="1">
      <alignment horizontal="left"/>
    </xf>
    <xf numFmtId="0" fontId="99" fillId="31" borderId="13" xfId="28340" applyFont="1" applyFill="1" applyBorder="1" applyAlignment="1">
      <alignment horizontal="left"/>
    </xf>
    <xf numFmtId="0" fontId="99" fillId="31" borderId="0" xfId="28340" applyFont="1" applyFill="1"/>
    <xf numFmtId="165" fontId="99" fillId="31" borderId="0" xfId="28341" applyFont="1" applyFill="1"/>
    <xf numFmtId="165" fontId="102" fillId="31" borderId="0" xfId="28341" applyFont="1" applyFill="1"/>
    <xf numFmtId="0" fontId="102" fillId="31" borderId="0" xfId="28340" applyFont="1" applyFill="1"/>
    <xf numFmtId="166" fontId="99" fillId="0" borderId="0" xfId="1" applyFont="1" applyFill="1"/>
    <xf numFmtId="0" fontId="99" fillId="2" borderId="12" xfId="28340" applyFont="1" applyFill="1" applyBorder="1" applyAlignment="1"/>
    <xf numFmtId="0" fontId="99" fillId="2" borderId="12" xfId="28340" applyFont="1" applyFill="1" applyBorder="1"/>
    <xf numFmtId="0" fontId="103" fillId="2" borderId="11" xfId="28340" applyFont="1" applyFill="1" applyBorder="1"/>
    <xf numFmtId="0" fontId="103" fillId="2" borderId="11" xfId="28340" applyFont="1" applyFill="1" applyBorder="1" applyAlignment="1">
      <alignment horizontal="center"/>
    </xf>
    <xf numFmtId="0" fontId="99" fillId="2" borderId="11" xfId="28340" applyFont="1" applyFill="1" applyBorder="1"/>
    <xf numFmtId="0" fontId="99" fillId="2" borderId="13" xfId="28340" applyFont="1" applyFill="1" applyBorder="1"/>
    <xf numFmtId="165" fontId="136" fillId="2" borderId="0" xfId="28341" applyFont="1" applyFill="1" applyAlignment="1"/>
    <xf numFmtId="0" fontId="102" fillId="2" borderId="11" xfId="28340" applyFont="1" applyFill="1" applyBorder="1"/>
    <xf numFmtId="184" fontId="99" fillId="2" borderId="11" xfId="28340" applyNumberFormat="1" applyFont="1" applyFill="1" applyBorder="1" applyAlignment="1"/>
    <xf numFmtId="0" fontId="99" fillId="2" borderId="11" xfId="28340" applyFont="1" applyFill="1" applyBorder="1" applyAlignment="1"/>
    <xf numFmtId="165" fontId="99" fillId="2" borderId="0" xfId="28341" applyFont="1" applyFill="1" applyAlignment="1"/>
    <xf numFmtId="9" fontId="99" fillId="2" borderId="0" xfId="28342" applyFont="1" applyFill="1" applyAlignment="1"/>
    <xf numFmtId="0" fontId="105" fillId="2" borderId="11" xfId="28340" applyFont="1" applyFill="1" applyBorder="1"/>
    <xf numFmtId="0" fontId="3" fillId="2" borderId="67" xfId="0" applyFont="1" applyFill="1" applyBorder="1" applyAlignment="1">
      <alignment vertical="center"/>
    </xf>
    <xf numFmtId="0" fontId="13" fillId="41" borderId="66" xfId="0" applyFont="1" applyFill="1" applyBorder="1" applyAlignment="1">
      <alignment horizontal="center" vertical="top"/>
    </xf>
    <xf numFmtId="0" fontId="13" fillId="41" borderId="67" xfId="0" applyFont="1" applyFill="1" applyBorder="1" applyAlignment="1">
      <alignment horizontal="center" vertical="top"/>
    </xf>
    <xf numFmtId="0" fontId="13" fillId="41" borderId="67" xfId="0" quotePrefix="1" applyFont="1" applyFill="1" applyBorder="1" applyAlignment="1">
      <alignment horizontal="center" vertical="top"/>
    </xf>
    <xf numFmtId="0" fontId="13" fillId="41" borderId="25" xfId="0" quotePrefix="1" applyFont="1" applyFill="1" applyBorder="1" applyAlignment="1">
      <alignment horizontal="center" vertical="top"/>
    </xf>
    <xf numFmtId="0" fontId="3" fillId="41" borderId="67" xfId="0" applyFont="1" applyFill="1" applyBorder="1" applyAlignment="1">
      <alignment vertical="center"/>
    </xf>
    <xf numFmtId="170" fontId="3" fillId="41" borderId="67" xfId="2" applyNumberFormat="1" applyFont="1" applyFill="1" applyBorder="1" applyAlignment="1">
      <alignment horizontal="center" vertical="center"/>
    </xf>
    <xf numFmtId="0" fontId="3" fillId="41" borderId="67" xfId="0" applyFont="1" applyFill="1" applyBorder="1" applyAlignment="1">
      <alignment horizontal="center" vertical="center"/>
    </xf>
    <xf numFmtId="165" fontId="16" fillId="41" borderId="67" xfId="0" applyNumberFormat="1" applyFont="1" applyFill="1" applyBorder="1" applyAlignment="1">
      <alignment vertical="center"/>
    </xf>
    <xf numFmtId="166" fontId="3" fillId="41" borderId="69" xfId="0" applyNumberFormat="1" applyFont="1" applyFill="1" applyBorder="1" applyAlignment="1">
      <alignment vertical="center"/>
    </xf>
    <xf numFmtId="183" fontId="93" fillId="41" borderId="25" xfId="0" applyNumberFormat="1" applyFont="1" applyFill="1" applyBorder="1" applyAlignment="1" applyProtection="1">
      <alignment horizontal="right" vertical="top" wrapText="1"/>
    </xf>
    <xf numFmtId="0" fontId="0" fillId="41" borderId="86" xfId="0" applyFill="1" applyBorder="1" applyProtection="1"/>
    <xf numFmtId="183" fontId="93" fillId="41" borderId="67" xfId="0" applyNumberFormat="1" applyFont="1" applyFill="1" applyBorder="1" applyAlignment="1" applyProtection="1">
      <alignment horizontal="right" vertical="top" wrapText="1"/>
    </xf>
    <xf numFmtId="0" fontId="0" fillId="41" borderId="67" xfId="0" applyFill="1" applyBorder="1" applyProtection="1"/>
    <xf numFmtId="0" fontId="3" fillId="41" borderId="0" xfId="0" applyFont="1" applyFill="1"/>
    <xf numFmtId="165" fontId="30" fillId="0" borderId="0" xfId="2" applyFont="1" applyBorder="1" applyAlignment="1">
      <alignment vertical="center"/>
    </xf>
    <xf numFmtId="0" fontId="1" fillId="0" borderId="67" xfId="28922" applyFont="1" applyBorder="1"/>
    <xf numFmtId="0" fontId="13" fillId="2" borderId="67" xfId="0" applyFont="1" applyFill="1" applyBorder="1" applyAlignment="1">
      <alignment horizontal="left" vertical="top" wrapText="1"/>
    </xf>
    <xf numFmtId="0" fontId="13" fillId="2" borderId="67" xfId="0" applyFont="1" applyFill="1" applyBorder="1" applyAlignment="1">
      <alignment vertical="top"/>
    </xf>
    <xf numFmtId="166" fontId="33" fillId="0" borderId="0" xfId="10" applyNumberFormat="1" applyFont="1" applyBorder="1" applyAlignment="1">
      <alignment horizontal="center" vertical="center" wrapText="1"/>
    </xf>
    <xf numFmtId="166" fontId="30" fillId="0" borderId="0" xfId="10" applyNumberFormat="1" applyFont="1" applyBorder="1" applyAlignment="1">
      <alignment horizontal="center" vertical="center" wrapText="1"/>
    </xf>
    <xf numFmtId="166" fontId="3" fillId="0" borderId="109" xfId="1" applyFont="1" applyFill="1" applyBorder="1" applyAlignment="1">
      <alignment horizontal="center"/>
    </xf>
    <xf numFmtId="0" fontId="3" fillId="0" borderId="109" xfId="0" applyFont="1" applyFill="1" applyBorder="1" applyAlignment="1">
      <alignment horizontal="center"/>
    </xf>
    <xf numFmtId="166" fontId="3" fillId="0" borderId="102" xfId="0" applyNumberFormat="1" applyFont="1" applyFill="1" applyBorder="1" applyAlignment="1">
      <alignment vertical="center"/>
    </xf>
    <xf numFmtId="0" fontId="123" fillId="0" borderId="101" xfId="0" applyFont="1" applyFill="1" applyBorder="1" applyProtection="1"/>
    <xf numFmtId="166" fontId="13" fillId="0" borderId="25" xfId="1" applyFont="1" applyFill="1" applyBorder="1" applyAlignment="1">
      <alignment horizontal="center" vertical="center"/>
    </xf>
    <xf numFmtId="183" fontId="92" fillId="0" borderId="25" xfId="0" applyNumberFormat="1" applyFont="1" applyFill="1" applyBorder="1" applyAlignment="1" applyProtection="1">
      <alignment horizontal="right" vertical="center" wrapText="1"/>
    </xf>
    <xf numFmtId="0" fontId="93" fillId="0" borderId="25" xfId="0" applyFont="1" applyFill="1" applyBorder="1" applyAlignment="1" applyProtection="1">
      <alignment horizontal="left" vertical="center" wrapText="1"/>
    </xf>
    <xf numFmtId="4" fontId="3" fillId="0" borderId="102" xfId="0" applyNumberFormat="1" applyFont="1" applyFill="1" applyBorder="1" applyAlignment="1">
      <alignment vertical="center"/>
    </xf>
    <xf numFmtId="166" fontId="123" fillId="0" borderId="101" xfId="1" applyFont="1" applyFill="1" applyBorder="1" applyProtection="1"/>
    <xf numFmtId="0" fontId="15" fillId="0" borderId="90" xfId="0" applyFont="1" applyFill="1" applyBorder="1" applyAlignment="1">
      <alignment horizontal="left" wrapText="1"/>
    </xf>
    <xf numFmtId="3" fontId="3" fillId="0" borderId="101" xfId="0" applyNumberFormat="1" applyFont="1" applyFill="1" applyBorder="1" applyAlignment="1">
      <alignment horizontal="right"/>
    </xf>
    <xf numFmtId="0" fontId="3" fillId="2" borderId="101" xfId="0" applyFont="1" applyFill="1" applyBorder="1"/>
    <xf numFmtId="183" fontId="124" fillId="2" borderId="101" xfId="0" applyNumberFormat="1" applyFont="1" applyFill="1" applyBorder="1" applyAlignment="1" applyProtection="1">
      <alignment horizontal="right" vertical="top" wrapText="1"/>
    </xf>
    <xf numFmtId="0" fontId="123" fillId="2" borderId="101" xfId="0" applyFont="1" applyFill="1" applyBorder="1" applyProtection="1"/>
    <xf numFmtId="166" fontId="13" fillId="0" borderId="101" xfId="1" applyFont="1" applyFill="1" applyBorder="1" applyAlignment="1">
      <alignment horizontal="center" vertical="center"/>
    </xf>
    <xf numFmtId="183" fontId="93" fillId="0" borderId="101" xfId="0" applyNumberFormat="1" applyFont="1" applyFill="1" applyBorder="1" applyAlignment="1" applyProtection="1">
      <alignment horizontal="right" vertical="center" wrapText="1"/>
    </xf>
    <xf numFmtId="0" fontId="93" fillId="0" borderId="101" xfId="0" applyFont="1" applyFill="1" applyBorder="1" applyAlignment="1" applyProtection="1">
      <alignment horizontal="left" vertical="center" wrapText="1"/>
    </xf>
    <xf numFmtId="166" fontId="3" fillId="0" borderId="101" xfId="1" applyFont="1" applyFill="1" applyBorder="1" applyAlignment="1">
      <alignment vertical="center"/>
    </xf>
    <xf numFmtId="0" fontId="3" fillId="0" borderId="101" xfId="0" applyFont="1" applyFill="1" applyBorder="1" applyAlignment="1">
      <alignment vertical="center"/>
    </xf>
    <xf numFmtId="170" fontId="3" fillId="0" borderId="31" xfId="2" applyNumberFormat="1" applyFont="1" applyFill="1" applyBorder="1" applyAlignment="1">
      <alignment horizontal="center" vertical="center"/>
    </xf>
    <xf numFmtId="166" fontId="159" fillId="0" borderId="0" xfId="1" applyFont="1" applyFill="1" applyBorder="1" applyProtection="1"/>
    <xf numFmtId="3" fontId="3" fillId="44" borderId="86" xfId="0" applyNumberFormat="1" applyFont="1" applyFill="1" applyBorder="1" applyAlignment="1">
      <alignment vertical="center"/>
    </xf>
    <xf numFmtId="3" fontId="3" fillId="45" borderId="86" xfId="0" applyNumberFormat="1" applyFont="1" applyFill="1" applyBorder="1" applyAlignment="1">
      <alignment vertical="center"/>
    </xf>
    <xf numFmtId="165" fontId="0" fillId="44" borderId="105" xfId="0" applyNumberFormat="1" applyFill="1" applyBorder="1" applyAlignment="1">
      <alignment vertical="center"/>
    </xf>
    <xf numFmtId="0" fontId="16" fillId="0" borderId="101" xfId="0" applyFont="1" applyFill="1" applyBorder="1" applyAlignment="1">
      <alignment vertical="center"/>
    </xf>
    <xf numFmtId="166" fontId="16" fillId="0" borderId="101" xfId="1" applyFont="1" applyFill="1" applyBorder="1" applyAlignment="1">
      <alignment horizontal="center" vertical="center"/>
    </xf>
    <xf numFmtId="172" fontId="16" fillId="0" borderId="101" xfId="1" applyNumberFormat="1" applyFont="1" applyFill="1" applyBorder="1" applyAlignment="1">
      <alignment horizontal="center" vertical="center"/>
    </xf>
    <xf numFmtId="170" fontId="5" fillId="0" borderId="102" xfId="2" applyNumberFormat="1" applyFont="1" applyFill="1" applyBorder="1" applyAlignment="1">
      <alignment vertical="center"/>
    </xf>
    <xf numFmtId="0" fontId="30" fillId="36" borderId="57" xfId="10" applyNumberFormat="1" applyFont="1" applyFill="1" applyBorder="1" applyAlignment="1">
      <alignment horizontal="left" vertical="top"/>
    </xf>
    <xf numFmtId="0" fontId="30" fillId="41" borderId="57" xfId="10" applyNumberFormat="1" applyFont="1" applyFill="1" applyBorder="1" applyAlignment="1">
      <alignment horizontal="left" vertical="top"/>
    </xf>
    <xf numFmtId="0" fontId="30" fillId="41" borderId="79" xfId="10" applyNumberFormat="1" applyFont="1" applyFill="1" applyBorder="1" applyAlignment="1">
      <alignment vertical="top"/>
    </xf>
    <xf numFmtId="0" fontId="30" fillId="41" borderId="83" xfId="10" applyNumberFormat="1" applyFont="1" applyFill="1" applyBorder="1" applyAlignment="1">
      <alignment horizontal="left" vertical="top" wrapText="1"/>
    </xf>
    <xf numFmtId="0" fontId="3" fillId="0" borderId="90" xfId="0" applyFont="1" applyFill="1" applyBorder="1" applyAlignment="1">
      <alignment vertical="center"/>
    </xf>
    <xf numFmtId="166" fontId="3" fillId="0" borderId="92" xfId="1" applyFont="1" applyFill="1" applyBorder="1" applyAlignment="1">
      <alignment horizontal="center" vertical="center"/>
    </xf>
    <xf numFmtId="0" fontId="3" fillId="0" borderId="92" xfId="0" applyFont="1" applyFill="1" applyBorder="1" applyAlignment="1">
      <alignment horizontal="center" vertical="center"/>
    </xf>
    <xf numFmtId="3" fontId="16" fillId="0" borderId="90" xfId="0" applyNumberFormat="1" applyFont="1" applyFill="1" applyBorder="1" applyAlignment="1">
      <alignment horizontal="right" vertical="center"/>
    </xf>
    <xf numFmtId="0" fontId="13" fillId="44" borderId="66" xfId="0" applyFont="1" applyFill="1" applyBorder="1" applyAlignment="1">
      <alignment horizontal="center" vertical="top"/>
    </xf>
    <xf numFmtId="0" fontId="13" fillId="44" borderId="67" xfId="0" applyFont="1" applyFill="1" applyBorder="1" applyAlignment="1">
      <alignment horizontal="center" vertical="top"/>
    </xf>
    <xf numFmtId="0" fontId="13" fillId="44" borderId="67" xfId="0" quotePrefix="1" applyFont="1" applyFill="1" applyBorder="1" applyAlignment="1">
      <alignment horizontal="center" vertical="top"/>
    </xf>
    <xf numFmtId="0" fontId="3" fillId="44" borderId="30" xfId="0" applyFont="1" applyFill="1" applyBorder="1" applyAlignment="1">
      <alignment horizontal="left" vertical="top"/>
    </xf>
    <xf numFmtId="166" fontId="3" fillId="44" borderId="30" xfId="1" applyFont="1" applyFill="1" applyBorder="1" applyAlignment="1">
      <alignment vertical="center"/>
    </xf>
    <xf numFmtId="0" fontId="3" fillId="44" borderId="30" xfId="0" applyFont="1" applyFill="1" applyBorder="1" applyAlignment="1">
      <alignment horizontal="center" vertical="center"/>
    </xf>
    <xf numFmtId="3" fontId="3" fillId="44" borderId="30" xfId="0" applyNumberFormat="1" applyFont="1" applyFill="1" applyBorder="1" applyAlignment="1">
      <alignment vertical="center"/>
    </xf>
    <xf numFmtId="172" fontId="3" fillId="44" borderId="69" xfId="1" applyNumberFormat="1" applyFont="1" applyFill="1" applyBorder="1" applyAlignment="1">
      <alignment vertical="center"/>
    </xf>
    <xf numFmtId="172" fontId="0" fillId="44" borderId="86" xfId="0" applyNumberFormat="1" applyFill="1" applyBorder="1" applyProtection="1"/>
    <xf numFmtId="0" fontId="0" fillId="44" borderId="30" xfId="0" applyFill="1" applyBorder="1" applyProtection="1"/>
    <xf numFmtId="166" fontId="0" fillId="44" borderId="30" xfId="0" applyNumberFormat="1" applyFill="1" applyBorder="1" applyProtection="1"/>
    <xf numFmtId="0" fontId="0" fillId="44" borderId="67" xfId="0" applyFill="1" applyBorder="1" applyProtection="1"/>
    <xf numFmtId="0" fontId="3" fillId="44" borderId="0" xfId="0" applyFont="1" applyFill="1"/>
    <xf numFmtId="0" fontId="3" fillId="44" borderId="84" xfId="0" applyFont="1" applyFill="1" applyBorder="1" applyAlignment="1">
      <alignment horizontal="center" vertical="center"/>
    </xf>
    <xf numFmtId="0" fontId="3" fillId="44" borderId="67" xfId="0" applyFont="1" applyFill="1" applyBorder="1"/>
    <xf numFmtId="0" fontId="3" fillId="44" borderId="67" xfId="0" quotePrefix="1" applyFont="1" applyFill="1" applyBorder="1"/>
    <xf numFmtId="0" fontId="3" fillId="44" borderId="67" xfId="0" applyFont="1" applyFill="1" applyBorder="1" applyAlignment="1">
      <alignment horizontal="left" vertical="top" wrapText="1"/>
    </xf>
    <xf numFmtId="166" fontId="3" fillId="44" borderId="67" xfId="1" applyFont="1" applyFill="1" applyBorder="1" applyAlignment="1">
      <alignment horizontal="center"/>
    </xf>
    <xf numFmtId="0" fontId="3" fillId="44" borderId="67" xfId="0" applyFont="1" applyFill="1" applyBorder="1" applyAlignment="1">
      <alignment horizontal="center"/>
    </xf>
    <xf numFmtId="165" fontId="3" fillId="44" borderId="67" xfId="2" applyFont="1" applyFill="1" applyBorder="1" applyAlignment="1">
      <alignment horizontal="center" vertical="center"/>
    </xf>
    <xf numFmtId="172" fontId="0" fillId="44" borderId="67" xfId="0" applyNumberFormat="1" applyFill="1" applyBorder="1" applyProtection="1"/>
    <xf numFmtId="0" fontId="0" fillId="0" borderId="101" xfId="0" applyBorder="1"/>
    <xf numFmtId="0" fontId="0" fillId="0" borderId="101" xfId="0" applyBorder="1" applyAlignment="1">
      <alignment horizontal="center"/>
    </xf>
    <xf numFmtId="39" fontId="3" fillId="0" borderId="101" xfId="0" applyNumberFormat="1" applyFont="1" applyFill="1" applyBorder="1" applyAlignment="1">
      <alignment horizontal="center" vertical="center"/>
    </xf>
    <xf numFmtId="172" fontId="3" fillId="0" borderId="102" xfId="2" applyNumberFormat="1" applyFont="1" applyFill="1" applyBorder="1" applyAlignment="1">
      <alignment vertical="center" wrapText="1"/>
    </xf>
    <xf numFmtId="165" fontId="3" fillId="0" borderId="102" xfId="0" applyNumberFormat="1" applyFont="1" applyFill="1" applyBorder="1" applyAlignment="1">
      <alignment vertical="center"/>
    </xf>
    <xf numFmtId="165" fontId="13" fillId="0" borderId="102" xfId="0" applyNumberFormat="1" applyFont="1" applyFill="1" applyBorder="1" applyAlignment="1">
      <alignment vertical="center"/>
    </xf>
    <xf numFmtId="165" fontId="3" fillId="0" borderId="102" xfId="2" applyNumberFormat="1" applyFont="1" applyFill="1" applyBorder="1" applyAlignment="1">
      <alignment horizontal="center" vertical="center"/>
    </xf>
    <xf numFmtId="183" fontId="85" fillId="0" borderId="101" xfId="0" applyNumberFormat="1" applyFont="1" applyFill="1" applyBorder="1" applyAlignment="1" applyProtection="1">
      <alignment horizontal="right" vertical="top" wrapText="1"/>
    </xf>
    <xf numFmtId="166" fontId="3" fillId="0" borderId="30" xfId="1" applyFont="1" applyFill="1" applyBorder="1" applyAlignment="1">
      <alignment vertical="top" wrapText="1"/>
    </xf>
    <xf numFmtId="165" fontId="3" fillId="0" borderId="30" xfId="2" applyFont="1" applyFill="1" applyBorder="1" applyAlignment="1">
      <alignment vertical="top" wrapText="1"/>
    </xf>
    <xf numFmtId="8" fontId="0" fillId="0" borderId="30" xfId="0" applyNumberFormat="1" applyFont="1" applyFill="1" applyBorder="1" applyProtection="1"/>
    <xf numFmtId="0" fontId="0" fillId="0" borderId="30" xfId="0" applyFont="1" applyFill="1" applyBorder="1" applyProtection="1"/>
    <xf numFmtId="166" fontId="3" fillId="0" borderId="92" xfId="1" applyFont="1" applyFill="1" applyBorder="1" applyAlignment="1">
      <alignment horizontal="center"/>
    </xf>
    <xf numFmtId="0" fontId="13" fillId="0" borderId="101" xfId="0" applyFont="1" applyFill="1" applyBorder="1" applyAlignment="1">
      <alignment horizontal="left" vertical="top"/>
    </xf>
    <xf numFmtId="0" fontId="18" fillId="0" borderId="101" xfId="0" applyFont="1" applyBorder="1"/>
    <xf numFmtId="0" fontId="18" fillId="0" borderId="101" xfId="0" applyFont="1" applyBorder="1" applyAlignment="1">
      <alignment horizontal="center"/>
    </xf>
    <xf numFmtId="0" fontId="18" fillId="0" borderId="101" xfId="0" applyFont="1" applyBorder="1" applyAlignment="1">
      <alignment horizontal="center" vertical="center" wrapText="1"/>
    </xf>
    <xf numFmtId="0" fontId="18" fillId="0" borderId="101" xfId="0" applyFont="1" applyFill="1" applyBorder="1" applyAlignment="1">
      <alignment horizontal="center" vertical="center" wrapText="1"/>
    </xf>
    <xf numFmtId="166" fontId="160" fillId="0" borderId="0" xfId="1" applyFont="1" applyFill="1" applyBorder="1" applyProtection="1"/>
    <xf numFmtId="165" fontId="13" fillId="0" borderId="102" xfId="2" applyNumberFormat="1" applyFont="1" applyFill="1" applyBorder="1" applyAlignment="1">
      <alignment horizontal="center"/>
    </xf>
    <xf numFmtId="165" fontId="13" fillId="0" borderId="102" xfId="2" applyNumberFormat="1" applyFont="1" applyFill="1" applyBorder="1" applyAlignment="1">
      <alignment horizontal="center" vertical="center"/>
    </xf>
    <xf numFmtId="190" fontId="0" fillId="0" borderId="0" xfId="0" applyNumberFormat="1" applyFill="1" applyBorder="1" applyProtection="1"/>
    <xf numFmtId="0" fontId="22" fillId="0" borderId="0" xfId="0" applyFont="1" applyFill="1" applyBorder="1" applyProtection="1"/>
    <xf numFmtId="166" fontId="163" fillId="0" borderId="0" xfId="1" applyFont="1" applyBorder="1" applyAlignment="1">
      <alignment vertical="center"/>
    </xf>
    <xf numFmtId="183" fontId="163" fillId="0" borderId="0" xfId="0" applyNumberFormat="1" applyFont="1" applyFill="1" applyBorder="1" applyAlignment="1" applyProtection="1">
      <alignment horizontal="right" vertical="top" wrapText="1"/>
    </xf>
    <xf numFmtId="183" fontId="164" fillId="0" borderId="0" xfId="0" applyNumberFormat="1" applyFont="1" applyFill="1" applyBorder="1" applyAlignment="1" applyProtection="1">
      <alignment vertical="center" wrapText="1"/>
    </xf>
    <xf numFmtId="183" fontId="165" fillId="0" borderId="0" xfId="0" applyNumberFormat="1" applyFont="1" applyFill="1" applyBorder="1" applyAlignment="1" applyProtection="1">
      <alignment horizontal="right" vertical="top" wrapText="1"/>
    </xf>
    <xf numFmtId="166" fontId="163" fillId="0" borderId="0" xfId="1" applyFont="1" applyBorder="1" applyAlignment="1">
      <alignment horizontal="center" vertical="center" wrapText="1"/>
    </xf>
    <xf numFmtId="166" fontId="166" fillId="0" borderId="0" xfId="1" applyFont="1" applyBorder="1" applyAlignment="1">
      <alignment horizontal="center" vertical="center" wrapText="1"/>
    </xf>
    <xf numFmtId="172" fontId="0" fillId="0" borderId="0" xfId="1" applyNumberFormat="1" applyFont="1"/>
    <xf numFmtId="172" fontId="27" fillId="41" borderId="101" xfId="1" applyNumberFormat="1" applyFont="1" applyFill="1" applyBorder="1" applyAlignment="1">
      <alignment horizontal="center" vertical="center"/>
    </xf>
    <xf numFmtId="0" fontId="0" fillId="47" borderId="101" xfId="0" applyFill="1" applyBorder="1" applyAlignment="1">
      <alignment horizontal="center" vertical="center"/>
    </xf>
    <xf numFmtId="172" fontId="0" fillId="47" borderId="101" xfId="1" applyNumberFormat="1" applyFont="1" applyFill="1" applyBorder="1" applyAlignment="1">
      <alignment horizontal="center" vertical="center"/>
    </xf>
    <xf numFmtId="0" fontId="120" fillId="47" borderId="101" xfId="0" applyFont="1" applyFill="1" applyBorder="1" applyAlignment="1">
      <alignment horizontal="center" vertical="center"/>
    </xf>
    <xf numFmtId="0" fontId="0" fillId="47" borderId="0" xfId="0" applyFill="1"/>
    <xf numFmtId="0" fontId="0" fillId="37" borderId="101" xfId="0" applyFill="1" applyBorder="1" applyAlignment="1">
      <alignment horizontal="center" vertical="center"/>
    </xf>
    <xf numFmtId="172" fontId="0" fillId="37" borderId="101" xfId="1" applyNumberFormat="1" applyFont="1" applyFill="1" applyBorder="1" applyAlignment="1">
      <alignment horizontal="center" vertical="center"/>
    </xf>
    <xf numFmtId="0" fontId="0" fillId="40" borderId="101" xfId="0" applyFill="1" applyBorder="1" applyAlignment="1">
      <alignment horizontal="center" vertical="center"/>
    </xf>
    <xf numFmtId="172" fontId="0" fillId="40" borderId="101" xfId="1" applyNumberFormat="1" applyFont="1" applyFill="1" applyBorder="1" applyAlignment="1">
      <alignment horizontal="center" vertical="center"/>
    </xf>
    <xf numFmtId="166" fontId="0" fillId="40" borderId="101" xfId="1" applyFont="1" applyFill="1" applyBorder="1" applyAlignment="1">
      <alignment horizontal="center" vertical="center"/>
    </xf>
    <xf numFmtId="0" fontId="0" fillId="45" borderId="101" xfId="0" applyFill="1" applyBorder="1" applyAlignment="1">
      <alignment horizontal="center" vertical="center"/>
    </xf>
    <xf numFmtId="0" fontId="0" fillId="47" borderId="101" xfId="0" applyFill="1" applyBorder="1" applyAlignment="1">
      <alignment wrapText="1"/>
    </xf>
    <xf numFmtId="0" fontId="0" fillId="37" borderId="101" xfId="0" applyFill="1" applyBorder="1" applyAlignment="1">
      <alignment wrapText="1"/>
    </xf>
    <xf numFmtId="0" fontId="0" fillId="40" borderId="101" xfId="0" applyFill="1" applyBorder="1" applyAlignment="1">
      <alignment wrapText="1"/>
    </xf>
    <xf numFmtId="0" fontId="0" fillId="45" borderId="101" xfId="0" applyFill="1" applyBorder="1" applyAlignment="1">
      <alignment wrapText="1"/>
    </xf>
    <xf numFmtId="172" fontId="0" fillId="46" borderId="101" xfId="1" applyNumberFormat="1" applyFont="1" applyFill="1" applyBorder="1" applyAlignment="1">
      <alignment horizontal="center" vertical="center" wrapText="1"/>
    </xf>
    <xf numFmtId="0" fontId="0" fillId="35" borderId="101" xfId="0" applyFill="1" applyBorder="1" applyAlignment="1">
      <alignment horizontal="center" vertical="center" wrapText="1"/>
    </xf>
    <xf numFmtId="0" fontId="0" fillId="46" borderId="101" xfId="0" applyFill="1" applyBorder="1" applyAlignment="1">
      <alignment horizontal="center" vertical="center" wrapText="1"/>
    </xf>
    <xf numFmtId="0" fontId="0" fillId="33" borderId="101" xfId="0" applyFill="1" applyBorder="1" applyAlignment="1">
      <alignment horizontal="center" vertical="center" wrapText="1"/>
    </xf>
    <xf numFmtId="172" fontId="120" fillId="47" borderId="101" xfId="1" applyNumberFormat="1" applyFont="1" applyFill="1" applyBorder="1" applyAlignment="1">
      <alignment horizontal="center" vertical="center"/>
    </xf>
    <xf numFmtId="172" fontId="120" fillId="47" borderId="90" xfId="1" applyNumberFormat="1" applyFont="1" applyFill="1" applyBorder="1" applyAlignment="1">
      <alignment vertical="top" textRotation="180" wrapText="1"/>
    </xf>
    <xf numFmtId="0" fontId="0" fillId="0" borderId="34" xfId="0" applyBorder="1" applyAlignment="1">
      <alignment vertical="top"/>
    </xf>
    <xf numFmtId="0" fontId="0" fillId="0" borderId="30" xfId="0" applyBorder="1" applyAlignment="1">
      <alignment vertical="top"/>
    </xf>
    <xf numFmtId="172" fontId="0" fillId="47" borderId="90" xfId="1" applyNumberFormat="1" applyFont="1" applyFill="1" applyBorder="1" applyAlignment="1">
      <alignment vertical="top" textRotation="180" wrapText="1"/>
    </xf>
    <xf numFmtId="172" fontId="0" fillId="2" borderId="101" xfId="1" applyNumberFormat="1" applyFont="1" applyFill="1" applyBorder="1" applyAlignment="1">
      <alignment horizontal="center" vertical="center"/>
    </xf>
    <xf numFmtId="0" fontId="0" fillId="2" borderId="101" xfId="0" applyFill="1" applyBorder="1" applyAlignment="1">
      <alignment horizontal="center" vertical="center"/>
    </xf>
    <xf numFmtId="172" fontId="120" fillId="2" borderId="101" xfId="1" applyNumberFormat="1" applyFont="1" applyFill="1" applyBorder="1" applyAlignment="1">
      <alignment horizontal="center" vertical="center"/>
    </xf>
    <xf numFmtId="172" fontId="0" fillId="47" borderId="34" xfId="1" applyNumberFormat="1" applyFont="1" applyFill="1" applyBorder="1" applyAlignment="1">
      <alignment vertical="top" textRotation="180" wrapText="1"/>
    </xf>
    <xf numFmtId="172" fontId="0" fillId="47" borderId="67" xfId="1" applyNumberFormat="1" applyFont="1" applyFill="1" applyBorder="1" applyAlignment="1">
      <alignment vertical="top" textRotation="180" wrapText="1"/>
    </xf>
    <xf numFmtId="172" fontId="0" fillId="41" borderId="101" xfId="1" applyNumberFormat="1" applyFont="1" applyFill="1" applyBorder="1" applyAlignment="1">
      <alignment horizontal="center" vertical="center"/>
    </xf>
    <xf numFmtId="0" fontId="0" fillId="31" borderId="101" xfId="0" applyFill="1" applyBorder="1" applyAlignment="1">
      <alignment horizontal="center" vertical="center"/>
    </xf>
    <xf numFmtId="172" fontId="27" fillId="2" borderId="101" xfId="1" applyNumberFormat="1" applyFont="1" applyFill="1" applyBorder="1" applyAlignment="1">
      <alignment horizontal="center" vertical="center"/>
    </xf>
    <xf numFmtId="0" fontId="0" fillId="41" borderId="101" xfId="0" applyFill="1" applyBorder="1" applyAlignment="1">
      <alignment horizontal="center" vertical="center"/>
    </xf>
    <xf numFmtId="0" fontId="0" fillId="41" borderId="101" xfId="0" applyFill="1" applyBorder="1" applyAlignment="1">
      <alignment wrapText="1"/>
    </xf>
    <xf numFmtId="172" fontId="120" fillId="41" borderId="101" xfId="1" applyNumberFormat="1" applyFont="1" applyFill="1" applyBorder="1" applyAlignment="1">
      <alignment horizontal="center" vertical="center"/>
    </xf>
    <xf numFmtId="166" fontId="0" fillId="41" borderId="0" xfId="1" applyFont="1" applyFill="1"/>
    <xf numFmtId="0" fontId="0" fillId="41" borderId="0" xfId="0" applyFill="1"/>
    <xf numFmtId="0" fontId="0" fillId="35" borderId="67" xfId="0" applyFill="1" applyBorder="1" applyAlignment="1">
      <alignment horizontal="center" vertical="center" wrapText="1"/>
    </xf>
    <xf numFmtId="172" fontId="120" fillId="47" borderId="67" xfId="1" applyNumberFormat="1" applyFont="1" applyFill="1" applyBorder="1" applyAlignment="1">
      <alignment horizontal="center" vertical="center"/>
    </xf>
    <xf numFmtId="0" fontId="0" fillId="47" borderId="67" xfId="0" applyFill="1" applyBorder="1" applyAlignment="1">
      <alignment horizontal="center" vertical="center"/>
    </xf>
    <xf numFmtId="0" fontId="0" fillId="37" borderId="67" xfId="0" applyFill="1" applyBorder="1" applyAlignment="1">
      <alignment horizontal="center" vertical="center"/>
    </xf>
    <xf numFmtId="0" fontId="0" fillId="40" borderId="67" xfId="0" applyFill="1" applyBorder="1" applyAlignment="1">
      <alignment horizontal="center" vertical="center"/>
    </xf>
    <xf numFmtId="0" fontId="0" fillId="45" borderId="67" xfId="0" applyFill="1" applyBorder="1" applyAlignment="1">
      <alignment horizontal="center" vertical="center"/>
    </xf>
    <xf numFmtId="166" fontId="3" fillId="0" borderId="101" xfId="1" applyFont="1" applyFill="1" applyBorder="1" applyAlignment="1">
      <alignment horizontal="center" vertical="top" wrapText="1"/>
    </xf>
    <xf numFmtId="0" fontId="3" fillId="0" borderId="101" xfId="0" applyFont="1" applyFill="1" applyBorder="1" applyAlignment="1">
      <alignment horizontal="center" vertical="top" wrapText="1"/>
    </xf>
    <xf numFmtId="172" fontId="3" fillId="0" borderId="101" xfId="1" applyNumberFormat="1" applyFont="1" applyFill="1" applyBorder="1" applyAlignment="1">
      <alignment horizontal="center" vertical="top" wrapText="1"/>
    </xf>
    <xf numFmtId="0" fontId="3" fillId="38" borderId="101" xfId="0" applyFont="1" applyFill="1" applyBorder="1" applyAlignment="1">
      <alignment horizontal="center" vertical="center"/>
    </xf>
    <xf numFmtId="166" fontId="3" fillId="0" borderId="90" xfId="1" applyFont="1" applyFill="1" applyBorder="1" applyAlignment="1">
      <alignment horizontal="center" vertical="top"/>
    </xf>
    <xf numFmtId="0" fontId="3" fillId="0" borderId="92" xfId="0" applyFont="1" applyFill="1" applyBorder="1" applyAlignment="1">
      <alignment horizontal="center" vertical="top"/>
    </xf>
    <xf numFmtId="172" fontId="3" fillId="0" borderId="90" xfId="1" applyNumberFormat="1" applyFont="1" applyFill="1" applyBorder="1" applyAlignment="1">
      <alignment horizontal="center" vertical="top"/>
    </xf>
    <xf numFmtId="166" fontId="3" fillId="37" borderId="101" xfId="1" applyFont="1" applyFill="1" applyBorder="1" applyAlignment="1">
      <alignment horizontal="center" vertical="center"/>
    </xf>
    <xf numFmtId="0" fontId="3" fillId="37" borderId="101" xfId="0" applyFont="1" applyFill="1" applyBorder="1" applyAlignment="1">
      <alignment horizontal="center" vertical="center"/>
    </xf>
    <xf numFmtId="166" fontId="3" fillId="38" borderId="101" xfId="1" applyFont="1" applyFill="1" applyBorder="1" applyAlignment="1">
      <alignment horizontal="center" vertical="center"/>
    </xf>
    <xf numFmtId="166" fontId="3" fillId="39" borderId="101" xfId="1" applyFont="1" applyFill="1" applyBorder="1" applyAlignment="1">
      <alignment horizontal="center" vertical="center"/>
    </xf>
    <xf numFmtId="0" fontId="3" fillId="39" borderId="101" xfId="0" applyFont="1" applyFill="1" applyBorder="1" applyAlignment="1">
      <alignment horizontal="center" vertical="center"/>
    </xf>
    <xf numFmtId="4" fontId="3" fillId="43" borderId="101" xfId="0" applyNumberFormat="1" applyFont="1" applyFill="1" applyBorder="1" applyAlignment="1">
      <alignment horizontal="center" vertical="center"/>
    </xf>
    <xf numFmtId="0" fontId="16" fillId="48" borderId="101" xfId="0" applyFont="1" applyFill="1" applyBorder="1"/>
    <xf numFmtId="166" fontId="16" fillId="48" borderId="101" xfId="1" applyFont="1" applyFill="1" applyBorder="1" applyAlignment="1">
      <alignment horizontal="center"/>
    </xf>
    <xf numFmtId="0" fontId="16" fillId="48" borderId="101" xfId="0" applyFont="1" applyFill="1" applyBorder="1" applyAlignment="1">
      <alignment horizontal="center"/>
    </xf>
    <xf numFmtId="172" fontId="16" fillId="48" borderId="101" xfId="1" applyNumberFormat="1" applyFont="1" applyFill="1" applyBorder="1"/>
    <xf numFmtId="165" fontId="3" fillId="48" borderId="91" xfId="2" applyNumberFormat="1" applyFont="1" applyFill="1" applyBorder="1" applyAlignment="1">
      <alignment horizontal="center" vertical="center"/>
    </xf>
    <xf numFmtId="165" fontId="16" fillId="48" borderId="101" xfId="2" applyFont="1" applyFill="1" applyBorder="1"/>
    <xf numFmtId="0" fontId="15" fillId="2" borderId="101" xfId="0" applyFont="1" applyFill="1" applyBorder="1"/>
    <xf numFmtId="0" fontId="15" fillId="36" borderId="101" xfId="0" applyFont="1" applyFill="1" applyBorder="1"/>
    <xf numFmtId="0" fontId="15" fillId="40" borderId="101" xfId="0" applyFont="1" applyFill="1" applyBorder="1"/>
    <xf numFmtId="0" fontId="15" fillId="41" borderId="101" xfId="0" applyFont="1" applyFill="1" applyBorder="1"/>
    <xf numFmtId="0" fontId="15" fillId="48" borderId="101" xfId="0" applyFont="1" applyFill="1" applyBorder="1"/>
    <xf numFmtId="166" fontId="3" fillId="2" borderId="25" xfId="1" applyFont="1" applyFill="1" applyBorder="1" applyAlignment="1">
      <alignment horizontal="center" vertical="center"/>
    </xf>
    <xf numFmtId="0" fontId="170" fillId="0" borderId="101" xfId="0" applyFont="1" applyFill="1" applyBorder="1"/>
    <xf numFmtId="0" fontId="168" fillId="0" borderId="101" xfId="0" applyFont="1" applyFill="1" applyBorder="1"/>
    <xf numFmtId="166" fontId="168" fillId="0" borderId="101" xfId="1" applyFont="1" applyFill="1" applyBorder="1" applyAlignment="1">
      <alignment horizontal="center"/>
    </xf>
    <xf numFmtId="0" fontId="168" fillId="0" borderId="101" xfId="0" applyFont="1" applyFill="1" applyBorder="1" applyAlignment="1">
      <alignment horizontal="center"/>
    </xf>
    <xf numFmtId="172" fontId="168" fillId="0" borderId="101" xfId="1" applyNumberFormat="1" applyFont="1" applyFill="1" applyBorder="1"/>
    <xf numFmtId="165" fontId="168" fillId="0" borderId="101" xfId="2" applyFont="1" applyFill="1" applyBorder="1"/>
    <xf numFmtId="166" fontId="134" fillId="0" borderId="101" xfId="1" applyFont="1" applyFill="1" applyBorder="1" applyAlignment="1">
      <alignment horizontal="center"/>
    </xf>
    <xf numFmtId="0" fontId="134" fillId="0" borderId="101" xfId="0" applyFont="1" applyFill="1" applyBorder="1" applyAlignment="1">
      <alignment horizontal="center"/>
    </xf>
    <xf numFmtId="3" fontId="134" fillId="0" borderId="101" xfId="0" applyNumberFormat="1" applyFont="1" applyFill="1" applyBorder="1" applyAlignment="1">
      <alignment horizontal="center" vertical="center"/>
    </xf>
    <xf numFmtId="0" fontId="134" fillId="0" borderId="101" xfId="0" applyFont="1" applyFill="1" applyBorder="1" applyAlignment="1">
      <alignment vertical="center"/>
    </xf>
    <xf numFmtId="0" fontId="134" fillId="0" borderId="101" xfId="0" applyFont="1" applyFill="1" applyBorder="1" applyAlignment="1">
      <alignment horizontal="left" vertical="top"/>
    </xf>
    <xf numFmtId="0" fontId="169" fillId="0" borderId="101" xfId="0" applyFont="1" applyFill="1" applyBorder="1" applyAlignment="1">
      <alignment vertical="center" wrapText="1"/>
    </xf>
    <xf numFmtId="166" fontId="169" fillId="0" borderId="101" xfId="1" applyFont="1" applyFill="1" applyBorder="1" applyAlignment="1">
      <alignment horizontal="center" vertical="center"/>
    </xf>
    <xf numFmtId="0" fontId="169" fillId="0" borderId="101" xfId="0" applyFont="1" applyFill="1" applyBorder="1" applyAlignment="1">
      <alignment horizontal="center" vertical="center"/>
    </xf>
    <xf numFmtId="172" fontId="169" fillId="0" borderId="101" xfId="1" applyNumberFormat="1" applyFont="1" applyFill="1" applyBorder="1" applyAlignment="1">
      <alignment vertical="center"/>
    </xf>
    <xf numFmtId="0" fontId="170" fillId="0" borderId="101" xfId="0" applyFont="1" applyFill="1" applyBorder="1" applyAlignment="1">
      <alignment horizontal="center" vertical="center"/>
    </xf>
    <xf numFmtId="0" fontId="168" fillId="0" borderId="0" xfId="0" applyFont="1" applyFill="1"/>
    <xf numFmtId="0" fontId="168" fillId="0" borderId="101" xfId="0" applyFont="1" applyFill="1" applyBorder="1" applyAlignment="1">
      <alignment horizontal="center" vertical="center"/>
    </xf>
    <xf numFmtId="0" fontId="168" fillId="0" borderId="0" xfId="0" applyFont="1" applyFill="1" applyAlignment="1">
      <alignment horizontal="center" vertical="center"/>
    </xf>
    <xf numFmtId="166" fontId="170" fillId="0" borderId="101" xfId="1" applyFont="1" applyFill="1" applyBorder="1"/>
    <xf numFmtId="166" fontId="134" fillId="0" borderId="101" xfId="1" applyFont="1" applyFill="1" applyBorder="1" applyAlignment="1">
      <alignment horizontal="center" vertical="center"/>
    </xf>
    <xf numFmtId="166" fontId="169" fillId="0" borderId="101" xfId="1" applyFont="1" applyFill="1" applyBorder="1" applyAlignment="1">
      <alignment vertical="center"/>
    </xf>
    <xf numFmtId="43" fontId="170" fillId="0" borderId="101" xfId="0" applyNumberFormat="1" applyFont="1" applyFill="1" applyBorder="1" applyAlignment="1">
      <alignment horizontal="center" vertical="center"/>
    </xf>
    <xf numFmtId="43" fontId="168" fillId="0" borderId="0" xfId="0" applyNumberFormat="1" applyFont="1" applyFill="1"/>
    <xf numFmtId="166" fontId="170" fillId="0" borderId="92" xfId="1" applyFont="1" applyFill="1" applyBorder="1"/>
    <xf numFmtId="166" fontId="169" fillId="0" borderId="36" xfId="1" applyFont="1" applyFill="1" applyBorder="1" applyAlignment="1">
      <alignment horizontal="center" vertical="center"/>
    </xf>
    <xf numFmtId="166" fontId="169" fillId="0" borderId="12" xfId="1" applyFont="1" applyFill="1" applyBorder="1" applyAlignment="1">
      <alignment horizontal="center" vertical="center"/>
    </xf>
    <xf numFmtId="166" fontId="169" fillId="0" borderId="109" xfId="1" applyFont="1" applyFill="1" applyBorder="1" applyAlignment="1">
      <alignment horizontal="center" vertical="center"/>
    </xf>
    <xf numFmtId="166" fontId="134" fillId="0" borderId="109" xfId="1" applyFont="1" applyFill="1" applyBorder="1" applyAlignment="1">
      <alignment horizontal="center" vertical="center"/>
    </xf>
    <xf numFmtId="166" fontId="169" fillId="0" borderId="92" xfId="1" applyFont="1" applyFill="1" applyBorder="1" applyAlignment="1">
      <alignment horizontal="center" vertical="center"/>
    </xf>
    <xf numFmtId="166" fontId="134" fillId="0" borderId="92" xfId="1" applyFont="1" applyFill="1" applyBorder="1" applyAlignment="1">
      <alignment horizontal="center" vertical="center"/>
    </xf>
    <xf numFmtId="166" fontId="169" fillId="0" borderId="36" xfId="1" applyFont="1" applyFill="1" applyBorder="1" applyAlignment="1">
      <alignment vertical="center"/>
    </xf>
    <xf numFmtId="166" fontId="134" fillId="0" borderId="36" xfId="1" applyFont="1" applyFill="1" applyBorder="1" applyAlignment="1">
      <alignment horizontal="center" vertical="center"/>
    </xf>
    <xf numFmtId="166" fontId="170" fillId="0" borderId="109" xfId="1" applyFont="1" applyFill="1" applyBorder="1"/>
    <xf numFmtId="0" fontId="168" fillId="0" borderId="86" xfId="0" applyFont="1" applyFill="1" applyBorder="1"/>
    <xf numFmtId="0" fontId="170" fillId="0" borderId="86" xfId="0" applyFont="1" applyFill="1" applyBorder="1"/>
    <xf numFmtId="170" fontId="172" fillId="0" borderId="0" xfId="0" applyNumberFormat="1" applyFont="1" applyFill="1"/>
    <xf numFmtId="166" fontId="0" fillId="0" borderId="101" xfId="1" applyFont="1" applyBorder="1"/>
    <xf numFmtId="166" fontId="3" fillId="0" borderId="69" xfId="1" applyFont="1" applyFill="1" applyBorder="1" applyAlignment="1">
      <alignment vertical="top"/>
    </xf>
    <xf numFmtId="0" fontId="13" fillId="0" borderId="86" xfId="0" applyFont="1" applyFill="1" applyBorder="1" applyAlignment="1">
      <alignment horizontal="center"/>
    </xf>
    <xf numFmtId="0" fontId="13" fillId="0" borderId="109" xfId="0" applyFont="1" applyFill="1" applyBorder="1" applyAlignment="1">
      <alignment horizontal="center"/>
    </xf>
    <xf numFmtId="43" fontId="13" fillId="0" borderId="101" xfId="0" applyNumberFormat="1" applyFont="1" applyFill="1" applyBorder="1"/>
    <xf numFmtId="0" fontId="0" fillId="0" borderId="0" xfId="0" applyFill="1"/>
    <xf numFmtId="17" fontId="13" fillId="33" borderId="67" xfId="0" applyNumberFormat="1" applyFont="1" applyFill="1" applyBorder="1" applyAlignment="1">
      <alignment horizontal="center" vertical="center"/>
    </xf>
    <xf numFmtId="0" fontId="13" fillId="33" borderId="101" xfId="0" applyFont="1" applyFill="1" applyBorder="1" applyAlignment="1">
      <alignment horizontal="center" vertical="center" wrapText="1"/>
    </xf>
    <xf numFmtId="43" fontId="0" fillId="0" borderId="101" xfId="0" applyNumberFormat="1" applyBorder="1"/>
    <xf numFmtId="43" fontId="18" fillId="32" borderId="101" xfId="0" applyNumberFormat="1" applyFont="1" applyFill="1" applyBorder="1"/>
    <xf numFmtId="43" fontId="18" fillId="34" borderId="101" xfId="0" applyNumberFormat="1" applyFont="1" applyFill="1" applyBorder="1"/>
    <xf numFmtId="0" fontId="13" fillId="0" borderId="101" xfId="0" applyFont="1" applyFill="1" applyBorder="1" applyAlignment="1">
      <alignment vertical="top"/>
    </xf>
    <xf numFmtId="170" fontId="3" fillId="0" borderId="102" xfId="0" applyNumberFormat="1" applyFont="1" applyFill="1" applyBorder="1" applyAlignment="1">
      <alignment horizontal="center" vertical="top"/>
    </xf>
    <xf numFmtId="166" fontId="3" fillId="0" borderId="30" xfId="1" applyFont="1" applyFill="1" applyBorder="1" applyAlignment="1">
      <alignment horizontal="center" vertical="top"/>
    </xf>
    <xf numFmtId="0" fontId="103" fillId="0" borderId="101" xfId="14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101" xfId="0" applyFont="1" applyFill="1" applyBorder="1" applyAlignment="1">
      <alignment horizontal="center" vertical="center" wrapText="1"/>
    </xf>
    <xf numFmtId="170" fontId="3" fillId="0" borderId="102" xfId="2" applyNumberFormat="1" applyFont="1" applyFill="1" applyBorder="1" applyAlignment="1">
      <alignment vertical="center" wrapText="1"/>
    </xf>
    <xf numFmtId="0" fontId="14" fillId="0" borderId="104" xfId="0" applyFont="1" applyFill="1" applyBorder="1" applyAlignment="1">
      <alignment horizontal="center" vertical="center" wrapText="1"/>
    </xf>
    <xf numFmtId="0" fontId="14" fillId="0" borderId="101" xfId="0" applyFont="1" applyFill="1" applyBorder="1" applyAlignment="1">
      <alignment horizontal="center" vertical="center" wrapText="1"/>
    </xf>
    <xf numFmtId="0" fontId="14" fillId="0" borderId="101" xfId="0" quotePrefix="1" applyFont="1" applyFill="1" applyBorder="1" applyAlignment="1">
      <alignment horizontal="center" vertical="center" wrapText="1"/>
    </xf>
    <xf numFmtId="166" fontId="3" fillId="0" borderId="101" xfId="1" applyFont="1" applyFill="1" applyBorder="1" applyAlignment="1">
      <alignment horizontal="center" vertical="center" wrapText="1"/>
    </xf>
    <xf numFmtId="165" fontId="3" fillId="0" borderId="101" xfId="2" applyNumberFormat="1" applyFont="1" applyFill="1" applyBorder="1" applyAlignment="1">
      <alignment vertical="center" wrapText="1"/>
    </xf>
    <xf numFmtId="183" fontId="124" fillId="0" borderId="101" xfId="0" applyNumberFormat="1" applyFont="1" applyFill="1" applyBorder="1" applyAlignment="1" applyProtection="1">
      <alignment horizontal="right" vertical="top" wrapText="1"/>
    </xf>
    <xf numFmtId="170" fontId="123" fillId="0" borderId="86" xfId="0" applyNumberFormat="1" applyFont="1" applyFill="1" applyBorder="1" applyProtection="1"/>
    <xf numFmtId="170" fontId="123" fillId="0" borderId="101" xfId="0" applyNumberFormat="1" applyFont="1" applyFill="1" applyBorder="1" applyProtection="1"/>
    <xf numFmtId="192" fontId="5" fillId="0" borderId="25" xfId="0" applyNumberFormat="1" applyFont="1" applyFill="1" applyBorder="1" applyAlignment="1" applyProtection="1">
      <alignment horizontal="right" vertical="top" wrapText="1"/>
    </xf>
    <xf numFmtId="0" fontId="14" fillId="36" borderId="32" xfId="0" applyFont="1" applyFill="1" applyBorder="1" applyAlignment="1">
      <alignment horizontal="center" vertical="center" wrapText="1"/>
    </xf>
    <xf numFmtId="0" fontId="14" fillId="36" borderId="25" xfId="0" applyFont="1" applyFill="1" applyBorder="1" applyAlignment="1">
      <alignment horizontal="center" vertical="center" wrapText="1"/>
    </xf>
    <xf numFmtId="0" fontId="14" fillId="36" borderId="25" xfId="0" quotePrefix="1" applyFont="1" applyFill="1" applyBorder="1" applyAlignment="1">
      <alignment horizontal="center" vertical="center" wrapText="1"/>
    </xf>
    <xf numFmtId="0" fontId="3" fillId="36" borderId="25" xfId="0" applyFont="1" applyFill="1" applyBorder="1" applyAlignment="1">
      <alignment vertical="center" wrapText="1"/>
    </xf>
    <xf numFmtId="166" fontId="3" fillId="36" borderId="25" xfId="1" applyFont="1" applyFill="1" applyBorder="1" applyAlignment="1">
      <alignment horizontal="center" vertical="center" wrapText="1"/>
    </xf>
    <xf numFmtId="0" fontId="3" fillId="36" borderId="25" xfId="0" applyFont="1" applyFill="1" applyBorder="1" applyAlignment="1">
      <alignment horizontal="center" vertical="center" wrapText="1"/>
    </xf>
    <xf numFmtId="165" fontId="3" fillId="36" borderId="25" xfId="2" applyNumberFormat="1" applyFont="1" applyFill="1" applyBorder="1" applyAlignment="1">
      <alignment vertical="center" wrapText="1"/>
    </xf>
    <xf numFmtId="170" fontId="5" fillId="36" borderId="31" xfId="2" applyNumberFormat="1" applyFont="1" applyFill="1" applyBorder="1" applyAlignment="1">
      <alignment vertical="center"/>
    </xf>
    <xf numFmtId="183" fontId="124" fillId="36" borderId="25" xfId="0" applyNumberFormat="1" applyFont="1" applyFill="1" applyBorder="1" applyAlignment="1" applyProtection="1">
      <alignment horizontal="right" vertical="top" wrapText="1"/>
    </xf>
    <xf numFmtId="170" fontId="123" fillId="36" borderId="15" xfId="0" applyNumberFormat="1" applyFont="1" applyFill="1" applyBorder="1" applyProtection="1"/>
    <xf numFmtId="170" fontId="123" fillId="36" borderId="25" xfId="0" applyNumberFormat="1" applyFont="1" applyFill="1" applyBorder="1" applyProtection="1"/>
    <xf numFmtId="0" fontId="123" fillId="36" borderId="25" xfId="0" applyFont="1" applyFill="1" applyBorder="1" applyProtection="1"/>
    <xf numFmtId="0" fontId="0" fillId="36" borderId="25" xfId="0" applyFill="1" applyBorder="1" applyProtection="1"/>
    <xf numFmtId="0" fontId="16" fillId="36" borderId="0" xfId="0" applyFont="1" applyFill="1"/>
    <xf numFmtId="166" fontId="3" fillId="36" borderId="25" xfId="1" applyNumberFormat="1" applyFont="1" applyFill="1" applyBorder="1" applyAlignment="1">
      <alignment horizontal="center" vertical="center" wrapText="1"/>
    </xf>
    <xf numFmtId="165" fontId="123" fillId="36" borderId="15" xfId="0" applyNumberFormat="1" applyFont="1" applyFill="1" applyBorder="1" applyProtection="1"/>
    <xf numFmtId="0" fontId="13" fillId="36" borderId="71" xfId="0" applyFont="1" applyFill="1" applyBorder="1" applyAlignment="1">
      <alignment horizontal="center" vertical="top"/>
    </xf>
    <xf numFmtId="0" fontId="13" fillId="36" borderId="67" xfId="0" applyFont="1" applyFill="1" applyBorder="1" applyAlignment="1">
      <alignment horizontal="center" vertical="top"/>
    </xf>
    <xf numFmtId="0" fontId="13" fillId="36" borderId="67" xfId="0" quotePrefix="1" applyFont="1" applyFill="1" applyBorder="1" applyAlignment="1">
      <alignment horizontal="center" vertical="top"/>
    </xf>
    <xf numFmtId="0" fontId="13" fillId="36" borderId="67" xfId="0" applyFont="1" applyFill="1" applyBorder="1" applyAlignment="1">
      <alignment horizontal="left" vertical="top" wrapText="1"/>
    </xf>
    <xf numFmtId="166" fontId="13" fillId="36" borderId="67" xfId="1" applyFont="1" applyFill="1" applyBorder="1" applyAlignment="1">
      <alignment vertical="center" wrapText="1"/>
    </xf>
    <xf numFmtId="0" fontId="13" fillId="36" borderId="67" xfId="0" applyFont="1" applyFill="1" applyBorder="1" applyAlignment="1">
      <alignment vertical="center" wrapText="1"/>
    </xf>
    <xf numFmtId="172" fontId="13" fillId="36" borderId="69" xfId="0" applyNumberFormat="1" applyFont="1" applyFill="1" applyBorder="1" applyAlignment="1">
      <alignment vertical="center" wrapText="1"/>
    </xf>
    <xf numFmtId="183" fontId="93" fillId="36" borderId="86" xfId="0" applyNumberFormat="1" applyFont="1" applyFill="1" applyBorder="1" applyAlignment="1" applyProtection="1">
      <alignment horizontal="right" vertical="top" wrapText="1"/>
    </xf>
    <xf numFmtId="183" fontId="93" fillId="36" borderId="67" xfId="0" applyNumberFormat="1" applyFont="1" applyFill="1" applyBorder="1" applyAlignment="1" applyProtection="1">
      <alignment horizontal="right" vertical="top" wrapText="1"/>
    </xf>
    <xf numFmtId="0" fontId="93" fillId="36" borderId="67" xfId="0" applyFont="1" applyFill="1" applyBorder="1" applyAlignment="1" applyProtection="1">
      <alignment horizontal="left" vertical="top" wrapText="1"/>
    </xf>
    <xf numFmtId="0" fontId="4" fillId="36" borderId="0" xfId="0" applyFont="1" applyFill="1"/>
    <xf numFmtId="0" fontId="13" fillId="36" borderId="67" xfId="0" applyFont="1" applyFill="1" applyBorder="1" applyAlignment="1">
      <alignment vertical="top"/>
    </xf>
    <xf numFmtId="0" fontId="3" fillId="36" borderId="66" xfId="0" applyFont="1" applyFill="1" applyBorder="1" applyAlignment="1">
      <alignment horizontal="center" vertical="center"/>
    </xf>
    <xf numFmtId="0" fontId="3" fillId="36" borderId="67" xfId="0" applyFont="1" applyFill="1" applyBorder="1" applyAlignment="1">
      <alignment horizontal="center" vertical="center"/>
    </xf>
    <xf numFmtId="0" fontId="3" fillId="36" borderId="67" xfId="0" applyFont="1" applyFill="1" applyBorder="1" applyAlignment="1">
      <alignment vertical="center" wrapText="1"/>
    </xf>
    <xf numFmtId="166" fontId="3" fillId="36" borderId="67" xfId="1" applyFont="1" applyFill="1" applyBorder="1" applyAlignment="1">
      <alignment vertical="center" wrapText="1"/>
    </xf>
    <xf numFmtId="0" fontId="3" fillId="36" borderId="67" xfId="0" applyFont="1" applyFill="1" applyBorder="1" applyAlignment="1">
      <alignment horizontal="center" vertical="center" wrapText="1"/>
    </xf>
    <xf numFmtId="192" fontId="93" fillId="36" borderId="67" xfId="0" applyNumberFormat="1" applyFont="1" applyFill="1" applyBorder="1" applyAlignment="1" applyProtection="1">
      <alignment horizontal="right" vertical="top" wrapText="1"/>
    </xf>
    <xf numFmtId="4" fontId="0" fillId="36" borderId="25" xfId="0" applyNumberFormat="1" applyFill="1" applyBorder="1" applyProtection="1"/>
    <xf numFmtId="0" fontId="13" fillId="36" borderId="66" xfId="0" applyFont="1" applyFill="1" applyBorder="1" applyAlignment="1">
      <alignment horizontal="center" vertical="center"/>
    </xf>
    <xf numFmtId="0" fontId="13" fillId="36" borderId="67" xfId="0" applyFont="1" applyFill="1" applyBorder="1" applyAlignment="1">
      <alignment horizontal="center" vertical="center"/>
    </xf>
    <xf numFmtId="0" fontId="3" fillId="36" borderId="67" xfId="0" applyFont="1" applyFill="1" applyBorder="1" applyAlignment="1">
      <alignment vertical="center"/>
    </xf>
    <xf numFmtId="166" fontId="16" fillId="36" borderId="86" xfId="1" applyFont="1" applyFill="1" applyBorder="1" applyAlignment="1">
      <alignment horizontal="center" vertical="center" wrapText="1"/>
    </xf>
    <xf numFmtId="39" fontId="3" fillId="36" borderId="67" xfId="0" applyNumberFormat="1" applyFont="1" applyFill="1" applyBorder="1" applyAlignment="1">
      <alignment horizontal="center" vertical="center"/>
    </xf>
    <xf numFmtId="172" fontId="16" fillId="36" borderId="86" xfId="12218" applyNumberFormat="1" applyFont="1" applyFill="1" applyBorder="1" applyAlignment="1">
      <alignment vertical="center" wrapText="1"/>
    </xf>
    <xf numFmtId="172" fontId="3" fillId="36" borderId="69" xfId="2" applyNumberFormat="1" applyFont="1" applyFill="1" applyBorder="1" applyAlignment="1">
      <alignment vertical="center" wrapText="1"/>
    </xf>
    <xf numFmtId="192" fontId="93" fillId="36" borderId="86" xfId="0" applyNumberFormat="1" applyFont="1" applyFill="1" applyBorder="1" applyAlignment="1" applyProtection="1">
      <alignment horizontal="right" vertical="top" wrapText="1"/>
    </xf>
    <xf numFmtId="172" fontId="0" fillId="36" borderId="15" xfId="0" applyNumberFormat="1" applyFill="1" applyBorder="1" applyProtection="1"/>
    <xf numFmtId="0" fontId="30" fillId="41" borderId="83" xfId="10" applyNumberFormat="1" applyFont="1" applyFill="1" applyBorder="1" applyAlignment="1">
      <alignment vertical="top"/>
    </xf>
    <xf numFmtId="0" fontId="30" fillId="41" borderId="79" xfId="10" applyNumberFormat="1" applyFont="1" applyFill="1" applyBorder="1" applyAlignment="1">
      <alignment vertical="top" wrapText="1"/>
    </xf>
    <xf numFmtId="166" fontId="3" fillId="36" borderId="67" xfId="1" applyFont="1" applyFill="1" applyBorder="1" applyAlignment="1">
      <alignment horizontal="center"/>
    </xf>
    <xf numFmtId="0" fontId="3" fillId="36" borderId="67" xfId="0" applyFont="1" applyFill="1" applyBorder="1" applyAlignment="1">
      <alignment horizontal="center"/>
    </xf>
    <xf numFmtId="172" fontId="3" fillId="36" borderId="67" xfId="1" applyNumberFormat="1" applyFont="1" applyFill="1" applyBorder="1" applyAlignment="1">
      <alignment horizontal="center" vertical="center"/>
    </xf>
    <xf numFmtId="166" fontId="3" fillId="36" borderId="69" xfId="0" applyNumberFormat="1" applyFont="1" applyFill="1" applyBorder="1" applyAlignment="1">
      <alignment vertical="center"/>
    </xf>
    <xf numFmtId="183" fontId="5" fillId="36" borderId="67" xfId="0" applyNumberFormat="1" applyFont="1" applyFill="1" applyBorder="1" applyAlignment="1" applyProtection="1">
      <alignment horizontal="right" vertical="top" wrapText="1"/>
    </xf>
    <xf numFmtId="172" fontId="5" fillId="36" borderId="67" xfId="1" applyNumberFormat="1" applyFont="1" applyFill="1" applyBorder="1" applyAlignment="1" applyProtection="1">
      <alignment horizontal="right" vertical="top" wrapText="1"/>
    </xf>
    <xf numFmtId="0" fontId="5" fillId="36" borderId="67" xfId="0" applyFont="1" applyFill="1" applyBorder="1" applyAlignment="1" applyProtection="1">
      <alignment horizontal="left" vertical="top" wrapText="1"/>
    </xf>
    <xf numFmtId="192" fontId="5" fillId="36" borderId="67" xfId="0" applyNumberFormat="1" applyFont="1" applyFill="1" applyBorder="1" applyAlignment="1" applyProtection="1">
      <alignment horizontal="right" vertical="top" wrapText="1"/>
    </xf>
    <xf numFmtId="0" fontId="13" fillId="36" borderId="84" xfId="0" applyFont="1" applyFill="1" applyBorder="1" applyAlignment="1">
      <alignment horizontal="center" vertical="top"/>
    </xf>
    <xf numFmtId="0" fontId="13" fillId="36" borderId="101" xfId="0" applyFont="1" applyFill="1" applyBorder="1" applyAlignment="1">
      <alignment horizontal="center" vertical="top"/>
    </xf>
    <xf numFmtId="0" fontId="13" fillId="36" borderId="101" xfId="0" quotePrefix="1" applyFont="1" applyFill="1" applyBorder="1" applyAlignment="1">
      <alignment horizontal="center" vertical="top"/>
    </xf>
    <xf numFmtId="0" fontId="3" fillId="36" borderId="101" xfId="0" applyFont="1" applyFill="1" applyBorder="1" applyAlignment="1">
      <alignment vertical="center" wrapText="1"/>
    </xf>
    <xf numFmtId="183" fontId="5" fillId="36" borderId="101" xfId="0" applyNumberFormat="1" applyFont="1" applyFill="1" applyBorder="1" applyAlignment="1" applyProtection="1">
      <alignment horizontal="right" vertical="top" wrapText="1"/>
    </xf>
    <xf numFmtId="192" fontId="5" fillId="36" borderId="86" xfId="0" applyNumberFormat="1" applyFont="1" applyFill="1" applyBorder="1" applyAlignment="1" applyProtection="1">
      <alignment horizontal="right" vertical="top" wrapText="1"/>
    </xf>
    <xf numFmtId="172" fontId="5" fillId="36" borderId="101" xfId="1" applyNumberFormat="1" applyFont="1" applyFill="1" applyBorder="1" applyAlignment="1" applyProtection="1">
      <alignment horizontal="right" vertical="top" wrapText="1"/>
    </xf>
    <xf numFmtId="0" fontId="5" fillId="36" borderId="101" xfId="0" applyFont="1" applyFill="1" applyBorder="1" applyAlignment="1" applyProtection="1">
      <alignment horizontal="left" vertical="top" wrapText="1"/>
    </xf>
    <xf numFmtId="172" fontId="3" fillId="36" borderId="102" xfId="1" applyNumberFormat="1" applyFont="1" applyFill="1" applyBorder="1" applyAlignment="1">
      <alignment vertical="center"/>
    </xf>
    <xf numFmtId="165" fontId="3" fillId="36" borderId="69" xfId="2" applyNumberFormat="1" applyFont="1" applyFill="1" applyBorder="1" applyAlignment="1">
      <alignment vertical="center" wrapText="1"/>
    </xf>
    <xf numFmtId="172" fontId="3" fillId="36" borderId="67" xfId="1" applyNumberFormat="1" applyFont="1" applyFill="1" applyBorder="1" applyAlignment="1">
      <alignment vertical="center" wrapText="1"/>
    </xf>
    <xf numFmtId="0" fontId="13" fillId="36" borderId="32" xfId="0" applyFont="1" applyFill="1" applyBorder="1" applyAlignment="1">
      <alignment horizontal="center" vertical="center"/>
    </xf>
    <xf numFmtId="0" fontId="13" fillId="36" borderId="25" xfId="0" applyFont="1" applyFill="1" applyBorder="1" applyAlignment="1">
      <alignment horizontal="center" vertical="center"/>
    </xf>
    <xf numFmtId="0" fontId="13" fillId="36" borderId="25" xfId="0" quotePrefix="1" applyFont="1" applyFill="1" applyBorder="1" applyAlignment="1">
      <alignment horizontal="center" vertical="center"/>
    </xf>
    <xf numFmtId="0" fontId="3" fillId="36" borderId="64" xfId="9" applyFont="1" applyFill="1" applyBorder="1"/>
    <xf numFmtId="173" fontId="3" fillId="36" borderId="64" xfId="9" applyNumberFormat="1" applyFont="1" applyFill="1" applyBorder="1" applyAlignment="1">
      <alignment horizontal="center"/>
    </xf>
    <xf numFmtId="173" fontId="3" fillId="36" borderId="64" xfId="0" applyNumberFormat="1" applyFont="1" applyFill="1" applyBorder="1"/>
    <xf numFmtId="170" fontId="3" fillId="36" borderId="31" xfId="1901" applyNumberFormat="1" applyFont="1" applyFill="1" applyBorder="1" applyAlignment="1">
      <alignment horizontal="center" vertical="center"/>
    </xf>
    <xf numFmtId="183" fontId="3" fillId="36" borderId="25" xfId="0" applyNumberFormat="1" applyFont="1" applyFill="1" applyBorder="1" applyAlignment="1" applyProtection="1">
      <alignment horizontal="right" vertical="top" wrapText="1"/>
    </xf>
    <xf numFmtId="170" fontId="3" fillId="36" borderId="25" xfId="0" applyNumberFormat="1" applyFont="1" applyFill="1" applyBorder="1" applyAlignment="1" applyProtection="1">
      <alignment horizontal="left" vertical="top" wrapText="1"/>
    </xf>
    <xf numFmtId="4" fontId="3" fillId="36" borderId="25" xfId="0" applyNumberFormat="1" applyFont="1" applyFill="1" applyBorder="1" applyProtection="1"/>
    <xf numFmtId="0" fontId="3" fillId="36" borderId="25" xfId="0" applyFont="1" applyFill="1" applyBorder="1" applyProtection="1"/>
    <xf numFmtId="183" fontId="13" fillId="36" borderId="25" xfId="0" applyNumberFormat="1" applyFont="1" applyFill="1" applyBorder="1" applyProtection="1"/>
    <xf numFmtId="0" fontId="3" fillId="36" borderId="25" xfId="0" applyFont="1" applyFill="1" applyBorder="1" applyAlignment="1" applyProtection="1">
      <alignment horizontal="left" vertical="top" wrapText="1"/>
    </xf>
    <xf numFmtId="0" fontId="13" fillId="36" borderId="66" xfId="0" applyFont="1" applyFill="1" applyBorder="1" applyAlignment="1">
      <alignment horizontal="center"/>
    </xf>
    <xf numFmtId="0" fontId="13" fillId="36" borderId="67" xfId="0" applyFont="1" applyFill="1" applyBorder="1" applyAlignment="1">
      <alignment horizontal="center"/>
    </xf>
    <xf numFmtId="0" fontId="3" fillId="36" borderId="67" xfId="0" applyFont="1" applyFill="1" applyBorder="1" applyAlignment="1">
      <alignment horizontal="left" wrapText="1"/>
    </xf>
    <xf numFmtId="172" fontId="3" fillId="36" borderId="67" xfId="1" applyNumberFormat="1" applyFont="1" applyFill="1" applyBorder="1" applyAlignment="1">
      <alignment horizontal="right" vertical="center"/>
    </xf>
    <xf numFmtId="170" fontId="3" fillId="36" borderId="91" xfId="2" applyNumberFormat="1" applyFont="1" applyFill="1" applyBorder="1" applyAlignment="1">
      <alignment horizontal="center" vertical="center"/>
    </xf>
    <xf numFmtId="166" fontId="3" fillId="36" borderId="86" xfId="1" applyFont="1" applyFill="1" applyBorder="1"/>
    <xf numFmtId="166" fontId="3" fillId="36" borderId="25" xfId="1" applyFont="1" applyFill="1" applyBorder="1"/>
    <xf numFmtId="4" fontId="3" fillId="36" borderId="25" xfId="0" applyNumberFormat="1" applyFont="1" applyFill="1" applyBorder="1"/>
    <xf numFmtId="170" fontId="5" fillId="36" borderId="25" xfId="0" applyNumberFormat="1" applyFont="1" applyFill="1" applyBorder="1" applyAlignment="1" applyProtection="1">
      <alignment horizontal="left" vertical="top" wrapText="1"/>
    </xf>
    <xf numFmtId="0" fontId="3" fillId="36" borderId="25" xfId="0" applyFont="1" applyFill="1" applyBorder="1"/>
    <xf numFmtId="39" fontId="3" fillId="36" borderId="67" xfId="0" applyNumberFormat="1" applyFont="1" applyFill="1" applyBorder="1" applyAlignment="1">
      <alignment vertical="center" wrapText="1"/>
    </xf>
    <xf numFmtId="166" fontId="3" fillId="36" borderId="67" xfId="1" applyFont="1" applyFill="1" applyBorder="1"/>
    <xf numFmtId="4" fontId="3" fillId="36" borderId="67" xfId="0" applyNumberFormat="1" applyFont="1" applyFill="1" applyBorder="1"/>
    <xf numFmtId="170" fontId="5" fillId="36" borderId="67" xfId="0" applyNumberFormat="1" applyFont="1" applyFill="1" applyBorder="1" applyAlignment="1" applyProtection="1">
      <alignment horizontal="left" vertical="top" wrapText="1"/>
    </xf>
    <xf numFmtId="0" fontId="3" fillId="36" borderId="67" xfId="0" applyFont="1" applyFill="1" applyBorder="1"/>
    <xf numFmtId="0" fontId="13" fillId="36" borderId="67" xfId="0" quotePrefix="1" applyFont="1" applyFill="1" applyBorder="1" applyAlignment="1">
      <alignment horizontal="center"/>
    </xf>
    <xf numFmtId="0" fontId="3" fillId="36" borderId="67" xfId="0" applyFont="1" applyFill="1" applyBorder="1" applyAlignment="1">
      <alignment horizontal="left" vertical="top" wrapText="1"/>
    </xf>
    <xf numFmtId="166" fontId="3" fillId="36" borderId="67" xfId="1" applyFont="1" applyFill="1" applyBorder="1" applyAlignment="1">
      <alignment horizontal="center" vertical="top"/>
    </xf>
    <xf numFmtId="172" fontId="3" fillId="36" borderId="67" xfId="1" applyNumberFormat="1" applyFont="1" applyFill="1" applyBorder="1" applyAlignment="1">
      <alignment horizontal="right" vertical="top"/>
    </xf>
    <xf numFmtId="165" fontId="3" fillId="36" borderId="69" xfId="2" applyNumberFormat="1" applyFont="1" applyFill="1" applyBorder="1" applyAlignment="1">
      <alignment horizontal="center" vertical="top"/>
    </xf>
    <xf numFmtId="183" fontId="5" fillId="36" borderId="86" xfId="0" applyNumberFormat="1" applyFont="1" applyFill="1" applyBorder="1" applyAlignment="1" applyProtection="1">
      <alignment horizontal="right" vertical="top" wrapText="1"/>
    </xf>
    <xf numFmtId="165" fontId="5" fillId="36" borderId="67" xfId="0" applyNumberFormat="1" applyFont="1" applyFill="1" applyBorder="1" applyAlignment="1" applyProtection="1">
      <alignment horizontal="left" vertical="top" wrapText="1"/>
    </xf>
    <xf numFmtId="183" fontId="5" fillId="36" borderId="67" xfId="0" applyNumberFormat="1" applyFont="1" applyFill="1" applyBorder="1" applyAlignment="1" applyProtection="1">
      <alignment horizontal="left" vertical="top" wrapText="1"/>
    </xf>
    <xf numFmtId="43" fontId="3" fillId="36" borderId="0" xfId="0" applyNumberFormat="1" applyFont="1" applyFill="1"/>
    <xf numFmtId="166" fontId="3" fillId="36" borderId="0" xfId="0" applyNumberFormat="1" applyFont="1" applyFill="1"/>
    <xf numFmtId="0" fontId="3" fillId="36" borderId="67" xfId="0" quotePrefix="1" applyFont="1" applyFill="1" applyBorder="1" applyAlignment="1">
      <alignment horizontal="center" vertical="center"/>
    </xf>
    <xf numFmtId="0" fontId="28" fillId="36" borderId="62" xfId="0" applyFont="1" applyFill="1" applyBorder="1" applyAlignment="1">
      <alignment vertical="center"/>
    </xf>
    <xf numFmtId="166" fontId="0" fillId="36" borderId="90" xfId="1" applyFont="1" applyFill="1" applyBorder="1" applyAlignment="1">
      <alignment horizontal="center" vertical="center"/>
    </xf>
    <xf numFmtId="0" fontId="28" fillId="36" borderId="62" xfId="0" applyFont="1" applyFill="1" applyBorder="1" applyAlignment="1">
      <alignment horizontal="center" vertical="center"/>
    </xf>
    <xf numFmtId="172" fontId="0" fillId="36" borderId="62" xfId="1" applyNumberFormat="1" applyFont="1" applyFill="1" applyBorder="1" applyAlignment="1">
      <alignment vertical="center"/>
    </xf>
    <xf numFmtId="166" fontId="3" fillId="36" borderId="31" xfId="0" applyNumberFormat="1" applyFont="1" applyFill="1" applyBorder="1" applyAlignment="1">
      <alignment vertical="center"/>
    </xf>
    <xf numFmtId="183" fontId="93" fillId="36" borderId="25" xfId="0" applyNumberFormat="1" applyFont="1" applyFill="1" applyBorder="1" applyAlignment="1" applyProtection="1">
      <alignment horizontal="right" vertical="top" wrapText="1"/>
    </xf>
    <xf numFmtId="166" fontId="0" fillId="36" borderId="86" xfId="0" applyNumberFormat="1" applyFill="1" applyBorder="1" applyProtection="1"/>
    <xf numFmtId="166" fontId="0" fillId="36" borderId="67" xfId="0" applyNumberFormat="1" applyFill="1" applyBorder="1" applyProtection="1"/>
    <xf numFmtId="0" fontId="0" fillId="36" borderId="67" xfId="0" applyFill="1" applyBorder="1" applyProtection="1"/>
    <xf numFmtId="0" fontId="13" fillId="36" borderId="25" xfId="0" applyFont="1" applyFill="1" applyBorder="1" applyAlignment="1">
      <alignment vertical="center"/>
    </xf>
    <xf numFmtId="166" fontId="13" fillId="36" borderId="25" xfId="1" applyFont="1" applyFill="1" applyBorder="1" applyAlignment="1">
      <alignment horizontal="center"/>
    </xf>
    <xf numFmtId="0" fontId="13" fillId="36" borderId="25" xfId="0" applyFont="1" applyFill="1" applyBorder="1" applyAlignment="1">
      <alignment horizontal="center"/>
    </xf>
    <xf numFmtId="3" fontId="13" fillId="36" borderId="25" xfId="0" applyNumberFormat="1" applyFont="1" applyFill="1" applyBorder="1" applyAlignment="1">
      <alignment horizontal="center" vertical="center"/>
    </xf>
    <xf numFmtId="165" fontId="13" fillId="36" borderId="31" xfId="2" applyNumberFormat="1" applyFont="1" applyFill="1" applyBorder="1" applyAlignment="1">
      <alignment horizontal="center"/>
    </xf>
    <xf numFmtId="183" fontId="85" fillId="36" borderId="25" xfId="0" applyNumberFormat="1" applyFont="1" applyFill="1" applyBorder="1" applyAlignment="1" applyProtection="1">
      <alignment horizontal="right" vertical="top" wrapText="1"/>
    </xf>
    <xf numFmtId="0" fontId="85" fillId="36" borderId="25" xfId="0" applyFont="1" applyFill="1" applyBorder="1" applyAlignment="1" applyProtection="1">
      <alignment horizontal="left" vertical="top" wrapText="1"/>
    </xf>
    <xf numFmtId="0" fontId="16" fillId="36" borderId="25" xfId="0" applyFont="1" applyFill="1" applyBorder="1"/>
    <xf numFmtId="166" fontId="16" fillId="36" borderId="25" xfId="1" applyFont="1" applyFill="1" applyBorder="1" applyAlignment="1">
      <alignment horizontal="center"/>
    </xf>
    <xf numFmtId="0" fontId="16" fillId="36" borderId="25" xfId="0" applyFont="1" applyFill="1" applyBorder="1" applyAlignment="1">
      <alignment horizontal="center"/>
    </xf>
    <xf numFmtId="172" fontId="16" fillId="36" borderId="25" xfId="1" applyNumberFormat="1" applyFont="1" applyFill="1" applyBorder="1"/>
    <xf numFmtId="165" fontId="3" fillId="36" borderId="29" xfId="2" applyNumberFormat="1" applyFont="1" applyFill="1" applyBorder="1" applyAlignment="1">
      <alignment horizontal="center" vertical="center"/>
    </xf>
    <xf numFmtId="170" fontId="85" fillId="36" borderId="25" xfId="0" applyNumberFormat="1" applyFont="1" applyFill="1" applyBorder="1" applyAlignment="1" applyProtection="1">
      <alignment horizontal="left" vertical="top" wrapText="1"/>
    </xf>
    <xf numFmtId="0" fontId="15" fillId="36" borderId="25" xfId="0" applyFont="1" applyFill="1" applyBorder="1"/>
    <xf numFmtId="165" fontId="16" fillId="36" borderId="25" xfId="2" applyFont="1" applyFill="1" applyBorder="1"/>
    <xf numFmtId="0" fontId="13" fillId="36" borderId="32" xfId="0" applyFont="1" applyFill="1" applyBorder="1" applyAlignment="1">
      <alignment horizontal="center" vertical="top"/>
    </xf>
    <xf numFmtId="0" fontId="13" fillId="36" borderId="25" xfId="0" applyFont="1" applyFill="1" applyBorder="1" applyAlignment="1">
      <alignment horizontal="center" vertical="top"/>
    </xf>
    <xf numFmtId="0" fontId="13" fillId="36" borderId="25" xfId="0" quotePrefix="1" applyFont="1" applyFill="1" applyBorder="1" applyAlignment="1">
      <alignment horizontal="center" vertical="top"/>
    </xf>
    <xf numFmtId="0" fontId="3" fillId="36" borderId="25" xfId="0" applyFont="1" applyFill="1" applyBorder="1" applyAlignment="1">
      <alignment horizontal="left" vertical="top" wrapText="1"/>
    </xf>
    <xf numFmtId="0" fontId="139" fillId="36" borderId="25" xfId="0" applyFont="1" applyFill="1" applyBorder="1" applyProtection="1"/>
    <xf numFmtId="0" fontId="13" fillId="36" borderId="25" xfId="0" applyFont="1" applyFill="1" applyBorder="1" applyAlignment="1">
      <alignment horizontal="left" vertical="top"/>
    </xf>
    <xf numFmtId="165" fontId="13" fillId="36" borderId="31" xfId="2" applyNumberFormat="1" applyFont="1" applyFill="1" applyBorder="1" applyAlignment="1">
      <alignment horizontal="center" vertical="center"/>
    </xf>
    <xf numFmtId="8" fontId="139" fillId="36" borderId="13" xfId="0" applyNumberFormat="1" applyFont="1" applyFill="1" applyBorder="1" applyProtection="1"/>
    <xf numFmtId="8" fontId="139" fillId="36" borderId="30" xfId="0" applyNumberFormat="1" applyFont="1" applyFill="1" applyBorder="1" applyProtection="1"/>
    <xf numFmtId="0" fontId="139" fillId="36" borderId="30" xfId="0" applyFont="1" applyFill="1" applyBorder="1" applyProtection="1"/>
    <xf numFmtId="0" fontId="13" fillId="36" borderId="66" xfId="0" applyFont="1" applyFill="1" applyBorder="1" applyAlignment="1">
      <alignment horizontal="center" vertical="top"/>
    </xf>
    <xf numFmtId="0" fontId="15" fillId="36" borderId="67" xfId="0" applyFont="1" applyFill="1" applyBorder="1"/>
    <xf numFmtId="166" fontId="16" fillId="36" borderId="67" xfId="1" applyFont="1" applyFill="1" applyBorder="1" applyAlignment="1">
      <alignment horizontal="center"/>
    </xf>
    <xf numFmtId="0" fontId="16" fillId="36" borderId="67" xfId="0" applyFont="1" applyFill="1" applyBorder="1" applyAlignment="1">
      <alignment horizontal="center"/>
    </xf>
    <xf numFmtId="165" fontId="16" fillId="36" borderId="67" xfId="2" applyFont="1" applyFill="1" applyBorder="1"/>
    <xf numFmtId="183" fontId="85" fillId="36" borderId="67" xfId="0" applyNumberFormat="1" applyFont="1" applyFill="1" applyBorder="1" applyAlignment="1" applyProtection="1">
      <alignment horizontal="right" vertical="top" wrapText="1"/>
    </xf>
    <xf numFmtId="0" fontId="139" fillId="36" borderId="86" xfId="0" applyFont="1" applyFill="1" applyBorder="1" applyProtection="1"/>
    <xf numFmtId="0" fontId="139" fillId="36" borderId="67" xfId="0" applyFont="1" applyFill="1" applyBorder="1" applyProtection="1"/>
    <xf numFmtId="0" fontId="13" fillId="36" borderId="67" xfId="0" quotePrefix="1" applyFont="1" applyFill="1" applyBorder="1" applyAlignment="1">
      <alignment horizontal="center" vertical="center"/>
    </xf>
    <xf numFmtId="172" fontId="16" fillId="36" borderId="67" xfId="1" applyNumberFormat="1" applyFont="1" applyFill="1" applyBorder="1"/>
    <xf numFmtId="170" fontId="86" fillId="36" borderId="67" xfId="0" applyNumberFormat="1" applyFont="1" applyFill="1" applyBorder="1" applyProtection="1"/>
    <xf numFmtId="4" fontId="139" fillId="36" borderId="67" xfId="0" applyNumberFormat="1" applyFont="1" applyFill="1" applyBorder="1" applyProtection="1"/>
    <xf numFmtId="183" fontId="15" fillId="36" borderId="67" xfId="0" applyNumberFormat="1" applyFont="1" applyFill="1" applyBorder="1" applyProtection="1"/>
    <xf numFmtId="0" fontId="16" fillId="36" borderId="67" xfId="0" applyFont="1" applyFill="1" applyBorder="1"/>
    <xf numFmtId="4" fontId="139" fillId="36" borderId="86" xfId="0" applyNumberFormat="1" applyFont="1" applyFill="1" applyBorder="1" applyProtection="1"/>
    <xf numFmtId="43" fontId="139" fillId="36" borderId="86" xfId="0" applyNumberFormat="1" applyFont="1" applyFill="1" applyBorder="1" applyProtection="1"/>
    <xf numFmtId="43" fontId="139" fillId="36" borderId="67" xfId="0" applyNumberFormat="1" applyFont="1" applyFill="1" applyBorder="1" applyProtection="1"/>
    <xf numFmtId="183" fontId="139" fillId="36" borderId="86" xfId="0" applyNumberFormat="1" applyFont="1" applyFill="1" applyBorder="1" applyProtection="1"/>
    <xf numFmtId="183" fontId="139" fillId="36" borderId="67" xfId="0" applyNumberFormat="1" applyFont="1" applyFill="1" applyBorder="1" applyProtection="1"/>
    <xf numFmtId="165" fontId="3" fillId="36" borderId="69" xfId="2" applyNumberFormat="1" applyFont="1" applyFill="1" applyBorder="1" applyAlignment="1">
      <alignment horizontal="center" vertical="center"/>
    </xf>
    <xf numFmtId="0" fontId="13" fillId="36" borderId="100" xfId="0" applyFont="1" applyFill="1" applyBorder="1" applyAlignment="1">
      <alignment horizontal="center" vertical="top"/>
    </xf>
    <xf numFmtId="165" fontId="3" fillId="36" borderId="102" xfId="2" applyNumberFormat="1" applyFont="1" applyFill="1" applyBorder="1" applyAlignment="1">
      <alignment horizontal="center" vertical="center"/>
    </xf>
    <xf numFmtId="183" fontId="85" fillId="36" borderId="101" xfId="0" applyNumberFormat="1" applyFont="1" applyFill="1" applyBorder="1" applyAlignment="1" applyProtection="1">
      <alignment horizontal="right" vertical="top" wrapText="1"/>
    </xf>
    <xf numFmtId="170" fontId="86" fillId="36" borderId="101" xfId="0" applyNumberFormat="1" applyFont="1" applyFill="1" applyBorder="1" applyProtection="1"/>
    <xf numFmtId="0" fontId="139" fillId="36" borderId="101" xfId="0" applyFont="1" applyFill="1" applyBorder="1" applyProtection="1"/>
    <xf numFmtId="0" fontId="13" fillId="36" borderId="67" xfId="0" applyFont="1" applyFill="1" applyBorder="1" applyAlignment="1">
      <alignment horizontal="left" vertical="center" wrapText="1"/>
    </xf>
    <xf numFmtId="166" fontId="13" fillId="36" borderId="67" xfId="1" applyFont="1" applyFill="1" applyBorder="1" applyAlignment="1">
      <alignment horizontal="center"/>
    </xf>
    <xf numFmtId="3" fontId="13" fillId="36" borderId="67" xfId="0" applyNumberFormat="1" applyFont="1" applyFill="1" applyBorder="1" applyAlignment="1">
      <alignment horizontal="right" vertical="center"/>
    </xf>
    <xf numFmtId="170" fontId="13" fillId="36" borderId="69" xfId="2" applyNumberFormat="1" applyFont="1" applyFill="1" applyBorder="1" applyAlignment="1">
      <alignment horizontal="center" vertical="center"/>
    </xf>
    <xf numFmtId="170" fontId="93" fillId="36" borderId="67" xfId="0" applyNumberFormat="1" applyFont="1" applyFill="1" applyBorder="1" applyAlignment="1" applyProtection="1">
      <alignment horizontal="left" vertical="top" wrapText="1"/>
    </xf>
    <xf numFmtId="0" fontId="13" fillId="36" borderId="64" xfId="0" applyFont="1" applyFill="1" applyBorder="1" applyAlignment="1">
      <alignment horizontal="center"/>
    </xf>
    <xf numFmtId="0" fontId="13" fillId="36" borderId="64" xfId="0" quotePrefix="1" applyFont="1" applyFill="1" applyBorder="1" applyAlignment="1">
      <alignment horizontal="center"/>
    </xf>
    <xf numFmtId="0" fontId="3" fillId="36" borderId="64" xfId="0" applyFont="1" applyFill="1" applyBorder="1" applyAlignment="1">
      <alignment horizontal="left" wrapText="1"/>
    </xf>
    <xf numFmtId="166" fontId="3" fillId="36" borderId="64" xfId="1" applyFont="1" applyFill="1" applyBorder="1" applyAlignment="1">
      <alignment vertical="top" wrapText="1"/>
    </xf>
    <xf numFmtId="0" fontId="3" fillId="36" borderId="64" xfId="0" applyFont="1" applyFill="1" applyBorder="1" applyAlignment="1">
      <alignment horizontal="center" vertical="top"/>
    </xf>
    <xf numFmtId="172" fontId="3" fillId="36" borderId="64" xfId="1" applyNumberFormat="1" applyFont="1" applyFill="1" applyBorder="1" applyAlignment="1">
      <alignment horizontal="center" vertical="center"/>
    </xf>
    <xf numFmtId="165" fontId="3" fillId="36" borderId="63" xfId="2" applyNumberFormat="1" applyFont="1" applyFill="1" applyBorder="1" applyAlignment="1">
      <alignment horizontal="center" vertical="center"/>
    </xf>
    <xf numFmtId="166" fontId="3" fillId="36" borderId="83" xfId="1" applyFont="1" applyFill="1" applyBorder="1"/>
    <xf numFmtId="0" fontId="5" fillId="36" borderId="66" xfId="0" applyFont="1" applyFill="1" applyBorder="1" applyAlignment="1">
      <alignment horizontal="center" vertical="center"/>
    </xf>
    <xf numFmtId="0" fontId="14" fillId="36" borderId="67" xfId="0" applyFont="1" applyFill="1" applyBorder="1" applyAlignment="1">
      <alignment horizontal="center" vertical="center"/>
    </xf>
    <xf numFmtId="0" fontId="14" fillId="36" borderId="67" xfId="0" quotePrefix="1" applyFont="1" applyFill="1" applyBorder="1" applyAlignment="1">
      <alignment horizontal="center" vertical="center"/>
    </xf>
    <xf numFmtId="0" fontId="5" fillId="36" borderId="67" xfId="0" applyFont="1" applyFill="1" applyBorder="1" applyAlignment="1">
      <alignment horizontal="left" vertical="center" wrapText="1"/>
    </xf>
    <xf numFmtId="166" fontId="5" fillId="36" borderId="67" xfId="1" applyFont="1" applyFill="1" applyBorder="1" applyAlignment="1">
      <alignment horizontal="center" vertical="center"/>
    </xf>
    <xf numFmtId="0" fontId="5" fillId="36" borderId="67" xfId="0" applyFont="1" applyFill="1" applyBorder="1" applyAlignment="1">
      <alignment horizontal="center" vertical="center"/>
    </xf>
    <xf numFmtId="165" fontId="5" fillId="36" borderId="67" xfId="2" applyNumberFormat="1" applyFont="1" applyFill="1" applyBorder="1" applyAlignment="1">
      <alignment horizontal="right" vertical="center"/>
    </xf>
    <xf numFmtId="0" fontId="0" fillId="36" borderId="86" xfId="0" applyFill="1" applyBorder="1" applyProtection="1"/>
    <xf numFmtId="170" fontId="5" fillId="36" borderId="69" xfId="2" applyNumberFormat="1" applyFont="1" applyFill="1" applyBorder="1" applyAlignment="1">
      <alignment vertical="center"/>
    </xf>
    <xf numFmtId="0" fontId="14" fillId="36" borderId="25" xfId="0" applyFont="1" applyFill="1" applyBorder="1" applyAlignment="1">
      <alignment horizontal="left" vertical="center" wrapText="1"/>
    </xf>
    <xf numFmtId="0" fontId="13" fillId="36" borderId="71" xfId="0" applyFont="1" applyFill="1" applyBorder="1" applyAlignment="1">
      <alignment horizontal="center"/>
    </xf>
    <xf numFmtId="166" fontId="3" fillId="36" borderId="67" xfId="1" applyFont="1" applyFill="1" applyBorder="1" applyAlignment="1">
      <alignment horizontal="center" vertical="center" wrapText="1"/>
    </xf>
    <xf numFmtId="165" fontId="3" fillId="36" borderId="67" xfId="2" applyNumberFormat="1" applyFont="1" applyFill="1" applyBorder="1" applyAlignment="1">
      <alignment vertical="center" wrapText="1"/>
    </xf>
    <xf numFmtId="170" fontId="13" fillId="36" borderId="91" xfId="2" applyNumberFormat="1" applyFont="1" applyFill="1" applyBorder="1" applyAlignment="1">
      <alignment horizontal="center" vertical="center"/>
    </xf>
    <xf numFmtId="166" fontId="19" fillId="36" borderId="67" xfId="1" applyFont="1" applyFill="1" applyBorder="1"/>
    <xf numFmtId="170" fontId="85" fillId="36" borderId="67" xfId="0" applyNumberFormat="1" applyFont="1" applyFill="1" applyBorder="1" applyAlignment="1" applyProtection="1">
      <alignment horizontal="left" vertical="top" wrapText="1"/>
    </xf>
    <xf numFmtId="170" fontId="3" fillId="36" borderId="63" xfId="2" applyNumberFormat="1" applyFont="1" applyFill="1" applyBorder="1" applyAlignment="1">
      <alignment horizontal="center" vertical="center"/>
    </xf>
    <xf numFmtId="0" fontId="0" fillId="36" borderId="15" xfId="0" applyFill="1" applyBorder="1" applyProtection="1"/>
    <xf numFmtId="0" fontId="14" fillId="36" borderId="66" xfId="0" applyFont="1" applyFill="1" applyBorder="1" applyAlignment="1">
      <alignment horizontal="center" vertical="center" wrapText="1"/>
    </xf>
    <xf numFmtId="0" fontId="14" fillId="36" borderId="67" xfId="0" applyFont="1" applyFill="1" applyBorder="1" applyAlignment="1">
      <alignment horizontal="center" vertical="center" wrapText="1"/>
    </xf>
    <xf numFmtId="0" fontId="14" fillId="36" borderId="67" xfId="0" quotePrefix="1" applyFont="1" applyFill="1" applyBorder="1" applyAlignment="1">
      <alignment horizontal="center" vertical="center" wrapText="1"/>
    </xf>
    <xf numFmtId="0" fontId="3" fillId="36" borderId="100" xfId="0" applyFont="1" applyFill="1" applyBorder="1" applyAlignment="1">
      <alignment horizontal="center"/>
    </xf>
    <xf numFmtId="170" fontId="3" fillId="36" borderId="69" xfId="2" applyNumberFormat="1" applyFont="1" applyFill="1" applyBorder="1" applyAlignment="1">
      <alignment horizontal="center" vertical="top"/>
    </xf>
    <xf numFmtId="0" fontId="13" fillId="36" borderId="71" xfId="0" applyFont="1" applyFill="1" applyBorder="1" applyAlignment="1">
      <alignment horizontal="center" vertical="center"/>
    </xf>
    <xf numFmtId="0" fontId="16" fillId="36" borderId="67" xfId="0" applyFont="1" applyFill="1" applyBorder="1" applyAlignment="1">
      <alignment wrapText="1"/>
    </xf>
    <xf numFmtId="166" fontId="16" fillId="36" borderId="25" xfId="1" applyFont="1" applyFill="1" applyBorder="1" applyAlignment="1">
      <alignment horizontal="center" vertical="top"/>
    </xf>
    <xf numFmtId="0" fontId="16" fillId="36" borderId="25" xfId="0" applyFont="1" applyFill="1" applyBorder="1" applyAlignment="1">
      <alignment horizontal="center" vertical="top"/>
    </xf>
    <xf numFmtId="172" fontId="16" fillId="36" borderId="15" xfId="1" applyNumberFormat="1" applyFont="1" applyFill="1" applyBorder="1" applyAlignment="1">
      <alignment vertical="top"/>
    </xf>
    <xf numFmtId="170" fontId="3" fillId="36" borderId="91" xfId="2" applyNumberFormat="1" applyFont="1" applyFill="1" applyBorder="1" applyAlignment="1">
      <alignment horizontal="center" vertical="top"/>
    </xf>
    <xf numFmtId="183" fontId="5" fillId="36" borderId="13" xfId="0" applyNumberFormat="1" applyFont="1" applyFill="1" applyBorder="1" applyAlignment="1" applyProtection="1">
      <alignment horizontal="right" vertical="top" wrapText="1"/>
    </xf>
    <xf numFmtId="8" fontId="16" fillId="36" borderId="13" xfId="0" applyNumberFormat="1" applyFont="1" applyFill="1" applyBorder="1" applyProtection="1"/>
    <xf numFmtId="166" fontId="5" fillId="36" borderId="67" xfId="1" applyFont="1" applyFill="1" applyBorder="1" applyAlignment="1" applyProtection="1">
      <alignment horizontal="right" vertical="top" wrapText="1"/>
    </xf>
    <xf numFmtId="8" fontId="16" fillId="36" borderId="30" xfId="0" applyNumberFormat="1" applyFont="1" applyFill="1" applyBorder="1" applyProtection="1"/>
    <xf numFmtId="0" fontId="16" fillId="36" borderId="30" xfId="0" applyFont="1" applyFill="1" applyBorder="1" applyProtection="1"/>
    <xf numFmtId="165" fontId="3" fillId="36" borderId="0" xfId="2" applyFont="1" applyFill="1"/>
    <xf numFmtId="0" fontId="3" fillId="36" borderId="32" xfId="0" applyFont="1" applyFill="1" applyBorder="1" applyAlignment="1">
      <alignment horizontal="center" vertical="center"/>
    </xf>
    <xf numFmtId="0" fontId="3" fillId="36" borderId="25" xfId="0" applyFont="1" applyFill="1" applyBorder="1" applyAlignment="1">
      <alignment horizontal="center" vertical="center"/>
    </xf>
    <xf numFmtId="0" fontId="3" fillId="36" borderId="25" xfId="0" quotePrefix="1" applyFont="1" applyFill="1" applyBorder="1" applyAlignment="1">
      <alignment horizontal="center" vertical="center"/>
    </xf>
    <xf numFmtId="0" fontId="3" fillId="36" borderId="25" xfId="0" applyFont="1" applyFill="1" applyBorder="1" applyAlignment="1">
      <alignment vertical="center"/>
    </xf>
    <xf numFmtId="166" fontId="16" fillId="36" borderId="25" xfId="1" applyFont="1" applyFill="1" applyBorder="1" applyAlignment="1">
      <alignment horizontal="center" vertical="center"/>
    </xf>
    <xf numFmtId="0" fontId="16" fillId="36" borderId="25" xfId="0" applyFont="1" applyFill="1" applyBorder="1" applyAlignment="1">
      <alignment horizontal="center" vertical="center"/>
    </xf>
    <xf numFmtId="165" fontId="16" fillId="36" borderId="26" xfId="0" applyNumberFormat="1" applyFont="1" applyFill="1" applyBorder="1" applyAlignment="1">
      <alignment horizontal="right" vertical="center"/>
    </xf>
    <xf numFmtId="165" fontId="3" fillId="36" borderId="29" xfId="0" applyNumberFormat="1" applyFont="1" applyFill="1" applyBorder="1" applyAlignment="1">
      <alignment vertical="center"/>
    </xf>
    <xf numFmtId="183" fontId="5" fillId="36" borderId="25" xfId="0" applyNumberFormat="1" applyFont="1" applyFill="1" applyBorder="1" applyAlignment="1" applyProtection="1">
      <alignment horizontal="right" vertical="top" wrapText="1"/>
    </xf>
    <xf numFmtId="166" fontId="16" fillId="36" borderId="15" xfId="0" applyNumberFormat="1" applyFont="1" applyFill="1" applyBorder="1" applyProtection="1"/>
    <xf numFmtId="166" fontId="16" fillId="36" borderId="25" xfId="0" applyNumberFormat="1" applyFont="1" applyFill="1" applyBorder="1" applyProtection="1"/>
    <xf numFmtId="0" fontId="16" fillId="36" borderId="25" xfId="0" applyFont="1" applyFill="1" applyBorder="1" applyProtection="1"/>
    <xf numFmtId="165" fontId="3" fillId="36" borderId="67" xfId="2" applyFont="1" applyFill="1" applyBorder="1" applyAlignment="1">
      <alignment vertical="center"/>
    </xf>
    <xf numFmtId="166" fontId="3" fillId="36" borderId="69" xfId="1" applyFont="1" applyFill="1" applyBorder="1" applyAlignment="1">
      <alignment vertical="center"/>
    </xf>
    <xf numFmtId="4" fontId="0" fillId="36" borderId="78" xfId="0" applyNumberFormat="1" applyFill="1" applyBorder="1" applyProtection="1"/>
    <xf numFmtId="165" fontId="3" fillId="36" borderId="67" xfId="2" applyFont="1" applyFill="1" applyBorder="1" applyAlignment="1">
      <alignment horizontal="center" vertical="center"/>
    </xf>
    <xf numFmtId="0" fontId="13" fillId="36" borderId="32" xfId="0" applyFont="1" applyFill="1" applyBorder="1" applyAlignment="1">
      <alignment horizontal="center"/>
    </xf>
    <xf numFmtId="0" fontId="13" fillId="36" borderId="25" xfId="0" quotePrefix="1" applyFont="1" applyFill="1" applyBorder="1" applyAlignment="1">
      <alignment horizontal="center"/>
    </xf>
    <xf numFmtId="0" fontId="13" fillId="36" borderId="30" xfId="0" applyFont="1" applyFill="1" applyBorder="1" applyAlignment="1">
      <alignment horizontal="center"/>
    </xf>
    <xf numFmtId="166" fontId="3" fillId="36" borderId="25" xfId="1" quotePrefix="1" applyFont="1" applyFill="1" applyBorder="1" applyAlignment="1">
      <alignment vertical="center"/>
    </xf>
    <xf numFmtId="172" fontId="3" fillId="36" borderId="25" xfId="1" applyNumberFormat="1" applyFont="1" applyFill="1" applyBorder="1" applyAlignment="1">
      <alignment horizontal="center" vertical="center"/>
    </xf>
    <xf numFmtId="170" fontId="3" fillId="36" borderId="16" xfId="2" applyNumberFormat="1" applyFont="1" applyFill="1" applyBorder="1" applyAlignment="1">
      <alignment horizontal="center"/>
    </xf>
    <xf numFmtId="183" fontId="16" fillId="36" borderId="15" xfId="0" applyNumberFormat="1" applyFont="1" applyFill="1" applyBorder="1" applyProtection="1"/>
    <xf numFmtId="183" fontId="16" fillId="36" borderId="25" xfId="0" applyNumberFormat="1" applyFont="1" applyFill="1" applyBorder="1" applyProtection="1"/>
    <xf numFmtId="166" fontId="3" fillId="36" borderId="34" xfId="1" quotePrefix="1" applyFont="1" applyFill="1" applyBorder="1" applyAlignment="1">
      <alignment vertical="center"/>
    </xf>
    <xf numFmtId="0" fontId="3" fillId="36" borderId="28" xfId="0" applyFont="1" applyFill="1" applyBorder="1" applyAlignment="1">
      <alignment vertical="center"/>
    </xf>
    <xf numFmtId="166" fontId="3" fillId="36" borderId="28" xfId="1" applyFont="1" applyFill="1" applyBorder="1" applyAlignment="1">
      <alignment vertical="center"/>
    </xf>
    <xf numFmtId="172" fontId="3" fillId="36" borderId="35" xfId="1" quotePrefix="1" applyNumberFormat="1" applyFont="1" applyFill="1" applyBorder="1" applyAlignment="1">
      <alignment horizontal="center" vertical="center"/>
    </xf>
    <xf numFmtId="170" fontId="3" fillId="36" borderId="29" xfId="2" applyNumberFormat="1" applyFont="1" applyFill="1" applyBorder="1" applyAlignment="1">
      <alignment horizontal="center" vertical="center"/>
    </xf>
    <xf numFmtId="0" fontId="5" fillId="36" borderId="25" xfId="0" applyFont="1" applyFill="1" applyBorder="1" applyAlignment="1" applyProtection="1">
      <alignment horizontal="left" vertical="top" wrapText="1"/>
    </xf>
    <xf numFmtId="0" fontId="28" fillId="36" borderId="34" xfId="0" applyFont="1" applyFill="1" applyBorder="1" applyAlignment="1">
      <alignment vertical="center"/>
    </xf>
    <xf numFmtId="0" fontId="0" fillId="36" borderId="36" xfId="0" applyFill="1" applyBorder="1" applyAlignment="1">
      <alignment horizontal="center" vertical="center"/>
    </xf>
    <xf numFmtId="0" fontId="28" fillId="36" borderId="67" xfId="0" applyFont="1" applyFill="1" applyBorder="1" applyAlignment="1">
      <alignment horizontal="center" vertical="center"/>
    </xf>
    <xf numFmtId="165" fontId="0" fillId="36" borderId="34" xfId="0" applyNumberFormat="1" applyFill="1" applyBorder="1" applyAlignment="1">
      <alignment vertical="center"/>
    </xf>
    <xf numFmtId="166" fontId="0" fillId="36" borderId="15" xfId="0" applyNumberFormat="1" applyFill="1" applyBorder="1" applyProtection="1"/>
    <xf numFmtId="0" fontId="28" fillId="36" borderId="67" xfId="0" applyFont="1" applyFill="1" applyBorder="1" applyAlignment="1">
      <alignment vertical="center"/>
    </xf>
    <xf numFmtId="0" fontId="0" fillId="36" borderId="67" xfId="0" applyFill="1" applyBorder="1" applyAlignment="1">
      <alignment horizontal="center" vertical="center"/>
    </xf>
    <xf numFmtId="0" fontId="28" fillId="36" borderId="30" xfId="0" applyFont="1" applyFill="1" applyBorder="1" applyAlignment="1">
      <alignment horizontal="center" vertical="center"/>
    </xf>
    <xf numFmtId="165" fontId="0" fillId="36" borderId="67" xfId="0" applyNumberFormat="1" applyFill="1" applyBorder="1" applyAlignment="1">
      <alignment vertical="center"/>
    </xf>
    <xf numFmtId="0" fontId="28" fillId="36" borderId="101" xfId="0" applyFont="1" applyFill="1" applyBorder="1" applyAlignment="1">
      <alignment vertical="center"/>
    </xf>
    <xf numFmtId="0" fontId="0" fillId="36" borderId="109" xfId="0" applyFill="1" applyBorder="1" applyAlignment="1">
      <alignment horizontal="center" vertical="center"/>
    </xf>
    <xf numFmtId="0" fontId="28" fillId="36" borderId="12" xfId="0" applyFont="1" applyFill="1" applyBorder="1" applyAlignment="1">
      <alignment horizontal="center" vertical="center"/>
    </xf>
    <xf numFmtId="165" fontId="0" fillId="36" borderId="105" xfId="0" applyNumberFormat="1" applyFill="1" applyBorder="1" applyAlignment="1">
      <alignment vertical="center"/>
    </xf>
    <xf numFmtId="166" fontId="3" fillId="36" borderId="108" xfId="0" applyNumberFormat="1" applyFont="1" applyFill="1" applyBorder="1" applyAlignment="1">
      <alignment vertical="center"/>
    </xf>
    <xf numFmtId="166" fontId="0" fillId="36" borderId="103" xfId="0" applyNumberFormat="1" applyFill="1" applyBorder="1" applyProtection="1"/>
    <xf numFmtId="0" fontId="0" fillId="36" borderId="101" xfId="0" applyFill="1" applyBorder="1" applyProtection="1"/>
    <xf numFmtId="0" fontId="28" fillId="36" borderId="25" xfId="0" applyFont="1" applyFill="1" applyBorder="1" applyAlignment="1">
      <alignment vertical="center"/>
    </xf>
    <xf numFmtId="166" fontId="3" fillId="36" borderId="26" xfId="1" applyFont="1" applyFill="1" applyBorder="1" applyAlignment="1">
      <alignment horizontal="center"/>
    </xf>
    <xf numFmtId="0" fontId="3" fillId="36" borderId="26" xfId="0" applyFont="1" applyFill="1" applyBorder="1" applyAlignment="1">
      <alignment horizontal="center"/>
    </xf>
    <xf numFmtId="166" fontId="3" fillId="36" borderId="68" xfId="1" applyFont="1" applyFill="1" applyBorder="1" applyAlignment="1">
      <alignment horizontal="center"/>
    </xf>
    <xf numFmtId="0" fontId="3" fillId="36" borderId="68" xfId="0" applyFont="1" applyFill="1" applyBorder="1" applyAlignment="1">
      <alignment horizontal="center"/>
    </xf>
    <xf numFmtId="166" fontId="3" fillId="36" borderId="85" xfId="1" applyFont="1" applyFill="1" applyBorder="1" applyAlignment="1">
      <alignment horizontal="center"/>
    </xf>
    <xf numFmtId="0" fontId="3" fillId="36" borderId="85" xfId="0" applyFont="1" applyFill="1" applyBorder="1" applyAlignment="1">
      <alignment horizontal="center"/>
    </xf>
    <xf numFmtId="0" fontId="3" fillId="36" borderId="67" xfId="0" quotePrefix="1" applyFont="1" applyFill="1" applyBorder="1"/>
    <xf numFmtId="0" fontId="3" fillId="36" borderId="67" xfId="0" applyFont="1" applyFill="1" applyBorder="1" applyAlignment="1">
      <alignment vertical="top" wrapText="1"/>
    </xf>
    <xf numFmtId="0" fontId="3" fillId="36" borderId="67" xfId="0" applyFont="1" applyFill="1" applyBorder="1" applyAlignment="1">
      <alignment horizontal="center" vertical="top"/>
    </xf>
    <xf numFmtId="3" fontId="3" fillId="36" borderId="67" xfId="0" applyNumberFormat="1" applyFont="1" applyFill="1" applyBorder="1" applyAlignment="1">
      <alignment vertical="top"/>
    </xf>
    <xf numFmtId="166" fontId="3" fillId="36" borderId="31" xfId="1" applyNumberFormat="1" applyFont="1" applyFill="1" applyBorder="1" applyAlignment="1">
      <alignment vertical="top"/>
    </xf>
    <xf numFmtId="172" fontId="93" fillId="36" borderId="25" xfId="0" applyNumberFormat="1" applyFont="1" applyFill="1" applyBorder="1" applyAlignment="1" applyProtection="1">
      <alignment horizontal="left" vertical="top" wrapText="1"/>
    </xf>
    <xf numFmtId="0" fontId="3" fillId="36" borderId="25" xfId="0" quotePrefix="1" applyFont="1" applyFill="1" applyBorder="1"/>
    <xf numFmtId="0" fontId="13" fillId="36" borderId="25" xfId="0" applyFont="1" applyFill="1" applyBorder="1" applyAlignment="1">
      <alignment vertical="top" wrapText="1"/>
    </xf>
    <xf numFmtId="166" fontId="3" fillId="36" borderId="25" xfId="1" applyFont="1" applyFill="1" applyBorder="1" applyAlignment="1">
      <alignment horizontal="center" vertical="top"/>
    </xf>
    <xf numFmtId="0" fontId="3" fillId="36" borderId="25" xfId="0" applyFont="1" applyFill="1" applyBorder="1" applyAlignment="1">
      <alignment horizontal="center" vertical="top"/>
    </xf>
    <xf numFmtId="3" fontId="3" fillId="36" borderId="25" xfId="0" applyNumberFormat="1" applyFont="1" applyFill="1" applyBorder="1" applyAlignment="1">
      <alignment vertical="top"/>
    </xf>
    <xf numFmtId="0" fontId="93" fillId="36" borderId="25" xfId="0" applyFont="1" applyFill="1" applyBorder="1" applyAlignment="1" applyProtection="1">
      <alignment horizontal="left" vertical="top" wrapText="1"/>
    </xf>
    <xf numFmtId="0" fontId="3" fillId="36" borderId="19" xfId="0" applyFont="1" applyFill="1" applyBorder="1" applyAlignment="1">
      <alignment horizontal="center" vertical="center"/>
    </xf>
    <xf numFmtId="166" fontId="3" fillId="36" borderId="25" xfId="1" applyFont="1" applyFill="1" applyBorder="1" applyAlignment="1">
      <alignment horizontal="center" vertical="center"/>
    </xf>
    <xf numFmtId="3" fontId="3" fillId="36" borderId="25" xfId="0" applyNumberFormat="1" applyFont="1" applyFill="1" applyBorder="1" applyAlignment="1">
      <alignment vertical="center"/>
    </xf>
    <xf numFmtId="166" fontId="3" fillId="36" borderId="29" xfId="1" applyNumberFormat="1" applyFont="1" applyFill="1" applyBorder="1" applyAlignment="1">
      <alignment vertical="center"/>
    </xf>
    <xf numFmtId="183" fontId="95" fillId="36" borderId="25" xfId="0" applyNumberFormat="1" applyFont="1" applyFill="1" applyBorder="1" applyProtection="1"/>
    <xf numFmtId="0" fontId="3" fillId="3" borderId="19" xfId="0" applyFont="1" applyFill="1" applyBorder="1" applyAlignment="1">
      <alignment horizontal="center" vertical="center"/>
    </xf>
    <xf numFmtId="0" fontId="3" fillId="3" borderId="25" xfId="0" applyFont="1" applyFill="1" applyBorder="1"/>
    <xf numFmtId="0" fontId="3" fillId="3" borderId="25" xfId="0" quotePrefix="1" applyFont="1" applyFill="1" applyBorder="1"/>
    <xf numFmtId="0" fontId="3" fillId="3" borderId="25" xfId="0" applyFont="1" applyFill="1" applyBorder="1" applyAlignment="1">
      <alignment vertical="center" wrapText="1"/>
    </xf>
    <xf numFmtId="166" fontId="3" fillId="3" borderId="25" xfId="1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3" fontId="3" fillId="3" borderId="25" xfId="0" applyNumberFormat="1" applyFont="1" applyFill="1" applyBorder="1" applyAlignment="1">
      <alignment vertical="center"/>
    </xf>
    <xf numFmtId="166" fontId="3" fillId="3" borderId="29" xfId="1" applyNumberFormat="1" applyFont="1" applyFill="1" applyBorder="1" applyAlignment="1">
      <alignment vertical="center"/>
    </xf>
    <xf numFmtId="183" fontId="93" fillId="3" borderId="25" xfId="0" applyNumberFormat="1" applyFont="1" applyFill="1" applyBorder="1" applyAlignment="1" applyProtection="1">
      <alignment horizontal="right" vertical="top" wrapText="1"/>
    </xf>
    <xf numFmtId="172" fontId="93" fillId="3" borderId="25" xfId="0" applyNumberFormat="1" applyFont="1" applyFill="1" applyBorder="1" applyAlignment="1" applyProtection="1">
      <alignment horizontal="left" vertical="top" wrapText="1"/>
    </xf>
    <xf numFmtId="4" fontId="0" fillId="3" borderId="25" xfId="0" applyNumberFormat="1" applyFill="1" applyBorder="1" applyProtection="1"/>
    <xf numFmtId="0" fontId="0" fillId="3" borderId="25" xfId="0" applyFill="1" applyBorder="1" applyProtection="1"/>
    <xf numFmtId="0" fontId="3" fillId="3" borderId="0" xfId="0" applyFont="1" applyFill="1"/>
    <xf numFmtId="0" fontId="3" fillId="36" borderId="71" xfId="0" applyFont="1" applyFill="1" applyBorder="1" applyAlignment="1">
      <alignment horizontal="center" vertical="center"/>
    </xf>
    <xf numFmtId="0" fontId="3" fillId="36" borderId="25" xfId="0" applyFont="1" applyFill="1" applyBorder="1" applyAlignment="1">
      <alignment vertical="top" wrapText="1"/>
    </xf>
    <xf numFmtId="183" fontId="0" fillId="36" borderId="15" xfId="0" applyNumberFormat="1" applyFill="1" applyBorder="1" applyProtection="1"/>
    <xf numFmtId="183" fontId="0" fillId="36" borderId="67" xfId="0" applyNumberFormat="1" applyFill="1" applyBorder="1" applyProtection="1"/>
    <xf numFmtId="0" fontId="3" fillId="36" borderId="84" xfId="0" applyFont="1" applyFill="1" applyBorder="1" applyAlignment="1">
      <alignment horizontal="center" vertical="center"/>
    </xf>
    <xf numFmtId="0" fontId="3" fillId="36" borderId="101" xfId="0" applyFont="1" applyFill="1" applyBorder="1"/>
    <xf numFmtId="0" fontId="3" fillId="36" borderId="101" xfId="0" quotePrefix="1" applyFont="1" applyFill="1" applyBorder="1"/>
    <xf numFmtId="166" fontId="3" fillId="36" borderId="101" xfId="1" applyFont="1" applyFill="1" applyBorder="1" applyAlignment="1">
      <alignment horizontal="center" vertical="center"/>
    </xf>
    <xf numFmtId="166" fontId="3" fillId="36" borderId="91" xfId="1" applyNumberFormat="1" applyFont="1" applyFill="1" applyBorder="1" applyAlignment="1">
      <alignment vertical="center"/>
    </xf>
    <xf numFmtId="172" fontId="93" fillId="36" borderId="101" xfId="0" applyNumberFormat="1" applyFont="1" applyFill="1" applyBorder="1" applyAlignment="1" applyProtection="1">
      <alignment horizontal="left" vertical="top" wrapText="1"/>
    </xf>
    <xf numFmtId="4" fontId="0" fillId="36" borderId="101" xfId="0" applyNumberFormat="1" applyFill="1" applyBorder="1" applyProtection="1"/>
    <xf numFmtId="0" fontId="3" fillId="36" borderId="17" xfId="0" applyFont="1" applyFill="1" applyBorder="1" applyAlignment="1">
      <alignment horizontal="center" vertical="center"/>
    </xf>
    <xf numFmtId="166" fontId="123" fillId="36" borderId="15" xfId="0" applyNumberFormat="1" applyFont="1" applyFill="1" applyBorder="1" applyProtection="1"/>
    <xf numFmtId="166" fontId="123" fillId="36" borderId="25" xfId="1" applyFont="1" applyFill="1" applyBorder="1" applyProtection="1"/>
    <xf numFmtId="0" fontId="3" fillId="0" borderId="67" xfId="0" applyFont="1" applyFill="1" applyBorder="1" applyAlignment="1">
      <alignment horizontal="center"/>
    </xf>
    <xf numFmtId="0" fontId="3" fillId="0" borderId="67" xfId="0" applyFont="1" applyFill="1" applyBorder="1" applyAlignment="1"/>
    <xf numFmtId="0" fontId="91" fillId="0" borderId="67" xfId="0" applyFont="1" applyFill="1" applyBorder="1" applyAlignment="1" applyProtection="1">
      <alignment horizontal="center" vertical="center" wrapText="1"/>
    </xf>
    <xf numFmtId="170" fontId="13" fillId="0" borderId="67" xfId="1532" applyNumberFormat="1" applyFont="1" applyFill="1" applyBorder="1" applyAlignment="1">
      <alignment horizontal="center"/>
    </xf>
    <xf numFmtId="170" fontId="3" fillId="0" borderId="67" xfId="1532" applyNumberFormat="1" applyFont="1" applyFill="1" applyBorder="1" applyAlignment="1">
      <alignment horizontal="center"/>
    </xf>
    <xf numFmtId="0" fontId="173" fillId="0" borderId="67" xfId="0" applyFont="1" applyFill="1" applyBorder="1" applyAlignment="1">
      <alignment horizontal="center" vertical="center"/>
    </xf>
    <xf numFmtId="0" fontId="14" fillId="0" borderId="67" xfId="0" applyFont="1" applyFill="1" applyBorder="1" applyAlignment="1">
      <alignment horizontal="left" vertical="center" wrapText="1"/>
    </xf>
    <xf numFmtId="0" fontId="14" fillId="36" borderId="67" xfId="0" applyFont="1" applyFill="1" applyBorder="1" applyAlignment="1">
      <alignment horizontal="left" vertical="center" wrapText="1"/>
    </xf>
    <xf numFmtId="4" fontId="13" fillId="36" borderId="67" xfId="0" applyNumberFormat="1" applyFont="1" applyFill="1" applyBorder="1" applyAlignment="1">
      <alignment horizontal="center"/>
    </xf>
    <xf numFmtId="3" fontId="13" fillId="36" borderId="67" xfId="0" applyNumberFormat="1" applyFont="1" applyFill="1" applyBorder="1" applyAlignment="1">
      <alignment horizontal="center" vertical="center"/>
    </xf>
    <xf numFmtId="170" fontId="13" fillId="36" borderId="67" xfId="1532" applyNumberFormat="1" applyFont="1" applyFill="1" applyBorder="1" applyAlignment="1">
      <alignment horizontal="center"/>
    </xf>
    <xf numFmtId="170" fontId="3" fillId="36" borderId="67" xfId="1532" applyNumberFormat="1" applyFont="1" applyFill="1" applyBorder="1" applyAlignment="1">
      <alignment horizontal="center"/>
    </xf>
    <xf numFmtId="170" fontId="3" fillId="36" borderId="67" xfId="0" applyNumberFormat="1" applyFont="1" applyFill="1" applyBorder="1"/>
    <xf numFmtId="4" fontId="3" fillId="36" borderId="67" xfId="0" applyNumberFormat="1" applyFont="1" applyFill="1" applyBorder="1" applyAlignment="1">
      <alignment horizontal="center"/>
    </xf>
    <xf numFmtId="165" fontId="3" fillId="36" borderId="67" xfId="1532" applyNumberFormat="1" applyFont="1" applyFill="1" applyBorder="1" applyAlignment="1">
      <alignment horizontal="center" vertical="center"/>
    </xf>
    <xf numFmtId="170" fontId="3" fillId="36" borderId="67" xfId="1532" applyNumberFormat="1" applyFont="1" applyFill="1" applyBorder="1" applyAlignment="1">
      <alignment horizontal="center" vertical="center"/>
    </xf>
    <xf numFmtId="0" fontId="13" fillId="36" borderId="67" xfId="0" applyFont="1" applyFill="1" applyBorder="1" applyAlignment="1">
      <alignment horizontal="left" wrapText="1"/>
    </xf>
    <xf numFmtId="165" fontId="3" fillId="0" borderId="67" xfId="1532" applyNumberFormat="1" applyFont="1" applyFill="1" applyBorder="1" applyAlignment="1">
      <alignment horizontal="center" vertical="center"/>
    </xf>
    <xf numFmtId="165" fontId="13" fillId="0" borderId="67" xfId="1532" applyNumberFormat="1" applyFont="1" applyFill="1" applyBorder="1" applyAlignment="1">
      <alignment horizontal="center" vertical="center"/>
    </xf>
    <xf numFmtId="172" fontId="13" fillId="36" borderId="67" xfId="1" applyNumberFormat="1" applyFont="1" applyFill="1" applyBorder="1" applyAlignment="1">
      <alignment horizontal="center" vertical="center"/>
    </xf>
    <xf numFmtId="165" fontId="13" fillId="36" borderId="67" xfId="1532" applyNumberFormat="1" applyFont="1" applyFill="1" applyBorder="1" applyAlignment="1">
      <alignment horizontal="center"/>
    </xf>
    <xf numFmtId="165" fontId="13" fillId="0" borderId="67" xfId="1532" applyNumberFormat="1" applyFont="1" applyFill="1" applyBorder="1" applyAlignment="1">
      <alignment horizontal="center"/>
    </xf>
    <xf numFmtId="183" fontId="91" fillId="0" borderId="67" xfId="0" applyNumberFormat="1" applyFont="1" applyFill="1" applyBorder="1" applyAlignment="1" applyProtection="1">
      <alignment horizontal="right" vertical="top" wrapText="1"/>
    </xf>
    <xf numFmtId="3" fontId="13" fillId="0" borderId="67" xfId="0" applyNumberFormat="1" applyFont="1" applyFill="1" applyBorder="1" applyAlignment="1">
      <alignment horizontal="center" vertical="top" wrapText="1"/>
    </xf>
    <xf numFmtId="166" fontId="13" fillId="36" borderId="67" xfId="1" applyFont="1" applyFill="1" applyBorder="1" applyAlignment="1">
      <alignment horizontal="center" vertical="top" wrapText="1"/>
    </xf>
    <xf numFmtId="0" fontId="13" fillId="36" borderId="67" xfId="0" applyFont="1" applyFill="1" applyBorder="1" applyAlignment="1">
      <alignment horizontal="center" vertical="top" wrapText="1"/>
    </xf>
    <xf numFmtId="3" fontId="13" fillId="36" borderId="67" xfId="0" applyNumberFormat="1" applyFont="1" applyFill="1" applyBorder="1" applyAlignment="1">
      <alignment horizontal="center" vertical="top" wrapText="1"/>
    </xf>
    <xf numFmtId="165" fontId="13" fillId="36" borderId="67" xfId="1532" applyNumberFormat="1" applyFont="1" applyFill="1" applyBorder="1" applyAlignment="1">
      <alignment horizontal="center" vertical="center"/>
    </xf>
    <xf numFmtId="170" fontId="13" fillId="0" borderId="67" xfId="1532" applyNumberFormat="1" applyFont="1" applyFill="1" applyBorder="1" applyAlignment="1">
      <alignment horizontal="center" vertical="center"/>
    </xf>
    <xf numFmtId="170" fontId="13" fillId="0" borderId="67" xfId="0" applyNumberFormat="1" applyFont="1" applyFill="1" applyBorder="1" applyAlignment="1">
      <alignment horizontal="right" vertical="center" wrapText="1"/>
    </xf>
    <xf numFmtId="0" fontId="13" fillId="0" borderId="67" xfId="0" quotePrefix="1" applyFont="1" applyFill="1" applyBorder="1"/>
    <xf numFmtId="0" fontId="3" fillId="0" borderId="67" xfId="0" applyFont="1" applyFill="1" applyBorder="1" applyAlignment="1">
      <alignment wrapText="1"/>
    </xf>
    <xf numFmtId="170" fontId="3" fillId="0" borderId="67" xfId="1532" applyNumberFormat="1" applyFont="1" applyFill="1" applyBorder="1" applyAlignment="1">
      <alignment horizontal="center" vertical="top"/>
    </xf>
    <xf numFmtId="0" fontId="13" fillId="36" borderId="67" xfId="0" applyFont="1" applyFill="1" applyBorder="1" applyAlignment="1">
      <alignment horizontal="left"/>
    </xf>
    <xf numFmtId="0" fontId="3" fillId="36" borderId="67" xfId="0" quotePrefix="1" applyFont="1" applyFill="1" applyBorder="1" applyAlignment="1">
      <alignment horizontal="center"/>
    </xf>
    <xf numFmtId="172" fontId="3" fillId="36" borderId="67" xfId="1" applyNumberFormat="1" applyFont="1" applyFill="1" applyBorder="1" applyAlignment="1">
      <alignment horizontal="center" vertical="top"/>
    </xf>
    <xf numFmtId="165" fontId="3" fillId="36" borderId="67" xfId="1532" applyNumberFormat="1" applyFont="1" applyFill="1" applyBorder="1" applyAlignment="1">
      <alignment horizontal="center" vertical="top"/>
    </xf>
    <xf numFmtId="165" fontId="3" fillId="36" borderId="67" xfId="1532" applyNumberFormat="1" applyFont="1" applyFill="1" applyBorder="1" applyAlignment="1">
      <alignment vertical="center" wrapText="1"/>
    </xf>
    <xf numFmtId="0" fontId="3" fillId="36" borderId="67" xfId="0" applyFont="1" applyFill="1" applyBorder="1" applyAlignment="1">
      <alignment horizontal="left"/>
    </xf>
    <xf numFmtId="170" fontId="13" fillId="36" borderId="67" xfId="0" applyNumberFormat="1" applyFont="1" applyFill="1" applyBorder="1" applyAlignment="1">
      <alignment horizontal="right" vertical="center" wrapText="1"/>
    </xf>
    <xf numFmtId="0" fontId="13" fillId="36" borderId="67" xfId="0" applyFont="1" applyFill="1" applyBorder="1" applyAlignment="1">
      <alignment vertical="center"/>
    </xf>
    <xf numFmtId="165" fontId="16" fillId="36" borderId="67" xfId="1532" applyFont="1" applyFill="1" applyBorder="1"/>
    <xf numFmtId="0" fontId="13" fillId="36" borderId="67" xfId="0" applyFont="1" applyFill="1" applyBorder="1" applyAlignment="1">
      <alignment horizontal="left" vertical="top"/>
    </xf>
    <xf numFmtId="0" fontId="3" fillId="36" borderId="0" xfId="0" applyFont="1" applyFill="1" applyAlignment="1">
      <alignment vertical="center"/>
    </xf>
    <xf numFmtId="0" fontId="0" fillId="36" borderId="67" xfId="0" applyFont="1" applyFill="1" applyBorder="1" applyProtection="1"/>
    <xf numFmtId="165" fontId="16" fillId="0" borderId="67" xfId="1532" applyFont="1" applyFill="1" applyBorder="1"/>
    <xf numFmtId="170" fontId="3" fillId="0" borderId="67" xfId="1532" applyNumberFormat="1" applyFont="1" applyFill="1" applyBorder="1" applyAlignment="1">
      <alignment horizontal="center" vertical="center"/>
    </xf>
    <xf numFmtId="170" fontId="13" fillId="36" borderId="67" xfId="1532" applyNumberFormat="1" applyFont="1" applyFill="1" applyBorder="1" applyAlignment="1">
      <alignment horizontal="center" vertical="center"/>
    </xf>
    <xf numFmtId="0" fontId="3" fillId="36" borderId="67" xfId="0" applyFont="1" applyFill="1" applyBorder="1" applyAlignment="1">
      <alignment horizontal="left" vertical="center" wrapText="1"/>
    </xf>
    <xf numFmtId="3" fontId="3" fillId="36" borderId="67" xfId="0" applyNumberFormat="1" applyFont="1" applyFill="1" applyBorder="1" applyAlignment="1">
      <alignment horizontal="right" vertical="center"/>
    </xf>
    <xf numFmtId="166" fontId="3" fillId="36" borderId="67" xfId="1" applyFont="1" applyFill="1" applyBorder="1" applyAlignment="1">
      <alignment horizontal="center" vertical="center"/>
    </xf>
    <xf numFmtId="4" fontId="3" fillId="36" borderId="67" xfId="0" applyNumberFormat="1" applyFont="1" applyFill="1" applyBorder="1" applyAlignment="1">
      <alignment horizontal="center" vertical="center"/>
    </xf>
    <xf numFmtId="4" fontId="13" fillId="0" borderId="67" xfId="0" applyNumberFormat="1" applyFont="1" applyFill="1" applyBorder="1" applyAlignment="1">
      <alignment vertical="center"/>
    </xf>
    <xf numFmtId="166" fontId="3" fillId="0" borderId="67" xfId="1" applyFont="1" applyFill="1" applyBorder="1" applyAlignment="1">
      <alignment vertical="top"/>
    </xf>
    <xf numFmtId="0" fontId="23" fillId="0" borderId="59" xfId="0" applyFont="1" applyFill="1" applyBorder="1" applyAlignment="1">
      <alignment horizontal="right" wrapText="1"/>
    </xf>
    <xf numFmtId="193" fontId="23" fillId="0" borderId="59" xfId="0" applyNumberFormat="1" applyFont="1" applyFill="1" applyBorder="1"/>
    <xf numFmtId="0" fontId="23" fillId="0" borderId="0" xfId="0" applyFont="1" applyFill="1" applyBorder="1" applyAlignment="1">
      <alignment horizontal="right" wrapText="1"/>
    </xf>
    <xf numFmtId="39" fontId="23" fillId="0" borderId="0" xfId="0" applyNumberFormat="1" applyFont="1" applyFill="1" applyBorder="1"/>
    <xf numFmtId="170" fontId="3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0" fontId="174" fillId="0" borderId="0" xfId="0" applyFont="1" applyFill="1" applyBorder="1" applyAlignment="1"/>
    <xf numFmtId="0" fontId="13" fillId="0" borderId="0" xfId="0" applyFont="1" applyFill="1" applyBorder="1" applyAlignment="1">
      <alignment vertical="center"/>
    </xf>
    <xf numFmtId="165" fontId="13" fillId="0" borderId="0" xfId="0" applyNumberFormat="1" applyFont="1" applyFill="1" applyBorder="1" applyAlignment="1">
      <alignment vertical="center"/>
    </xf>
    <xf numFmtId="170" fontId="3" fillId="0" borderId="0" xfId="0" applyNumberFormat="1" applyFont="1" applyFill="1" applyBorder="1" applyAlignment="1"/>
    <xf numFmtId="0" fontId="3" fillId="0" borderId="0" xfId="0" applyFont="1" applyFill="1" applyBorder="1" applyAlignment="1">
      <alignment vertical="center"/>
    </xf>
    <xf numFmtId="166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3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 wrapText="1"/>
    </xf>
    <xf numFmtId="166" fontId="13" fillId="0" borderId="0" xfId="0" applyNumberFormat="1" applyFont="1" applyFill="1" applyBorder="1" applyAlignment="1">
      <alignment vertical="center"/>
    </xf>
    <xf numFmtId="10" fontId="3" fillId="0" borderId="0" xfId="8" applyNumberFormat="1" applyFont="1" applyFill="1"/>
    <xf numFmtId="4" fontId="0" fillId="0" borderId="0" xfId="0" applyNumberFormat="1" applyFill="1"/>
    <xf numFmtId="165" fontId="3" fillId="36" borderId="91" xfId="2" applyNumberFormat="1" applyFont="1" applyFill="1" applyBorder="1" applyAlignment="1">
      <alignment horizontal="left" vertical="center"/>
    </xf>
    <xf numFmtId="183" fontId="93" fillId="36" borderId="67" xfId="0" applyNumberFormat="1" applyFont="1" applyFill="1" applyBorder="1" applyAlignment="1" applyProtection="1">
      <alignment horizontal="right" vertical="center" wrapText="1"/>
    </xf>
    <xf numFmtId="172" fontId="93" fillId="36" borderId="86" xfId="1" applyNumberFormat="1" applyFont="1" applyFill="1" applyBorder="1" applyAlignment="1" applyProtection="1">
      <alignment horizontal="right" vertical="center" wrapText="1"/>
    </xf>
    <xf numFmtId="0" fontId="93" fillId="36" borderId="67" xfId="0" applyFont="1" applyFill="1" applyBorder="1" applyAlignment="1" applyProtection="1">
      <alignment horizontal="left" vertical="center" wrapText="1"/>
    </xf>
    <xf numFmtId="166" fontId="93" fillId="36" borderId="67" xfId="1" applyFont="1" applyFill="1" applyBorder="1" applyAlignment="1" applyProtection="1">
      <alignment horizontal="left" vertical="center" wrapText="1"/>
    </xf>
    <xf numFmtId="172" fontId="0" fillId="36" borderId="86" xfId="1" applyNumberFormat="1" applyFont="1" applyFill="1" applyBorder="1" applyAlignment="1" applyProtection="1">
      <alignment vertical="center"/>
    </xf>
    <xf numFmtId="0" fontId="0" fillId="36" borderId="67" xfId="0" applyFont="1" applyFill="1" applyBorder="1" applyAlignment="1" applyProtection="1">
      <alignment vertical="center"/>
    </xf>
    <xf numFmtId="166" fontId="3" fillId="36" borderId="86" xfId="1" applyFont="1" applyFill="1" applyBorder="1" applyAlignment="1">
      <alignment horizontal="center" vertical="center"/>
    </xf>
    <xf numFmtId="3" fontId="3" fillId="36" borderId="86" xfId="0" applyNumberFormat="1" applyFont="1" applyFill="1" applyBorder="1" applyAlignment="1">
      <alignment vertical="center"/>
    </xf>
    <xf numFmtId="172" fontId="3" fillId="36" borderId="69" xfId="1" applyNumberFormat="1" applyFont="1" applyFill="1" applyBorder="1" applyAlignment="1">
      <alignment vertical="center"/>
    </xf>
    <xf numFmtId="172" fontId="0" fillId="36" borderId="86" xfId="0" applyNumberFormat="1" applyFill="1" applyBorder="1" applyProtection="1"/>
    <xf numFmtId="172" fontId="0" fillId="36" borderId="67" xfId="0" applyNumberFormat="1" applyFill="1" applyBorder="1" applyProtection="1"/>
    <xf numFmtId="0" fontId="13" fillId="36" borderId="101" xfId="0" applyFont="1" applyFill="1" applyBorder="1" applyAlignment="1">
      <alignment horizontal="center"/>
    </xf>
    <xf numFmtId="166" fontId="3" fillId="36" borderId="103" xfId="1" applyFont="1" applyFill="1" applyBorder="1" applyAlignment="1">
      <alignment horizontal="center" vertical="center"/>
    </xf>
    <xf numFmtId="3" fontId="3" fillId="36" borderId="103" xfId="0" applyNumberFormat="1" applyFont="1" applyFill="1" applyBorder="1" applyAlignment="1">
      <alignment vertical="center"/>
    </xf>
    <xf numFmtId="172" fontId="0" fillId="36" borderId="103" xfId="0" applyNumberFormat="1" applyFill="1" applyBorder="1" applyProtection="1"/>
    <xf numFmtId="172" fontId="0" fillId="36" borderId="101" xfId="0" applyNumberFormat="1" applyFill="1" applyBorder="1" applyProtection="1"/>
    <xf numFmtId="0" fontId="3" fillId="0" borderId="67" xfId="0" applyFont="1" applyFill="1" applyBorder="1" applyAlignment="1">
      <alignment horizontal="center"/>
    </xf>
    <xf numFmtId="172" fontId="33" fillId="0" borderId="0" xfId="10" applyNumberFormat="1" applyFont="1" applyBorder="1" applyAlignment="1">
      <alignment horizontal="center" vertical="center" wrapText="1"/>
    </xf>
    <xf numFmtId="0" fontId="13" fillId="41" borderId="67" xfId="0" applyFont="1" applyFill="1" applyBorder="1" applyAlignment="1">
      <alignment horizontal="center"/>
    </xf>
    <xf numFmtId="0" fontId="3" fillId="41" borderId="67" xfId="0" applyFont="1" applyFill="1" applyBorder="1" applyAlignment="1">
      <alignment horizontal="left" vertical="top" wrapText="1"/>
    </xf>
    <xf numFmtId="166" fontId="3" fillId="41" borderId="67" xfId="1" applyFont="1" applyFill="1" applyBorder="1" applyAlignment="1">
      <alignment horizontal="center" vertical="center"/>
    </xf>
    <xf numFmtId="172" fontId="3" fillId="41" borderId="67" xfId="1" applyNumberFormat="1" applyFont="1" applyFill="1" applyBorder="1" applyAlignment="1">
      <alignment vertical="center"/>
    </xf>
    <xf numFmtId="165" fontId="3" fillId="41" borderId="69" xfId="0" applyNumberFormat="1" applyFont="1" applyFill="1" applyBorder="1" applyAlignment="1">
      <alignment vertical="center"/>
    </xf>
    <xf numFmtId="183" fontId="5" fillId="41" borderId="86" xfId="0" applyNumberFormat="1" applyFont="1" applyFill="1" applyBorder="1" applyAlignment="1" applyProtection="1">
      <alignment horizontal="right" vertical="top" wrapText="1"/>
    </xf>
    <xf numFmtId="43" fontId="16" fillId="41" borderId="86" xfId="0" applyNumberFormat="1" applyFont="1" applyFill="1" applyBorder="1" applyProtection="1"/>
    <xf numFmtId="0" fontId="16" fillId="41" borderId="67" xfId="0" applyFont="1" applyFill="1" applyBorder="1" applyProtection="1"/>
    <xf numFmtId="166" fontId="3" fillId="41" borderId="0" xfId="1" applyFont="1" applyFill="1"/>
    <xf numFmtId="4" fontId="16" fillId="0" borderId="101" xfId="0" applyNumberFormat="1" applyFont="1" applyFill="1" applyBorder="1" applyProtection="1"/>
    <xf numFmtId="0" fontId="6" fillId="2" borderId="66" xfId="0" applyFont="1" applyFill="1" applyBorder="1" applyAlignment="1">
      <alignment horizontal="center" vertical="center"/>
    </xf>
    <xf numFmtId="0" fontId="6" fillId="2" borderId="67" xfId="0" applyFont="1" applyFill="1" applyBorder="1" applyAlignment="1">
      <alignment horizontal="center" vertical="center"/>
    </xf>
    <xf numFmtId="0" fontId="8" fillId="2" borderId="67" xfId="0" quotePrefix="1" applyFont="1" applyFill="1" applyBorder="1" applyAlignment="1">
      <alignment horizontal="center" vertical="center"/>
    </xf>
    <xf numFmtId="0" fontId="21" fillId="2" borderId="67" xfId="0" applyFont="1" applyFill="1" applyBorder="1" applyAlignment="1"/>
    <xf numFmtId="165" fontId="9" fillId="2" borderId="85" xfId="2" applyFont="1" applyFill="1" applyBorder="1" applyAlignment="1">
      <alignment horizontal="left" vertical="top" wrapText="1"/>
    </xf>
    <xf numFmtId="165" fontId="21" fillId="2" borderId="85" xfId="2" applyFont="1" applyFill="1" applyBorder="1" applyAlignment="1"/>
    <xf numFmtId="170" fontId="21" fillId="2" borderId="69" xfId="2" applyNumberFormat="1" applyFont="1" applyFill="1" applyBorder="1" applyAlignment="1"/>
    <xf numFmtId="165" fontId="7" fillId="2" borderId="0" xfId="2" applyFont="1" applyFill="1"/>
    <xf numFmtId="0" fontId="7" fillId="2" borderId="0" xfId="0" applyFont="1" applyFill="1"/>
    <xf numFmtId="0" fontId="8" fillId="2" borderId="66" xfId="0" applyFont="1" applyFill="1" applyBorder="1" applyAlignment="1">
      <alignment horizontal="center" vertical="center"/>
    </xf>
    <xf numFmtId="0" fontId="8" fillId="2" borderId="67" xfId="0" applyFont="1" applyFill="1" applyBorder="1" applyAlignment="1">
      <alignment horizontal="center" vertical="center"/>
    </xf>
    <xf numFmtId="0" fontId="20" fillId="2" borderId="79" xfId="0" applyNumberFormat="1" applyFont="1" applyFill="1" applyBorder="1" applyAlignment="1">
      <alignment horizontal="left" vertical="top"/>
    </xf>
    <xf numFmtId="165" fontId="7" fillId="2" borderId="85" xfId="2" applyFont="1" applyFill="1" applyBorder="1" applyAlignment="1">
      <alignment horizontal="left" vertical="top" wrapText="1"/>
    </xf>
    <xf numFmtId="165" fontId="10" fillId="2" borderId="85" xfId="2" applyFont="1" applyFill="1" applyBorder="1" applyAlignment="1"/>
    <xf numFmtId="170" fontId="8" fillId="2" borderId="69" xfId="2" applyNumberFormat="1" applyFont="1" applyFill="1" applyBorder="1" applyAlignment="1">
      <alignment horizontal="right" wrapText="1"/>
    </xf>
    <xf numFmtId="170" fontId="7" fillId="2" borderId="0" xfId="0" applyNumberFormat="1" applyFont="1" applyFill="1"/>
    <xf numFmtId="165" fontId="9" fillId="2" borderId="0" xfId="2" applyFont="1" applyFill="1"/>
    <xf numFmtId="165" fontId="9" fillId="2" borderId="0" xfId="0" applyNumberFormat="1" applyFont="1" applyFill="1"/>
    <xf numFmtId="166" fontId="9" fillId="2" borderId="0" xfId="0" applyNumberFormat="1" applyFont="1" applyFill="1"/>
    <xf numFmtId="165" fontId="175" fillId="0" borderId="0" xfId="8" applyNumberFormat="1" applyFont="1" applyFill="1" applyBorder="1" applyAlignment="1">
      <alignment horizontal="center" vertical="center" wrapText="1"/>
    </xf>
    <xf numFmtId="170" fontId="175" fillId="0" borderId="0" xfId="2" applyNumberFormat="1" applyFont="1" applyFill="1" applyBorder="1" applyAlignment="1">
      <alignment horizontal="center" vertical="center" wrapText="1"/>
    </xf>
    <xf numFmtId="10" fontId="34" fillId="0" borderId="0" xfId="8" applyNumberFormat="1" applyFont="1" applyFill="1" applyBorder="1" applyAlignment="1">
      <alignment horizontal="center" vertical="center"/>
    </xf>
    <xf numFmtId="10" fontId="21" fillId="0" borderId="0" xfId="8" applyNumberFormat="1" applyFont="1" applyFill="1" applyBorder="1"/>
    <xf numFmtId="170" fontId="16" fillId="0" borderId="25" xfId="0" applyNumberFormat="1" applyFont="1" applyFill="1" applyBorder="1" applyProtection="1"/>
    <xf numFmtId="166" fontId="16" fillId="0" borderId="109" xfId="1" applyFont="1" applyFill="1" applyBorder="1" applyAlignment="1">
      <alignment horizontal="center"/>
    </xf>
    <xf numFmtId="3" fontId="16" fillId="0" borderId="109" xfId="0" applyNumberFormat="1" applyFont="1" applyFill="1" applyBorder="1" applyAlignment="1">
      <alignment horizontal="center"/>
    </xf>
    <xf numFmtId="172" fontId="16" fillId="0" borderId="101" xfId="1" applyNumberFormat="1" applyFont="1" applyFill="1" applyBorder="1" applyAlignment="1">
      <alignment horizontal="right"/>
    </xf>
    <xf numFmtId="166" fontId="13" fillId="0" borderId="101" xfId="1" applyFont="1" applyFill="1" applyBorder="1" applyAlignment="1">
      <alignment vertical="center" wrapText="1"/>
    </xf>
    <xf numFmtId="172" fontId="13" fillId="0" borderId="101" xfId="1" applyNumberFormat="1" applyFont="1" applyFill="1" applyBorder="1" applyAlignment="1">
      <alignment vertical="center" wrapText="1"/>
    </xf>
    <xf numFmtId="170" fontId="13" fillId="0" borderId="102" xfId="0" applyNumberFormat="1" applyFont="1" applyFill="1" applyBorder="1" applyAlignment="1">
      <alignment horizontal="right" vertical="center" wrapText="1"/>
    </xf>
    <xf numFmtId="170" fontId="3" fillId="0" borderId="101" xfId="0" applyNumberFormat="1" applyFont="1" applyFill="1" applyBorder="1"/>
    <xf numFmtId="170" fontId="19" fillId="0" borderId="101" xfId="0" applyNumberFormat="1" applyFont="1" applyFill="1" applyBorder="1"/>
    <xf numFmtId="166" fontId="16" fillId="0" borderId="101" xfId="1" applyFont="1" applyFill="1" applyBorder="1" applyAlignment="1">
      <alignment horizontal="center" vertical="top"/>
    </xf>
    <xf numFmtId="0" fontId="16" fillId="0" borderId="101" xfId="0" applyFont="1" applyFill="1" applyBorder="1" applyAlignment="1">
      <alignment horizontal="center" vertical="top"/>
    </xf>
    <xf numFmtId="172" fontId="16" fillId="0" borderId="101" xfId="1" applyNumberFormat="1" applyFont="1" applyFill="1" applyBorder="1" applyAlignment="1">
      <alignment vertical="top"/>
    </xf>
    <xf numFmtId="166" fontId="123" fillId="0" borderId="25" xfId="0" applyNumberFormat="1" applyFont="1" applyFill="1" applyBorder="1" applyProtection="1"/>
    <xf numFmtId="0" fontId="92" fillId="0" borderId="25" xfId="0" applyFont="1" applyFill="1" applyBorder="1" applyAlignment="1" applyProtection="1">
      <alignment horizontal="center" vertical="center" wrapText="1"/>
    </xf>
    <xf numFmtId="0" fontId="91" fillId="0" borderId="25" xfId="0" applyFont="1" applyFill="1" applyBorder="1" applyAlignment="1" applyProtection="1">
      <alignment horizontal="center" vertical="center" wrapText="1"/>
    </xf>
    <xf numFmtId="0" fontId="92" fillId="0" borderId="86" xfId="0" applyFont="1" applyFill="1" applyBorder="1" applyAlignment="1" applyProtection="1">
      <alignment horizontal="center" vertical="center" wrapText="1"/>
    </xf>
    <xf numFmtId="0" fontId="3" fillId="0" borderId="17" xfId="0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center"/>
    </xf>
    <xf numFmtId="0" fontId="13" fillId="0" borderId="67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center" wrapText="1"/>
    </xf>
    <xf numFmtId="0" fontId="3" fillId="0" borderId="67" xfId="0" applyFont="1" applyFill="1" applyBorder="1" applyAlignment="1">
      <alignment horizontal="center"/>
    </xf>
    <xf numFmtId="0" fontId="3" fillId="0" borderId="67" xfId="0" applyFont="1" applyFill="1" applyBorder="1" applyAlignment="1">
      <alignment horizontal="left" wrapText="1"/>
    </xf>
    <xf numFmtId="166" fontId="3" fillId="0" borderId="67" xfId="1" applyFont="1" applyFill="1" applyBorder="1" applyAlignment="1">
      <alignment horizontal="center" vertical="center"/>
    </xf>
    <xf numFmtId="165" fontId="16" fillId="0" borderId="101" xfId="0" applyNumberFormat="1" applyFont="1" applyFill="1" applyBorder="1" applyProtection="1"/>
    <xf numFmtId="0" fontId="16" fillId="0" borderId="101" xfId="0" applyFont="1" applyFill="1" applyBorder="1" applyProtection="1"/>
    <xf numFmtId="0" fontId="13" fillId="0" borderId="67" xfId="0" applyFont="1" applyFill="1" applyBorder="1" applyAlignment="1">
      <alignment horizontal="center"/>
    </xf>
    <xf numFmtId="43" fontId="3" fillId="0" borderId="101" xfId="0" applyNumberFormat="1" applyFont="1" applyFill="1" applyBorder="1" applyAlignment="1">
      <alignment horizontal="center"/>
    </xf>
    <xf numFmtId="0" fontId="5" fillId="0" borderId="101" xfId="0" applyFont="1" applyFill="1" applyBorder="1" applyAlignment="1">
      <alignment horizontal="left" vertical="center"/>
    </xf>
    <xf numFmtId="166" fontId="16" fillId="0" borderId="25" xfId="0" applyNumberFormat="1" applyFont="1" applyFill="1" applyBorder="1" applyAlignment="1" applyProtection="1">
      <alignment vertical="top"/>
    </xf>
    <xf numFmtId="0" fontId="21" fillId="0" borderId="0" xfId="0" applyFont="1" applyFill="1" applyAlignment="1">
      <alignment horizontal="center"/>
    </xf>
    <xf numFmtId="0" fontId="13" fillId="0" borderId="86" xfId="0" applyFont="1" applyFill="1" applyBorder="1" applyAlignment="1">
      <alignment horizontal="center"/>
    </xf>
    <xf numFmtId="0" fontId="18" fillId="0" borderId="0" xfId="0" applyFont="1" applyFill="1"/>
    <xf numFmtId="0" fontId="170" fillId="33" borderId="101" xfId="0" applyFont="1" applyFill="1" applyBorder="1" applyAlignment="1">
      <alignment horizontal="center" vertical="center" wrapText="1"/>
    </xf>
    <xf numFmtId="0" fontId="134" fillId="3" borderId="101" xfId="0" applyFont="1" applyFill="1" applyBorder="1" applyAlignment="1">
      <alignment horizontal="center" vertical="center"/>
    </xf>
    <xf numFmtId="166" fontId="134" fillId="3" borderId="101" xfId="1" applyFont="1" applyFill="1" applyBorder="1" applyAlignment="1">
      <alignment horizontal="left" vertical="center"/>
    </xf>
    <xf numFmtId="0" fontId="169" fillId="3" borderId="101" xfId="0" applyFont="1" applyFill="1" applyBorder="1" applyAlignment="1">
      <alignment horizontal="center" vertical="center"/>
    </xf>
    <xf numFmtId="0" fontId="169" fillId="3" borderId="109" xfId="0" applyFont="1" applyFill="1" applyBorder="1" applyAlignment="1">
      <alignment horizontal="center" vertical="center"/>
    </xf>
    <xf numFmtId="0" fontId="169" fillId="3" borderId="86" xfId="0" applyFont="1" applyFill="1" applyBorder="1" applyAlignment="1">
      <alignment horizontal="left" vertical="center"/>
    </xf>
    <xf numFmtId="166" fontId="168" fillId="0" borderId="101" xfId="1" applyFont="1" applyBorder="1" applyAlignment="1">
      <alignment horizontal="right" vertical="center"/>
    </xf>
    <xf numFmtId="166" fontId="168" fillId="3" borderId="101" xfId="1" applyFont="1" applyFill="1" applyBorder="1" applyAlignment="1">
      <alignment vertical="top" wrapText="1"/>
    </xf>
    <xf numFmtId="0" fontId="134" fillId="3" borderId="90" xfId="0" applyFont="1" applyFill="1" applyBorder="1" applyAlignment="1">
      <alignment horizontal="center" vertical="center"/>
    </xf>
    <xf numFmtId="166" fontId="170" fillId="3" borderId="101" xfId="1" applyFont="1" applyFill="1" applyBorder="1" applyAlignment="1">
      <alignment vertical="top" wrapText="1"/>
    </xf>
    <xf numFmtId="166" fontId="170" fillId="3" borderId="90" xfId="1" applyFont="1" applyFill="1" applyBorder="1" applyAlignment="1">
      <alignment vertical="top" wrapText="1"/>
    </xf>
    <xf numFmtId="166" fontId="170" fillId="3" borderId="101" xfId="1" applyFont="1" applyFill="1" applyBorder="1" applyAlignment="1">
      <alignment horizontal="right" vertical="center" wrapText="1"/>
    </xf>
    <xf numFmtId="166" fontId="170" fillId="33" borderId="101" xfId="1" applyFont="1" applyFill="1" applyBorder="1" applyAlignment="1">
      <alignment horizontal="center" vertical="center" wrapText="1"/>
    </xf>
    <xf numFmtId="10" fontId="134" fillId="3" borderId="101" xfId="8" applyNumberFormat="1" applyFont="1" applyFill="1" applyBorder="1" applyAlignment="1">
      <alignment horizontal="center" vertical="center"/>
    </xf>
    <xf numFmtId="10" fontId="0" fillId="0" borderId="101" xfId="8" applyNumberFormat="1" applyFont="1" applyBorder="1" applyAlignment="1">
      <alignment horizontal="center"/>
    </xf>
    <xf numFmtId="0" fontId="31" fillId="32" borderId="67" xfId="10" applyFont="1" applyFill="1" applyBorder="1" applyAlignment="1">
      <alignment horizontal="center" vertical="center" wrapText="1"/>
    </xf>
    <xf numFmtId="0" fontId="31" fillId="32" borderId="92" xfId="10" applyFont="1" applyFill="1" applyBorder="1" applyAlignment="1">
      <alignment horizontal="center" vertical="center" wrapText="1"/>
    </xf>
    <xf numFmtId="0" fontId="31" fillId="32" borderId="61" xfId="10" applyFont="1" applyFill="1" applyBorder="1" applyAlignment="1">
      <alignment horizontal="center" vertical="center" wrapText="1"/>
    </xf>
    <xf numFmtId="0" fontId="89" fillId="0" borderId="80" xfId="0" applyFont="1" applyFill="1" applyBorder="1" applyAlignment="1" applyProtection="1">
      <alignment horizontal="center" vertical="center" wrapText="1"/>
    </xf>
    <xf numFmtId="0" fontId="89" fillId="0" borderId="65" xfId="0" applyFont="1" applyFill="1" applyBorder="1" applyAlignment="1" applyProtection="1">
      <alignment horizontal="center" vertical="center" wrapText="1"/>
    </xf>
    <xf numFmtId="0" fontId="31" fillId="32" borderId="12" xfId="10" applyFont="1" applyFill="1" applyBorder="1" applyAlignment="1">
      <alignment horizontal="center" vertical="center" wrapText="1"/>
    </xf>
    <xf numFmtId="0" fontId="31" fillId="32" borderId="13" xfId="10" applyFont="1" applyFill="1" applyBorder="1" applyAlignment="1">
      <alignment horizontal="center" vertical="center" wrapText="1"/>
    </xf>
    <xf numFmtId="0" fontId="31" fillId="32" borderId="85" xfId="10" applyFont="1" applyFill="1" applyBorder="1" applyAlignment="1">
      <alignment horizontal="center" vertical="center" wrapText="1"/>
    </xf>
    <xf numFmtId="0" fontId="31" fillId="32" borderId="79" xfId="10" applyFont="1" applyFill="1" applyBorder="1" applyAlignment="1">
      <alignment horizontal="center" vertical="center" wrapText="1"/>
    </xf>
    <xf numFmtId="0" fontId="31" fillId="32" borderId="86" xfId="10" applyFont="1" applyFill="1" applyBorder="1" applyAlignment="1">
      <alignment horizontal="center" vertical="center" wrapText="1"/>
    </xf>
    <xf numFmtId="0" fontId="31" fillId="32" borderId="90" xfId="10" applyFont="1" applyFill="1" applyBorder="1" applyAlignment="1">
      <alignment horizontal="center" vertical="center"/>
    </xf>
    <xf numFmtId="0" fontId="31" fillId="32" borderId="34" xfId="10" applyFont="1" applyFill="1" applyBorder="1" applyAlignment="1">
      <alignment horizontal="center" vertical="center"/>
    </xf>
    <xf numFmtId="0" fontId="31" fillId="32" borderId="36" xfId="10" applyFont="1" applyFill="1" applyBorder="1" applyAlignment="1">
      <alignment horizontal="center" vertical="center" wrapText="1"/>
    </xf>
    <xf numFmtId="0" fontId="31" fillId="32" borderId="47" xfId="10" applyFont="1" applyFill="1" applyBorder="1" applyAlignment="1">
      <alignment horizontal="center" vertical="center" wrapText="1"/>
    </xf>
    <xf numFmtId="0" fontId="31" fillId="32" borderId="90" xfId="10" applyFont="1" applyFill="1" applyBorder="1" applyAlignment="1">
      <alignment horizontal="center" vertical="center" wrapText="1"/>
    </xf>
    <xf numFmtId="0" fontId="31" fillId="32" borderId="34" xfId="10" applyFont="1" applyFill="1" applyBorder="1" applyAlignment="1">
      <alignment horizontal="center" vertical="center" wrapText="1"/>
    </xf>
    <xf numFmtId="0" fontId="31" fillId="32" borderId="30" xfId="10" applyFont="1" applyFill="1" applyBorder="1" applyAlignment="1">
      <alignment horizontal="center" vertical="center" wrapText="1"/>
    </xf>
    <xf numFmtId="165" fontId="33" fillId="0" borderId="85" xfId="13" applyNumberFormat="1" applyFont="1" applyFill="1" applyBorder="1" applyAlignment="1">
      <alignment horizontal="left" vertical="center" wrapText="1"/>
    </xf>
    <xf numFmtId="165" fontId="33" fillId="0" borderId="86" xfId="13" applyNumberFormat="1" applyFont="1" applyFill="1" applyBorder="1" applyAlignment="1">
      <alignment horizontal="left" vertical="center" wrapText="1"/>
    </xf>
    <xf numFmtId="0" fontId="151" fillId="0" borderId="67" xfId="10" applyFont="1" applyFill="1" applyBorder="1" applyAlignment="1">
      <alignment horizontal="center" vertical="center"/>
    </xf>
    <xf numFmtId="0" fontId="152" fillId="0" borderId="67" xfId="10" applyFont="1" applyBorder="1"/>
    <xf numFmtId="0" fontId="151" fillId="0" borderId="85" xfId="10" applyFont="1" applyFill="1" applyBorder="1" applyAlignment="1">
      <alignment horizontal="center" vertical="center" wrapText="1"/>
    </xf>
    <xf numFmtId="0" fontId="151" fillId="0" borderId="79" xfId="10" applyFont="1" applyFill="1" applyBorder="1" applyAlignment="1">
      <alignment horizontal="center" vertical="center" wrapText="1"/>
    </xf>
    <xf numFmtId="0" fontId="151" fillId="0" borderId="86" xfId="10" applyFont="1" applyFill="1" applyBorder="1" applyAlignment="1">
      <alignment horizontal="center" vertical="center" wrapText="1"/>
    </xf>
    <xf numFmtId="49" fontId="31" fillId="32" borderId="85" xfId="13" applyNumberFormat="1" applyFont="1" applyFill="1" applyBorder="1" applyAlignment="1">
      <alignment horizontal="left" vertical="center" wrapText="1"/>
    </xf>
    <xf numFmtId="49" fontId="31" fillId="32" borderId="86" xfId="13" applyNumberFormat="1" applyFont="1" applyFill="1" applyBorder="1" applyAlignment="1">
      <alignment horizontal="left" vertical="center" wrapText="1"/>
    </xf>
    <xf numFmtId="165" fontId="31" fillId="32" borderId="85" xfId="12" applyNumberFormat="1" applyFont="1" applyFill="1" applyBorder="1" applyAlignment="1">
      <alignment horizontal="center" vertical="center" wrapText="1"/>
    </xf>
    <xf numFmtId="165" fontId="31" fillId="32" borderId="86" xfId="12" applyNumberFormat="1" applyFont="1" applyFill="1" applyBorder="1" applyAlignment="1">
      <alignment horizontal="center" vertical="center" wrapText="1"/>
    </xf>
    <xf numFmtId="165" fontId="30" fillId="0" borderId="85" xfId="12" applyNumberFormat="1" applyFont="1" applyFill="1" applyBorder="1" applyAlignment="1">
      <alignment horizontal="left" vertical="center" wrapText="1"/>
    </xf>
    <xf numFmtId="165" fontId="30" fillId="0" borderId="86" xfId="12" applyNumberFormat="1" applyFont="1" applyFill="1" applyBorder="1" applyAlignment="1">
      <alignment horizontal="left" vertical="center" wrapText="1"/>
    </xf>
    <xf numFmtId="49" fontId="31" fillId="32" borderId="67" xfId="13" applyNumberFormat="1" applyFont="1" applyFill="1" applyBorder="1" applyAlignment="1">
      <alignment horizontal="left" vertical="center" wrapText="1"/>
    </xf>
    <xf numFmtId="165" fontId="33" fillId="0" borderId="85" xfId="13" applyNumberFormat="1" applyFont="1" applyFill="1" applyBorder="1" applyAlignment="1">
      <alignment horizontal="left" vertical="center"/>
    </xf>
    <xf numFmtId="165" fontId="33" fillId="0" borderId="86" xfId="13" applyNumberFormat="1" applyFont="1" applyFill="1" applyBorder="1" applyAlignment="1">
      <alignment horizontal="left" vertical="center"/>
    </xf>
    <xf numFmtId="0" fontId="31" fillId="0" borderId="85" xfId="10" applyNumberFormat="1" applyFont="1" applyFill="1" applyBorder="1" applyAlignment="1">
      <alignment horizontal="left" vertical="top" wrapText="1"/>
    </xf>
    <xf numFmtId="0" fontId="31" fillId="0" borderId="59" xfId="10" applyNumberFormat="1" applyFont="1" applyFill="1" applyBorder="1" applyAlignment="1">
      <alignment horizontal="left" vertical="top" wrapText="1"/>
    </xf>
    <xf numFmtId="165" fontId="33" fillId="0" borderId="85" xfId="13" applyNumberFormat="1" applyFont="1" applyFill="1" applyBorder="1" applyAlignment="1">
      <alignment horizontal="left" vertical="top"/>
    </xf>
    <xf numFmtId="165" fontId="33" fillId="0" borderId="86" xfId="13" applyNumberFormat="1" applyFont="1" applyFill="1" applyBorder="1" applyAlignment="1">
      <alignment horizontal="left" vertical="top"/>
    </xf>
    <xf numFmtId="0" fontId="31" fillId="0" borderId="79" xfId="10" applyNumberFormat="1" applyFont="1" applyFill="1" applyBorder="1" applyAlignment="1">
      <alignment horizontal="left" vertical="top" wrapText="1"/>
    </xf>
    <xf numFmtId="0" fontId="31" fillId="0" borderId="90" xfId="10" applyFont="1" applyFill="1" applyBorder="1" applyAlignment="1">
      <alignment horizontal="center" vertical="top"/>
    </xf>
    <xf numFmtId="0" fontId="31" fillId="0" borderId="30" xfId="10" applyFont="1" applyFill="1" applyBorder="1" applyAlignment="1">
      <alignment horizontal="center" vertical="top"/>
    </xf>
    <xf numFmtId="0" fontId="30" fillId="0" borderId="86" xfId="10" applyNumberFormat="1" applyFont="1" applyFill="1" applyBorder="1" applyAlignment="1">
      <alignment horizontal="left" vertical="top" wrapText="1"/>
    </xf>
    <xf numFmtId="0" fontId="30" fillId="0" borderId="61" xfId="10" applyNumberFormat="1" applyFont="1" applyFill="1" applyBorder="1" applyAlignment="1">
      <alignment horizontal="left" vertical="center"/>
    </xf>
    <xf numFmtId="0" fontId="30" fillId="0" borderId="13" xfId="10" applyNumberFormat="1" applyFont="1" applyFill="1" applyBorder="1" applyAlignment="1">
      <alignment horizontal="left" vertical="center"/>
    </xf>
    <xf numFmtId="165" fontId="33" fillId="0" borderId="85" xfId="13" applyNumberFormat="1" applyFont="1" applyFill="1" applyBorder="1" applyAlignment="1">
      <alignment horizontal="left" vertical="top" wrapText="1"/>
    </xf>
    <xf numFmtId="165" fontId="33" fillId="0" borderId="86" xfId="13" applyNumberFormat="1" applyFont="1" applyFill="1" applyBorder="1" applyAlignment="1">
      <alignment horizontal="left" vertical="top" wrapText="1"/>
    </xf>
    <xf numFmtId="0" fontId="31" fillId="0" borderId="86" xfId="10" applyNumberFormat="1" applyFont="1" applyFill="1" applyBorder="1" applyAlignment="1">
      <alignment horizontal="left" vertical="top" wrapText="1"/>
    </xf>
    <xf numFmtId="0" fontId="31" fillId="0" borderId="12" xfId="10" applyNumberFormat="1" applyFont="1" applyFill="1" applyBorder="1" applyAlignment="1">
      <alignment horizontal="left" vertical="top" wrapText="1"/>
    </xf>
    <xf numFmtId="0" fontId="31" fillId="0" borderId="13" xfId="10" applyNumberFormat="1" applyFont="1" applyFill="1" applyBorder="1" applyAlignment="1">
      <alignment horizontal="left" vertical="top" wrapText="1"/>
    </xf>
    <xf numFmtId="165" fontId="33" fillId="3" borderId="85" xfId="13" applyNumberFormat="1" applyFont="1" applyFill="1" applyBorder="1" applyAlignment="1">
      <alignment horizontal="left" vertical="center"/>
    </xf>
    <xf numFmtId="165" fontId="33" fillId="3" borderId="86" xfId="13" applyNumberFormat="1" applyFont="1" applyFill="1" applyBorder="1" applyAlignment="1">
      <alignment horizontal="left" vertical="center"/>
    </xf>
    <xf numFmtId="0" fontId="31" fillId="3" borderId="90" xfId="10" applyFont="1" applyFill="1" applyBorder="1" applyAlignment="1">
      <alignment horizontal="center" vertical="top"/>
    </xf>
    <xf numFmtId="0" fontId="31" fillId="3" borderId="30" xfId="10" applyFont="1" applyFill="1" applyBorder="1" applyAlignment="1">
      <alignment horizontal="center" vertical="top"/>
    </xf>
    <xf numFmtId="0" fontId="30" fillId="3" borderId="61" xfId="10" applyNumberFormat="1" applyFont="1" applyFill="1" applyBorder="1" applyAlignment="1">
      <alignment horizontal="left" vertical="top"/>
    </xf>
    <xf numFmtId="0" fontId="30" fillId="3" borderId="13" xfId="10" applyNumberFormat="1" applyFont="1" applyFill="1" applyBorder="1" applyAlignment="1">
      <alignment horizontal="left" vertical="top"/>
    </xf>
    <xf numFmtId="165" fontId="33" fillId="3" borderId="90" xfId="13" applyNumberFormat="1" applyFont="1" applyFill="1" applyBorder="1" applyAlignment="1">
      <alignment horizontal="center" vertical="top"/>
    </xf>
    <xf numFmtId="165" fontId="33" fillId="3" borderId="30" xfId="13" applyNumberFormat="1" applyFont="1" applyFill="1" applyBorder="1" applyAlignment="1">
      <alignment horizontal="center" vertical="top"/>
    </xf>
    <xf numFmtId="165" fontId="33" fillId="3" borderId="85" xfId="13" applyNumberFormat="1" applyFont="1" applyFill="1" applyBorder="1" applyAlignment="1">
      <alignment horizontal="left" vertical="center" wrapText="1"/>
    </xf>
    <xf numFmtId="165" fontId="33" fillId="3" borderId="86" xfId="13" applyNumberFormat="1" applyFont="1" applyFill="1" applyBorder="1" applyAlignment="1">
      <alignment horizontal="left" vertical="center" wrapText="1"/>
    </xf>
    <xf numFmtId="0" fontId="31" fillId="3" borderId="85" xfId="10" applyNumberFormat="1" applyFont="1" applyFill="1" applyBorder="1" applyAlignment="1">
      <alignment horizontal="left" vertical="top" wrapText="1"/>
    </xf>
    <xf numFmtId="0" fontId="31" fillId="3" borderId="86" xfId="10" applyNumberFormat="1" applyFont="1" applyFill="1" applyBorder="1" applyAlignment="1">
      <alignment horizontal="left" vertical="top" wrapText="1"/>
    </xf>
    <xf numFmtId="165" fontId="30" fillId="0" borderId="90" xfId="12" applyNumberFormat="1" applyFont="1" applyFill="1" applyBorder="1" applyAlignment="1">
      <alignment horizontal="center" vertical="top" wrapText="1"/>
    </xf>
    <xf numFmtId="165" fontId="30" fillId="0" borderId="30" xfId="12" applyNumberFormat="1" applyFont="1" applyFill="1" applyBorder="1" applyAlignment="1">
      <alignment horizontal="center" vertical="top" wrapText="1"/>
    </xf>
    <xf numFmtId="0" fontId="137" fillId="0" borderId="85" xfId="10" applyFont="1" applyFill="1" applyBorder="1" applyAlignment="1">
      <alignment horizontal="center" vertical="center" wrapText="1"/>
    </xf>
    <xf numFmtId="0" fontId="137" fillId="0" borderId="86" xfId="10" applyFont="1" applyFill="1" applyBorder="1" applyAlignment="1">
      <alignment horizontal="center" vertical="center" wrapText="1"/>
    </xf>
    <xf numFmtId="165" fontId="33" fillId="3" borderId="85" xfId="13" applyNumberFormat="1" applyFont="1" applyFill="1" applyBorder="1" applyAlignment="1">
      <alignment horizontal="left" vertical="top"/>
    </xf>
    <xf numFmtId="165" fontId="33" fillId="3" borderId="86" xfId="13" applyNumberFormat="1" applyFont="1" applyFill="1" applyBorder="1" applyAlignment="1">
      <alignment horizontal="left" vertical="top"/>
    </xf>
    <xf numFmtId="0" fontId="31" fillId="3" borderId="59" xfId="10" applyNumberFormat="1" applyFont="1" applyFill="1" applyBorder="1" applyAlignment="1">
      <alignment horizontal="left" vertical="top" wrapText="1"/>
    </xf>
    <xf numFmtId="0" fontId="31" fillId="3" borderId="12" xfId="10" applyNumberFormat="1" applyFont="1" applyFill="1" applyBorder="1" applyAlignment="1">
      <alignment horizontal="left" vertical="top" wrapText="1"/>
    </xf>
    <xf numFmtId="0" fontId="31" fillId="3" borderId="13" xfId="10" applyNumberFormat="1" applyFont="1" applyFill="1" applyBorder="1" applyAlignment="1">
      <alignment horizontal="left" vertical="top" wrapText="1"/>
    </xf>
    <xf numFmtId="0" fontId="31" fillId="3" borderId="79" xfId="10" applyNumberFormat="1" applyFont="1" applyFill="1" applyBorder="1" applyAlignment="1">
      <alignment horizontal="left" vertical="top" wrapText="1"/>
    </xf>
    <xf numFmtId="0" fontId="30" fillId="3" borderId="86" xfId="10" applyNumberFormat="1" applyFont="1" applyFill="1" applyBorder="1" applyAlignment="1">
      <alignment horizontal="left" vertical="top" wrapText="1"/>
    </xf>
    <xf numFmtId="0" fontId="82" fillId="0" borderId="65" xfId="0" applyFont="1" applyFill="1" applyBorder="1" applyAlignment="1" applyProtection="1">
      <alignment horizontal="center" vertical="center" wrapText="1"/>
    </xf>
    <xf numFmtId="0" fontId="137" fillId="0" borderId="67" xfId="10" applyFont="1" applyFill="1" applyBorder="1" applyAlignment="1">
      <alignment horizontal="center" vertical="center"/>
    </xf>
    <xf numFmtId="0" fontId="36" fillId="0" borderId="67" xfId="10" applyFont="1" applyBorder="1"/>
    <xf numFmtId="0" fontId="31" fillId="0" borderId="0" xfId="10" applyFont="1" applyBorder="1" applyAlignment="1">
      <alignment horizontal="center" vertical="center"/>
    </xf>
    <xf numFmtId="0" fontId="82" fillId="0" borderId="80" xfId="0" applyFont="1" applyFill="1" applyBorder="1" applyAlignment="1" applyProtection="1">
      <alignment horizontal="center" vertical="center" wrapText="1"/>
    </xf>
    <xf numFmtId="0" fontId="138" fillId="0" borderId="0" xfId="10" applyFont="1" applyBorder="1" applyAlignment="1">
      <alignment horizontal="center" vertical="center"/>
    </xf>
    <xf numFmtId="0" fontId="138" fillId="0" borderId="0" xfId="10" applyFont="1" applyBorder="1" applyAlignment="1">
      <alignment horizontal="center" vertical="top"/>
    </xf>
    <xf numFmtId="0" fontId="31" fillId="6" borderId="62" xfId="10" applyFont="1" applyFill="1" applyBorder="1" applyAlignment="1">
      <alignment horizontal="center" vertical="center"/>
    </xf>
    <xf numFmtId="0" fontId="31" fillId="6" borderId="34" xfId="10" applyFont="1" applyFill="1" applyBorder="1" applyAlignment="1">
      <alignment horizontal="center" vertical="center"/>
    </xf>
    <xf numFmtId="0" fontId="31" fillId="6" borderId="81" xfId="10" applyFont="1" applyFill="1" applyBorder="1" applyAlignment="1">
      <alignment horizontal="center" vertical="center" wrapText="1"/>
    </xf>
    <xf numFmtId="0" fontId="31" fillId="6" borderId="61" xfId="10" applyFont="1" applyFill="1" applyBorder="1" applyAlignment="1">
      <alignment horizontal="center" vertical="center" wrapText="1"/>
    </xf>
    <xf numFmtId="0" fontId="31" fillId="6" borderId="36" xfId="10" applyFont="1" applyFill="1" applyBorder="1" applyAlignment="1">
      <alignment horizontal="center" vertical="center" wrapText="1"/>
    </xf>
    <xf numFmtId="0" fontId="31" fillId="6" borderId="47" xfId="10" applyFont="1" applyFill="1" applyBorder="1" applyAlignment="1">
      <alignment horizontal="center" vertical="center" wrapText="1"/>
    </xf>
    <xf numFmtId="0" fontId="31" fillId="6" borderId="62" xfId="10" applyFont="1" applyFill="1" applyBorder="1" applyAlignment="1">
      <alignment horizontal="center" vertical="center" wrapText="1"/>
    </xf>
    <xf numFmtId="0" fontId="31" fillId="6" borderId="34" xfId="10" applyFont="1" applyFill="1" applyBorder="1" applyAlignment="1">
      <alignment horizontal="center" vertical="center" wrapText="1"/>
    </xf>
    <xf numFmtId="0" fontId="31" fillId="6" borderId="85" xfId="10" applyFont="1" applyFill="1" applyBorder="1" applyAlignment="1">
      <alignment horizontal="center" vertical="center" wrapText="1"/>
    </xf>
    <xf numFmtId="0" fontId="31" fillId="6" borderId="86" xfId="10" applyFont="1" applyFill="1" applyBorder="1" applyAlignment="1">
      <alignment horizontal="center" vertical="center" wrapText="1"/>
    </xf>
    <xf numFmtId="0" fontId="31" fillId="3" borderId="82" xfId="10" applyNumberFormat="1" applyFont="1" applyFill="1" applyBorder="1" applyAlignment="1">
      <alignment horizontal="left" vertical="top" wrapText="1"/>
    </xf>
    <xf numFmtId="0" fontId="31" fillId="3" borderId="83" xfId="10" applyNumberFormat="1" applyFont="1" applyFill="1" applyBorder="1" applyAlignment="1">
      <alignment horizontal="left" vertical="top" wrapText="1"/>
    </xf>
    <xf numFmtId="0" fontId="31" fillId="3" borderId="57" xfId="10" applyNumberFormat="1" applyFont="1" applyFill="1" applyBorder="1" applyAlignment="1">
      <alignment horizontal="left" vertical="top" wrapText="1"/>
    </xf>
    <xf numFmtId="0" fontId="30" fillId="3" borderId="83" xfId="10" applyNumberFormat="1" applyFont="1" applyFill="1" applyBorder="1" applyAlignment="1">
      <alignment horizontal="left" vertical="top" wrapText="1"/>
    </xf>
    <xf numFmtId="0" fontId="35" fillId="0" borderId="64" xfId="10" applyFont="1" applyFill="1" applyBorder="1" applyAlignment="1">
      <alignment horizontal="center" vertical="center"/>
    </xf>
    <xf numFmtId="0" fontId="36" fillId="0" borderId="64" xfId="10" applyFont="1" applyBorder="1"/>
    <xf numFmtId="49" fontId="31" fillId="6" borderId="85" xfId="13" applyNumberFormat="1" applyFont="1" applyFill="1" applyBorder="1" applyAlignment="1">
      <alignment horizontal="left" vertical="center" wrapText="1"/>
    </xf>
    <xf numFmtId="49" fontId="31" fillId="6" borderId="86" xfId="13" applyNumberFormat="1" applyFont="1" applyFill="1" applyBorder="1" applyAlignment="1">
      <alignment horizontal="left" vertical="center" wrapText="1"/>
    </xf>
    <xf numFmtId="49" fontId="31" fillId="6" borderId="64" xfId="13" applyNumberFormat="1" applyFont="1" applyFill="1" applyBorder="1" applyAlignment="1">
      <alignment horizontal="left" vertical="center" wrapText="1"/>
    </xf>
    <xf numFmtId="0" fontId="31" fillId="6" borderId="67" xfId="10" applyFont="1" applyFill="1" applyBorder="1" applyAlignment="1">
      <alignment horizontal="center" vertical="center" wrapText="1"/>
    </xf>
    <xf numFmtId="0" fontId="8" fillId="0" borderId="84" xfId="0" applyFont="1" applyFill="1" applyBorder="1" applyAlignment="1">
      <alignment horizontal="left"/>
    </xf>
    <xf numFmtId="0" fontId="8" fillId="0" borderId="59" xfId="0" applyFont="1" applyFill="1" applyBorder="1" applyAlignment="1">
      <alignment horizontal="left"/>
    </xf>
    <xf numFmtId="0" fontId="8" fillId="0" borderId="60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6" fillId="0" borderId="2" xfId="0" applyFont="1" applyFill="1" applyBorder="1"/>
    <xf numFmtId="0" fontId="6" fillId="0" borderId="41" xfId="0" applyFont="1" applyFill="1" applyBorder="1"/>
    <xf numFmtId="0" fontId="6" fillId="0" borderId="4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41" xfId="0" applyFont="1" applyFill="1" applyBorder="1" applyAlignment="1">
      <alignment horizont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84" xfId="0" applyFont="1" applyFill="1" applyBorder="1" applyAlignment="1">
      <alignment horizontal="center"/>
    </xf>
    <xf numFmtId="0" fontId="6" fillId="0" borderId="59" xfId="0" applyFont="1" applyFill="1" applyBorder="1" applyAlignment="1">
      <alignment horizontal="center"/>
    </xf>
    <xf numFmtId="0" fontId="6" fillId="0" borderId="6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 wrapText="1"/>
    </xf>
    <xf numFmtId="0" fontId="6" fillId="0" borderId="24" xfId="0" applyFont="1" applyFill="1" applyBorder="1" applyAlignment="1">
      <alignment horizontal="center" wrapText="1"/>
    </xf>
    <xf numFmtId="0" fontId="6" fillId="0" borderId="71" xfId="0" applyFont="1" applyFill="1" applyBorder="1" applyAlignment="1">
      <alignment horizontal="center" vertical="center"/>
    </xf>
    <xf numFmtId="0" fontId="6" fillId="0" borderId="79" xfId="0" applyFont="1" applyFill="1" applyBorder="1" applyAlignment="1">
      <alignment horizontal="center" vertical="center"/>
    </xf>
    <xf numFmtId="0" fontId="9" fillId="0" borderId="85" xfId="0" applyFont="1" applyFill="1" applyBorder="1" applyAlignment="1">
      <alignment horizontal="center"/>
    </xf>
    <xf numFmtId="0" fontId="9" fillId="0" borderId="86" xfId="0" applyFont="1" applyFill="1" applyBorder="1" applyAlignment="1">
      <alignment horizontal="center"/>
    </xf>
    <xf numFmtId="0" fontId="6" fillId="0" borderId="74" xfId="0" applyFont="1" applyFill="1" applyBorder="1" applyAlignment="1">
      <alignment horizontal="center" vertical="center" wrapText="1"/>
    </xf>
    <xf numFmtId="0" fontId="6" fillId="0" borderId="75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left"/>
    </xf>
    <xf numFmtId="0" fontId="8" fillId="0" borderId="11" xfId="0" applyFont="1" applyFill="1" applyBorder="1" applyAlignment="1">
      <alignment horizontal="left"/>
    </xf>
    <xf numFmtId="0" fontId="8" fillId="0" borderId="24" xfId="0" applyFont="1" applyFill="1" applyBorder="1" applyAlignment="1">
      <alignment horizontal="left"/>
    </xf>
    <xf numFmtId="0" fontId="6" fillId="0" borderId="84" xfId="0" applyFont="1" applyFill="1" applyBorder="1" applyAlignment="1">
      <alignment horizontal="center" vertical="center"/>
    </xf>
    <xf numFmtId="0" fontId="6" fillId="0" borderId="59" xfId="0" applyFont="1" applyFill="1" applyBorder="1" applyAlignment="1">
      <alignment horizontal="center" vertical="center"/>
    </xf>
    <xf numFmtId="0" fontId="6" fillId="0" borderId="6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61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90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165" fontId="6" fillId="0" borderId="90" xfId="2" applyFont="1" applyFill="1" applyBorder="1" applyAlignment="1">
      <alignment horizontal="center" vertical="center" wrapText="1"/>
    </xf>
    <xf numFmtId="165" fontId="6" fillId="0" borderId="34" xfId="2" applyFont="1" applyFill="1" applyBorder="1" applyAlignment="1">
      <alignment horizontal="center" vertical="center" wrapText="1"/>
    </xf>
    <xf numFmtId="165" fontId="6" fillId="0" borderId="30" xfId="2" applyFont="1" applyFill="1" applyBorder="1" applyAlignment="1">
      <alignment horizontal="center" vertical="center" wrapText="1"/>
    </xf>
    <xf numFmtId="170" fontId="6" fillId="0" borderId="91" xfId="2" applyNumberFormat="1" applyFont="1" applyFill="1" applyBorder="1" applyAlignment="1">
      <alignment horizontal="center" vertical="center"/>
    </xf>
    <xf numFmtId="170" fontId="6" fillId="0" borderId="42" xfId="2" applyNumberFormat="1" applyFont="1" applyFill="1" applyBorder="1" applyAlignment="1">
      <alignment horizontal="center" vertical="center"/>
    </xf>
    <xf numFmtId="170" fontId="6" fillId="0" borderId="16" xfId="2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9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119" fillId="0" borderId="0" xfId="28340" applyFont="1" applyFill="1" applyBorder="1" applyAlignment="1">
      <alignment horizontal="left"/>
    </xf>
    <xf numFmtId="0" fontId="119" fillId="0" borderId="0" xfId="28340" applyFont="1" applyFill="1" applyBorder="1" applyAlignment="1">
      <alignment horizontal="center"/>
    </xf>
    <xf numFmtId="0" fontId="119" fillId="0" borderId="0" xfId="28340" quotePrefix="1" applyFont="1" applyFill="1" applyBorder="1" applyAlignment="1">
      <alignment horizontal="center"/>
    </xf>
    <xf numFmtId="0" fontId="100" fillId="0" borderId="0" xfId="28340" applyFont="1" applyFill="1" applyBorder="1" applyAlignment="1">
      <alignment horizontal="center"/>
    </xf>
    <xf numFmtId="0" fontId="100" fillId="0" borderId="47" xfId="28340" applyFont="1" applyFill="1" applyBorder="1" applyAlignment="1">
      <alignment horizontal="center"/>
    </xf>
    <xf numFmtId="0" fontId="147" fillId="0" borderId="0" xfId="28340" applyFont="1" applyFill="1" applyBorder="1" applyAlignment="1">
      <alignment horizontal="center"/>
    </xf>
    <xf numFmtId="0" fontId="147" fillId="0" borderId="47" xfId="28340" applyFont="1" applyFill="1" applyBorder="1" applyAlignment="1">
      <alignment horizontal="center"/>
    </xf>
    <xf numFmtId="0" fontId="100" fillId="0" borderId="11" xfId="28340" applyFont="1" applyFill="1" applyBorder="1" applyAlignment="1">
      <alignment horizontal="center"/>
    </xf>
    <xf numFmtId="0" fontId="100" fillId="0" borderId="13" xfId="28340" applyFont="1" applyFill="1" applyBorder="1" applyAlignment="1">
      <alignment horizontal="center"/>
    </xf>
    <xf numFmtId="0" fontId="118" fillId="0" borderId="0" xfId="28340" applyFont="1" applyFill="1" applyBorder="1" applyAlignment="1">
      <alignment horizontal="center"/>
    </xf>
    <xf numFmtId="0" fontId="115" fillId="0" borderId="0" xfId="28340" applyFont="1" applyFill="1" applyBorder="1" applyAlignment="1">
      <alignment horizontal="center"/>
    </xf>
    <xf numFmtId="0" fontId="100" fillId="0" borderId="67" xfId="28340" applyFont="1" applyFill="1" applyBorder="1" applyAlignment="1">
      <alignment horizontal="right" vertical="center"/>
    </xf>
    <xf numFmtId="4" fontId="100" fillId="0" borderId="67" xfId="28340" applyNumberFormat="1" applyFont="1" applyFill="1" applyBorder="1" applyAlignment="1">
      <alignment vertical="center"/>
    </xf>
    <xf numFmtId="4" fontId="99" fillId="0" borderId="36" xfId="28340" applyNumberFormat="1" applyFont="1" applyFill="1" applyBorder="1" applyAlignment="1">
      <alignment horizontal="center"/>
    </xf>
    <xf numFmtId="4" fontId="99" fillId="0" borderId="0" xfId="28340" applyNumberFormat="1" applyFont="1" applyFill="1" applyAlignment="1">
      <alignment horizontal="center"/>
    </xf>
    <xf numFmtId="191" fontId="100" fillId="0" borderId="0" xfId="28340" applyNumberFormat="1" applyFont="1" applyFill="1" applyBorder="1" applyAlignment="1">
      <alignment horizontal="center"/>
    </xf>
    <xf numFmtId="191" fontId="100" fillId="0" borderId="47" xfId="28340" applyNumberFormat="1" applyFont="1" applyFill="1" applyBorder="1" applyAlignment="1">
      <alignment horizontal="center"/>
    </xf>
    <xf numFmtId="0" fontId="99" fillId="0" borderId="0" xfId="28340" applyFont="1" applyFill="1" applyAlignment="1">
      <alignment horizontal="center"/>
    </xf>
    <xf numFmtId="0" fontId="103" fillId="0" borderId="0" xfId="28340" applyFont="1" applyFill="1" applyBorder="1" applyAlignment="1">
      <alignment horizontal="left"/>
    </xf>
    <xf numFmtId="0" fontId="103" fillId="0" borderId="47" xfId="28340" applyFont="1" applyFill="1" applyBorder="1" applyAlignment="1">
      <alignment horizontal="left"/>
    </xf>
    <xf numFmtId="165" fontId="99" fillId="0" borderId="34" xfId="28341" applyFont="1" applyFill="1" applyBorder="1" applyAlignment="1">
      <alignment horizontal="center" vertical="center"/>
    </xf>
    <xf numFmtId="0" fontId="99" fillId="0" borderId="34" xfId="28340" applyFont="1" applyFill="1" applyBorder="1" applyAlignment="1">
      <alignment horizontal="center" vertical="center"/>
    </xf>
    <xf numFmtId="4" fontId="99" fillId="0" borderId="34" xfId="28340" applyNumberFormat="1" applyFont="1" applyFill="1" applyBorder="1" applyAlignment="1">
      <alignment horizontal="right" vertical="center"/>
    </xf>
    <xf numFmtId="4" fontId="109" fillId="0" borderId="34" xfId="28340" applyNumberFormat="1" applyFont="1" applyFill="1" applyBorder="1" applyAlignment="1">
      <alignment vertical="center"/>
    </xf>
    <xf numFmtId="184" fontId="103" fillId="0" borderId="0" xfId="28340" applyNumberFormat="1" applyFont="1" applyFill="1" applyBorder="1" applyAlignment="1">
      <alignment horizontal="right"/>
    </xf>
    <xf numFmtId="188" fontId="103" fillId="0" borderId="0" xfId="28340" applyNumberFormat="1" applyFont="1" applyFill="1" applyBorder="1" applyAlignment="1">
      <alignment horizontal="center"/>
    </xf>
    <xf numFmtId="170" fontId="99" fillId="0" borderId="34" xfId="28341" applyNumberFormat="1" applyFont="1" applyFill="1" applyBorder="1" applyAlignment="1">
      <alignment horizontal="center"/>
    </xf>
    <xf numFmtId="0" fontId="99" fillId="0" borderId="34" xfId="28340" applyFont="1" applyFill="1" applyBorder="1" applyAlignment="1">
      <alignment horizontal="center"/>
    </xf>
    <xf numFmtId="4" fontId="103" fillId="0" borderId="34" xfId="28340" applyNumberFormat="1" applyFont="1" applyFill="1" applyBorder="1" applyAlignment="1">
      <alignment horizontal="right" vertical="center"/>
    </xf>
    <xf numFmtId="165" fontId="136" fillId="0" borderId="0" xfId="28341" applyFont="1" applyFill="1" applyAlignment="1">
      <alignment horizontal="center"/>
    </xf>
    <xf numFmtId="187" fontId="103" fillId="0" borderId="0" xfId="28340" applyNumberFormat="1" applyFont="1" applyFill="1" applyBorder="1" applyAlignment="1">
      <alignment horizontal="left"/>
    </xf>
    <xf numFmtId="165" fontId="99" fillId="0" borderId="34" xfId="28341" applyFont="1" applyFill="1" applyBorder="1" applyAlignment="1">
      <alignment horizontal="center"/>
    </xf>
    <xf numFmtId="4" fontId="103" fillId="0" borderId="34" xfId="28340" applyNumberFormat="1" applyFont="1" applyFill="1" applyBorder="1" applyAlignment="1">
      <alignment vertical="center"/>
    </xf>
    <xf numFmtId="0" fontId="99" fillId="0" borderId="90" xfId="28340" applyFont="1" applyFill="1" applyBorder="1" applyAlignment="1">
      <alignment horizontal="left"/>
    </xf>
    <xf numFmtId="165" fontId="99" fillId="0" borderId="90" xfId="28341" applyFont="1" applyFill="1" applyBorder="1" applyAlignment="1">
      <alignment horizontal="center"/>
    </xf>
    <xf numFmtId="0" fontId="99" fillId="0" borderId="90" xfId="28340" applyFont="1" applyFill="1" applyBorder="1" applyAlignment="1">
      <alignment horizontal="center"/>
    </xf>
    <xf numFmtId="4" fontId="99" fillId="0" borderId="90" xfId="28340" applyNumberFormat="1" applyFont="1" applyFill="1" applyBorder="1" applyAlignment="1">
      <alignment horizontal="right" vertical="center"/>
    </xf>
    <xf numFmtId="4" fontId="100" fillId="0" borderId="90" xfId="28340" applyNumberFormat="1" applyFont="1" applyFill="1" applyBorder="1" applyAlignment="1">
      <alignment vertical="center"/>
    </xf>
    <xf numFmtId="4" fontId="99" fillId="0" borderId="34" xfId="28340" applyNumberFormat="1" applyFont="1" applyFill="1" applyBorder="1" applyAlignment="1">
      <alignment vertical="center"/>
    </xf>
    <xf numFmtId="184" fontId="103" fillId="0" borderId="11" xfId="28340" applyNumberFormat="1" applyFont="1" applyFill="1" applyBorder="1" applyAlignment="1">
      <alignment horizontal="right" vertical="center"/>
    </xf>
    <xf numFmtId="185" fontId="103" fillId="0" borderId="11" xfId="28340" applyNumberFormat="1" applyFont="1" applyFill="1" applyBorder="1" applyAlignment="1">
      <alignment horizontal="left"/>
    </xf>
    <xf numFmtId="165" fontId="99" fillId="0" borderId="30" xfId="28341" applyFont="1" applyFill="1" applyBorder="1" applyAlignment="1">
      <alignment horizontal="center" vertical="center"/>
    </xf>
    <xf numFmtId="0" fontId="99" fillId="0" borderId="30" xfId="28340" applyFont="1" applyFill="1" applyBorder="1" applyAlignment="1">
      <alignment horizontal="center" vertical="center"/>
    </xf>
    <xf numFmtId="4" fontId="99" fillId="0" borderId="30" xfId="28340" applyNumberFormat="1" applyFont="1" applyFill="1" applyBorder="1" applyAlignment="1">
      <alignment horizontal="right" vertical="center"/>
    </xf>
    <xf numFmtId="4" fontId="103" fillId="0" borderId="30" xfId="28340" applyNumberFormat="1" applyFont="1" applyFill="1" applyBorder="1" applyAlignment="1">
      <alignment vertical="center"/>
    </xf>
    <xf numFmtId="184" fontId="103" fillId="0" borderId="0" xfId="28340" applyNumberFormat="1" applyFont="1" applyFill="1" applyBorder="1" applyAlignment="1">
      <alignment horizontal="right" vertical="center"/>
    </xf>
    <xf numFmtId="185" fontId="103" fillId="0" borderId="0" xfId="28340" applyNumberFormat="1" applyFont="1" applyFill="1" applyBorder="1" applyAlignment="1">
      <alignment horizontal="left"/>
    </xf>
    <xf numFmtId="184" fontId="106" fillId="0" borderId="59" xfId="28340" applyNumberFormat="1" applyFont="1" applyFill="1" applyBorder="1" applyAlignment="1">
      <alignment horizontal="center" vertical="center"/>
    </xf>
    <xf numFmtId="0" fontId="106" fillId="0" borderId="61" xfId="28340" applyNumberFormat="1" applyFont="1" applyFill="1" applyBorder="1" applyAlignment="1">
      <alignment horizontal="center" vertical="center"/>
    </xf>
    <xf numFmtId="165" fontId="99" fillId="0" borderId="90" xfId="28341" applyFont="1" applyFill="1" applyBorder="1" applyAlignment="1">
      <alignment horizontal="center" vertical="center"/>
    </xf>
    <xf numFmtId="0" fontId="99" fillId="0" borderId="90" xfId="28340" applyFont="1" applyFill="1" applyBorder="1" applyAlignment="1">
      <alignment horizontal="center" vertical="center"/>
    </xf>
    <xf numFmtId="4" fontId="103" fillId="0" borderId="90" xfId="28340" applyNumberFormat="1" applyFont="1" applyFill="1" applyBorder="1" applyAlignment="1">
      <alignment vertical="center"/>
    </xf>
    <xf numFmtId="0" fontId="108" fillId="0" borderId="11" xfId="28340" applyNumberFormat="1" applyFont="1" applyFill="1" applyBorder="1" applyAlignment="1">
      <alignment horizontal="center" vertical="center"/>
    </xf>
    <xf numFmtId="0" fontId="106" fillId="0" borderId="0" xfId="28340" applyNumberFormat="1" applyFont="1" applyFill="1" applyBorder="1" applyAlignment="1">
      <alignment horizontal="center" vertical="center"/>
    </xf>
    <xf numFmtId="0" fontId="106" fillId="0" borderId="47" xfId="28340" applyNumberFormat="1" applyFont="1" applyFill="1" applyBorder="1" applyAlignment="1">
      <alignment horizontal="center" vertical="center"/>
    </xf>
    <xf numFmtId="0" fontId="107" fillId="0" borderId="0" xfId="28340" applyNumberFormat="1" applyFont="1" applyFill="1" applyBorder="1" applyAlignment="1">
      <alignment horizontal="left" vertical="center"/>
    </xf>
    <xf numFmtId="0" fontId="107" fillId="0" borderId="0" xfId="28340" applyNumberFormat="1" applyFont="1" applyFill="1" applyBorder="1" applyAlignment="1">
      <alignment horizontal="center" vertical="center"/>
    </xf>
    <xf numFmtId="0" fontId="107" fillId="0" borderId="47" xfId="28340" applyNumberFormat="1" applyFont="1" applyFill="1" applyBorder="1" applyAlignment="1">
      <alignment horizontal="center" vertical="center"/>
    </xf>
    <xf numFmtId="170" fontId="99" fillId="36" borderId="34" xfId="28341" applyNumberFormat="1" applyFont="1" applyFill="1" applyBorder="1" applyAlignment="1">
      <alignment horizontal="center"/>
    </xf>
    <xf numFmtId="0" fontId="99" fillId="36" borderId="36" xfId="28340" applyFont="1" applyFill="1" applyBorder="1" applyAlignment="1">
      <alignment horizontal="center"/>
    </xf>
    <xf numFmtId="0" fontId="99" fillId="36" borderId="0" xfId="28340" applyFont="1" applyFill="1" applyBorder="1" applyAlignment="1">
      <alignment horizontal="center"/>
    </xf>
    <xf numFmtId="0" fontId="99" fillId="36" borderId="47" xfId="28340" applyFont="1" applyFill="1" applyBorder="1" applyAlignment="1">
      <alignment horizontal="center"/>
    </xf>
    <xf numFmtId="4" fontId="99" fillId="36" borderId="34" xfId="28340" applyNumberFormat="1" applyFont="1" applyFill="1" applyBorder="1" applyAlignment="1">
      <alignment horizontal="right" vertical="center"/>
    </xf>
    <xf numFmtId="4" fontId="103" fillId="36" borderId="34" xfId="28340" applyNumberFormat="1" applyFont="1" applyFill="1" applyBorder="1" applyAlignment="1">
      <alignment horizontal="right" vertical="center"/>
    </xf>
    <xf numFmtId="170" fontId="99" fillId="2" borderId="34" xfId="28341" applyNumberFormat="1" applyFont="1" applyFill="1" applyBorder="1" applyAlignment="1">
      <alignment horizontal="center"/>
    </xf>
    <xf numFmtId="0" fontId="99" fillId="2" borderId="36" xfId="28340" applyFont="1" applyFill="1" applyBorder="1" applyAlignment="1">
      <alignment horizontal="center"/>
    </xf>
    <xf numFmtId="0" fontId="99" fillId="2" borderId="0" xfId="28340" applyFont="1" applyFill="1" applyBorder="1" applyAlignment="1">
      <alignment horizontal="center"/>
    </xf>
    <xf numFmtId="0" fontId="99" fillId="2" borderId="47" xfId="28340" applyFont="1" applyFill="1" applyBorder="1" applyAlignment="1">
      <alignment horizontal="center"/>
    </xf>
    <xf numFmtId="4" fontId="99" fillId="2" borderId="34" xfId="28340" applyNumberFormat="1" applyFont="1" applyFill="1" applyBorder="1" applyAlignment="1">
      <alignment horizontal="right" vertical="center"/>
    </xf>
    <xf numFmtId="4" fontId="103" fillId="2" borderId="34" xfId="28340" applyNumberFormat="1" applyFont="1" applyFill="1" applyBorder="1" applyAlignment="1">
      <alignment horizontal="right" vertical="center"/>
    </xf>
    <xf numFmtId="170" fontId="99" fillId="31" borderId="30" xfId="28341" applyNumberFormat="1" applyFont="1" applyFill="1" applyBorder="1" applyAlignment="1">
      <alignment horizontal="center"/>
    </xf>
    <xf numFmtId="0" fontId="99" fillId="31" borderId="12" xfId="28340" applyFont="1" applyFill="1" applyBorder="1" applyAlignment="1">
      <alignment horizontal="center"/>
    </xf>
    <xf numFmtId="0" fontId="99" fillId="31" borderId="11" xfId="28340" applyFont="1" applyFill="1" applyBorder="1" applyAlignment="1">
      <alignment horizontal="center"/>
    </xf>
    <xf numFmtId="0" fontId="99" fillId="31" borderId="13" xfId="28340" applyFont="1" applyFill="1" applyBorder="1" applyAlignment="1">
      <alignment horizontal="center"/>
    </xf>
    <xf numFmtId="4" fontId="99" fillId="31" borderId="30" xfId="28340" applyNumberFormat="1" applyFont="1" applyFill="1" applyBorder="1" applyAlignment="1">
      <alignment horizontal="right" vertical="center"/>
    </xf>
    <xf numFmtId="4" fontId="103" fillId="31" borderId="30" xfId="28340" applyNumberFormat="1" applyFont="1" applyFill="1" applyBorder="1" applyAlignment="1">
      <alignment horizontal="right" vertical="center"/>
    </xf>
    <xf numFmtId="0" fontId="103" fillId="2" borderId="0" xfId="28340" applyFont="1" applyFill="1" applyBorder="1" applyAlignment="1">
      <alignment horizontal="left" vertical="top" wrapText="1"/>
    </xf>
    <xf numFmtId="0" fontId="103" fillId="2" borderId="47" xfId="28340" applyFont="1" applyFill="1" applyBorder="1" applyAlignment="1">
      <alignment horizontal="left" vertical="top" wrapText="1"/>
    </xf>
    <xf numFmtId="170" fontId="99" fillId="2" borderId="34" xfId="28341" applyNumberFormat="1" applyFont="1" applyFill="1" applyBorder="1" applyAlignment="1">
      <alignment horizontal="center" vertical="top"/>
    </xf>
    <xf numFmtId="0" fontId="99" fillId="2" borderId="36" xfId="28340" applyFont="1" applyFill="1" applyBorder="1" applyAlignment="1">
      <alignment horizontal="center" vertical="top"/>
    </xf>
    <xf numFmtId="0" fontId="99" fillId="2" borderId="0" xfId="28340" applyFont="1" applyFill="1" applyBorder="1" applyAlignment="1">
      <alignment horizontal="center" vertical="top"/>
    </xf>
    <xf numFmtId="0" fontId="99" fillId="2" borderId="47" xfId="28340" applyFont="1" applyFill="1" applyBorder="1" applyAlignment="1">
      <alignment horizontal="center" vertical="top"/>
    </xf>
    <xf numFmtId="4" fontId="99" fillId="2" borderId="34" xfId="28340" applyNumberFormat="1" applyFont="1" applyFill="1" applyBorder="1" applyAlignment="1">
      <alignment horizontal="right" vertical="top"/>
    </xf>
    <xf numFmtId="4" fontId="103" fillId="2" borderId="34" xfId="28340" applyNumberFormat="1" applyFont="1" applyFill="1" applyBorder="1" applyAlignment="1">
      <alignment horizontal="right" vertical="top"/>
    </xf>
    <xf numFmtId="0" fontId="99" fillId="2" borderId="34" xfId="28340" applyFont="1" applyFill="1" applyBorder="1" applyAlignment="1">
      <alignment horizontal="center"/>
    </xf>
    <xf numFmtId="4" fontId="99" fillId="2" borderId="36" xfId="28340" applyNumberFormat="1" applyFont="1" applyFill="1" applyBorder="1" applyAlignment="1">
      <alignment horizontal="center" vertical="center"/>
    </xf>
    <xf numFmtId="4" fontId="99" fillId="2" borderId="0" xfId="28340" applyNumberFormat="1" applyFont="1" applyFill="1" applyBorder="1" applyAlignment="1">
      <alignment horizontal="center" vertical="center"/>
    </xf>
    <xf numFmtId="4" fontId="99" fillId="2" borderId="47" xfId="28340" applyNumberFormat="1" applyFont="1" applyFill="1" applyBorder="1" applyAlignment="1">
      <alignment horizontal="center" vertical="center"/>
    </xf>
    <xf numFmtId="170" fontId="99" fillId="0" borderId="90" xfId="28341" applyNumberFormat="1" applyFont="1" applyFill="1" applyBorder="1" applyAlignment="1">
      <alignment horizontal="center"/>
    </xf>
    <xf numFmtId="0" fontId="99" fillId="0" borderId="92" xfId="28340" applyFont="1" applyFill="1" applyBorder="1" applyAlignment="1">
      <alignment horizontal="center"/>
    </xf>
    <xf numFmtId="0" fontId="99" fillId="0" borderId="59" xfId="28340" applyFont="1" applyFill="1" applyBorder="1" applyAlignment="1">
      <alignment horizontal="center"/>
    </xf>
    <xf numFmtId="0" fontId="99" fillId="0" borderId="61" xfId="28340" applyFont="1" applyFill="1" applyBorder="1" applyAlignment="1">
      <alignment horizontal="center"/>
    </xf>
    <xf numFmtId="4" fontId="99" fillId="0" borderId="92" xfId="28340" applyNumberFormat="1" applyFont="1" applyFill="1" applyBorder="1" applyAlignment="1">
      <alignment horizontal="center" vertical="center"/>
    </xf>
    <xf numFmtId="4" fontId="99" fillId="0" borderId="59" xfId="28340" applyNumberFormat="1" applyFont="1" applyFill="1" applyBorder="1" applyAlignment="1">
      <alignment horizontal="center" vertical="center"/>
    </xf>
    <xf numFmtId="4" fontId="99" fillId="0" borderId="61" xfId="28340" applyNumberFormat="1" applyFont="1" applyFill="1" applyBorder="1" applyAlignment="1">
      <alignment horizontal="center" vertical="center"/>
    </xf>
    <xf numFmtId="4" fontId="100" fillId="0" borderId="34" xfId="28340" applyNumberFormat="1" applyFont="1" applyFill="1" applyBorder="1" applyAlignment="1">
      <alignment horizontal="right" vertical="center"/>
    </xf>
    <xf numFmtId="165" fontId="99" fillId="0" borderId="0" xfId="28341" applyFont="1" applyFill="1" applyAlignment="1">
      <alignment horizontal="center"/>
    </xf>
    <xf numFmtId="0" fontId="100" fillId="0" borderId="67" xfId="28340" applyFont="1" applyFill="1" applyBorder="1" applyAlignment="1">
      <alignment horizontal="left"/>
    </xf>
    <xf numFmtId="170" fontId="99" fillId="0" borderId="67" xfId="28340" applyNumberFormat="1" applyFont="1" applyFill="1" applyBorder="1" applyAlignment="1">
      <alignment horizontal="center"/>
    </xf>
    <xf numFmtId="0" fontId="99" fillId="0" borderId="67" xfId="28340" applyFont="1" applyFill="1" applyBorder="1" applyAlignment="1">
      <alignment horizontal="center"/>
    </xf>
    <xf numFmtId="4" fontId="99" fillId="0" borderId="67" xfId="28340" applyNumberFormat="1" applyFont="1" applyFill="1" applyBorder="1" applyAlignment="1">
      <alignment horizontal="right" vertical="center"/>
    </xf>
    <xf numFmtId="170" fontId="99" fillId="0" borderId="30" xfId="28341" applyNumberFormat="1" applyFont="1" applyFill="1" applyBorder="1" applyAlignment="1">
      <alignment horizontal="center"/>
    </xf>
    <xf numFmtId="0" fontId="99" fillId="0" borderId="30" xfId="28340" applyFont="1" applyFill="1" applyBorder="1" applyAlignment="1">
      <alignment horizontal="center"/>
    </xf>
    <xf numFmtId="4" fontId="103" fillId="0" borderId="30" xfId="28340" applyNumberFormat="1" applyFont="1" applyFill="1" applyBorder="1" applyAlignment="1">
      <alignment horizontal="right" vertical="center"/>
    </xf>
    <xf numFmtId="184" fontId="103" fillId="0" borderId="0" xfId="28340" applyNumberFormat="1" applyFont="1" applyFill="1" applyBorder="1" applyAlignment="1">
      <alignment horizontal="center"/>
    </xf>
    <xf numFmtId="185" fontId="103" fillId="0" borderId="0" xfId="28340" applyNumberFormat="1" applyFont="1" applyFill="1" applyBorder="1" applyAlignment="1">
      <alignment horizontal="center"/>
    </xf>
    <xf numFmtId="185" fontId="103" fillId="0" borderId="47" xfId="28340" applyNumberFormat="1" applyFont="1" applyFill="1" applyBorder="1" applyAlignment="1">
      <alignment horizontal="center"/>
    </xf>
    <xf numFmtId="4" fontId="99" fillId="0" borderId="12" xfId="28340" applyNumberFormat="1" applyFont="1" applyFill="1" applyBorder="1" applyAlignment="1">
      <alignment horizontal="right" vertical="center"/>
    </xf>
    <xf numFmtId="4" fontId="99" fillId="0" borderId="11" xfId="28340" applyNumberFormat="1" applyFont="1" applyFill="1" applyBorder="1" applyAlignment="1">
      <alignment horizontal="right" vertical="center"/>
    </xf>
    <xf numFmtId="4" fontId="99" fillId="0" borderId="13" xfId="28340" applyNumberFormat="1" applyFont="1" applyFill="1" applyBorder="1" applyAlignment="1">
      <alignment horizontal="right" vertical="center"/>
    </xf>
    <xf numFmtId="184" fontId="106" fillId="2" borderId="11" xfId="28340" applyNumberFormat="1" applyFont="1" applyFill="1" applyBorder="1" applyAlignment="1">
      <alignment horizontal="center"/>
    </xf>
    <xf numFmtId="0" fontId="106" fillId="2" borderId="11" xfId="28340" applyNumberFormat="1" applyFont="1" applyFill="1" applyBorder="1" applyAlignment="1">
      <alignment horizontal="center"/>
    </xf>
    <xf numFmtId="170" fontId="99" fillId="2" borderId="30" xfId="28341" applyNumberFormat="1" applyFont="1" applyFill="1" applyBorder="1" applyAlignment="1">
      <alignment horizontal="center"/>
    </xf>
    <xf numFmtId="0" fontId="99" fillId="2" borderId="30" xfId="28340" applyFont="1" applyFill="1" applyBorder="1" applyAlignment="1">
      <alignment horizontal="center"/>
    </xf>
    <xf numFmtId="4" fontId="99" fillId="2" borderId="30" xfId="28340" applyNumberFormat="1" applyFont="1" applyFill="1" applyBorder="1" applyAlignment="1">
      <alignment horizontal="right" vertical="center"/>
    </xf>
    <xf numFmtId="4" fontId="103" fillId="2" borderId="30" xfId="28340" applyNumberFormat="1" applyFont="1" applyFill="1" applyBorder="1" applyAlignment="1">
      <alignment horizontal="right" vertical="center"/>
    </xf>
    <xf numFmtId="184" fontId="104" fillId="2" borderId="11" xfId="28340" applyNumberFormat="1" applyFont="1" applyFill="1" applyBorder="1" applyAlignment="1">
      <alignment horizontal="center"/>
    </xf>
    <xf numFmtId="4" fontId="99" fillId="2" borderId="12" xfId="28340" applyNumberFormat="1" applyFont="1" applyFill="1" applyBorder="1" applyAlignment="1">
      <alignment horizontal="right" vertical="center"/>
    </xf>
    <xf numFmtId="4" fontId="99" fillId="2" borderId="11" xfId="28340" applyNumberFormat="1" applyFont="1" applyFill="1" applyBorder="1" applyAlignment="1">
      <alignment horizontal="right" vertical="center"/>
    </xf>
    <xf numFmtId="4" fontId="99" fillId="2" borderId="13" xfId="28340" applyNumberFormat="1" applyFont="1" applyFill="1" applyBorder="1" applyAlignment="1">
      <alignment horizontal="right" vertical="center"/>
    </xf>
    <xf numFmtId="4" fontId="103" fillId="2" borderId="12" xfId="28340" applyNumberFormat="1" applyFont="1" applyFill="1" applyBorder="1" applyAlignment="1">
      <alignment horizontal="right" vertical="center"/>
    </xf>
    <xf numFmtId="4" fontId="103" fillId="2" borderId="11" xfId="28340" applyNumberFormat="1" applyFont="1" applyFill="1" applyBorder="1" applyAlignment="1">
      <alignment horizontal="right" vertical="center"/>
    </xf>
    <xf numFmtId="4" fontId="103" fillId="2" borderId="13" xfId="28340" applyNumberFormat="1" applyFont="1" applyFill="1" applyBorder="1" applyAlignment="1">
      <alignment horizontal="right" vertical="center"/>
    </xf>
    <xf numFmtId="4" fontId="99" fillId="0" borderId="92" xfId="28340" applyNumberFormat="1" applyFont="1" applyFill="1" applyBorder="1" applyAlignment="1">
      <alignment horizontal="right" vertical="center"/>
    </xf>
    <xf numFmtId="4" fontId="99" fillId="0" borderId="59" xfId="28340" applyNumberFormat="1" applyFont="1" applyFill="1" applyBorder="1" applyAlignment="1">
      <alignment horizontal="right" vertical="center"/>
    </xf>
    <xf numFmtId="4" fontId="99" fillId="0" borderId="61" xfId="28340" applyNumberFormat="1" applyFont="1" applyFill="1" applyBorder="1" applyAlignment="1">
      <alignment horizontal="right" vertical="center"/>
    </xf>
    <xf numFmtId="0" fontId="100" fillId="0" borderId="30" xfId="28340" applyFont="1" applyFill="1" applyBorder="1" applyAlignment="1">
      <alignment horizontal="left"/>
    </xf>
    <xf numFmtId="4" fontId="100" fillId="0" borderId="30" xfId="28340" applyNumberFormat="1" applyFont="1" applyFill="1" applyBorder="1" applyAlignment="1">
      <alignment horizontal="right"/>
    </xf>
    <xf numFmtId="0" fontId="100" fillId="0" borderId="30" xfId="28340" applyFont="1" applyFill="1" applyBorder="1" applyAlignment="1">
      <alignment horizontal="right"/>
    </xf>
    <xf numFmtId="4" fontId="100" fillId="0" borderId="67" xfId="28340" applyNumberFormat="1" applyFont="1" applyFill="1" applyBorder="1" applyAlignment="1">
      <alignment horizontal="right"/>
    </xf>
    <xf numFmtId="0" fontId="100" fillId="0" borderId="67" xfId="28340" applyFont="1" applyFill="1" applyBorder="1" applyAlignment="1">
      <alignment horizontal="right"/>
    </xf>
    <xf numFmtId="0" fontId="100" fillId="0" borderId="34" xfId="28340" applyFont="1" applyFill="1" applyBorder="1" applyAlignment="1">
      <alignment horizontal="left"/>
    </xf>
    <xf numFmtId="4" fontId="100" fillId="0" borderId="34" xfId="28340" applyNumberFormat="1" applyFont="1" applyFill="1" applyBorder="1" applyAlignment="1">
      <alignment horizontal="right"/>
    </xf>
    <xf numFmtId="0" fontId="100" fillId="0" borderId="34" xfId="28340" applyFont="1" applyFill="1" applyBorder="1" applyAlignment="1">
      <alignment horizontal="right"/>
    </xf>
    <xf numFmtId="0" fontId="100" fillId="0" borderId="90" xfId="28340" applyFont="1" applyFill="1" applyBorder="1" applyAlignment="1">
      <alignment horizontal="left"/>
    </xf>
    <xf numFmtId="4" fontId="100" fillId="0" borderId="90" xfId="28340" applyNumberFormat="1" applyFont="1" applyFill="1" applyBorder="1" applyAlignment="1">
      <alignment horizontal="right"/>
    </xf>
    <xf numFmtId="0" fontId="100" fillId="0" borderId="90" xfId="28340" applyFont="1" applyFill="1" applyBorder="1" applyAlignment="1">
      <alignment horizontal="right"/>
    </xf>
    <xf numFmtId="0" fontId="101" fillId="0" borderId="67" xfId="28340" applyFont="1" applyFill="1" applyBorder="1" applyAlignment="1">
      <alignment horizontal="center"/>
    </xf>
    <xf numFmtId="0" fontId="96" fillId="0" borderId="12" xfId="28340" applyFont="1" applyFill="1" applyBorder="1" applyAlignment="1">
      <alignment horizontal="center"/>
    </xf>
    <xf numFmtId="0" fontId="96" fillId="0" borderId="11" xfId="28340" applyFont="1" applyFill="1" applyBorder="1" applyAlignment="1">
      <alignment horizontal="center"/>
    </xf>
    <xf numFmtId="0" fontId="96" fillId="0" borderId="13" xfId="28340" applyFont="1" applyFill="1" applyBorder="1" applyAlignment="1">
      <alignment horizontal="center"/>
    </xf>
    <xf numFmtId="0" fontId="13" fillId="0" borderId="85" xfId="28340" applyFont="1" applyFill="1" applyBorder="1" applyAlignment="1">
      <alignment horizontal="center" vertical="center"/>
    </xf>
    <xf numFmtId="0" fontId="13" fillId="0" borderId="79" xfId="28340" applyFont="1" applyFill="1" applyBorder="1" applyAlignment="1">
      <alignment horizontal="center" vertical="center"/>
    </xf>
    <xf numFmtId="0" fontId="13" fillId="0" borderId="86" xfId="28340" applyFont="1" applyFill="1" applyBorder="1" applyAlignment="1">
      <alignment horizontal="center" vertical="center"/>
    </xf>
    <xf numFmtId="0" fontId="100" fillId="0" borderId="92" xfId="28340" applyFont="1" applyFill="1" applyBorder="1" applyAlignment="1">
      <alignment horizontal="center" vertical="center" wrapText="1"/>
    </xf>
    <xf numFmtId="0" fontId="100" fillId="0" borderId="12" xfId="28340" applyFont="1" applyFill="1" applyBorder="1" applyAlignment="1">
      <alignment horizontal="center" vertical="center" wrapText="1"/>
    </xf>
    <xf numFmtId="0" fontId="100" fillId="0" borderId="67" xfId="28340" applyFont="1" applyFill="1" applyBorder="1" applyAlignment="1">
      <alignment horizontal="center" vertical="center"/>
    </xf>
    <xf numFmtId="0" fontId="100" fillId="0" borderId="85" xfId="28340" applyFont="1" applyFill="1" applyBorder="1" applyAlignment="1">
      <alignment horizontal="center"/>
    </xf>
    <xf numFmtId="0" fontId="100" fillId="0" borderId="79" xfId="28340" applyFont="1" applyFill="1" applyBorder="1" applyAlignment="1">
      <alignment horizontal="center"/>
    </xf>
    <xf numFmtId="0" fontId="100" fillId="0" borderId="92" xfId="28340" applyFont="1" applyFill="1" applyBorder="1" applyAlignment="1">
      <alignment horizontal="center" vertical="center"/>
    </xf>
    <xf numFmtId="0" fontId="100" fillId="0" borderId="59" xfId="28340" applyFont="1" applyFill="1" applyBorder="1" applyAlignment="1">
      <alignment horizontal="center" vertical="center"/>
    </xf>
    <xf numFmtId="0" fontId="100" fillId="0" borderId="61" xfId="28340" applyFont="1" applyFill="1" applyBorder="1" applyAlignment="1">
      <alignment horizontal="center" vertical="center"/>
    </xf>
    <xf numFmtId="0" fontId="100" fillId="0" borderId="12" xfId="28340" applyFont="1" applyFill="1" applyBorder="1" applyAlignment="1">
      <alignment horizontal="center" vertical="center"/>
    </xf>
    <xf numFmtId="0" fontId="100" fillId="0" borderId="11" xfId="28340" applyFont="1" applyFill="1" applyBorder="1" applyAlignment="1">
      <alignment horizontal="center" vertical="center"/>
    </xf>
    <xf numFmtId="0" fontId="100" fillId="0" borderId="13" xfId="28340" applyFont="1" applyFill="1" applyBorder="1" applyAlignment="1">
      <alignment horizontal="center" vertical="center"/>
    </xf>
    <xf numFmtId="0" fontId="100" fillId="0" borderId="67" xfId="28340" applyFont="1" applyFill="1" applyBorder="1" applyAlignment="1">
      <alignment horizontal="center"/>
    </xf>
    <xf numFmtId="0" fontId="96" fillId="0" borderId="92" xfId="28340" applyFont="1" applyFill="1" applyBorder="1" applyAlignment="1">
      <alignment horizontal="center"/>
    </xf>
    <xf numFmtId="0" fontId="96" fillId="0" borderId="59" xfId="28340" applyFont="1" applyFill="1" applyBorder="1" applyAlignment="1">
      <alignment horizontal="center"/>
    </xf>
    <xf numFmtId="0" fontId="97" fillId="0" borderId="92" xfId="28340" applyFont="1" applyFill="1" applyBorder="1" applyAlignment="1">
      <alignment horizontal="center" vertical="center"/>
    </xf>
    <xf numFmtId="0" fontId="97" fillId="0" borderId="59" xfId="28340" applyFont="1" applyFill="1" applyBorder="1" applyAlignment="1">
      <alignment horizontal="center" vertical="center"/>
    </xf>
    <xf numFmtId="0" fontId="97" fillId="0" borderId="61" xfId="28340" applyFont="1" applyFill="1" applyBorder="1" applyAlignment="1">
      <alignment horizontal="center" vertical="center"/>
    </xf>
    <xf numFmtId="0" fontId="97" fillId="0" borderId="12" xfId="28340" applyFont="1" applyFill="1" applyBorder="1" applyAlignment="1">
      <alignment horizontal="center" vertical="center"/>
    </xf>
    <xf numFmtId="0" fontId="97" fillId="0" borderId="11" xfId="28340" applyFont="1" applyFill="1" applyBorder="1" applyAlignment="1">
      <alignment horizontal="center" vertical="center"/>
    </xf>
    <xf numFmtId="0" fontId="97" fillId="0" borderId="13" xfId="28340" applyFont="1" applyFill="1" applyBorder="1" applyAlignment="1">
      <alignment horizontal="center" vertical="center"/>
    </xf>
    <xf numFmtId="165" fontId="99" fillId="0" borderId="0" xfId="28341" applyFont="1" applyFill="1" applyAlignment="1">
      <alignment horizontal="left"/>
    </xf>
    <xf numFmtId="0" fontId="98" fillId="0" borderId="92" xfId="28340" applyFont="1" applyFill="1" applyBorder="1" applyAlignment="1">
      <alignment horizontal="center"/>
    </xf>
    <xf numFmtId="0" fontId="98" fillId="0" borderId="59" xfId="28340" applyFont="1" applyFill="1" applyBorder="1" applyAlignment="1">
      <alignment horizontal="center"/>
    </xf>
    <xf numFmtId="0" fontId="98" fillId="0" borderId="61" xfId="28340" applyFont="1" applyFill="1" applyBorder="1" applyAlignment="1">
      <alignment horizontal="center"/>
    </xf>
    <xf numFmtId="166" fontId="99" fillId="0" borderId="36" xfId="1" applyFont="1" applyFill="1" applyBorder="1" applyAlignment="1">
      <alignment horizontal="center" vertical="top"/>
    </xf>
    <xf numFmtId="166" fontId="99" fillId="0" borderId="0" xfId="1" applyFont="1" applyFill="1" applyAlignment="1">
      <alignment horizontal="center" vertical="top"/>
    </xf>
    <xf numFmtId="0" fontId="99" fillId="0" borderId="12" xfId="28340" applyFont="1" applyFill="1" applyBorder="1" applyAlignment="1">
      <alignment horizontal="center"/>
    </xf>
    <xf numFmtId="0" fontId="99" fillId="0" borderId="11" xfId="28340" applyFont="1" applyFill="1" applyBorder="1" applyAlignment="1">
      <alignment horizontal="center"/>
    </xf>
    <xf numFmtId="0" fontId="99" fillId="0" borderId="13" xfId="28340" applyFont="1" applyFill="1" applyBorder="1" applyAlignment="1">
      <alignment horizontal="center"/>
    </xf>
    <xf numFmtId="0" fontId="99" fillId="0" borderId="36" xfId="28340" applyFont="1" applyFill="1" applyBorder="1" applyAlignment="1">
      <alignment horizontal="center"/>
    </xf>
    <xf numFmtId="0" fontId="99" fillId="0" borderId="0" xfId="28340" applyFont="1" applyFill="1" applyBorder="1" applyAlignment="1">
      <alignment horizontal="center"/>
    </xf>
    <xf numFmtId="0" fontId="99" fillId="0" borderId="47" xfId="28340" applyFont="1" applyFill="1" applyBorder="1" applyAlignment="1">
      <alignment horizontal="center"/>
    </xf>
    <xf numFmtId="0" fontId="103" fillId="0" borderId="0" xfId="28340" applyFont="1" applyFill="1" applyBorder="1" applyAlignment="1">
      <alignment horizontal="left" vertical="top" wrapText="1"/>
    </xf>
    <xf numFmtId="0" fontId="103" fillId="0" borderId="47" xfId="28340" applyFont="1" applyFill="1" applyBorder="1" applyAlignment="1">
      <alignment horizontal="left" vertical="top" wrapText="1"/>
    </xf>
    <xf numFmtId="170" fontId="99" fillId="0" borderId="34" xfId="28341" applyNumberFormat="1" applyFont="1" applyFill="1" applyBorder="1" applyAlignment="1">
      <alignment horizontal="center" vertical="top"/>
    </xf>
    <xf numFmtId="0" fontId="99" fillId="0" borderId="36" xfId="28340" applyFont="1" applyFill="1" applyBorder="1" applyAlignment="1">
      <alignment horizontal="center" vertical="top"/>
    </xf>
    <xf numFmtId="0" fontId="99" fillId="0" borderId="0" xfId="28340" applyFont="1" applyFill="1" applyBorder="1" applyAlignment="1">
      <alignment horizontal="center" vertical="top"/>
    </xf>
    <xf numFmtId="0" fontId="99" fillId="0" borderId="47" xfId="28340" applyFont="1" applyFill="1" applyBorder="1" applyAlignment="1">
      <alignment horizontal="center" vertical="top"/>
    </xf>
    <xf numFmtId="4" fontId="99" fillId="0" borderId="34" xfId="28340" applyNumberFormat="1" applyFont="1" applyFill="1" applyBorder="1" applyAlignment="1">
      <alignment horizontal="right" vertical="top"/>
    </xf>
    <xf numFmtId="4" fontId="103" fillId="0" borderId="34" xfId="28340" applyNumberFormat="1" applyFont="1" applyFill="1" applyBorder="1" applyAlignment="1">
      <alignment horizontal="right" vertical="top"/>
    </xf>
    <xf numFmtId="4" fontId="99" fillId="0" borderId="36" xfId="28340" applyNumberFormat="1" applyFont="1" applyFill="1" applyBorder="1" applyAlignment="1">
      <alignment horizontal="center" vertical="center"/>
    </xf>
    <xf numFmtId="4" fontId="99" fillId="0" borderId="0" xfId="28340" applyNumberFormat="1" applyFont="1" applyFill="1" applyBorder="1" applyAlignment="1">
      <alignment horizontal="center" vertical="center"/>
    </xf>
    <xf numFmtId="4" fontId="99" fillId="0" borderId="47" xfId="28340" applyNumberFormat="1" applyFont="1" applyFill="1" applyBorder="1" applyAlignment="1">
      <alignment horizontal="center" vertical="center"/>
    </xf>
    <xf numFmtId="184" fontId="106" fillId="0" borderId="11" xfId="28340" applyNumberFormat="1" applyFont="1" applyFill="1" applyBorder="1" applyAlignment="1">
      <alignment horizontal="center"/>
    </xf>
    <xf numFmtId="0" fontId="106" fillId="0" borderId="11" xfId="28340" applyNumberFormat="1" applyFont="1" applyFill="1" applyBorder="1" applyAlignment="1">
      <alignment horizontal="center"/>
    </xf>
    <xf numFmtId="184" fontId="104" fillId="0" borderId="11" xfId="28340" applyNumberFormat="1" applyFont="1" applyFill="1" applyBorder="1" applyAlignment="1">
      <alignment horizontal="center"/>
    </xf>
    <xf numFmtId="4" fontId="103" fillId="0" borderId="12" xfId="28340" applyNumberFormat="1" applyFont="1" applyFill="1" applyBorder="1" applyAlignment="1">
      <alignment horizontal="right" vertical="center"/>
    </xf>
    <xf numFmtId="4" fontId="103" fillId="0" borderId="11" xfId="28340" applyNumberFormat="1" applyFont="1" applyFill="1" applyBorder="1" applyAlignment="1">
      <alignment horizontal="right" vertical="center"/>
    </xf>
    <xf numFmtId="4" fontId="103" fillId="0" borderId="13" xfId="28340" applyNumberFormat="1" applyFont="1" applyFill="1" applyBorder="1" applyAlignment="1">
      <alignment horizontal="right" vertical="center"/>
    </xf>
    <xf numFmtId="0" fontId="13" fillId="0" borderId="38" xfId="0" applyFont="1" applyFill="1" applyBorder="1" applyAlignment="1">
      <alignment horizontal="center" wrapText="1"/>
    </xf>
    <xf numFmtId="0" fontId="13" fillId="0" borderId="39" xfId="0" applyFont="1" applyFill="1" applyBorder="1" applyAlignment="1">
      <alignment horizontal="center" wrapText="1"/>
    </xf>
    <xf numFmtId="0" fontId="13" fillId="0" borderId="33" xfId="0" applyFont="1" applyFill="1" applyBorder="1" applyAlignment="1">
      <alignment horizont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wrapText="1"/>
    </xf>
    <xf numFmtId="0" fontId="13" fillId="0" borderId="14" xfId="0" applyFont="1" applyFill="1" applyBorder="1" applyAlignment="1">
      <alignment horizontal="center" wrapText="1"/>
    </xf>
    <xf numFmtId="0" fontId="13" fillId="0" borderId="15" xfId="0" applyFont="1" applyFill="1" applyBorder="1" applyAlignment="1">
      <alignment horizontal="center" wrapText="1"/>
    </xf>
    <xf numFmtId="0" fontId="13" fillId="0" borderId="17" xfId="0" applyFont="1" applyFill="1" applyBorder="1" applyAlignment="1">
      <alignment horizontal="center" vertical="center"/>
    </xf>
    <xf numFmtId="0" fontId="13" fillId="0" borderId="14" xfId="0" applyFont="1" applyFill="1" applyBorder="1"/>
    <xf numFmtId="0" fontId="13" fillId="0" borderId="15" xfId="0" applyFont="1" applyFill="1" applyBorder="1"/>
    <xf numFmtId="0" fontId="13" fillId="0" borderId="17" xfId="0" applyFont="1" applyFill="1" applyBorder="1" applyAlignment="1">
      <alignment horizontal="center" wrapText="1"/>
    </xf>
    <xf numFmtId="0" fontId="13" fillId="0" borderId="18" xfId="0" applyFont="1" applyFill="1" applyBorder="1"/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left"/>
    </xf>
    <xf numFmtId="0" fontId="3" fillId="0" borderId="21" xfId="0" applyFont="1" applyFill="1" applyBorder="1" applyAlignment="1">
      <alignment horizontal="left"/>
    </xf>
    <xf numFmtId="0" fontId="3" fillId="0" borderId="10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left"/>
    </xf>
    <xf numFmtId="0" fontId="15" fillId="0" borderId="4" xfId="0" applyFont="1" applyFill="1" applyBorder="1" applyAlignment="1">
      <alignment horizontal="center" vertical="center"/>
    </xf>
    <xf numFmtId="0" fontId="15" fillId="0" borderId="2" xfId="0" applyFont="1" applyFill="1" applyBorder="1"/>
    <xf numFmtId="0" fontId="15" fillId="0" borderId="1" xfId="0" applyFont="1" applyFill="1" applyBorder="1"/>
    <xf numFmtId="0" fontId="15" fillId="0" borderId="3" xfId="0" applyFont="1" applyFill="1" applyBorder="1"/>
    <xf numFmtId="0" fontId="3" fillId="0" borderId="4" xfId="0" applyFont="1" applyFill="1" applyBorder="1" applyAlignment="1">
      <alignment wrapText="1"/>
    </xf>
    <xf numFmtId="0" fontId="3" fillId="0" borderId="2" xfId="0" applyFont="1" applyFill="1" applyBorder="1"/>
    <xf numFmtId="0" fontId="3" fillId="0" borderId="10" xfId="0" applyFont="1" applyFill="1" applyBorder="1"/>
    <xf numFmtId="0" fontId="3" fillId="0" borderId="11" xfId="0" applyFont="1" applyFill="1" applyBorder="1"/>
    <xf numFmtId="0" fontId="15" fillId="0" borderId="5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0" fontId="15" fillId="0" borderId="6" xfId="0" applyFont="1" applyFill="1" applyBorder="1" applyAlignment="1">
      <alignment vertical="center"/>
    </xf>
    <xf numFmtId="0" fontId="13" fillId="0" borderId="7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1" xfId="0" applyFont="1" applyFill="1" applyBorder="1"/>
    <xf numFmtId="0" fontId="13" fillId="0" borderId="13" xfId="0" applyFont="1" applyFill="1" applyBorder="1"/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165" fontId="5" fillId="0" borderId="0" xfId="12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3" fillId="0" borderId="23" xfId="0" applyFont="1" applyFill="1" applyBorder="1" applyAlignment="1">
      <alignment horizontal="left"/>
    </xf>
    <xf numFmtId="0" fontId="3" fillId="0" borderId="22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23" xfId="0" applyFont="1" applyFill="1" applyBorder="1" applyAlignment="1">
      <alignment horizontal="left"/>
    </xf>
    <xf numFmtId="171" fontId="3" fillId="0" borderId="85" xfId="0" applyNumberFormat="1" applyFont="1" applyFill="1" applyBorder="1" applyAlignment="1">
      <alignment horizontal="left" vertical="center"/>
    </xf>
    <xf numFmtId="171" fontId="3" fillId="0" borderId="79" xfId="0" applyNumberFormat="1" applyFont="1" applyFill="1" applyBorder="1" applyAlignment="1">
      <alignment horizontal="left" vertical="center"/>
    </xf>
    <xf numFmtId="171" fontId="3" fillId="0" borderId="87" xfId="0" applyNumberFormat="1" applyFont="1" applyFill="1" applyBorder="1" applyAlignment="1">
      <alignment horizontal="left" vertical="center"/>
    </xf>
    <xf numFmtId="0" fontId="3" fillId="0" borderId="71" xfId="0" applyFont="1" applyFill="1" applyBorder="1" applyAlignment="1">
      <alignment horizontal="left" vertical="center" wrapText="1"/>
    </xf>
    <xf numFmtId="0" fontId="3" fillId="0" borderId="79" xfId="0" applyFont="1" applyFill="1" applyBorder="1" applyAlignment="1">
      <alignment horizontal="left"/>
    </xf>
    <xf numFmtId="0" fontId="3" fillId="0" borderId="86" xfId="0" applyFont="1" applyFill="1" applyBorder="1" applyAlignment="1">
      <alignment horizontal="left"/>
    </xf>
    <xf numFmtId="0" fontId="3" fillId="0" borderId="85" xfId="0" applyFont="1" applyFill="1" applyBorder="1" applyAlignment="1">
      <alignment horizontal="left" vertical="center" wrapText="1"/>
    </xf>
    <xf numFmtId="0" fontId="3" fillId="0" borderId="79" xfId="0" applyFont="1" applyFill="1" applyBorder="1" applyAlignment="1">
      <alignment horizontal="left" vertical="center" wrapText="1"/>
    </xf>
    <xf numFmtId="9" fontId="3" fillId="0" borderId="85" xfId="0" applyNumberFormat="1" applyFont="1" applyFill="1" applyBorder="1" applyAlignment="1">
      <alignment horizontal="left" vertical="center"/>
    </xf>
    <xf numFmtId="0" fontId="3" fillId="0" borderId="79" xfId="0" applyFont="1" applyFill="1" applyBorder="1" applyAlignment="1">
      <alignment horizontal="left" vertical="center"/>
    </xf>
    <xf numFmtId="0" fontId="3" fillId="0" borderId="87" xfId="0" applyFont="1" applyFill="1" applyBorder="1" applyAlignment="1">
      <alignment horizontal="left" vertical="center"/>
    </xf>
    <xf numFmtId="0" fontId="3" fillId="0" borderId="79" xfId="0" applyFont="1" applyFill="1" applyBorder="1" applyAlignment="1">
      <alignment horizontal="center"/>
    </xf>
    <xf numFmtId="0" fontId="3" fillId="0" borderId="86" xfId="0" applyFont="1" applyFill="1" applyBorder="1" applyAlignment="1">
      <alignment horizontal="center"/>
    </xf>
    <xf numFmtId="0" fontId="13" fillId="0" borderId="71" xfId="0" applyFont="1" applyFill="1" applyBorder="1" applyAlignment="1">
      <alignment horizontal="center" wrapText="1"/>
    </xf>
    <xf numFmtId="0" fontId="13" fillId="0" borderId="79" xfId="0" applyFont="1" applyFill="1" applyBorder="1"/>
    <xf numFmtId="0" fontId="13" fillId="0" borderId="87" xfId="0" applyFont="1" applyFill="1" applyBorder="1"/>
    <xf numFmtId="0" fontId="3" fillId="0" borderId="84" xfId="0" applyFont="1" applyFill="1" applyBorder="1" applyAlignment="1">
      <alignment horizontal="center"/>
    </xf>
    <xf numFmtId="0" fontId="3" fillId="0" borderId="59" xfId="0" applyFont="1" applyFill="1" applyBorder="1" applyAlignment="1">
      <alignment horizontal="center"/>
    </xf>
    <xf numFmtId="0" fontId="3" fillId="0" borderId="59" xfId="0" applyFont="1" applyFill="1" applyBorder="1" applyAlignment="1">
      <alignment horizontal="left"/>
    </xf>
    <xf numFmtId="0" fontId="3" fillId="0" borderId="60" xfId="0" applyFont="1" applyFill="1" applyBorder="1" applyAlignment="1">
      <alignment horizontal="left"/>
    </xf>
    <xf numFmtId="0" fontId="13" fillId="0" borderId="71" xfId="0" applyFont="1" applyFill="1" applyBorder="1" applyAlignment="1">
      <alignment horizontal="center" vertical="center"/>
    </xf>
    <xf numFmtId="0" fontId="13" fillId="0" borderId="86" xfId="0" applyFont="1" applyFill="1" applyBorder="1"/>
    <xf numFmtId="0" fontId="13" fillId="0" borderId="74" xfId="0" applyFont="1" applyFill="1" applyBorder="1" applyAlignment="1">
      <alignment horizontal="center" wrapText="1"/>
    </xf>
    <xf numFmtId="0" fontId="13" fillId="0" borderId="75" xfId="0" applyFont="1" applyFill="1" applyBorder="1" applyAlignment="1">
      <alignment horizontal="center" wrapText="1"/>
    </xf>
    <xf numFmtId="0" fontId="13" fillId="0" borderId="76" xfId="0" applyFont="1" applyFill="1" applyBorder="1" applyAlignment="1">
      <alignment horizontal="center" wrapText="1"/>
    </xf>
    <xf numFmtId="0" fontId="3" fillId="0" borderId="86" xfId="0" applyFont="1" applyFill="1" applyBorder="1" applyAlignment="1">
      <alignment horizontal="left" vertical="center" wrapText="1"/>
    </xf>
    <xf numFmtId="0" fontId="3" fillId="0" borderId="71" xfId="0" applyFont="1" applyFill="1" applyBorder="1" applyAlignment="1">
      <alignment vertical="center" wrapText="1"/>
    </xf>
    <xf numFmtId="0" fontId="3" fillId="0" borderId="79" xfId="0" applyFont="1" applyFill="1" applyBorder="1" applyAlignment="1">
      <alignment vertical="center" wrapText="1"/>
    </xf>
    <xf numFmtId="0" fontId="3" fillId="0" borderId="87" xfId="0" applyFont="1" applyFill="1" applyBorder="1" applyAlignment="1">
      <alignment vertical="center" wrapText="1"/>
    </xf>
    <xf numFmtId="0" fontId="13" fillId="0" borderId="84" xfId="0" applyFont="1" applyFill="1" applyBorder="1" applyAlignment="1">
      <alignment horizontal="center" vertical="center" wrapText="1"/>
    </xf>
    <xf numFmtId="0" fontId="13" fillId="0" borderId="5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92" fillId="0" borderId="0" xfId="0" applyFont="1" applyFill="1" applyBorder="1" applyAlignment="1" applyProtection="1">
      <alignment horizontal="center" vertical="center" wrapText="1"/>
    </xf>
    <xf numFmtId="0" fontId="91" fillId="0" borderId="0" xfId="0" applyFont="1" applyFill="1" applyBorder="1" applyAlignment="1" applyProtection="1">
      <alignment horizontal="center" vertical="center" wrapText="1"/>
    </xf>
    <xf numFmtId="0" fontId="92" fillId="0" borderId="25" xfId="0" applyFont="1" applyFill="1" applyBorder="1" applyAlignment="1" applyProtection="1">
      <alignment horizontal="center" vertical="center" wrapText="1"/>
    </xf>
    <xf numFmtId="0" fontId="91" fillId="0" borderId="25" xfId="0" applyFont="1" applyFill="1" applyBorder="1" applyAlignment="1" applyProtection="1">
      <alignment horizontal="center" vertical="center" wrapText="1"/>
    </xf>
    <xf numFmtId="0" fontId="3" fillId="0" borderId="71" xfId="0" applyFont="1" applyFill="1" applyBorder="1" applyAlignment="1">
      <alignment horizontal="center" vertical="center"/>
    </xf>
    <xf numFmtId="0" fontId="3" fillId="0" borderId="79" xfId="0" applyFont="1" applyFill="1" applyBorder="1"/>
    <xf numFmtId="0" fontId="3" fillId="0" borderId="86" xfId="0" applyFont="1" applyFill="1" applyBorder="1"/>
    <xf numFmtId="0" fontId="3" fillId="0" borderId="85" xfId="0" applyFont="1" applyFill="1" applyBorder="1" applyAlignment="1">
      <alignment horizontal="center" vertical="center"/>
    </xf>
    <xf numFmtId="0" fontId="3" fillId="0" borderId="86" xfId="0" applyFont="1" applyFill="1" applyBorder="1" applyAlignment="1">
      <alignment horizontal="center" vertical="center"/>
    </xf>
    <xf numFmtId="0" fontId="3" fillId="0" borderId="79" xfId="0" applyFont="1" applyFill="1" applyBorder="1" applyAlignment="1">
      <alignment horizontal="center" vertical="center"/>
    </xf>
    <xf numFmtId="0" fontId="3" fillId="0" borderId="87" xfId="0" applyFont="1" applyFill="1" applyBorder="1" applyAlignment="1">
      <alignment horizontal="center" vertical="center"/>
    </xf>
    <xf numFmtId="0" fontId="3" fillId="0" borderId="71" xfId="0" applyNumberFormat="1" applyFont="1" applyFill="1" applyBorder="1" applyAlignment="1">
      <alignment horizontal="left" vertical="center" wrapText="1"/>
    </xf>
    <xf numFmtId="0" fontId="3" fillId="0" borderId="79" xfId="0" applyNumberFormat="1" applyFont="1" applyFill="1" applyBorder="1" applyAlignment="1">
      <alignment horizontal="left" wrapText="1"/>
    </xf>
    <xf numFmtId="0" fontId="3" fillId="0" borderId="86" xfId="0" applyNumberFormat="1" applyFont="1" applyFill="1" applyBorder="1" applyAlignment="1">
      <alignment horizontal="left" wrapText="1"/>
    </xf>
    <xf numFmtId="9" fontId="3" fillId="0" borderId="85" xfId="0" applyNumberFormat="1" applyFont="1" applyFill="1" applyBorder="1" applyAlignment="1">
      <alignment horizontal="left"/>
    </xf>
    <xf numFmtId="0" fontId="3" fillId="0" borderId="87" xfId="0" applyFont="1" applyFill="1" applyBorder="1" applyAlignment="1">
      <alignment horizontal="left"/>
    </xf>
    <xf numFmtId="0" fontId="13" fillId="0" borderId="61" xfId="0" applyFont="1" applyFill="1" applyBorder="1" applyAlignment="1">
      <alignment horizontal="center" vertical="center" wrapText="1"/>
    </xf>
    <xf numFmtId="0" fontId="13" fillId="0" borderId="90" xfId="0" applyFont="1" applyFill="1" applyBorder="1" applyAlignment="1">
      <alignment horizontal="center" vertical="center" wrapText="1"/>
    </xf>
    <xf numFmtId="0" fontId="13" fillId="0" borderId="85" xfId="0" applyFont="1" applyFill="1" applyBorder="1" applyAlignment="1">
      <alignment horizontal="center" wrapText="1"/>
    </xf>
    <xf numFmtId="0" fontId="13" fillId="0" borderId="79" xfId="0" applyFont="1" applyFill="1" applyBorder="1" applyAlignment="1">
      <alignment horizontal="center" wrapText="1"/>
    </xf>
    <xf numFmtId="0" fontId="13" fillId="0" borderId="86" xfId="0" applyFont="1" applyFill="1" applyBorder="1" applyAlignment="1">
      <alignment horizontal="center" wrapText="1"/>
    </xf>
    <xf numFmtId="0" fontId="3" fillId="0" borderId="71" xfId="0" applyFont="1" applyFill="1" applyBorder="1" applyAlignment="1">
      <alignment horizontal="left" vertical="center"/>
    </xf>
    <xf numFmtId="0" fontId="3" fillId="0" borderId="85" xfId="0" applyFont="1" applyFill="1" applyBorder="1" applyAlignment="1">
      <alignment horizontal="left" vertical="center"/>
    </xf>
    <xf numFmtId="0" fontId="92" fillId="0" borderId="86" xfId="0" applyFont="1" applyFill="1" applyBorder="1" applyAlignment="1" applyProtection="1">
      <alignment horizontal="center" vertical="center" wrapText="1"/>
    </xf>
    <xf numFmtId="0" fontId="15" fillId="0" borderId="37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4" xfId="0" applyFont="1" applyFill="1" applyBorder="1"/>
    <xf numFmtId="0" fontId="3" fillId="0" borderId="15" xfId="0" applyFont="1" applyFill="1" applyBorder="1"/>
    <xf numFmtId="0" fontId="3" fillId="0" borderId="26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57" xfId="0" applyNumberFormat="1" applyFont="1" applyFill="1" applyBorder="1" applyAlignment="1">
      <alignment horizontal="left" wrapText="1"/>
    </xf>
    <xf numFmtId="0" fontId="3" fillId="0" borderId="72" xfId="0" applyNumberFormat="1" applyFont="1" applyFill="1" applyBorder="1" applyAlignment="1">
      <alignment horizontal="left" wrapText="1"/>
    </xf>
    <xf numFmtId="0" fontId="3" fillId="0" borderId="86" xfId="0" applyFont="1" applyFill="1" applyBorder="1" applyAlignment="1">
      <alignment horizontal="left" vertical="center"/>
    </xf>
    <xf numFmtId="9" fontId="3" fillId="0" borderId="68" xfId="0" applyNumberFormat="1" applyFont="1" applyFill="1" applyBorder="1" applyAlignment="1">
      <alignment horizontal="left" vertical="center" wrapText="1"/>
    </xf>
    <xf numFmtId="0" fontId="3" fillId="0" borderId="57" xfId="0" applyFont="1" applyFill="1" applyBorder="1" applyAlignment="1">
      <alignment horizontal="left" vertical="center" wrapText="1"/>
    </xf>
    <xf numFmtId="0" fontId="3" fillId="0" borderId="73" xfId="0" applyFont="1" applyFill="1" applyBorder="1" applyAlignment="1">
      <alignment horizontal="left" vertical="center" wrapText="1"/>
    </xf>
    <xf numFmtId="0" fontId="3" fillId="0" borderId="57" xfId="0" applyFont="1" applyFill="1" applyBorder="1" applyAlignment="1">
      <alignment horizontal="left"/>
    </xf>
    <xf numFmtId="0" fontId="3" fillId="0" borderId="72" xfId="0" applyFont="1" applyFill="1" applyBorder="1" applyAlignment="1">
      <alignment horizontal="left"/>
    </xf>
    <xf numFmtId="0" fontId="3" fillId="0" borderId="68" xfId="0" applyFont="1" applyFill="1" applyBorder="1" applyAlignment="1">
      <alignment horizontal="left" vertical="center"/>
    </xf>
    <xf numFmtId="0" fontId="3" fillId="0" borderId="57" xfId="0" applyFont="1" applyFill="1" applyBorder="1" applyAlignment="1">
      <alignment horizontal="left" vertical="center"/>
    </xf>
    <xf numFmtId="171" fontId="3" fillId="0" borderId="68" xfId="0" applyNumberFormat="1" applyFont="1" applyFill="1" applyBorder="1" applyAlignment="1">
      <alignment horizontal="left" vertical="center"/>
    </xf>
    <xf numFmtId="171" fontId="3" fillId="0" borderId="57" xfId="0" applyNumberFormat="1" applyFont="1" applyFill="1" applyBorder="1" applyAlignment="1">
      <alignment horizontal="left" vertical="center"/>
    </xf>
    <xf numFmtId="171" fontId="3" fillId="0" borderId="73" xfId="0" applyNumberFormat="1" applyFont="1" applyFill="1" applyBorder="1" applyAlignment="1">
      <alignment horizontal="left" vertical="center"/>
    </xf>
    <xf numFmtId="0" fontId="3" fillId="0" borderId="68" xfId="0" applyFont="1" applyFill="1" applyBorder="1" applyAlignment="1">
      <alignment horizontal="left" vertical="center" wrapText="1"/>
    </xf>
    <xf numFmtId="9" fontId="3" fillId="0" borderId="68" xfId="0" applyNumberFormat="1" applyFont="1" applyFill="1" applyBorder="1" applyAlignment="1">
      <alignment horizontal="left" vertical="center"/>
    </xf>
    <xf numFmtId="0" fontId="3" fillId="0" borderId="73" xfId="0" applyFont="1" applyFill="1" applyBorder="1" applyAlignment="1">
      <alignment horizontal="left" vertical="center"/>
    </xf>
    <xf numFmtId="0" fontId="3" fillId="0" borderId="72" xfId="0" applyFont="1" applyFill="1" applyBorder="1" applyAlignment="1">
      <alignment horizontal="left" vertical="center" wrapText="1"/>
    </xf>
    <xf numFmtId="0" fontId="13" fillId="0" borderId="57" xfId="0" applyFont="1" applyFill="1" applyBorder="1"/>
    <xf numFmtId="0" fontId="13" fillId="0" borderId="72" xfId="0" applyFont="1" applyFill="1" applyBorder="1"/>
    <xf numFmtId="0" fontId="3" fillId="0" borderId="57" xfId="0" applyFont="1" applyFill="1" applyBorder="1" applyAlignment="1">
      <alignment vertical="center" wrapText="1"/>
    </xf>
    <xf numFmtId="0" fontId="3" fillId="0" borderId="73" xfId="0" applyFont="1" applyFill="1" applyBorder="1" applyAlignment="1">
      <alignment vertical="center" wrapText="1"/>
    </xf>
    <xf numFmtId="0" fontId="13" fillId="0" borderId="58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68" xfId="0" applyFont="1" applyFill="1" applyBorder="1" applyAlignment="1">
      <alignment horizontal="center" wrapText="1"/>
    </xf>
    <xf numFmtId="0" fontId="13" fillId="0" borderId="57" xfId="0" applyFont="1" applyFill="1" applyBorder="1" applyAlignment="1">
      <alignment horizontal="center" wrapText="1"/>
    </xf>
    <xf numFmtId="0" fontId="13" fillId="0" borderId="72" xfId="0" applyFont="1" applyFill="1" applyBorder="1" applyAlignment="1">
      <alignment horizontal="center" wrapText="1"/>
    </xf>
    <xf numFmtId="165" fontId="5" fillId="0" borderId="0" xfId="12" applyFont="1" applyFill="1" applyBorder="1" applyAlignment="1">
      <alignment horizontal="center" vertical="center"/>
    </xf>
    <xf numFmtId="0" fontId="92" fillId="0" borderId="72" xfId="0" applyFont="1" applyFill="1" applyBorder="1" applyAlignment="1" applyProtection="1">
      <alignment horizontal="center" vertical="center" wrapText="1"/>
    </xf>
    <xf numFmtId="0" fontId="13" fillId="0" borderId="43" xfId="0" applyFont="1" applyFill="1" applyBorder="1" applyAlignment="1">
      <alignment horizontal="center" wrapText="1"/>
    </xf>
    <xf numFmtId="0" fontId="13" fillId="0" borderId="44" xfId="0" applyFont="1" applyFill="1" applyBorder="1" applyAlignment="1">
      <alignment horizontal="center" wrapText="1"/>
    </xf>
    <xf numFmtId="0" fontId="13" fillId="0" borderId="45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wrapText="1"/>
    </xf>
    <xf numFmtId="0" fontId="3" fillId="0" borderId="15" xfId="0" applyFont="1" applyFill="1" applyBorder="1" applyAlignment="1">
      <alignment horizontal="left" wrapText="1"/>
    </xf>
    <xf numFmtId="0" fontId="3" fillId="0" borderId="17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3" fillId="0" borderId="18" xfId="0" applyFont="1" applyFill="1" applyBorder="1" applyAlignment="1">
      <alignment vertical="center"/>
    </xf>
    <xf numFmtId="0" fontId="3" fillId="0" borderId="26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9" fontId="3" fillId="0" borderId="26" xfId="0" applyNumberFormat="1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left" vertical="center" wrapText="1"/>
    </xf>
    <xf numFmtId="9" fontId="3" fillId="0" borderId="26" xfId="0" applyNumberFormat="1" applyFont="1" applyFill="1" applyBorder="1" applyAlignment="1">
      <alignment horizontal="left"/>
    </xf>
    <xf numFmtId="0" fontId="3" fillId="0" borderId="14" xfId="0" applyFont="1" applyFill="1" applyBorder="1" applyAlignment="1">
      <alignment horizontal="left"/>
    </xf>
    <xf numFmtId="0" fontId="3" fillId="0" borderId="18" xfId="0" applyFont="1" applyFill="1" applyBorder="1" applyAlignment="1">
      <alignment horizontal="left"/>
    </xf>
    <xf numFmtId="171" fontId="3" fillId="0" borderId="26" xfId="0" applyNumberFormat="1" applyFont="1" applyFill="1" applyBorder="1" applyAlignment="1">
      <alignment horizontal="left" vertical="center"/>
    </xf>
    <xf numFmtId="171" fontId="3" fillId="0" borderId="14" xfId="0" applyNumberFormat="1" applyFont="1" applyFill="1" applyBorder="1" applyAlignment="1">
      <alignment horizontal="left" vertical="center"/>
    </xf>
    <xf numFmtId="171" fontId="3" fillId="0" borderId="18" xfId="0" applyNumberFormat="1" applyFont="1" applyFill="1" applyBorder="1" applyAlignment="1">
      <alignment horizontal="left" vertical="center"/>
    </xf>
    <xf numFmtId="9" fontId="3" fillId="0" borderId="26" xfId="0" applyNumberFormat="1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7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 vertical="center"/>
    </xf>
    <xf numFmtId="0" fontId="3" fillId="0" borderId="17" xfId="0" applyNumberFormat="1" applyFont="1" applyFill="1" applyBorder="1" applyAlignment="1">
      <alignment horizontal="left" vertical="center" wrapText="1"/>
    </xf>
    <xf numFmtId="0" fontId="3" fillId="0" borderId="14" xfId="0" applyNumberFormat="1" applyFont="1" applyFill="1" applyBorder="1" applyAlignment="1">
      <alignment horizontal="left" wrapText="1"/>
    </xf>
    <xf numFmtId="0" fontId="3" fillId="0" borderId="15" xfId="0" applyNumberFormat="1" applyFont="1" applyFill="1" applyBorder="1" applyAlignment="1">
      <alignment horizontal="left" wrapText="1"/>
    </xf>
    <xf numFmtId="0" fontId="14" fillId="0" borderId="86" xfId="0" applyFont="1" applyFill="1" applyBorder="1" applyAlignment="1" applyProtection="1">
      <alignment horizontal="center" vertical="center" wrapText="1"/>
    </xf>
    <xf numFmtId="0" fontId="14" fillId="0" borderId="25" xfId="0" applyFont="1" applyFill="1" applyBorder="1" applyAlignment="1" applyProtection="1">
      <alignment horizontal="center" vertical="center" wrapText="1"/>
    </xf>
    <xf numFmtId="0" fontId="3" fillId="0" borderId="19" xfId="0" applyFont="1" applyFill="1" applyBorder="1" applyAlignment="1">
      <alignment horizontal="left"/>
    </xf>
    <xf numFmtId="0" fontId="14" fillId="0" borderId="17" xfId="0" applyFont="1" applyFill="1" applyBorder="1" applyAlignment="1">
      <alignment horizontal="center" vertical="center"/>
    </xf>
    <xf numFmtId="0" fontId="14" fillId="0" borderId="14" xfId="0" applyFont="1" applyFill="1" applyBorder="1"/>
    <xf numFmtId="0" fontId="14" fillId="0" borderId="18" xfId="0" applyFont="1" applyFill="1" applyBorder="1"/>
    <xf numFmtId="0" fontId="13" fillId="0" borderId="4" xfId="0" applyFont="1" applyFill="1" applyBorder="1" applyAlignment="1">
      <alignment horizontal="center" vertical="center"/>
    </xf>
    <xf numFmtId="0" fontId="13" fillId="0" borderId="2" xfId="0" applyFont="1" applyFill="1" applyBorder="1"/>
    <xf numFmtId="0" fontId="13" fillId="0" borderId="1" xfId="0" applyFont="1" applyFill="1" applyBorder="1"/>
    <xf numFmtId="0" fontId="13" fillId="0" borderId="3" xfId="0" applyFont="1" applyFill="1" applyBorder="1"/>
    <xf numFmtId="0" fontId="13" fillId="0" borderId="5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vertical="center"/>
    </xf>
    <xf numFmtId="0" fontId="13" fillId="0" borderId="6" xfId="0" applyFont="1" applyFill="1" applyBorder="1" applyAlignment="1">
      <alignment vertical="center"/>
    </xf>
    <xf numFmtId="0" fontId="3" fillId="0" borderId="57" xfId="0" applyFont="1" applyFill="1" applyBorder="1" applyAlignment="1">
      <alignment horizontal="center"/>
    </xf>
    <xf numFmtId="0" fontId="3" fillId="0" borderId="58" xfId="0" applyFont="1" applyFill="1" applyBorder="1" applyAlignment="1">
      <alignment horizontal="center"/>
    </xf>
    <xf numFmtId="0" fontId="3" fillId="0" borderId="57" xfId="0" applyFont="1" applyFill="1" applyBorder="1"/>
    <xf numFmtId="0" fontId="3" fillId="0" borderId="57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vertical="center" wrapText="1"/>
    </xf>
    <xf numFmtId="0" fontId="3" fillId="0" borderId="18" xfId="0" applyFont="1" applyFill="1" applyBorder="1" applyAlignment="1">
      <alignment vertical="center" wrapText="1"/>
    </xf>
    <xf numFmtId="0" fontId="13" fillId="0" borderId="25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3" fillId="0" borderId="71" xfId="0" applyFont="1" applyFill="1" applyBorder="1" applyAlignment="1">
      <alignment vertical="center"/>
    </xf>
    <xf numFmtId="0" fontId="3" fillId="0" borderId="79" xfId="0" applyFont="1" applyFill="1" applyBorder="1" applyAlignment="1">
      <alignment vertical="center"/>
    </xf>
    <xf numFmtId="0" fontId="3" fillId="0" borderId="87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 wrapText="1"/>
    </xf>
    <xf numFmtId="0" fontId="3" fillId="0" borderId="84" xfId="0" applyFont="1" applyFill="1" applyBorder="1" applyAlignment="1">
      <alignment horizontal="left"/>
    </xf>
    <xf numFmtId="0" fontId="140" fillId="0" borderId="25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>
      <alignment wrapText="1"/>
    </xf>
    <xf numFmtId="0" fontId="5" fillId="0" borderId="2" xfId="0" applyFont="1" applyFill="1" applyBorder="1"/>
    <xf numFmtId="0" fontId="5" fillId="0" borderId="10" xfId="0" applyFont="1" applyFill="1" applyBorder="1"/>
    <xf numFmtId="0" fontId="5" fillId="0" borderId="11" xfId="0" applyFont="1" applyFill="1" applyBorder="1"/>
    <xf numFmtId="0" fontId="14" fillId="0" borderId="7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1" xfId="0" applyFont="1" applyFill="1" applyBorder="1"/>
    <xf numFmtId="0" fontId="14" fillId="0" borderId="13" xfId="0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left"/>
    </xf>
    <xf numFmtId="0" fontId="5" fillId="0" borderId="20" xfId="0" applyFont="1" applyFill="1" applyBorder="1" applyAlignment="1">
      <alignment horizontal="left"/>
    </xf>
    <xf numFmtId="0" fontId="5" fillId="0" borderId="21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11" xfId="0" applyFont="1" applyFill="1" applyBorder="1" applyAlignment="1">
      <alignment horizontal="left"/>
    </xf>
    <xf numFmtId="0" fontId="14" fillId="0" borderId="15" xfId="0" applyFont="1" applyFill="1" applyBorder="1"/>
    <xf numFmtId="0" fontId="14" fillId="0" borderId="26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5" fillId="0" borderId="17" xfId="0" applyNumberFormat="1" applyFont="1" applyFill="1" applyBorder="1" applyAlignment="1">
      <alignment horizontal="left" vertical="center" wrapText="1"/>
    </xf>
    <xf numFmtId="0" fontId="5" fillId="0" borderId="14" xfId="0" applyNumberFormat="1" applyFont="1" applyFill="1" applyBorder="1" applyAlignment="1">
      <alignment horizontal="left" wrapText="1"/>
    </xf>
    <xf numFmtId="0" fontId="5" fillId="0" borderId="15" xfId="0" applyNumberFormat="1" applyFont="1" applyFill="1" applyBorder="1" applyAlignment="1">
      <alignment horizontal="left" wrapText="1"/>
    </xf>
    <xf numFmtId="0" fontId="5" fillId="0" borderId="26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9" fontId="5" fillId="0" borderId="26" xfId="0" quotePrefix="1" applyNumberFormat="1" applyFont="1" applyFill="1" applyBorder="1" applyAlignment="1">
      <alignment horizontal="left" vertical="center" wrapText="1"/>
    </xf>
    <xf numFmtId="9" fontId="5" fillId="0" borderId="14" xfId="0" quotePrefix="1" applyNumberFormat="1" applyFont="1" applyFill="1" applyBorder="1" applyAlignment="1">
      <alignment horizontal="left" vertical="center" wrapText="1"/>
    </xf>
    <xf numFmtId="9" fontId="5" fillId="0" borderId="18" xfId="0" quotePrefix="1" applyNumberFormat="1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left"/>
    </xf>
    <xf numFmtId="0" fontId="5" fillId="0" borderId="15" xfId="0" applyFont="1" applyFill="1" applyBorder="1" applyAlignment="1">
      <alignment horizontal="left"/>
    </xf>
    <xf numFmtId="0" fontId="5" fillId="0" borderId="17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5" fillId="0" borderId="18" xfId="0" applyFont="1" applyFill="1" applyBorder="1" applyAlignment="1">
      <alignment vertical="center"/>
    </xf>
    <xf numFmtId="0" fontId="14" fillId="0" borderId="19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5" fillId="0" borderId="15" xfId="0" applyFont="1" applyFill="1" applyBorder="1" applyAlignment="1">
      <alignment horizontal="left" vertical="center"/>
    </xf>
    <xf numFmtId="171" fontId="5" fillId="0" borderId="26" xfId="0" applyNumberFormat="1" applyFont="1" applyFill="1" applyBorder="1" applyAlignment="1">
      <alignment horizontal="left" vertical="center"/>
    </xf>
    <xf numFmtId="171" fontId="5" fillId="0" borderId="14" xfId="0" applyNumberFormat="1" applyFont="1" applyFill="1" applyBorder="1" applyAlignment="1">
      <alignment horizontal="left" vertical="center"/>
    </xf>
    <xf numFmtId="171" fontId="5" fillId="0" borderId="18" xfId="0" applyNumberFormat="1" applyFont="1" applyFill="1" applyBorder="1" applyAlignment="1">
      <alignment horizontal="left" vertical="center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28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wrapText="1"/>
    </xf>
    <xf numFmtId="0" fontId="14" fillId="0" borderId="14" xfId="0" applyFont="1" applyFill="1" applyBorder="1" applyAlignment="1">
      <alignment horizontal="center" wrapText="1"/>
    </xf>
    <xf numFmtId="0" fontId="14" fillId="0" borderId="15" xfId="0" applyFont="1" applyFill="1" applyBorder="1" applyAlignment="1">
      <alignment horizontal="center" wrapText="1"/>
    </xf>
    <xf numFmtId="0" fontId="15" fillId="0" borderId="14" xfId="0" applyFont="1" applyFill="1" applyBorder="1"/>
    <xf numFmtId="0" fontId="15" fillId="0" borderId="15" xfId="0" applyFont="1" applyFill="1" applyBorder="1"/>
    <xf numFmtId="0" fontId="14" fillId="0" borderId="38" xfId="0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 vertical="center"/>
    </xf>
    <xf numFmtId="0" fontId="25" fillId="0" borderId="2" xfId="0" applyFont="1" applyFill="1" applyBorder="1"/>
    <xf numFmtId="0" fontId="25" fillId="0" borderId="1" xfId="0" applyFont="1" applyFill="1" applyBorder="1"/>
    <xf numFmtId="0" fontId="25" fillId="0" borderId="3" xfId="0" applyFont="1" applyFill="1" applyBorder="1"/>
    <xf numFmtId="0" fontId="4" fillId="0" borderId="4" xfId="0" applyFont="1" applyFill="1" applyBorder="1" applyAlignment="1">
      <alignment wrapText="1"/>
    </xf>
    <xf numFmtId="0" fontId="4" fillId="0" borderId="2" xfId="0" applyFont="1" applyFill="1" applyBorder="1"/>
    <xf numFmtId="0" fontId="4" fillId="0" borderId="10" xfId="0" applyFont="1" applyFill="1" applyBorder="1"/>
    <xf numFmtId="0" fontId="4" fillId="0" borderId="11" xfId="0" applyFont="1" applyFill="1" applyBorder="1"/>
    <xf numFmtId="0" fontId="25" fillId="0" borderId="5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vertical="center"/>
    </xf>
    <xf numFmtId="0" fontId="25" fillId="0" borderId="6" xfId="0" applyFont="1" applyFill="1" applyBorder="1" applyAlignment="1">
      <alignment vertical="center"/>
    </xf>
    <xf numFmtId="0" fontId="23" fillId="0" borderId="7" xfId="0" applyFont="1" applyFill="1" applyBorder="1" applyAlignment="1">
      <alignment horizontal="center"/>
    </xf>
    <xf numFmtId="0" fontId="23" fillId="0" borderId="8" xfId="0" applyFont="1" applyFill="1" applyBorder="1" applyAlignment="1">
      <alignment horizontal="center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1" xfId="0" applyFont="1" applyFill="1" applyBorder="1"/>
    <xf numFmtId="0" fontId="23" fillId="0" borderId="13" xfId="0" applyFont="1" applyFill="1" applyBorder="1"/>
    <xf numFmtId="0" fontId="4" fillId="0" borderId="1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left"/>
    </xf>
    <xf numFmtId="0" fontId="4" fillId="0" borderId="11" xfId="0" applyFont="1" applyFill="1" applyBorder="1" applyAlignment="1">
      <alignment horizontal="left"/>
    </xf>
    <xf numFmtId="0" fontId="4" fillId="0" borderId="24" xfId="0" applyFont="1" applyFill="1" applyBorder="1" applyAlignment="1">
      <alignment horizontal="left"/>
    </xf>
    <xf numFmtId="0" fontId="4" fillId="0" borderId="19" xfId="0" applyFont="1" applyFill="1" applyBorder="1" applyAlignment="1">
      <alignment horizontal="left"/>
    </xf>
    <xf numFmtId="0" fontId="4" fillId="0" borderId="20" xfId="0" applyFont="1" applyFill="1" applyBorder="1" applyAlignment="1">
      <alignment horizontal="left"/>
    </xf>
    <xf numFmtId="0" fontId="4" fillId="0" borderId="21" xfId="0" applyFont="1" applyFill="1" applyBorder="1" applyAlignment="1">
      <alignment horizontal="left"/>
    </xf>
    <xf numFmtId="0" fontId="4" fillId="0" borderId="22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0" fontId="26" fillId="0" borderId="23" xfId="0" applyFont="1" applyFill="1" applyBorder="1" applyAlignment="1">
      <alignment horizontal="left"/>
    </xf>
    <xf numFmtId="0" fontId="4" fillId="0" borderId="23" xfId="0" applyFont="1" applyFill="1" applyBorder="1" applyAlignment="1">
      <alignment horizontal="left"/>
    </xf>
    <xf numFmtId="0" fontId="23" fillId="0" borderId="17" xfId="0" applyFont="1" applyFill="1" applyBorder="1" applyAlignment="1">
      <alignment horizontal="center" vertical="center"/>
    </xf>
    <xf numFmtId="0" fontId="23" fillId="0" borderId="14" xfId="0" applyFont="1" applyFill="1" applyBorder="1"/>
    <xf numFmtId="0" fontId="23" fillId="0" borderId="18" xfId="0" applyFont="1" applyFill="1" applyBorder="1"/>
    <xf numFmtId="0" fontId="4" fillId="0" borderId="17" xfId="0" applyFont="1" applyFill="1" applyBorder="1" applyAlignment="1">
      <alignment horizontal="center" vertical="center"/>
    </xf>
    <xf numFmtId="0" fontId="4" fillId="0" borderId="14" xfId="0" applyFont="1" applyFill="1" applyBorder="1"/>
    <xf numFmtId="0" fontId="4" fillId="0" borderId="15" xfId="0" applyFont="1" applyFill="1" applyBorder="1"/>
    <xf numFmtId="0" fontId="4" fillId="0" borderId="26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7" xfId="0" applyNumberFormat="1" applyFont="1" applyFill="1" applyBorder="1" applyAlignment="1">
      <alignment horizontal="left" vertical="center" wrapText="1"/>
    </xf>
    <xf numFmtId="0" fontId="4" fillId="0" borderId="14" xfId="0" applyNumberFormat="1" applyFont="1" applyFill="1" applyBorder="1" applyAlignment="1">
      <alignment horizontal="left" wrapText="1"/>
    </xf>
    <xf numFmtId="0" fontId="4" fillId="0" borderId="15" xfId="0" applyNumberFormat="1" applyFont="1" applyFill="1" applyBorder="1" applyAlignment="1">
      <alignment horizontal="left" wrapText="1"/>
    </xf>
    <xf numFmtId="0" fontId="4" fillId="0" borderId="26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9" fontId="4" fillId="0" borderId="26" xfId="0" applyNumberFormat="1" applyFont="1" applyFill="1" applyBorder="1" applyAlignment="1">
      <alignment horizontal="left" vertical="top"/>
    </xf>
    <xf numFmtId="0" fontId="4" fillId="0" borderId="14" xfId="0" applyFont="1" applyFill="1" applyBorder="1" applyAlignment="1">
      <alignment horizontal="left" vertical="top"/>
    </xf>
    <xf numFmtId="0" fontId="4" fillId="0" borderId="18" xfId="0" applyFont="1" applyFill="1" applyBorder="1" applyAlignment="1">
      <alignment horizontal="left" vertical="top"/>
    </xf>
    <xf numFmtId="0" fontId="4" fillId="0" borderId="17" xfId="0" applyFont="1" applyFill="1" applyBorder="1" applyAlignment="1">
      <alignment horizontal="left" vertical="center"/>
    </xf>
    <xf numFmtId="0" fontId="4" fillId="0" borderId="14" xfId="0" applyFont="1" applyFill="1" applyBorder="1" applyAlignment="1">
      <alignment horizontal="left"/>
    </xf>
    <xf numFmtId="0" fontId="4" fillId="0" borderId="15" xfId="0" applyFont="1" applyFill="1" applyBorder="1" applyAlignment="1">
      <alignment horizontal="left"/>
    </xf>
    <xf numFmtId="0" fontId="4" fillId="0" borderId="26" xfId="0" applyFont="1" applyFill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/>
    </xf>
    <xf numFmtId="171" fontId="4" fillId="0" borderId="26" xfId="0" applyNumberFormat="1" applyFont="1" applyFill="1" applyBorder="1" applyAlignment="1">
      <alignment horizontal="left" vertical="center"/>
    </xf>
    <xf numFmtId="171" fontId="4" fillId="0" borderId="14" xfId="0" applyNumberFormat="1" applyFont="1" applyFill="1" applyBorder="1" applyAlignment="1">
      <alignment horizontal="left" vertical="center"/>
    </xf>
    <xf numFmtId="171" fontId="4" fillId="0" borderId="18" xfId="0" applyNumberFormat="1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 wrapText="1"/>
    </xf>
    <xf numFmtId="9" fontId="4" fillId="0" borderId="26" xfId="0" applyNumberFormat="1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left" vertical="center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30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top" wrapText="1"/>
    </xf>
    <xf numFmtId="0" fontId="23" fillId="0" borderId="14" xfId="0" applyFont="1" applyFill="1" applyBorder="1" applyAlignment="1">
      <alignment horizontal="center" vertical="top" wrapText="1"/>
    </xf>
    <xf numFmtId="0" fontId="23" fillId="0" borderId="15" xfId="0" applyFont="1" applyFill="1" applyBorder="1" applyAlignment="1">
      <alignment horizontal="center" vertical="top" wrapText="1"/>
    </xf>
    <xf numFmtId="0" fontId="23" fillId="0" borderId="15" xfId="0" applyFont="1" applyFill="1" applyBorder="1"/>
    <xf numFmtId="0" fontId="23" fillId="0" borderId="38" xfId="0" applyFont="1" applyFill="1" applyBorder="1" applyAlignment="1">
      <alignment horizontal="center" wrapText="1"/>
    </xf>
    <xf numFmtId="0" fontId="23" fillId="0" borderId="39" xfId="0" applyFont="1" applyFill="1" applyBorder="1" applyAlignment="1">
      <alignment horizontal="center" wrapText="1"/>
    </xf>
    <xf numFmtId="0" fontId="23" fillId="0" borderId="33" xfId="0" applyFont="1" applyFill="1" applyBorder="1" applyAlignment="1">
      <alignment horizontal="center" wrapText="1"/>
    </xf>
    <xf numFmtId="0" fontId="4" fillId="0" borderId="17" xfId="0" applyFont="1" applyFill="1" applyBorder="1" applyAlignment="1">
      <alignment vertical="center"/>
    </xf>
    <xf numFmtId="0" fontId="4" fillId="0" borderId="14" xfId="0" applyFont="1" applyFill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0" fontId="23" fillId="0" borderId="21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top"/>
    </xf>
    <xf numFmtId="0" fontId="3" fillId="0" borderId="20" xfId="0" applyFont="1" applyFill="1" applyBorder="1" applyAlignment="1">
      <alignment horizontal="center" vertical="top"/>
    </xf>
    <xf numFmtId="0" fontId="14" fillId="0" borderId="71" xfId="0" applyFont="1" applyFill="1" applyBorder="1" applyAlignment="1">
      <alignment horizontal="center" vertical="center"/>
    </xf>
    <xf numFmtId="0" fontId="14" fillId="0" borderId="79" xfId="0" applyFont="1" applyFill="1" applyBorder="1"/>
    <xf numFmtId="0" fontId="14" fillId="0" borderId="87" xfId="0" applyFont="1" applyFill="1" applyBorder="1"/>
    <xf numFmtId="0" fontId="14" fillId="0" borderId="86" xfId="0" applyFont="1" applyFill="1" applyBorder="1"/>
    <xf numFmtId="0" fontId="14" fillId="0" borderId="85" xfId="0" applyFont="1" applyFill="1" applyBorder="1" applyAlignment="1">
      <alignment horizontal="center" vertical="center"/>
    </xf>
    <xf numFmtId="0" fontId="14" fillId="0" borderId="86" xfId="0" applyFont="1" applyFill="1" applyBorder="1" applyAlignment="1">
      <alignment horizontal="center" vertical="center"/>
    </xf>
    <xf numFmtId="0" fontId="14" fillId="0" borderId="79" xfId="0" applyFont="1" applyFill="1" applyBorder="1" applyAlignment="1">
      <alignment horizontal="center" vertical="center"/>
    </xf>
    <xf numFmtId="0" fontId="14" fillId="0" borderId="87" xfId="0" applyFont="1" applyFill="1" applyBorder="1" applyAlignment="1">
      <alignment horizontal="center" vertical="center"/>
    </xf>
    <xf numFmtId="0" fontId="13" fillId="0" borderId="74" xfId="0" applyFont="1" applyFill="1" applyBorder="1" applyAlignment="1">
      <alignment horizontal="center" vertical="center" wrapText="1"/>
    </xf>
    <xf numFmtId="0" fontId="13" fillId="0" borderId="75" xfId="0" applyFont="1" applyFill="1" applyBorder="1" applyAlignment="1">
      <alignment horizontal="center" vertical="center" wrapText="1"/>
    </xf>
    <xf numFmtId="0" fontId="13" fillId="0" borderId="76" xfId="0" applyFont="1" applyFill="1" applyBorder="1" applyAlignment="1">
      <alignment horizontal="center" vertical="center" wrapText="1"/>
    </xf>
    <xf numFmtId="0" fontId="14" fillId="0" borderId="84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14" fillId="0" borderId="60" xfId="0" applyFont="1" applyFill="1" applyBorder="1" applyAlignment="1">
      <alignment horizontal="center" vertical="center" wrapText="1"/>
    </xf>
    <xf numFmtId="0" fontId="3" fillId="0" borderId="84" xfId="0" applyFont="1" applyFill="1" applyBorder="1" applyAlignment="1">
      <alignment horizontal="left" vertical="top" wrapText="1"/>
    </xf>
    <xf numFmtId="0" fontId="3" fillId="0" borderId="59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13" fillId="0" borderId="38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3" fillId="0" borderId="33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left" vertical="top" wrapText="1"/>
    </xf>
    <xf numFmtId="0" fontId="3" fillId="0" borderId="20" xfId="0" applyFont="1" applyFill="1" applyBorder="1" applyAlignment="1">
      <alignment horizontal="left" vertical="top" wrapText="1"/>
    </xf>
    <xf numFmtId="0" fontId="3" fillId="0" borderId="84" xfId="0" applyFont="1" applyFill="1" applyBorder="1" applyAlignment="1">
      <alignment horizontal="left" vertical="top"/>
    </xf>
    <xf numFmtId="0" fontId="3" fillId="0" borderId="59" xfId="0" applyFont="1" applyFill="1" applyBorder="1" applyAlignment="1">
      <alignment horizontal="left" vertical="top"/>
    </xf>
    <xf numFmtId="0" fontId="3" fillId="0" borderId="94" xfId="0" applyFont="1" applyFill="1" applyBorder="1" applyAlignment="1">
      <alignment horizontal="left" vertical="top" wrapText="1"/>
    </xf>
    <xf numFmtId="0" fontId="3" fillId="0" borderId="19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5" fillId="0" borderId="59" xfId="0" applyFont="1" applyFill="1" applyBorder="1" applyAlignment="1">
      <alignment horizontal="left" vertical="center" wrapText="1"/>
    </xf>
    <xf numFmtId="0" fontId="5" fillId="0" borderId="94" xfId="0" applyFont="1" applyFill="1" applyBorder="1" applyAlignment="1">
      <alignment horizontal="left" vertical="center" wrapText="1"/>
    </xf>
    <xf numFmtId="0" fontId="3" fillId="0" borderId="94" xfId="0" applyFont="1" applyFill="1" applyBorder="1" applyAlignment="1">
      <alignment horizontal="left"/>
    </xf>
    <xf numFmtId="0" fontId="3" fillId="0" borderId="84" xfId="0" applyFont="1" applyFill="1" applyBorder="1" applyAlignment="1">
      <alignment horizontal="left" vertical="center"/>
    </xf>
    <xf numFmtId="0" fontId="3" fillId="0" borderId="59" xfId="0" applyFont="1" applyFill="1" applyBorder="1" applyAlignment="1">
      <alignment horizontal="left" vertical="center"/>
    </xf>
    <xf numFmtId="9" fontId="3" fillId="0" borderId="85" xfId="0" applyNumberFormat="1" applyFont="1" applyFill="1" applyBorder="1" applyAlignment="1">
      <alignment horizontal="left" vertical="top"/>
    </xf>
    <xf numFmtId="0" fontId="3" fillId="0" borderId="79" xfId="0" applyFont="1" applyFill="1" applyBorder="1" applyAlignment="1">
      <alignment horizontal="left" vertical="top"/>
    </xf>
    <xf numFmtId="0" fontId="3" fillId="0" borderId="87" xfId="0" applyFont="1" applyFill="1" applyBorder="1" applyAlignment="1">
      <alignment horizontal="left" vertical="top"/>
    </xf>
    <xf numFmtId="0" fontId="3" fillId="0" borderId="67" xfId="0" applyFont="1" applyFill="1" applyBorder="1" applyAlignment="1">
      <alignment horizontal="center" wrapText="1"/>
    </xf>
    <xf numFmtId="0" fontId="15" fillId="0" borderId="67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/>
    </xf>
    <xf numFmtId="0" fontId="13" fillId="0" borderId="67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center" wrapText="1"/>
    </xf>
    <xf numFmtId="0" fontId="3" fillId="0" borderId="67" xfId="0" applyFont="1" applyFill="1" applyBorder="1" applyAlignment="1">
      <alignment horizontal="left"/>
    </xf>
    <xf numFmtId="0" fontId="3" fillId="0" borderId="67" xfId="0" applyFont="1" applyFill="1" applyBorder="1" applyAlignment="1">
      <alignment horizontal="center"/>
    </xf>
    <xf numFmtId="0" fontId="3" fillId="0" borderId="67" xfId="0" applyFont="1" applyFill="1" applyBorder="1" applyAlignment="1">
      <alignment horizontal="left" wrapText="1"/>
    </xf>
    <xf numFmtId="0" fontId="3" fillId="0" borderId="67" xfId="0" applyNumberFormat="1" applyFont="1" applyFill="1" applyBorder="1" applyAlignment="1">
      <alignment horizontal="left" vertical="center" wrapText="1"/>
    </xf>
    <xf numFmtId="0" fontId="3" fillId="0" borderId="67" xfId="0" applyNumberFormat="1" applyFont="1" applyFill="1" applyBorder="1" applyAlignment="1">
      <alignment horizontal="left" wrapText="1"/>
    </xf>
    <xf numFmtId="0" fontId="3" fillId="0" borderId="67" xfId="0" applyFont="1" applyFill="1" applyBorder="1" applyAlignment="1">
      <alignment horizontal="left" vertical="center" wrapText="1"/>
    </xf>
    <xf numFmtId="9" fontId="3" fillId="0" borderId="67" xfId="0" applyNumberFormat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left" vertical="center"/>
    </xf>
    <xf numFmtId="171" fontId="3" fillId="0" borderId="67" xfId="0" applyNumberFormat="1" applyFont="1" applyFill="1" applyBorder="1" applyAlignment="1">
      <alignment horizontal="right" vertical="center"/>
    </xf>
    <xf numFmtId="170" fontId="3" fillId="0" borderId="67" xfId="0" applyNumberFormat="1" applyFont="1" applyFill="1" applyBorder="1" applyAlignment="1">
      <alignment horizontal="left" vertical="center"/>
    </xf>
    <xf numFmtId="0" fontId="91" fillId="0" borderId="67" xfId="0" applyFont="1" applyFill="1" applyBorder="1" applyAlignment="1" applyProtection="1">
      <alignment horizontal="center" vertical="center" wrapText="1"/>
    </xf>
    <xf numFmtId="0" fontId="13" fillId="0" borderId="67" xfId="0" applyFont="1" applyFill="1" applyBorder="1"/>
    <xf numFmtId="166" fontId="3" fillId="0" borderId="67" xfId="1" applyFont="1" applyFill="1" applyBorder="1" applyAlignment="1">
      <alignment horizontal="center" vertical="center"/>
    </xf>
    <xf numFmtId="0" fontId="174" fillId="0" borderId="0" xfId="0" applyFont="1" applyFill="1" applyBorder="1" applyAlignment="1">
      <alignment horizontal="center"/>
    </xf>
    <xf numFmtId="0" fontId="14" fillId="0" borderId="94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3" fillId="32" borderId="85" xfId="0" applyFont="1" applyFill="1" applyBorder="1" applyAlignment="1">
      <alignment horizontal="center"/>
    </xf>
    <xf numFmtId="0" fontId="13" fillId="32" borderId="86" xfId="0" applyFont="1" applyFill="1" applyBorder="1" applyAlignment="1">
      <alignment horizontal="center"/>
    </xf>
    <xf numFmtId="0" fontId="170" fillId="33" borderId="109" xfId="0" applyFont="1" applyFill="1" applyBorder="1" applyAlignment="1">
      <alignment horizontal="center" vertical="center" wrapText="1"/>
    </xf>
    <xf numFmtId="0" fontId="170" fillId="33" borderId="86" xfId="0" applyFont="1" applyFill="1" applyBorder="1" applyAlignment="1">
      <alignment horizontal="center" vertical="center" wrapText="1"/>
    </xf>
    <xf numFmtId="0" fontId="134" fillId="3" borderId="109" xfId="0" applyFont="1" applyFill="1" applyBorder="1" applyAlignment="1">
      <alignment horizontal="left" vertical="center"/>
    </xf>
    <xf numFmtId="0" fontId="134" fillId="3" borderId="86" xfId="0" applyFont="1" applyFill="1" applyBorder="1" applyAlignment="1">
      <alignment horizontal="left" vertical="center"/>
    </xf>
    <xf numFmtId="0" fontId="134" fillId="33" borderId="109" xfId="0" applyFont="1" applyFill="1" applyBorder="1" applyAlignment="1">
      <alignment horizontal="center" vertical="center"/>
    </xf>
    <xf numFmtId="0" fontId="134" fillId="33" borderId="86" xfId="0" applyFont="1" applyFill="1" applyBorder="1" applyAlignment="1">
      <alignment horizontal="center" vertical="center"/>
    </xf>
    <xf numFmtId="0" fontId="13" fillId="0" borderId="85" xfId="0" applyFont="1" applyFill="1" applyBorder="1" applyAlignment="1">
      <alignment horizontal="center"/>
    </xf>
    <xf numFmtId="0" fontId="13" fillId="0" borderId="86" xfId="0" applyFont="1" applyFill="1" applyBorder="1" applyAlignment="1">
      <alignment horizontal="center"/>
    </xf>
    <xf numFmtId="166" fontId="160" fillId="0" borderId="101" xfId="1" applyFont="1" applyBorder="1" applyAlignment="1">
      <alignment horizontal="center" vertical="center"/>
    </xf>
    <xf numFmtId="0" fontId="167" fillId="0" borderId="0" xfId="0" applyFont="1" applyAlignment="1">
      <alignment horizontal="center"/>
    </xf>
    <xf numFmtId="172" fontId="120" fillId="2" borderId="90" xfId="1" applyNumberFormat="1" applyFont="1" applyFill="1" applyBorder="1" applyAlignment="1">
      <alignment horizontal="center" vertical="top" textRotation="180" wrapText="1"/>
    </xf>
    <xf numFmtId="172" fontId="120" fillId="2" borderId="34" xfId="1" applyNumberFormat="1" applyFont="1" applyFill="1" applyBorder="1" applyAlignment="1">
      <alignment horizontal="center" vertical="top" textRotation="180" wrapText="1"/>
    </xf>
    <xf numFmtId="172" fontId="120" fillId="2" borderId="30" xfId="1" applyNumberFormat="1" applyFont="1" applyFill="1" applyBorder="1" applyAlignment="1">
      <alignment horizontal="center" vertical="top" textRotation="180" wrapText="1"/>
    </xf>
    <xf numFmtId="166" fontId="0" fillId="45" borderId="90" xfId="1" applyFont="1" applyFill="1" applyBorder="1" applyAlignment="1">
      <alignment horizontal="center" vertical="center"/>
    </xf>
    <xf numFmtId="166" fontId="0" fillId="45" borderId="34" xfId="1" applyFont="1" applyFill="1" applyBorder="1" applyAlignment="1">
      <alignment horizontal="center" vertical="center"/>
    </xf>
    <xf numFmtId="166" fontId="0" fillId="45" borderId="30" xfId="1" applyFont="1" applyFill="1" applyBorder="1" applyAlignment="1">
      <alignment horizontal="center" vertical="center"/>
    </xf>
    <xf numFmtId="0" fontId="0" fillId="34" borderId="101" xfId="0" applyFill="1" applyBorder="1" applyAlignment="1">
      <alignment horizontal="center" vertical="center"/>
    </xf>
    <xf numFmtId="0" fontId="0" fillId="33" borderId="109" xfId="0" applyFill="1" applyBorder="1" applyAlignment="1">
      <alignment horizontal="center" wrapText="1"/>
    </xf>
    <xf numFmtId="0" fontId="0" fillId="33" borderId="79" xfId="0" applyFill="1" applyBorder="1" applyAlignment="1">
      <alignment horizontal="center" wrapText="1"/>
    </xf>
    <xf numFmtId="0" fontId="0" fillId="35" borderId="109" xfId="0" applyFill="1" applyBorder="1" applyAlignment="1">
      <alignment horizontal="center" wrapText="1"/>
    </xf>
    <xf numFmtId="0" fontId="0" fillId="35" borderId="79" xfId="0" applyFill="1" applyBorder="1" applyAlignment="1">
      <alignment horizontal="center" wrapText="1"/>
    </xf>
    <xf numFmtId="0" fontId="0" fillId="35" borderId="86" xfId="0" applyFill="1" applyBorder="1" applyAlignment="1">
      <alignment horizontal="center" wrapText="1"/>
    </xf>
    <xf numFmtId="0" fontId="0" fillId="34" borderId="90" xfId="0" applyFill="1" applyBorder="1" applyAlignment="1">
      <alignment horizontal="center" vertical="center" wrapText="1"/>
    </xf>
    <xf numFmtId="0" fontId="0" fillId="34" borderId="30" xfId="0" applyFill="1" applyBorder="1" applyAlignment="1">
      <alignment horizontal="center" vertical="center" wrapText="1"/>
    </xf>
    <xf numFmtId="0" fontId="0" fillId="46" borderId="85" xfId="0" applyFill="1" applyBorder="1" applyAlignment="1">
      <alignment horizontal="center" wrapText="1"/>
    </xf>
    <xf numFmtId="0" fontId="0" fillId="46" borderId="79" xfId="0" applyFill="1" applyBorder="1" applyAlignment="1">
      <alignment horizontal="center" wrapText="1"/>
    </xf>
    <xf numFmtId="0" fontId="0" fillId="46" borderId="86" xfId="0" applyFill="1" applyBorder="1" applyAlignment="1">
      <alignment horizontal="center" wrapText="1"/>
    </xf>
    <xf numFmtId="172" fontId="0" fillId="47" borderId="67" xfId="1" applyNumberFormat="1" applyFont="1" applyFill="1" applyBorder="1" applyAlignment="1">
      <alignment horizontal="center" vertical="top" textRotation="180" wrapText="1"/>
    </xf>
    <xf numFmtId="0" fontId="168" fillId="0" borderId="61" xfId="0" applyFont="1" applyFill="1" applyBorder="1" applyAlignment="1">
      <alignment horizontal="left" vertical="top" wrapText="1"/>
    </xf>
    <xf numFmtId="0" fontId="168" fillId="0" borderId="47" xfId="0" applyFont="1" applyFill="1" applyBorder="1" applyAlignment="1">
      <alignment horizontal="left" vertical="top" wrapText="1"/>
    </xf>
    <xf numFmtId="0" fontId="168" fillId="0" borderId="13" xfId="0" applyFont="1" applyFill="1" applyBorder="1" applyAlignment="1">
      <alignment horizontal="left" vertical="top" wrapText="1"/>
    </xf>
    <xf numFmtId="0" fontId="171" fillId="0" borderId="0" xfId="0" applyFont="1" applyFill="1" applyAlignment="1">
      <alignment horizontal="center"/>
    </xf>
    <xf numFmtId="0" fontId="170" fillId="0" borderId="0" xfId="0" applyFont="1" applyFill="1" applyAlignment="1">
      <alignment horizontal="center"/>
    </xf>
    <xf numFmtId="0" fontId="170" fillId="0" borderId="0" xfId="0" applyFont="1" applyFill="1" applyAlignment="1">
      <alignment horizontal="center" vertical="top" wrapText="1"/>
    </xf>
    <xf numFmtId="0" fontId="170" fillId="0" borderId="109" xfId="0" applyFont="1" applyFill="1" applyBorder="1" applyAlignment="1">
      <alignment horizontal="center" vertical="center"/>
    </xf>
    <xf numFmtId="0" fontId="170" fillId="0" borderId="86" xfId="0" applyFont="1" applyFill="1" applyBorder="1" applyAlignment="1">
      <alignment horizontal="center" vertical="center"/>
    </xf>
    <xf numFmtId="43" fontId="170" fillId="0" borderId="109" xfId="0" applyNumberFormat="1" applyFont="1" applyFill="1" applyBorder="1" applyAlignment="1">
      <alignment horizontal="center" vertical="center"/>
    </xf>
    <xf numFmtId="43" fontId="170" fillId="0" borderId="86" xfId="0" applyNumberFormat="1" applyFont="1" applyFill="1" applyBorder="1" applyAlignment="1">
      <alignment horizontal="center" vertical="center"/>
    </xf>
    <xf numFmtId="0" fontId="168" fillId="0" borderId="86" xfId="0" applyFont="1" applyFill="1" applyBorder="1" applyAlignment="1">
      <alignment horizontal="left" vertical="top" wrapText="1"/>
    </xf>
  </cellXfs>
  <cellStyles count="34968">
    <cellStyle name="20% - Accent1 10" xfId="18"/>
    <cellStyle name="20% - Accent1 11" xfId="19"/>
    <cellStyle name="20% - Accent1 12" xfId="20"/>
    <cellStyle name="20% - Accent1 13" xfId="21"/>
    <cellStyle name="20% - Accent1 14" xfId="22"/>
    <cellStyle name="20% - Accent1 15" xfId="23"/>
    <cellStyle name="20% - Accent1 16" xfId="24"/>
    <cellStyle name="20% - Accent1 17" xfId="25"/>
    <cellStyle name="20% - Accent1 18" xfId="26"/>
    <cellStyle name="20% - Accent1 19" xfId="27"/>
    <cellStyle name="20% - Accent1 2" xfId="28"/>
    <cellStyle name="20% - Accent1 2 2" xfId="29"/>
    <cellStyle name="20% - Accent1 2 3" xfId="30"/>
    <cellStyle name="20% - Accent1 2 4" xfId="31"/>
    <cellStyle name="20% - Accent1 2 5" xfId="32"/>
    <cellStyle name="20% - Accent1 2 6" xfId="33"/>
    <cellStyle name="20% - Accent1 20" xfId="34"/>
    <cellStyle name="20% - Accent1 21" xfId="35"/>
    <cellStyle name="20% - Accent1 22" xfId="36"/>
    <cellStyle name="20% - Accent1 23" xfId="37"/>
    <cellStyle name="20% - Accent1 24" xfId="38"/>
    <cellStyle name="20% - Accent1 25" xfId="39"/>
    <cellStyle name="20% - Accent1 26" xfId="40"/>
    <cellStyle name="20% - Accent1 27" xfId="41"/>
    <cellStyle name="20% - Accent1 28" xfId="42"/>
    <cellStyle name="20% - Accent1 29" xfId="43"/>
    <cellStyle name="20% - Accent1 3" xfId="44"/>
    <cellStyle name="20% - Accent1 30" xfId="45"/>
    <cellStyle name="20% - Accent1 31" xfId="46"/>
    <cellStyle name="20% - Accent1 32" xfId="47"/>
    <cellStyle name="20% - Accent1 33" xfId="48"/>
    <cellStyle name="20% - Accent1 34" xfId="49"/>
    <cellStyle name="20% - Accent1 35" xfId="50"/>
    <cellStyle name="20% - Accent1 36" xfId="51"/>
    <cellStyle name="20% - Accent1 37" xfId="52"/>
    <cellStyle name="20% - Accent1 38" xfId="53"/>
    <cellStyle name="20% - Accent1 39" xfId="54"/>
    <cellStyle name="20% - Accent1 4" xfId="55"/>
    <cellStyle name="20% - Accent1 40" xfId="56"/>
    <cellStyle name="20% - Accent1 41" xfId="57"/>
    <cellStyle name="20% - Accent1 42" xfId="58"/>
    <cellStyle name="20% - Accent1 43" xfId="59"/>
    <cellStyle name="20% - Accent1 44" xfId="60"/>
    <cellStyle name="20% - Accent1 45" xfId="61"/>
    <cellStyle name="20% - Accent1 46" xfId="62"/>
    <cellStyle name="20% - Accent1 47" xfId="63"/>
    <cellStyle name="20% - Accent1 48" xfId="64"/>
    <cellStyle name="20% - Accent1 49" xfId="65"/>
    <cellStyle name="20% - Accent1 5" xfId="66"/>
    <cellStyle name="20% - Accent1 50" xfId="67"/>
    <cellStyle name="20% - Accent1 51" xfId="68"/>
    <cellStyle name="20% - Accent1 52" xfId="69"/>
    <cellStyle name="20% - Accent1 53" xfId="70"/>
    <cellStyle name="20% - Accent1 53 2" xfId="7214"/>
    <cellStyle name="20% - Accent1 53 3" xfId="7215"/>
    <cellStyle name="20% - Accent1 53 4" xfId="7216"/>
    <cellStyle name="20% - Accent1 6" xfId="71"/>
    <cellStyle name="20% - Accent1 7" xfId="72"/>
    <cellStyle name="20% - Accent1 8" xfId="73"/>
    <cellStyle name="20% - Accent1 9" xfId="74"/>
    <cellStyle name="20% - Accent2 10" xfId="75"/>
    <cellStyle name="20% - Accent2 11" xfId="76"/>
    <cellStyle name="20% - Accent2 12" xfId="77"/>
    <cellStyle name="20% - Accent2 13" xfId="78"/>
    <cellStyle name="20% - Accent2 14" xfId="79"/>
    <cellStyle name="20% - Accent2 15" xfId="80"/>
    <cellStyle name="20% - Accent2 16" xfId="81"/>
    <cellStyle name="20% - Accent2 17" xfId="82"/>
    <cellStyle name="20% - Accent2 18" xfId="83"/>
    <cellStyle name="20% - Accent2 19" xfId="84"/>
    <cellStyle name="20% - Accent2 2" xfId="85"/>
    <cellStyle name="20% - Accent2 2 2" xfId="86"/>
    <cellStyle name="20% - Accent2 2 3" xfId="87"/>
    <cellStyle name="20% - Accent2 2 4" xfId="88"/>
    <cellStyle name="20% - Accent2 2 5" xfId="89"/>
    <cellStyle name="20% - Accent2 2 6" xfId="90"/>
    <cellStyle name="20% - Accent2 20" xfId="91"/>
    <cellStyle name="20% - Accent2 21" xfId="92"/>
    <cellStyle name="20% - Accent2 22" xfId="93"/>
    <cellStyle name="20% - Accent2 23" xfId="94"/>
    <cellStyle name="20% - Accent2 24" xfId="95"/>
    <cellStyle name="20% - Accent2 25" xfId="96"/>
    <cellStyle name="20% - Accent2 26" xfId="97"/>
    <cellStyle name="20% - Accent2 27" xfId="98"/>
    <cellStyle name="20% - Accent2 28" xfId="99"/>
    <cellStyle name="20% - Accent2 29" xfId="100"/>
    <cellStyle name="20% - Accent2 3" xfId="101"/>
    <cellStyle name="20% - Accent2 30" xfId="102"/>
    <cellStyle name="20% - Accent2 31" xfId="103"/>
    <cellStyle name="20% - Accent2 32" xfId="104"/>
    <cellStyle name="20% - Accent2 33" xfId="105"/>
    <cellStyle name="20% - Accent2 34" xfId="106"/>
    <cellStyle name="20% - Accent2 35" xfId="107"/>
    <cellStyle name="20% - Accent2 36" xfId="108"/>
    <cellStyle name="20% - Accent2 37" xfId="109"/>
    <cellStyle name="20% - Accent2 38" xfId="110"/>
    <cellStyle name="20% - Accent2 39" xfId="111"/>
    <cellStyle name="20% - Accent2 4" xfId="112"/>
    <cellStyle name="20% - Accent2 40" xfId="113"/>
    <cellStyle name="20% - Accent2 41" xfId="114"/>
    <cellStyle name="20% - Accent2 42" xfId="115"/>
    <cellStyle name="20% - Accent2 43" xfId="116"/>
    <cellStyle name="20% - Accent2 44" xfId="117"/>
    <cellStyle name="20% - Accent2 45" xfId="118"/>
    <cellStyle name="20% - Accent2 46" xfId="119"/>
    <cellStyle name="20% - Accent2 47" xfId="120"/>
    <cellStyle name="20% - Accent2 48" xfId="121"/>
    <cellStyle name="20% - Accent2 49" xfId="122"/>
    <cellStyle name="20% - Accent2 5" xfId="123"/>
    <cellStyle name="20% - Accent2 50" xfId="124"/>
    <cellStyle name="20% - Accent2 51" xfId="125"/>
    <cellStyle name="20% - Accent2 52" xfId="126"/>
    <cellStyle name="20% - Accent2 6" xfId="127"/>
    <cellStyle name="20% - Accent2 7" xfId="128"/>
    <cellStyle name="20% - Accent2 8" xfId="129"/>
    <cellStyle name="20% - Accent2 9" xfId="130"/>
    <cellStyle name="20% - Accent3 10" xfId="131"/>
    <cellStyle name="20% - Accent3 11" xfId="132"/>
    <cellStyle name="20% - Accent3 12" xfId="133"/>
    <cellStyle name="20% - Accent3 13" xfId="134"/>
    <cellStyle name="20% - Accent3 14" xfId="135"/>
    <cellStyle name="20% - Accent3 15" xfId="136"/>
    <cellStyle name="20% - Accent3 16" xfId="137"/>
    <cellStyle name="20% - Accent3 17" xfId="138"/>
    <cellStyle name="20% - Accent3 18" xfId="139"/>
    <cellStyle name="20% - Accent3 19" xfId="140"/>
    <cellStyle name="20% - Accent3 2" xfId="141"/>
    <cellStyle name="20% - Accent3 2 2" xfId="142"/>
    <cellStyle name="20% - Accent3 2 3" xfId="143"/>
    <cellStyle name="20% - Accent3 2 4" xfId="144"/>
    <cellStyle name="20% - Accent3 2 5" xfId="145"/>
    <cellStyle name="20% - Accent3 2 6" xfId="146"/>
    <cellStyle name="20% - Accent3 20" xfId="147"/>
    <cellStyle name="20% - Accent3 21" xfId="148"/>
    <cellStyle name="20% - Accent3 22" xfId="149"/>
    <cellStyle name="20% - Accent3 23" xfId="150"/>
    <cellStyle name="20% - Accent3 24" xfId="151"/>
    <cellStyle name="20% - Accent3 25" xfId="152"/>
    <cellStyle name="20% - Accent3 26" xfId="153"/>
    <cellStyle name="20% - Accent3 27" xfId="154"/>
    <cellStyle name="20% - Accent3 28" xfId="155"/>
    <cellStyle name="20% - Accent3 29" xfId="156"/>
    <cellStyle name="20% - Accent3 3" xfId="157"/>
    <cellStyle name="20% - Accent3 30" xfId="158"/>
    <cellStyle name="20% - Accent3 31" xfId="159"/>
    <cellStyle name="20% - Accent3 32" xfId="160"/>
    <cellStyle name="20% - Accent3 33" xfId="161"/>
    <cellStyle name="20% - Accent3 34" xfId="162"/>
    <cellStyle name="20% - Accent3 35" xfId="163"/>
    <cellStyle name="20% - Accent3 36" xfId="164"/>
    <cellStyle name="20% - Accent3 37" xfId="165"/>
    <cellStyle name="20% - Accent3 38" xfId="166"/>
    <cellStyle name="20% - Accent3 39" xfId="167"/>
    <cellStyle name="20% - Accent3 4" xfId="168"/>
    <cellStyle name="20% - Accent3 40" xfId="169"/>
    <cellStyle name="20% - Accent3 41" xfId="170"/>
    <cellStyle name="20% - Accent3 42" xfId="171"/>
    <cellStyle name="20% - Accent3 43" xfId="172"/>
    <cellStyle name="20% - Accent3 44" xfId="173"/>
    <cellStyle name="20% - Accent3 45" xfId="174"/>
    <cellStyle name="20% - Accent3 46" xfId="175"/>
    <cellStyle name="20% - Accent3 47" xfId="176"/>
    <cellStyle name="20% - Accent3 48" xfId="177"/>
    <cellStyle name="20% - Accent3 49" xfId="178"/>
    <cellStyle name="20% - Accent3 5" xfId="179"/>
    <cellStyle name="20% - Accent3 50" xfId="180"/>
    <cellStyle name="20% - Accent3 51" xfId="181"/>
    <cellStyle name="20% - Accent3 52" xfId="182"/>
    <cellStyle name="20% - Accent3 6" xfId="183"/>
    <cellStyle name="20% - Accent3 7" xfId="184"/>
    <cellStyle name="20% - Accent3 8" xfId="185"/>
    <cellStyle name="20% - Accent3 9" xfId="186"/>
    <cellStyle name="20% - Accent4 10" xfId="187"/>
    <cellStyle name="20% - Accent4 11" xfId="188"/>
    <cellStyle name="20% - Accent4 12" xfId="189"/>
    <cellStyle name="20% - Accent4 13" xfId="190"/>
    <cellStyle name="20% - Accent4 14" xfId="191"/>
    <cellStyle name="20% - Accent4 15" xfId="192"/>
    <cellStyle name="20% - Accent4 16" xfId="193"/>
    <cellStyle name="20% - Accent4 17" xfId="194"/>
    <cellStyle name="20% - Accent4 18" xfId="195"/>
    <cellStyle name="20% - Accent4 19" xfId="196"/>
    <cellStyle name="20% - Accent4 2" xfId="197"/>
    <cellStyle name="20% - Accent4 2 2" xfId="198"/>
    <cellStyle name="20% - Accent4 2 3" xfId="199"/>
    <cellStyle name="20% - Accent4 2 4" xfId="200"/>
    <cellStyle name="20% - Accent4 2 5" xfId="201"/>
    <cellStyle name="20% - Accent4 2 6" xfId="202"/>
    <cellStyle name="20% - Accent4 20" xfId="203"/>
    <cellStyle name="20% - Accent4 21" xfId="204"/>
    <cellStyle name="20% - Accent4 22" xfId="205"/>
    <cellStyle name="20% - Accent4 23" xfId="206"/>
    <cellStyle name="20% - Accent4 24" xfId="207"/>
    <cellStyle name="20% - Accent4 25" xfId="208"/>
    <cellStyle name="20% - Accent4 26" xfId="209"/>
    <cellStyle name="20% - Accent4 27" xfId="210"/>
    <cellStyle name="20% - Accent4 28" xfId="211"/>
    <cellStyle name="20% - Accent4 29" xfId="212"/>
    <cellStyle name="20% - Accent4 3" xfId="213"/>
    <cellStyle name="20% - Accent4 30" xfId="214"/>
    <cellStyle name="20% - Accent4 31" xfId="215"/>
    <cellStyle name="20% - Accent4 32" xfId="216"/>
    <cellStyle name="20% - Accent4 33" xfId="217"/>
    <cellStyle name="20% - Accent4 34" xfId="218"/>
    <cellStyle name="20% - Accent4 35" xfId="219"/>
    <cellStyle name="20% - Accent4 36" xfId="220"/>
    <cellStyle name="20% - Accent4 37" xfId="221"/>
    <cellStyle name="20% - Accent4 38" xfId="222"/>
    <cellStyle name="20% - Accent4 39" xfId="223"/>
    <cellStyle name="20% - Accent4 4" xfId="224"/>
    <cellStyle name="20% - Accent4 40" xfId="225"/>
    <cellStyle name="20% - Accent4 41" xfId="226"/>
    <cellStyle name="20% - Accent4 42" xfId="227"/>
    <cellStyle name="20% - Accent4 43" xfId="228"/>
    <cellStyle name="20% - Accent4 44" xfId="229"/>
    <cellStyle name="20% - Accent4 45" xfId="230"/>
    <cellStyle name="20% - Accent4 46" xfId="231"/>
    <cellStyle name="20% - Accent4 47" xfId="232"/>
    <cellStyle name="20% - Accent4 48" xfId="233"/>
    <cellStyle name="20% - Accent4 49" xfId="234"/>
    <cellStyle name="20% - Accent4 5" xfId="235"/>
    <cellStyle name="20% - Accent4 50" xfId="236"/>
    <cellStyle name="20% - Accent4 51" xfId="237"/>
    <cellStyle name="20% - Accent4 52" xfId="238"/>
    <cellStyle name="20% - Accent4 6" xfId="239"/>
    <cellStyle name="20% - Accent4 7" xfId="240"/>
    <cellStyle name="20% - Accent4 8" xfId="241"/>
    <cellStyle name="20% - Accent4 9" xfId="242"/>
    <cellStyle name="20% - Accent5 10" xfId="243"/>
    <cellStyle name="20% - Accent5 11" xfId="244"/>
    <cellStyle name="20% - Accent5 12" xfId="245"/>
    <cellStyle name="20% - Accent5 13" xfId="246"/>
    <cellStyle name="20% - Accent5 14" xfId="247"/>
    <cellStyle name="20% - Accent5 15" xfId="248"/>
    <cellStyle name="20% - Accent5 16" xfId="249"/>
    <cellStyle name="20% - Accent5 17" xfId="250"/>
    <cellStyle name="20% - Accent5 18" xfId="251"/>
    <cellStyle name="20% - Accent5 19" xfId="252"/>
    <cellStyle name="20% - Accent5 2" xfId="253"/>
    <cellStyle name="20% - Accent5 2 2" xfId="254"/>
    <cellStyle name="20% - Accent5 2 3" xfId="255"/>
    <cellStyle name="20% - Accent5 2 4" xfId="256"/>
    <cellStyle name="20% - Accent5 2 5" xfId="257"/>
    <cellStyle name="20% - Accent5 2 6" xfId="258"/>
    <cellStyle name="20% - Accent5 20" xfId="259"/>
    <cellStyle name="20% - Accent5 21" xfId="260"/>
    <cellStyle name="20% - Accent5 22" xfId="261"/>
    <cellStyle name="20% - Accent5 23" xfId="262"/>
    <cellStyle name="20% - Accent5 24" xfId="263"/>
    <cellStyle name="20% - Accent5 25" xfId="264"/>
    <cellStyle name="20% - Accent5 26" xfId="265"/>
    <cellStyle name="20% - Accent5 27" xfId="266"/>
    <cellStyle name="20% - Accent5 28" xfId="267"/>
    <cellStyle name="20% - Accent5 29" xfId="268"/>
    <cellStyle name="20% - Accent5 3" xfId="269"/>
    <cellStyle name="20% - Accent5 30" xfId="270"/>
    <cellStyle name="20% - Accent5 31" xfId="271"/>
    <cellStyle name="20% - Accent5 32" xfId="272"/>
    <cellStyle name="20% - Accent5 33" xfId="273"/>
    <cellStyle name="20% - Accent5 34" xfId="274"/>
    <cellStyle name="20% - Accent5 35" xfId="275"/>
    <cellStyle name="20% - Accent5 36" xfId="276"/>
    <cellStyle name="20% - Accent5 37" xfId="277"/>
    <cellStyle name="20% - Accent5 38" xfId="278"/>
    <cellStyle name="20% - Accent5 39" xfId="279"/>
    <cellStyle name="20% - Accent5 4" xfId="280"/>
    <cellStyle name="20% - Accent5 40" xfId="281"/>
    <cellStyle name="20% - Accent5 41" xfId="282"/>
    <cellStyle name="20% - Accent5 42" xfId="283"/>
    <cellStyle name="20% - Accent5 43" xfId="284"/>
    <cellStyle name="20% - Accent5 44" xfId="285"/>
    <cellStyle name="20% - Accent5 45" xfId="286"/>
    <cellStyle name="20% - Accent5 46" xfId="287"/>
    <cellStyle name="20% - Accent5 47" xfId="288"/>
    <cellStyle name="20% - Accent5 48" xfId="289"/>
    <cellStyle name="20% - Accent5 49" xfId="290"/>
    <cellStyle name="20% - Accent5 5" xfId="291"/>
    <cellStyle name="20% - Accent5 50" xfId="292"/>
    <cellStyle name="20% - Accent5 51" xfId="293"/>
    <cellStyle name="20% - Accent5 52" xfId="294"/>
    <cellStyle name="20% - Accent5 6" xfId="295"/>
    <cellStyle name="20% - Accent5 7" xfId="296"/>
    <cellStyle name="20% - Accent5 8" xfId="297"/>
    <cellStyle name="20% - Accent5 9" xfId="298"/>
    <cellStyle name="20% - Accent6 10" xfId="299"/>
    <cellStyle name="20% - Accent6 11" xfId="300"/>
    <cellStyle name="20% - Accent6 12" xfId="301"/>
    <cellStyle name="20% - Accent6 13" xfId="302"/>
    <cellStyle name="20% - Accent6 14" xfId="303"/>
    <cellStyle name="20% - Accent6 15" xfId="304"/>
    <cellStyle name="20% - Accent6 16" xfId="305"/>
    <cellStyle name="20% - Accent6 17" xfId="306"/>
    <cellStyle name="20% - Accent6 18" xfId="307"/>
    <cellStyle name="20% - Accent6 19" xfId="308"/>
    <cellStyle name="20% - Accent6 2" xfId="309"/>
    <cellStyle name="20% - Accent6 2 2" xfId="310"/>
    <cellStyle name="20% - Accent6 2 3" xfId="311"/>
    <cellStyle name="20% - Accent6 2 4" xfId="312"/>
    <cellStyle name="20% - Accent6 2 5" xfId="313"/>
    <cellStyle name="20% - Accent6 2 6" xfId="314"/>
    <cellStyle name="20% - Accent6 20" xfId="315"/>
    <cellStyle name="20% - Accent6 21" xfId="316"/>
    <cellStyle name="20% - Accent6 22" xfId="317"/>
    <cellStyle name="20% - Accent6 23" xfId="318"/>
    <cellStyle name="20% - Accent6 24" xfId="319"/>
    <cellStyle name="20% - Accent6 25" xfId="320"/>
    <cellStyle name="20% - Accent6 26" xfId="321"/>
    <cellStyle name="20% - Accent6 27" xfId="322"/>
    <cellStyle name="20% - Accent6 28" xfId="323"/>
    <cellStyle name="20% - Accent6 29" xfId="324"/>
    <cellStyle name="20% - Accent6 3" xfId="325"/>
    <cellStyle name="20% - Accent6 30" xfId="326"/>
    <cellStyle name="20% - Accent6 31" xfId="327"/>
    <cellStyle name="20% - Accent6 32" xfId="328"/>
    <cellStyle name="20% - Accent6 33" xfId="329"/>
    <cellStyle name="20% - Accent6 34" xfId="330"/>
    <cellStyle name="20% - Accent6 35" xfId="331"/>
    <cellStyle name="20% - Accent6 36" xfId="332"/>
    <cellStyle name="20% - Accent6 37" xfId="333"/>
    <cellStyle name="20% - Accent6 38" xfId="334"/>
    <cellStyle name="20% - Accent6 39" xfId="335"/>
    <cellStyle name="20% - Accent6 4" xfId="336"/>
    <cellStyle name="20% - Accent6 40" xfId="337"/>
    <cellStyle name="20% - Accent6 41" xfId="338"/>
    <cellStyle name="20% - Accent6 42" xfId="339"/>
    <cellStyle name="20% - Accent6 43" xfId="340"/>
    <cellStyle name="20% - Accent6 44" xfId="341"/>
    <cellStyle name="20% - Accent6 45" xfId="342"/>
    <cellStyle name="20% - Accent6 46" xfId="343"/>
    <cellStyle name="20% - Accent6 47" xfId="344"/>
    <cellStyle name="20% - Accent6 48" xfId="345"/>
    <cellStyle name="20% - Accent6 49" xfId="346"/>
    <cellStyle name="20% - Accent6 5" xfId="347"/>
    <cellStyle name="20% - Accent6 50" xfId="348"/>
    <cellStyle name="20% - Accent6 51" xfId="349"/>
    <cellStyle name="20% - Accent6 52" xfId="350"/>
    <cellStyle name="20% - Accent6 6" xfId="351"/>
    <cellStyle name="20% - Accent6 7" xfId="352"/>
    <cellStyle name="20% - Accent6 8" xfId="353"/>
    <cellStyle name="20% - Accent6 9" xfId="354"/>
    <cellStyle name="40% - Accent1 10" xfId="355"/>
    <cellStyle name="40% - Accent1 11" xfId="356"/>
    <cellStyle name="40% - Accent1 12" xfId="357"/>
    <cellStyle name="40% - Accent1 13" xfId="358"/>
    <cellStyle name="40% - Accent1 14" xfId="359"/>
    <cellStyle name="40% - Accent1 15" xfId="360"/>
    <cellStyle name="40% - Accent1 16" xfId="361"/>
    <cellStyle name="40% - Accent1 17" xfId="362"/>
    <cellStyle name="40% - Accent1 18" xfId="363"/>
    <cellStyle name="40% - Accent1 19" xfId="364"/>
    <cellStyle name="40% - Accent1 2" xfId="365"/>
    <cellStyle name="40% - Accent1 2 2" xfId="366"/>
    <cellStyle name="40% - Accent1 2 3" xfId="367"/>
    <cellStyle name="40% - Accent1 2 4" xfId="368"/>
    <cellStyle name="40% - Accent1 2 5" xfId="369"/>
    <cellStyle name="40% - Accent1 2 6" xfId="370"/>
    <cellStyle name="40% - Accent1 20" xfId="371"/>
    <cellStyle name="40% - Accent1 21" xfId="372"/>
    <cellStyle name="40% - Accent1 22" xfId="373"/>
    <cellStyle name="40% - Accent1 23" xfId="374"/>
    <cellStyle name="40% - Accent1 24" xfId="375"/>
    <cellStyle name="40% - Accent1 25" xfId="376"/>
    <cellStyle name="40% - Accent1 26" xfId="377"/>
    <cellStyle name="40% - Accent1 27" xfId="378"/>
    <cellStyle name="40% - Accent1 28" xfId="379"/>
    <cellStyle name="40% - Accent1 29" xfId="380"/>
    <cellStyle name="40% - Accent1 3" xfId="381"/>
    <cellStyle name="40% - Accent1 30" xfId="382"/>
    <cellStyle name="40% - Accent1 31" xfId="383"/>
    <cellStyle name="40% - Accent1 32" xfId="384"/>
    <cellStyle name="40% - Accent1 33" xfId="385"/>
    <cellStyle name="40% - Accent1 34" xfId="386"/>
    <cellStyle name="40% - Accent1 35" xfId="387"/>
    <cellStyle name="40% - Accent1 36" xfId="388"/>
    <cellStyle name="40% - Accent1 37" xfId="389"/>
    <cellStyle name="40% - Accent1 38" xfId="390"/>
    <cellStyle name="40% - Accent1 39" xfId="391"/>
    <cellStyle name="40% - Accent1 4" xfId="392"/>
    <cellStyle name="40% - Accent1 40" xfId="393"/>
    <cellStyle name="40% - Accent1 41" xfId="394"/>
    <cellStyle name="40% - Accent1 42" xfId="395"/>
    <cellStyle name="40% - Accent1 43" xfId="396"/>
    <cellStyle name="40% - Accent1 44" xfId="397"/>
    <cellStyle name="40% - Accent1 45" xfId="398"/>
    <cellStyle name="40% - Accent1 46" xfId="399"/>
    <cellStyle name="40% - Accent1 47" xfId="400"/>
    <cellStyle name="40% - Accent1 48" xfId="401"/>
    <cellStyle name="40% - Accent1 49" xfId="402"/>
    <cellStyle name="40% - Accent1 5" xfId="403"/>
    <cellStyle name="40% - Accent1 50" xfId="404"/>
    <cellStyle name="40% - Accent1 51" xfId="405"/>
    <cellStyle name="40% - Accent1 52" xfId="406"/>
    <cellStyle name="40% - Accent1 6" xfId="407"/>
    <cellStyle name="40% - Accent1 7" xfId="408"/>
    <cellStyle name="40% - Accent1 8" xfId="409"/>
    <cellStyle name="40% - Accent1 9" xfId="410"/>
    <cellStyle name="40% - Accent2 10" xfId="411"/>
    <cellStyle name="40% - Accent2 11" xfId="412"/>
    <cellStyle name="40% - Accent2 12" xfId="413"/>
    <cellStyle name="40% - Accent2 13" xfId="414"/>
    <cellStyle name="40% - Accent2 14" xfId="415"/>
    <cellStyle name="40% - Accent2 15" xfId="416"/>
    <cellStyle name="40% - Accent2 16" xfId="417"/>
    <cellStyle name="40% - Accent2 17" xfId="418"/>
    <cellStyle name="40% - Accent2 18" xfId="419"/>
    <cellStyle name="40% - Accent2 19" xfId="420"/>
    <cellStyle name="40% - Accent2 2" xfId="421"/>
    <cellStyle name="40% - Accent2 2 2" xfId="422"/>
    <cellStyle name="40% - Accent2 2 3" xfId="423"/>
    <cellStyle name="40% - Accent2 2 4" xfId="424"/>
    <cellStyle name="40% - Accent2 2 5" xfId="425"/>
    <cellStyle name="40% - Accent2 2 6" xfId="426"/>
    <cellStyle name="40% - Accent2 20" xfId="427"/>
    <cellStyle name="40% - Accent2 21" xfId="428"/>
    <cellStyle name="40% - Accent2 22" xfId="429"/>
    <cellStyle name="40% - Accent2 23" xfId="430"/>
    <cellStyle name="40% - Accent2 24" xfId="431"/>
    <cellStyle name="40% - Accent2 25" xfId="432"/>
    <cellStyle name="40% - Accent2 26" xfId="433"/>
    <cellStyle name="40% - Accent2 27" xfId="434"/>
    <cellStyle name="40% - Accent2 28" xfId="435"/>
    <cellStyle name="40% - Accent2 29" xfId="436"/>
    <cellStyle name="40% - Accent2 3" xfId="437"/>
    <cellStyle name="40% - Accent2 30" xfId="438"/>
    <cellStyle name="40% - Accent2 31" xfId="439"/>
    <cellStyle name="40% - Accent2 32" xfId="440"/>
    <cellStyle name="40% - Accent2 33" xfId="441"/>
    <cellStyle name="40% - Accent2 34" xfId="442"/>
    <cellStyle name="40% - Accent2 35" xfId="443"/>
    <cellStyle name="40% - Accent2 36" xfId="444"/>
    <cellStyle name="40% - Accent2 37" xfId="445"/>
    <cellStyle name="40% - Accent2 38" xfId="446"/>
    <cellStyle name="40% - Accent2 39" xfId="447"/>
    <cellStyle name="40% - Accent2 4" xfId="448"/>
    <cellStyle name="40% - Accent2 40" xfId="449"/>
    <cellStyle name="40% - Accent2 41" xfId="450"/>
    <cellStyle name="40% - Accent2 42" xfId="451"/>
    <cellStyle name="40% - Accent2 43" xfId="452"/>
    <cellStyle name="40% - Accent2 44" xfId="453"/>
    <cellStyle name="40% - Accent2 45" xfId="454"/>
    <cellStyle name="40% - Accent2 46" xfId="455"/>
    <cellStyle name="40% - Accent2 47" xfId="456"/>
    <cellStyle name="40% - Accent2 48" xfId="457"/>
    <cellStyle name="40% - Accent2 49" xfId="458"/>
    <cellStyle name="40% - Accent2 5" xfId="459"/>
    <cellStyle name="40% - Accent2 50" xfId="460"/>
    <cellStyle name="40% - Accent2 51" xfId="461"/>
    <cellStyle name="40% - Accent2 52" xfId="462"/>
    <cellStyle name="40% - Accent2 6" xfId="463"/>
    <cellStyle name="40% - Accent2 7" xfId="464"/>
    <cellStyle name="40% - Accent2 8" xfId="465"/>
    <cellStyle name="40% - Accent2 9" xfId="466"/>
    <cellStyle name="40% - Accent3 10" xfId="467"/>
    <cellStyle name="40% - Accent3 11" xfId="468"/>
    <cellStyle name="40% - Accent3 12" xfId="469"/>
    <cellStyle name="40% - Accent3 13" xfId="470"/>
    <cellStyle name="40% - Accent3 14" xfId="471"/>
    <cellStyle name="40% - Accent3 15" xfId="472"/>
    <cellStyle name="40% - Accent3 16" xfId="473"/>
    <cellStyle name="40% - Accent3 17" xfId="474"/>
    <cellStyle name="40% - Accent3 18" xfId="475"/>
    <cellStyle name="40% - Accent3 19" xfId="476"/>
    <cellStyle name="40% - Accent3 2" xfId="477"/>
    <cellStyle name="40% - Accent3 2 2" xfId="478"/>
    <cellStyle name="40% - Accent3 2 3" xfId="479"/>
    <cellStyle name="40% - Accent3 2 4" xfId="480"/>
    <cellStyle name="40% - Accent3 2 5" xfId="481"/>
    <cellStyle name="40% - Accent3 2 6" xfId="482"/>
    <cellStyle name="40% - Accent3 20" xfId="483"/>
    <cellStyle name="40% - Accent3 21" xfId="484"/>
    <cellStyle name="40% - Accent3 22" xfId="485"/>
    <cellStyle name="40% - Accent3 23" xfId="486"/>
    <cellStyle name="40% - Accent3 24" xfId="487"/>
    <cellStyle name="40% - Accent3 25" xfId="488"/>
    <cellStyle name="40% - Accent3 26" xfId="489"/>
    <cellStyle name="40% - Accent3 27" xfId="490"/>
    <cellStyle name="40% - Accent3 28" xfId="491"/>
    <cellStyle name="40% - Accent3 29" xfId="492"/>
    <cellStyle name="40% - Accent3 3" xfId="493"/>
    <cellStyle name="40% - Accent3 30" xfId="494"/>
    <cellStyle name="40% - Accent3 31" xfId="495"/>
    <cellStyle name="40% - Accent3 32" xfId="496"/>
    <cellStyle name="40% - Accent3 33" xfId="497"/>
    <cellStyle name="40% - Accent3 34" xfId="498"/>
    <cellStyle name="40% - Accent3 35" xfId="499"/>
    <cellStyle name="40% - Accent3 36" xfId="500"/>
    <cellStyle name="40% - Accent3 37" xfId="501"/>
    <cellStyle name="40% - Accent3 38" xfId="502"/>
    <cellStyle name="40% - Accent3 39" xfId="503"/>
    <cellStyle name="40% - Accent3 4" xfId="504"/>
    <cellStyle name="40% - Accent3 40" xfId="505"/>
    <cellStyle name="40% - Accent3 41" xfId="506"/>
    <cellStyle name="40% - Accent3 42" xfId="507"/>
    <cellStyle name="40% - Accent3 43" xfId="508"/>
    <cellStyle name="40% - Accent3 44" xfId="509"/>
    <cellStyle name="40% - Accent3 45" xfId="510"/>
    <cellStyle name="40% - Accent3 46" xfId="511"/>
    <cellStyle name="40% - Accent3 47" xfId="512"/>
    <cellStyle name="40% - Accent3 48" xfId="513"/>
    <cellStyle name="40% - Accent3 49" xfId="514"/>
    <cellStyle name="40% - Accent3 5" xfId="515"/>
    <cellStyle name="40% - Accent3 50" xfId="516"/>
    <cellStyle name="40% - Accent3 51" xfId="517"/>
    <cellStyle name="40% - Accent3 52" xfId="518"/>
    <cellStyle name="40% - Accent3 6" xfId="519"/>
    <cellStyle name="40% - Accent3 7" xfId="520"/>
    <cellStyle name="40% - Accent3 8" xfId="521"/>
    <cellStyle name="40% - Accent3 9" xfId="522"/>
    <cellStyle name="40% - Accent4 10" xfId="523"/>
    <cellStyle name="40% - Accent4 11" xfId="524"/>
    <cellStyle name="40% - Accent4 12" xfId="525"/>
    <cellStyle name="40% - Accent4 13" xfId="526"/>
    <cellStyle name="40% - Accent4 14" xfId="527"/>
    <cellStyle name="40% - Accent4 15" xfId="528"/>
    <cellStyle name="40% - Accent4 16" xfId="529"/>
    <cellStyle name="40% - Accent4 17" xfId="530"/>
    <cellStyle name="40% - Accent4 18" xfId="531"/>
    <cellStyle name="40% - Accent4 19" xfId="532"/>
    <cellStyle name="40% - Accent4 2" xfId="533"/>
    <cellStyle name="40% - Accent4 2 2" xfId="534"/>
    <cellStyle name="40% - Accent4 2 3" xfId="535"/>
    <cellStyle name="40% - Accent4 2 4" xfId="536"/>
    <cellStyle name="40% - Accent4 2 5" xfId="537"/>
    <cellStyle name="40% - Accent4 2 6" xfId="538"/>
    <cellStyle name="40% - Accent4 20" xfId="539"/>
    <cellStyle name="40% - Accent4 21" xfId="540"/>
    <cellStyle name="40% - Accent4 22" xfId="541"/>
    <cellStyle name="40% - Accent4 23" xfId="542"/>
    <cellStyle name="40% - Accent4 24" xfId="543"/>
    <cellStyle name="40% - Accent4 25" xfId="544"/>
    <cellStyle name="40% - Accent4 26" xfId="545"/>
    <cellStyle name="40% - Accent4 27" xfId="546"/>
    <cellStyle name="40% - Accent4 28" xfId="547"/>
    <cellStyle name="40% - Accent4 29" xfId="548"/>
    <cellStyle name="40% - Accent4 3" xfId="549"/>
    <cellStyle name="40% - Accent4 30" xfId="550"/>
    <cellStyle name="40% - Accent4 31" xfId="551"/>
    <cellStyle name="40% - Accent4 32" xfId="552"/>
    <cellStyle name="40% - Accent4 33" xfId="553"/>
    <cellStyle name="40% - Accent4 34" xfId="554"/>
    <cellStyle name="40% - Accent4 35" xfId="555"/>
    <cellStyle name="40% - Accent4 36" xfId="556"/>
    <cellStyle name="40% - Accent4 37" xfId="557"/>
    <cellStyle name="40% - Accent4 38" xfId="558"/>
    <cellStyle name="40% - Accent4 39" xfId="559"/>
    <cellStyle name="40% - Accent4 4" xfId="560"/>
    <cellStyle name="40% - Accent4 40" xfId="561"/>
    <cellStyle name="40% - Accent4 41" xfId="562"/>
    <cellStyle name="40% - Accent4 42" xfId="563"/>
    <cellStyle name="40% - Accent4 43" xfId="564"/>
    <cellStyle name="40% - Accent4 44" xfId="565"/>
    <cellStyle name="40% - Accent4 45" xfId="566"/>
    <cellStyle name="40% - Accent4 46" xfId="567"/>
    <cellStyle name="40% - Accent4 47" xfId="568"/>
    <cellStyle name="40% - Accent4 48" xfId="569"/>
    <cellStyle name="40% - Accent4 49" xfId="570"/>
    <cellStyle name="40% - Accent4 5" xfId="571"/>
    <cellStyle name="40% - Accent4 50" xfId="572"/>
    <cellStyle name="40% - Accent4 51" xfId="573"/>
    <cellStyle name="40% - Accent4 52" xfId="574"/>
    <cellStyle name="40% - Accent4 6" xfId="575"/>
    <cellStyle name="40% - Accent4 7" xfId="576"/>
    <cellStyle name="40% - Accent4 8" xfId="577"/>
    <cellStyle name="40% - Accent4 9" xfId="578"/>
    <cellStyle name="40% - Accent5 10" xfId="579"/>
    <cellStyle name="40% - Accent5 11" xfId="580"/>
    <cellStyle name="40% - Accent5 12" xfId="581"/>
    <cellStyle name="40% - Accent5 13" xfId="582"/>
    <cellStyle name="40% - Accent5 14" xfId="583"/>
    <cellStyle name="40% - Accent5 15" xfId="584"/>
    <cellStyle name="40% - Accent5 16" xfId="585"/>
    <cellStyle name="40% - Accent5 17" xfId="586"/>
    <cellStyle name="40% - Accent5 18" xfId="587"/>
    <cellStyle name="40% - Accent5 19" xfId="588"/>
    <cellStyle name="40% - Accent5 2" xfId="589"/>
    <cellStyle name="40% - Accent5 2 2" xfId="590"/>
    <cellStyle name="40% - Accent5 2 3" xfId="591"/>
    <cellStyle name="40% - Accent5 2 4" xfId="592"/>
    <cellStyle name="40% - Accent5 2 5" xfId="593"/>
    <cellStyle name="40% - Accent5 2 6" xfId="594"/>
    <cellStyle name="40% - Accent5 20" xfId="595"/>
    <cellStyle name="40% - Accent5 21" xfId="596"/>
    <cellStyle name="40% - Accent5 22" xfId="597"/>
    <cellStyle name="40% - Accent5 23" xfId="598"/>
    <cellStyle name="40% - Accent5 24" xfId="599"/>
    <cellStyle name="40% - Accent5 25" xfId="600"/>
    <cellStyle name="40% - Accent5 26" xfId="601"/>
    <cellStyle name="40% - Accent5 27" xfId="602"/>
    <cellStyle name="40% - Accent5 28" xfId="603"/>
    <cellStyle name="40% - Accent5 29" xfId="604"/>
    <cellStyle name="40% - Accent5 3" xfId="605"/>
    <cellStyle name="40% - Accent5 30" xfId="606"/>
    <cellStyle name="40% - Accent5 31" xfId="607"/>
    <cellStyle name="40% - Accent5 32" xfId="608"/>
    <cellStyle name="40% - Accent5 33" xfId="609"/>
    <cellStyle name="40% - Accent5 34" xfId="610"/>
    <cellStyle name="40% - Accent5 35" xfId="611"/>
    <cellStyle name="40% - Accent5 36" xfId="612"/>
    <cellStyle name="40% - Accent5 37" xfId="613"/>
    <cellStyle name="40% - Accent5 38" xfId="614"/>
    <cellStyle name="40% - Accent5 39" xfId="615"/>
    <cellStyle name="40% - Accent5 4" xfId="616"/>
    <cellStyle name="40% - Accent5 40" xfId="617"/>
    <cellStyle name="40% - Accent5 41" xfId="618"/>
    <cellStyle name="40% - Accent5 42" xfId="619"/>
    <cellStyle name="40% - Accent5 43" xfId="620"/>
    <cellStyle name="40% - Accent5 44" xfId="621"/>
    <cellStyle name="40% - Accent5 45" xfId="622"/>
    <cellStyle name="40% - Accent5 46" xfId="623"/>
    <cellStyle name="40% - Accent5 47" xfId="624"/>
    <cellStyle name="40% - Accent5 48" xfId="625"/>
    <cellStyle name="40% - Accent5 49" xfId="626"/>
    <cellStyle name="40% - Accent5 5" xfId="627"/>
    <cellStyle name="40% - Accent5 50" xfId="628"/>
    <cellStyle name="40% - Accent5 51" xfId="629"/>
    <cellStyle name="40% - Accent5 52" xfId="630"/>
    <cellStyle name="40% - Accent5 6" xfId="631"/>
    <cellStyle name="40% - Accent5 7" xfId="632"/>
    <cellStyle name="40% - Accent5 8" xfId="633"/>
    <cellStyle name="40% - Accent5 9" xfId="634"/>
    <cellStyle name="40% - Accent6 10" xfId="635"/>
    <cellStyle name="40% - Accent6 11" xfId="636"/>
    <cellStyle name="40% - Accent6 12" xfId="637"/>
    <cellStyle name="40% - Accent6 13" xfId="638"/>
    <cellStyle name="40% - Accent6 14" xfId="639"/>
    <cellStyle name="40% - Accent6 15" xfId="640"/>
    <cellStyle name="40% - Accent6 16" xfId="641"/>
    <cellStyle name="40% - Accent6 17" xfId="642"/>
    <cellStyle name="40% - Accent6 18" xfId="643"/>
    <cellStyle name="40% - Accent6 19" xfId="644"/>
    <cellStyle name="40% - Accent6 2" xfId="645"/>
    <cellStyle name="40% - Accent6 2 2" xfId="646"/>
    <cellStyle name="40% - Accent6 2 3" xfId="647"/>
    <cellStyle name="40% - Accent6 2 4" xfId="648"/>
    <cellStyle name="40% - Accent6 2 5" xfId="649"/>
    <cellStyle name="40% - Accent6 2 6" xfId="650"/>
    <cellStyle name="40% - Accent6 20" xfId="651"/>
    <cellStyle name="40% - Accent6 21" xfId="652"/>
    <cellStyle name="40% - Accent6 22" xfId="653"/>
    <cellStyle name="40% - Accent6 23" xfId="654"/>
    <cellStyle name="40% - Accent6 24" xfId="655"/>
    <cellStyle name="40% - Accent6 25" xfId="656"/>
    <cellStyle name="40% - Accent6 26" xfId="657"/>
    <cellStyle name="40% - Accent6 27" xfId="658"/>
    <cellStyle name="40% - Accent6 28" xfId="659"/>
    <cellStyle name="40% - Accent6 29" xfId="660"/>
    <cellStyle name="40% - Accent6 3" xfId="661"/>
    <cellStyle name="40% - Accent6 30" xfId="662"/>
    <cellStyle name="40% - Accent6 31" xfId="663"/>
    <cellStyle name="40% - Accent6 32" xfId="664"/>
    <cellStyle name="40% - Accent6 33" xfId="665"/>
    <cellStyle name="40% - Accent6 34" xfId="666"/>
    <cellStyle name="40% - Accent6 35" xfId="667"/>
    <cellStyle name="40% - Accent6 36" xfId="668"/>
    <cellStyle name="40% - Accent6 37" xfId="669"/>
    <cellStyle name="40% - Accent6 38" xfId="670"/>
    <cellStyle name="40% - Accent6 39" xfId="671"/>
    <cellStyle name="40% - Accent6 4" xfId="672"/>
    <cellStyle name="40% - Accent6 40" xfId="673"/>
    <cellStyle name="40% - Accent6 41" xfId="674"/>
    <cellStyle name="40% - Accent6 42" xfId="675"/>
    <cellStyle name="40% - Accent6 43" xfId="676"/>
    <cellStyle name="40% - Accent6 44" xfId="677"/>
    <cellStyle name="40% - Accent6 45" xfId="678"/>
    <cellStyle name="40% - Accent6 46" xfId="679"/>
    <cellStyle name="40% - Accent6 47" xfId="680"/>
    <cellStyle name="40% - Accent6 48" xfId="681"/>
    <cellStyle name="40% - Accent6 49" xfId="682"/>
    <cellStyle name="40% - Accent6 5" xfId="683"/>
    <cellStyle name="40% - Accent6 50" xfId="684"/>
    <cellStyle name="40% - Accent6 51" xfId="685"/>
    <cellStyle name="40% - Accent6 52" xfId="686"/>
    <cellStyle name="40% - Accent6 6" xfId="687"/>
    <cellStyle name="40% - Accent6 7" xfId="688"/>
    <cellStyle name="40% - Accent6 8" xfId="689"/>
    <cellStyle name="40% - Accent6 9" xfId="690"/>
    <cellStyle name="60% - Accent1 10" xfId="691"/>
    <cellStyle name="60% - Accent1 11" xfId="692"/>
    <cellStyle name="60% - Accent1 12" xfId="693"/>
    <cellStyle name="60% - Accent1 13" xfId="694"/>
    <cellStyle name="60% - Accent1 14" xfId="695"/>
    <cellStyle name="60% - Accent1 15" xfId="696"/>
    <cellStyle name="60% - Accent1 16" xfId="697"/>
    <cellStyle name="60% - Accent1 17" xfId="698"/>
    <cellStyle name="60% - Accent1 18" xfId="699"/>
    <cellStyle name="60% - Accent1 19" xfId="700"/>
    <cellStyle name="60% - Accent1 2" xfId="701"/>
    <cellStyle name="60% - Accent1 2 2" xfId="702"/>
    <cellStyle name="60% - Accent1 2 3" xfId="703"/>
    <cellStyle name="60% - Accent1 2 4" xfId="704"/>
    <cellStyle name="60% - Accent1 2 5" xfId="705"/>
    <cellStyle name="60% - Accent1 2 6" xfId="706"/>
    <cellStyle name="60% - Accent1 20" xfId="707"/>
    <cellStyle name="60% - Accent1 21" xfId="708"/>
    <cellStyle name="60% - Accent1 22" xfId="709"/>
    <cellStyle name="60% - Accent1 23" xfId="710"/>
    <cellStyle name="60% - Accent1 24" xfId="711"/>
    <cellStyle name="60% - Accent1 25" xfId="712"/>
    <cellStyle name="60% - Accent1 26" xfId="713"/>
    <cellStyle name="60% - Accent1 27" xfId="714"/>
    <cellStyle name="60% - Accent1 28" xfId="715"/>
    <cellStyle name="60% - Accent1 29" xfId="716"/>
    <cellStyle name="60% - Accent1 3" xfId="717"/>
    <cellStyle name="60% - Accent1 30" xfId="718"/>
    <cellStyle name="60% - Accent1 31" xfId="719"/>
    <cellStyle name="60% - Accent1 32" xfId="720"/>
    <cellStyle name="60% - Accent1 33" xfId="721"/>
    <cellStyle name="60% - Accent1 34" xfId="722"/>
    <cellStyle name="60% - Accent1 35" xfId="723"/>
    <cellStyle name="60% - Accent1 36" xfId="724"/>
    <cellStyle name="60% - Accent1 37" xfId="725"/>
    <cellStyle name="60% - Accent1 38" xfId="726"/>
    <cellStyle name="60% - Accent1 39" xfId="727"/>
    <cellStyle name="60% - Accent1 4" xfId="728"/>
    <cellStyle name="60% - Accent1 40" xfId="729"/>
    <cellStyle name="60% - Accent1 41" xfId="730"/>
    <cellStyle name="60% - Accent1 42" xfId="731"/>
    <cellStyle name="60% - Accent1 43" xfId="732"/>
    <cellStyle name="60% - Accent1 44" xfId="733"/>
    <cellStyle name="60% - Accent1 45" xfId="734"/>
    <cellStyle name="60% - Accent1 46" xfId="735"/>
    <cellStyle name="60% - Accent1 47" xfId="736"/>
    <cellStyle name="60% - Accent1 48" xfId="737"/>
    <cellStyle name="60% - Accent1 49" xfId="738"/>
    <cellStyle name="60% - Accent1 5" xfId="739"/>
    <cellStyle name="60% - Accent1 50" xfId="740"/>
    <cellStyle name="60% - Accent1 51" xfId="741"/>
    <cellStyle name="60% - Accent1 52" xfId="742"/>
    <cellStyle name="60% - Accent1 6" xfId="743"/>
    <cellStyle name="60% - Accent1 7" xfId="744"/>
    <cellStyle name="60% - Accent1 8" xfId="745"/>
    <cellStyle name="60% - Accent1 9" xfId="746"/>
    <cellStyle name="60% - Accent2 10" xfId="747"/>
    <cellStyle name="60% - Accent2 11" xfId="748"/>
    <cellStyle name="60% - Accent2 12" xfId="749"/>
    <cellStyle name="60% - Accent2 13" xfId="750"/>
    <cellStyle name="60% - Accent2 14" xfId="751"/>
    <cellStyle name="60% - Accent2 15" xfId="752"/>
    <cellStyle name="60% - Accent2 16" xfId="753"/>
    <cellStyle name="60% - Accent2 17" xfId="754"/>
    <cellStyle name="60% - Accent2 18" xfId="755"/>
    <cellStyle name="60% - Accent2 19" xfId="756"/>
    <cellStyle name="60% - Accent2 2" xfId="757"/>
    <cellStyle name="60% - Accent2 2 2" xfId="758"/>
    <cellStyle name="60% - Accent2 2 3" xfId="759"/>
    <cellStyle name="60% - Accent2 2 4" xfId="760"/>
    <cellStyle name="60% - Accent2 2 5" xfId="761"/>
    <cellStyle name="60% - Accent2 2 6" xfId="762"/>
    <cellStyle name="60% - Accent2 20" xfId="763"/>
    <cellStyle name="60% - Accent2 21" xfId="764"/>
    <cellStyle name="60% - Accent2 22" xfId="765"/>
    <cellStyle name="60% - Accent2 23" xfId="766"/>
    <cellStyle name="60% - Accent2 24" xfId="767"/>
    <cellStyle name="60% - Accent2 25" xfId="768"/>
    <cellStyle name="60% - Accent2 26" xfId="769"/>
    <cellStyle name="60% - Accent2 27" xfId="770"/>
    <cellStyle name="60% - Accent2 28" xfId="771"/>
    <cellStyle name="60% - Accent2 29" xfId="772"/>
    <cellStyle name="60% - Accent2 3" xfId="773"/>
    <cellStyle name="60% - Accent2 30" xfId="774"/>
    <cellStyle name="60% - Accent2 31" xfId="775"/>
    <cellStyle name="60% - Accent2 32" xfId="776"/>
    <cellStyle name="60% - Accent2 33" xfId="777"/>
    <cellStyle name="60% - Accent2 34" xfId="778"/>
    <cellStyle name="60% - Accent2 35" xfId="779"/>
    <cellStyle name="60% - Accent2 36" xfId="780"/>
    <cellStyle name="60% - Accent2 37" xfId="781"/>
    <cellStyle name="60% - Accent2 38" xfId="782"/>
    <cellStyle name="60% - Accent2 39" xfId="783"/>
    <cellStyle name="60% - Accent2 4" xfId="784"/>
    <cellStyle name="60% - Accent2 40" xfId="785"/>
    <cellStyle name="60% - Accent2 41" xfId="786"/>
    <cellStyle name="60% - Accent2 42" xfId="787"/>
    <cellStyle name="60% - Accent2 43" xfId="788"/>
    <cellStyle name="60% - Accent2 44" xfId="789"/>
    <cellStyle name="60% - Accent2 45" xfId="790"/>
    <cellStyle name="60% - Accent2 46" xfId="791"/>
    <cellStyle name="60% - Accent2 47" xfId="792"/>
    <cellStyle name="60% - Accent2 48" xfId="793"/>
    <cellStyle name="60% - Accent2 49" xfId="794"/>
    <cellStyle name="60% - Accent2 5" xfId="795"/>
    <cellStyle name="60% - Accent2 50" xfId="796"/>
    <cellStyle name="60% - Accent2 51" xfId="797"/>
    <cellStyle name="60% - Accent2 52" xfId="798"/>
    <cellStyle name="60% - Accent2 6" xfId="799"/>
    <cellStyle name="60% - Accent2 7" xfId="800"/>
    <cellStyle name="60% - Accent2 8" xfId="801"/>
    <cellStyle name="60% - Accent2 9" xfId="802"/>
    <cellStyle name="60% - Accent3 10" xfId="803"/>
    <cellStyle name="60% - Accent3 11" xfId="804"/>
    <cellStyle name="60% - Accent3 12" xfId="805"/>
    <cellStyle name="60% - Accent3 13" xfId="806"/>
    <cellStyle name="60% - Accent3 14" xfId="807"/>
    <cellStyle name="60% - Accent3 15" xfId="808"/>
    <cellStyle name="60% - Accent3 16" xfId="809"/>
    <cellStyle name="60% - Accent3 17" xfId="810"/>
    <cellStyle name="60% - Accent3 18" xfId="811"/>
    <cellStyle name="60% - Accent3 19" xfId="812"/>
    <cellStyle name="60% - Accent3 2" xfId="813"/>
    <cellStyle name="60% - Accent3 2 2" xfId="814"/>
    <cellStyle name="60% - Accent3 2 3" xfId="815"/>
    <cellStyle name="60% - Accent3 2 4" xfId="816"/>
    <cellStyle name="60% - Accent3 2 5" xfId="817"/>
    <cellStyle name="60% - Accent3 2 6" xfId="818"/>
    <cellStyle name="60% - Accent3 20" xfId="819"/>
    <cellStyle name="60% - Accent3 21" xfId="820"/>
    <cellStyle name="60% - Accent3 22" xfId="821"/>
    <cellStyle name="60% - Accent3 23" xfId="822"/>
    <cellStyle name="60% - Accent3 24" xfId="823"/>
    <cellStyle name="60% - Accent3 25" xfId="824"/>
    <cellStyle name="60% - Accent3 26" xfId="825"/>
    <cellStyle name="60% - Accent3 27" xfId="826"/>
    <cellStyle name="60% - Accent3 28" xfId="827"/>
    <cellStyle name="60% - Accent3 29" xfId="828"/>
    <cellStyle name="60% - Accent3 3" xfId="829"/>
    <cellStyle name="60% - Accent3 30" xfId="830"/>
    <cellStyle name="60% - Accent3 31" xfId="831"/>
    <cellStyle name="60% - Accent3 32" xfId="832"/>
    <cellStyle name="60% - Accent3 33" xfId="833"/>
    <cellStyle name="60% - Accent3 34" xfId="834"/>
    <cellStyle name="60% - Accent3 35" xfId="835"/>
    <cellStyle name="60% - Accent3 36" xfId="836"/>
    <cellStyle name="60% - Accent3 37" xfId="837"/>
    <cellStyle name="60% - Accent3 38" xfId="838"/>
    <cellStyle name="60% - Accent3 39" xfId="839"/>
    <cellStyle name="60% - Accent3 4" xfId="840"/>
    <cellStyle name="60% - Accent3 40" xfId="841"/>
    <cellStyle name="60% - Accent3 41" xfId="842"/>
    <cellStyle name="60% - Accent3 42" xfId="843"/>
    <cellStyle name="60% - Accent3 43" xfId="844"/>
    <cellStyle name="60% - Accent3 44" xfId="845"/>
    <cellStyle name="60% - Accent3 45" xfId="846"/>
    <cellStyle name="60% - Accent3 46" xfId="847"/>
    <cellStyle name="60% - Accent3 47" xfId="848"/>
    <cellStyle name="60% - Accent3 48" xfId="849"/>
    <cellStyle name="60% - Accent3 49" xfId="850"/>
    <cellStyle name="60% - Accent3 5" xfId="851"/>
    <cellStyle name="60% - Accent3 50" xfId="852"/>
    <cellStyle name="60% - Accent3 51" xfId="853"/>
    <cellStyle name="60% - Accent3 52" xfId="854"/>
    <cellStyle name="60% - Accent3 6" xfId="855"/>
    <cellStyle name="60% - Accent3 7" xfId="856"/>
    <cellStyle name="60% - Accent3 8" xfId="857"/>
    <cellStyle name="60% - Accent3 9" xfId="858"/>
    <cellStyle name="60% - Accent4 10" xfId="859"/>
    <cellStyle name="60% - Accent4 11" xfId="860"/>
    <cellStyle name="60% - Accent4 12" xfId="861"/>
    <cellStyle name="60% - Accent4 13" xfId="862"/>
    <cellStyle name="60% - Accent4 14" xfId="863"/>
    <cellStyle name="60% - Accent4 15" xfId="864"/>
    <cellStyle name="60% - Accent4 16" xfId="865"/>
    <cellStyle name="60% - Accent4 17" xfId="866"/>
    <cellStyle name="60% - Accent4 18" xfId="867"/>
    <cellStyle name="60% - Accent4 19" xfId="868"/>
    <cellStyle name="60% - Accent4 2" xfId="869"/>
    <cellStyle name="60% - Accent4 2 2" xfId="870"/>
    <cellStyle name="60% - Accent4 2 3" xfId="871"/>
    <cellStyle name="60% - Accent4 2 4" xfId="872"/>
    <cellStyle name="60% - Accent4 2 5" xfId="873"/>
    <cellStyle name="60% - Accent4 2 6" xfId="874"/>
    <cellStyle name="60% - Accent4 20" xfId="875"/>
    <cellStyle name="60% - Accent4 21" xfId="876"/>
    <cellStyle name="60% - Accent4 22" xfId="877"/>
    <cellStyle name="60% - Accent4 23" xfId="878"/>
    <cellStyle name="60% - Accent4 24" xfId="879"/>
    <cellStyle name="60% - Accent4 25" xfId="880"/>
    <cellStyle name="60% - Accent4 26" xfId="881"/>
    <cellStyle name="60% - Accent4 27" xfId="882"/>
    <cellStyle name="60% - Accent4 28" xfId="883"/>
    <cellStyle name="60% - Accent4 29" xfId="884"/>
    <cellStyle name="60% - Accent4 3" xfId="885"/>
    <cellStyle name="60% - Accent4 30" xfId="886"/>
    <cellStyle name="60% - Accent4 31" xfId="887"/>
    <cellStyle name="60% - Accent4 32" xfId="888"/>
    <cellStyle name="60% - Accent4 33" xfId="889"/>
    <cellStyle name="60% - Accent4 34" xfId="890"/>
    <cellStyle name="60% - Accent4 35" xfId="891"/>
    <cellStyle name="60% - Accent4 36" xfId="892"/>
    <cellStyle name="60% - Accent4 37" xfId="893"/>
    <cellStyle name="60% - Accent4 38" xfId="894"/>
    <cellStyle name="60% - Accent4 39" xfId="895"/>
    <cellStyle name="60% - Accent4 4" xfId="896"/>
    <cellStyle name="60% - Accent4 40" xfId="897"/>
    <cellStyle name="60% - Accent4 41" xfId="898"/>
    <cellStyle name="60% - Accent4 42" xfId="899"/>
    <cellStyle name="60% - Accent4 43" xfId="900"/>
    <cellStyle name="60% - Accent4 44" xfId="901"/>
    <cellStyle name="60% - Accent4 45" xfId="902"/>
    <cellStyle name="60% - Accent4 46" xfId="903"/>
    <cellStyle name="60% - Accent4 47" xfId="904"/>
    <cellStyle name="60% - Accent4 48" xfId="905"/>
    <cellStyle name="60% - Accent4 49" xfId="906"/>
    <cellStyle name="60% - Accent4 5" xfId="907"/>
    <cellStyle name="60% - Accent4 50" xfId="908"/>
    <cellStyle name="60% - Accent4 51" xfId="909"/>
    <cellStyle name="60% - Accent4 52" xfId="910"/>
    <cellStyle name="60% - Accent4 6" xfId="911"/>
    <cellStyle name="60% - Accent4 7" xfId="912"/>
    <cellStyle name="60% - Accent4 8" xfId="913"/>
    <cellStyle name="60% - Accent4 9" xfId="914"/>
    <cellStyle name="60% - Accent5 10" xfId="915"/>
    <cellStyle name="60% - Accent5 11" xfId="916"/>
    <cellStyle name="60% - Accent5 12" xfId="917"/>
    <cellStyle name="60% - Accent5 13" xfId="918"/>
    <cellStyle name="60% - Accent5 14" xfId="919"/>
    <cellStyle name="60% - Accent5 15" xfId="920"/>
    <cellStyle name="60% - Accent5 16" xfId="921"/>
    <cellStyle name="60% - Accent5 17" xfId="922"/>
    <cellStyle name="60% - Accent5 18" xfId="923"/>
    <cellStyle name="60% - Accent5 19" xfId="924"/>
    <cellStyle name="60% - Accent5 2" xfId="925"/>
    <cellStyle name="60% - Accent5 2 2" xfId="926"/>
    <cellStyle name="60% - Accent5 2 3" xfId="927"/>
    <cellStyle name="60% - Accent5 2 4" xfId="928"/>
    <cellStyle name="60% - Accent5 2 5" xfId="929"/>
    <cellStyle name="60% - Accent5 2 6" xfId="930"/>
    <cellStyle name="60% - Accent5 20" xfId="931"/>
    <cellStyle name="60% - Accent5 21" xfId="932"/>
    <cellStyle name="60% - Accent5 22" xfId="933"/>
    <cellStyle name="60% - Accent5 23" xfId="934"/>
    <cellStyle name="60% - Accent5 24" xfId="935"/>
    <cellStyle name="60% - Accent5 25" xfId="936"/>
    <cellStyle name="60% - Accent5 26" xfId="937"/>
    <cellStyle name="60% - Accent5 27" xfId="938"/>
    <cellStyle name="60% - Accent5 28" xfId="939"/>
    <cellStyle name="60% - Accent5 29" xfId="940"/>
    <cellStyle name="60% - Accent5 3" xfId="941"/>
    <cellStyle name="60% - Accent5 30" xfId="942"/>
    <cellStyle name="60% - Accent5 31" xfId="943"/>
    <cellStyle name="60% - Accent5 32" xfId="944"/>
    <cellStyle name="60% - Accent5 33" xfId="945"/>
    <cellStyle name="60% - Accent5 34" xfId="946"/>
    <cellStyle name="60% - Accent5 35" xfId="947"/>
    <cellStyle name="60% - Accent5 36" xfId="948"/>
    <cellStyle name="60% - Accent5 37" xfId="949"/>
    <cellStyle name="60% - Accent5 38" xfId="950"/>
    <cellStyle name="60% - Accent5 39" xfId="951"/>
    <cellStyle name="60% - Accent5 4" xfId="952"/>
    <cellStyle name="60% - Accent5 40" xfId="953"/>
    <cellStyle name="60% - Accent5 41" xfId="954"/>
    <cellStyle name="60% - Accent5 42" xfId="955"/>
    <cellStyle name="60% - Accent5 43" xfId="956"/>
    <cellStyle name="60% - Accent5 44" xfId="957"/>
    <cellStyle name="60% - Accent5 45" xfId="958"/>
    <cellStyle name="60% - Accent5 46" xfId="959"/>
    <cellStyle name="60% - Accent5 47" xfId="960"/>
    <cellStyle name="60% - Accent5 48" xfId="961"/>
    <cellStyle name="60% - Accent5 49" xfId="962"/>
    <cellStyle name="60% - Accent5 5" xfId="963"/>
    <cellStyle name="60% - Accent5 50" xfId="964"/>
    <cellStyle name="60% - Accent5 51" xfId="965"/>
    <cellStyle name="60% - Accent5 52" xfId="966"/>
    <cellStyle name="60% - Accent5 6" xfId="967"/>
    <cellStyle name="60% - Accent5 7" xfId="968"/>
    <cellStyle name="60% - Accent5 8" xfId="969"/>
    <cellStyle name="60% - Accent5 9" xfId="970"/>
    <cellStyle name="60% - Accent6 10" xfId="971"/>
    <cellStyle name="60% - Accent6 11" xfId="972"/>
    <cellStyle name="60% - Accent6 12" xfId="973"/>
    <cellStyle name="60% - Accent6 13" xfId="974"/>
    <cellStyle name="60% - Accent6 14" xfId="975"/>
    <cellStyle name="60% - Accent6 15" xfId="976"/>
    <cellStyle name="60% - Accent6 16" xfId="977"/>
    <cellStyle name="60% - Accent6 17" xfId="978"/>
    <cellStyle name="60% - Accent6 18" xfId="979"/>
    <cellStyle name="60% - Accent6 19" xfId="980"/>
    <cellStyle name="60% - Accent6 2" xfId="981"/>
    <cellStyle name="60% - Accent6 2 2" xfId="982"/>
    <cellStyle name="60% - Accent6 2 3" xfId="983"/>
    <cellStyle name="60% - Accent6 2 4" xfId="984"/>
    <cellStyle name="60% - Accent6 2 5" xfId="985"/>
    <cellStyle name="60% - Accent6 2 6" xfId="986"/>
    <cellStyle name="60% - Accent6 20" xfId="987"/>
    <cellStyle name="60% - Accent6 21" xfId="988"/>
    <cellStyle name="60% - Accent6 22" xfId="989"/>
    <cellStyle name="60% - Accent6 23" xfId="990"/>
    <cellStyle name="60% - Accent6 24" xfId="991"/>
    <cellStyle name="60% - Accent6 25" xfId="992"/>
    <cellStyle name="60% - Accent6 26" xfId="993"/>
    <cellStyle name="60% - Accent6 27" xfId="994"/>
    <cellStyle name="60% - Accent6 28" xfId="995"/>
    <cellStyle name="60% - Accent6 29" xfId="996"/>
    <cellStyle name="60% - Accent6 3" xfId="997"/>
    <cellStyle name="60% - Accent6 30" xfId="998"/>
    <cellStyle name="60% - Accent6 31" xfId="999"/>
    <cellStyle name="60% - Accent6 32" xfId="1000"/>
    <cellStyle name="60% - Accent6 33" xfId="1001"/>
    <cellStyle name="60% - Accent6 34" xfId="1002"/>
    <cellStyle name="60% - Accent6 35" xfId="1003"/>
    <cellStyle name="60% - Accent6 36" xfId="1004"/>
    <cellStyle name="60% - Accent6 37" xfId="1005"/>
    <cellStyle name="60% - Accent6 38" xfId="1006"/>
    <cellStyle name="60% - Accent6 39" xfId="1007"/>
    <cellStyle name="60% - Accent6 4" xfId="1008"/>
    <cellStyle name="60% - Accent6 40" xfId="1009"/>
    <cellStyle name="60% - Accent6 41" xfId="1010"/>
    <cellStyle name="60% - Accent6 42" xfId="1011"/>
    <cellStyle name="60% - Accent6 43" xfId="1012"/>
    <cellStyle name="60% - Accent6 44" xfId="1013"/>
    <cellStyle name="60% - Accent6 45" xfId="1014"/>
    <cellStyle name="60% - Accent6 46" xfId="1015"/>
    <cellStyle name="60% - Accent6 47" xfId="1016"/>
    <cellStyle name="60% - Accent6 48" xfId="1017"/>
    <cellStyle name="60% - Accent6 49" xfId="1018"/>
    <cellStyle name="60% - Accent6 5" xfId="1019"/>
    <cellStyle name="60% - Accent6 50" xfId="1020"/>
    <cellStyle name="60% - Accent6 51" xfId="1021"/>
    <cellStyle name="60% - Accent6 52" xfId="1022"/>
    <cellStyle name="60% - Accent6 6" xfId="1023"/>
    <cellStyle name="60% - Accent6 7" xfId="1024"/>
    <cellStyle name="60% - Accent6 8" xfId="1025"/>
    <cellStyle name="60% - Accent6 9" xfId="1026"/>
    <cellStyle name="Accent1 10" xfId="1027"/>
    <cellStyle name="Accent1 11" xfId="1028"/>
    <cellStyle name="Accent1 12" xfId="1029"/>
    <cellStyle name="Accent1 13" xfId="1030"/>
    <cellStyle name="Accent1 14" xfId="1031"/>
    <cellStyle name="Accent1 15" xfId="1032"/>
    <cellStyle name="Accent1 16" xfId="1033"/>
    <cellStyle name="Accent1 17" xfId="1034"/>
    <cellStyle name="Accent1 18" xfId="1035"/>
    <cellStyle name="Accent1 19" xfId="1036"/>
    <cellStyle name="Accent1 2" xfId="1037"/>
    <cellStyle name="Accent1 2 2" xfId="1038"/>
    <cellStyle name="Accent1 2 3" xfId="1039"/>
    <cellStyle name="Accent1 2 4" xfId="1040"/>
    <cellStyle name="Accent1 2 5" xfId="1041"/>
    <cellStyle name="Accent1 2 6" xfId="1042"/>
    <cellStyle name="Accent1 20" xfId="1043"/>
    <cellStyle name="Accent1 21" xfId="1044"/>
    <cellStyle name="Accent1 22" xfId="1045"/>
    <cellStyle name="Accent1 23" xfId="1046"/>
    <cellStyle name="Accent1 24" xfId="1047"/>
    <cellStyle name="Accent1 25" xfId="1048"/>
    <cellStyle name="Accent1 26" xfId="1049"/>
    <cellStyle name="Accent1 27" xfId="1050"/>
    <cellStyle name="Accent1 28" xfId="1051"/>
    <cellStyle name="Accent1 29" xfId="1052"/>
    <cellStyle name="Accent1 3" xfId="1053"/>
    <cellStyle name="Accent1 30" xfId="1054"/>
    <cellStyle name="Accent1 31" xfId="1055"/>
    <cellStyle name="Accent1 32" xfId="1056"/>
    <cellStyle name="Accent1 33" xfId="1057"/>
    <cellStyle name="Accent1 34" xfId="1058"/>
    <cellStyle name="Accent1 35" xfId="1059"/>
    <cellStyle name="Accent1 36" xfId="1060"/>
    <cellStyle name="Accent1 37" xfId="1061"/>
    <cellStyle name="Accent1 38" xfId="1062"/>
    <cellStyle name="Accent1 39" xfId="1063"/>
    <cellStyle name="Accent1 4" xfId="1064"/>
    <cellStyle name="Accent1 40" xfId="1065"/>
    <cellStyle name="Accent1 41" xfId="1066"/>
    <cellStyle name="Accent1 42" xfId="1067"/>
    <cellStyle name="Accent1 43" xfId="1068"/>
    <cellStyle name="Accent1 44" xfId="1069"/>
    <cellStyle name="Accent1 45" xfId="1070"/>
    <cellStyle name="Accent1 46" xfId="1071"/>
    <cellStyle name="Accent1 47" xfId="1072"/>
    <cellStyle name="Accent1 48" xfId="1073"/>
    <cellStyle name="Accent1 49" xfId="1074"/>
    <cellStyle name="Accent1 5" xfId="1075"/>
    <cellStyle name="Accent1 50" xfId="1076"/>
    <cellStyle name="Accent1 51" xfId="1077"/>
    <cellStyle name="Accent1 52" xfId="1078"/>
    <cellStyle name="Accent1 6" xfId="1079"/>
    <cellStyle name="Accent1 7" xfId="1080"/>
    <cellStyle name="Accent1 8" xfId="1081"/>
    <cellStyle name="Accent1 9" xfId="1082"/>
    <cellStyle name="Accent2 10" xfId="1083"/>
    <cellStyle name="Accent2 11" xfId="1084"/>
    <cellStyle name="Accent2 12" xfId="1085"/>
    <cellStyle name="Accent2 13" xfId="1086"/>
    <cellStyle name="Accent2 14" xfId="1087"/>
    <cellStyle name="Accent2 15" xfId="1088"/>
    <cellStyle name="Accent2 16" xfId="1089"/>
    <cellStyle name="Accent2 17" xfId="1090"/>
    <cellStyle name="Accent2 18" xfId="1091"/>
    <cellStyle name="Accent2 19" xfId="1092"/>
    <cellStyle name="Accent2 2" xfId="1093"/>
    <cellStyle name="Accent2 2 2" xfId="1094"/>
    <cellStyle name="Accent2 2 3" xfId="1095"/>
    <cellStyle name="Accent2 2 4" xfId="1096"/>
    <cellStyle name="Accent2 2 5" xfId="1097"/>
    <cellStyle name="Accent2 2 6" xfId="1098"/>
    <cellStyle name="Accent2 20" xfId="1099"/>
    <cellStyle name="Accent2 21" xfId="1100"/>
    <cellStyle name="Accent2 22" xfId="1101"/>
    <cellStyle name="Accent2 23" xfId="1102"/>
    <cellStyle name="Accent2 24" xfId="1103"/>
    <cellStyle name="Accent2 25" xfId="1104"/>
    <cellStyle name="Accent2 26" xfId="1105"/>
    <cellStyle name="Accent2 27" xfId="1106"/>
    <cellStyle name="Accent2 28" xfId="1107"/>
    <cellStyle name="Accent2 29" xfId="1108"/>
    <cellStyle name="Accent2 3" xfId="1109"/>
    <cellStyle name="Accent2 30" xfId="1110"/>
    <cellStyle name="Accent2 31" xfId="1111"/>
    <cellStyle name="Accent2 32" xfId="1112"/>
    <cellStyle name="Accent2 33" xfId="1113"/>
    <cellStyle name="Accent2 34" xfId="1114"/>
    <cellStyle name="Accent2 35" xfId="1115"/>
    <cellStyle name="Accent2 36" xfId="1116"/>
    <cellStyle name="Accent2 37" xfId="1117"/>
    <cellStyle name="Accent2 38" xfId="1118"/>
    <cellStyle name="Accent2 39" xfId="1119"/>
    <cellStyle name="Accent2 4" xfId="1120"/>
    <cellStyle name="Accent2 40" xfId="1121"/>
    <cellStyle name="Accent2 41" xfId="1122"/>
    <cellStyle name="Accent2 42" xfId="1123"/>
    <cellStyle name="Accent2 43" xfId="1124"/>
    <cellStyle name="Accent2 44" xfId="1125"/>
    <cellStyle name="Accent2 45" xfId="1126"/>
    <cellStyle name="Accent2 46" xfId="1127"/>
    <cellStyle name="Accent2 47" xfId="1128"/>
    <cellStyle name="Accent2 48" xfId="1129"/>
    <cellStyle name="Accent2 49" xfId="1130"/>
    <cellStyle name="Accent2 5" xfId="1131"/>
    <cellStyle name="Accent2 50" xfId="1132"/>
    <cellStyle name="Accent2 51" xfId="1133"/>
    <cellStyle name="Accent2 52" xfId="1134"/>
    <cellStyle name="Accent2 6" xfId="1135"/>
    <cellStyle name="Accent2 7" xfId="1136"/>
    <cellStyle name="Accent2 8" xfId="1137"/>
    <cellStyle name="Accent2 9" xfId="1138"/>
    <cellStyle name="Accent3 10" xfId="1139"/>
    <cellStyle name="Accent3 11" xfId="1140"/>
    <cellStyle name="Accent3 12" xfId="1141"/>
    <cellStyle name="Accent3 13" xfId="1142"/>
    <cellStyle name="Accent3 14" xfId="1143"/>
    <cellStyle name="Accent3 15" xfId="1144"/>
    <cellStyle name="Accent3 16" xfId="1145"/>
    <cellStyle name="Accent3 17" xfId="1146"/>
    <cellStyle name="Accent3 18" xfId="1147"/>
    <cellStyle name="Accent3 19" xfId="1148"/>
    <cellStyle name="Accent3 2" xfId="1149"/>
    <cellStyle name="Accent3 2 2" xfId="1150"/>
    <cellStyle name="Accent3 2 3" xfId="1151"/>
    <cellStyle name="Accent3 2 4" xfId="1152"/>
    <cellStyle name="Accent3 2 5" xfId="1153"/>
    <cellStyle name="Accent3 2 6" xfId="1154"/>
    <cellStyle name="Accent3 20" xfId="1155"/>
    <cellStyle name="Accent3 21" xfId="1156"/>
    <cellStyle name="Accent3 22" xfId="1157"/>
    <cellStyle name="Accent3 23" xfId="1158"/>
    <cellStyle name="Accent3 24" xfId="1159"/>
    <cellStyle name="Accent3 25" xfId="1160"/>
    <cellStyle name="Accent3 26" xfId="1161"/>
    <cellStyle name="Accent3 27" xfId="1162"/>
    <cellStyle name="Accent3 28" xfId="1163"/>
    <cellStyle name="Accent3 29" xfId="1164"/>
    <cellStyle name="Accent3 3" xfId="1165"/>
    <cellStyle name="Accent3 30" xfId="1166"/>
    <cellStyle name="Accent3 31" xfId="1167"/>
    <cellStyle name="Accent3 32" xfId="1168"/>
    <cellStyle name="Accent3 33" xfId="1169"/>
    <cellStyle name="Accent3 34" xfId="1170"/>
    <cellStyle name="Accent3 35" xfId="1171"/>
    <cellStyle name="Accent3 36" xfId="1172"/>
    <cellStyle name="Accent3 37" xfId="1173"/>
    <cellStyle name="Accent3 38" xfId="1174"/>
    <cellStyle name="Accent3 39" xfId="1175"/>
    <cellStyle name="Accent3 4" xfId="1176"/>
    <cellStyle name="Accent3 40" xfId="1177"/>
    <cellStyle name="Accent3 41" xfId="1178"/>
    <cellStyle name="Accent3 42" xfId="1179"/>
    <cellStyle name="Accent3 43" xfId="1180"/>
    <cellStyle name="Accent3 44" xfId="1181"/>
    <cellStyle name="Accent3 45" xfId="1182"/>
    <cellStyle name="Accent3 46" xfId="1183"/>
    <cellStyle name="Accent3 47" xfId="1184"/>
    <cellStyle name="Accent3 48" xfId="1185"/>
    <cellStyle name="Accent3 49" xfId="1186"/>
    <cellStyle name="Accent3 5" xfId="1187"/>
    <cellStyle name="Accent3 50" xfId="1188"/>
    <cellStyle name="Accent3 51" xfId="1189"/>
    <cellStyle name="Accent3 52" xfId="1190"/>
    <cellStyle name="Accent3 6" xfId="1191"/>
    <cellStyle name="Accent3 7" xfId="1192"/>
    <cellStyle name="Accent3 8" xfId="1193"/>
    <cellStyle name="Accent3 9" xfId="1194"/>
    <cellStyle name="Accent4 10" xfId="1195"/>
    <cellStyle name="Accent4 11" xfId="1196"/>
    <cellStyle name="Accent4 12" xfId="1197"/>
    <cellStyle name="Accent4 13" xfId="1198"/>
    <cellStyle name="Accent4 14" xfId="1199"/>
    <cellStyle name="Accent4 15" xfId="1200"/>
    <cellStyle name="Accent4 16" xfId="1201"/>
    <cellStyle name="Accent4 17" xfId="1202"/>
    <cellStyle name="Accent4 18" xfId="1203"/>
    <cellStyle name="Accent4 19" xfId="1204"/>
    <cellStyle name="Accent4 2" xfId="1205"/>
    <cellStyle name="Accent4 2 2" xfId="1206"/>
    <cellStyle name="Accent4 2 3" xfId="1207"/>
    <cellStyle name="Accent4 2 4" xfId="1208"/>
    <cellStyle name="Accent4 2 5" xfId="1209"/>
    <cellStyle name="Accent4 2 6" xfId="1210"/>
    <cellStyle name="Accent4 20" xfId="1211"/>
    <cellStyle name="Accent4 21" xfId="1212"/>
    <cellStyle name="Accent4 22" xfId="1213"/>
    <cellStyle name="Accent4 23" xfId="1214"/>
    <cellStyle name="Accent4 24" xfId="1215"/>
    <cellStyle name="Accent4 25" xfId="1216"/>
    <cellStyle name="Accent4 26" xfId="1217"/>
    <cellStyle name="Accent4 27" xfId="1218"/>
    <cellStyle name="Accent4 28" xfId="1219"/>
    <cellStyle name="Accent4 29" xfId="1220"/>
    <cellStyle name="Accent4 3" xfId="1221"/>
    <cellStyle name="Accent4 30" xfId="1222"/>
    <cellStyle name="Accent4 31" xfId="1223"/>
    <cellStyle name="Accent4 32" xfId="1224"/>
    <cellStyle name="Accent4 33" xfId="1225"/>
    <cellStyle name="Accent4 34" xfId="1226"/>
    <cellStyle name="Accent4 35" xfId="1227"/>
    <cellStyle name="Accent4 36" xfId="1228"/>
    <cellStyle name="Accent4 37" xfId="1229"/>
    <cellStyle name="Accent4 38" xfId="1230"/>
    <cellStyle name="Accent4 39" xfId="1231"/>
    <cellStyle name="Accent4 4" xfId="1232"/>
    <cellStyle name="Accent4 40" xfId="1233"/>
    <cellStyle name="Accent4 41" xfId="1234"/>
    <cellStyle name="Accent4 42" xfId="1235"/>
    <cellStyle name="Accent4 43" xfId="1236"/>
    <cellStyle name="Accent4 44" xfId="1237"/>
    <cellStyle name="Accent4 45" xfId="1238"/>
    <cellStyle name="Accent4 46" xfId="1239"/>
    <cellStyle name="Accent4 47" xfId="1240"/>
    <cellStyle name="Accent4 48" xfId="1241"/>
    <cellStyle name="Accent4 49" xfId="1242"/>
    <cellStyle name="Accent4 5" xfId="1243"/>
    <cellStyle name="Accent4 50" xfId="1244"/>
    <cellStyle name="Accent4 51" xfId="1245"/>
    <cellStyle name="Accent4 52" xfId="1246"/>
    <cellStyle name="Accent4 6" xfId="1247"/>
    <cellStyle name="Accent4 7" xfId="1248"/>
    <cellStyle name="Accent4 8" xfId="1249"/>
    <cellStyle name="Accent4 9" xfId="1250"/>
    <cellStyle name="Accent5 10" xfId="1251"/>
    <cellStyle name="Accent5 11" xfId="1252"/>
    <cellStyle name="Accent5 12" xfId="1253"/>
    <cellStyle name="Accent5 13" xfId="1254"/>
    <cellStyle name="Accent5 14" xfId="1255"/>
    <cellStyle name="Accent5 15" xfId="1256"/>
    <cellStyle name="Accent5 16" xfId="1257"/>
    <cellStyle name="Accent5 17" xfId="1258"/>
    <cellStyle name="Accent5 18" xfId="1259"/>
    <cellStyle name="Accent5 19" xfId="1260"/>
    <cellStyle name="Accent5 2" xfId="1261"/>
    <cellStyle name="Accent5 2 2" xfId="1262"/>
    <cellStyle name="Accent5 2 3" xfId="1263"/>
    <cellStyle name="Accent5 2 4" xfId="1264"/>
    <cellStyle name="Accent5 2 5" xfId="1265"/>
    <cellStyle name="Accent5 2 6" xfId="1266"/>
    <cellStyle name="Accent5 20" xfId="1267"/>
    <cellStyle name="Accent5 21" xfId="1268"/>
    <cellStyle name="Accent5 22" xfId="1269"/>
    <cellStyle name="Accent5 23" xfId="1270"/>
    <cellStyle name="Accent5 24" xfId="1271"/>
    <cellStyle name="Accent5 25" xfId="1272"/>
    <cellStyle name="Accent5 26" xfId="1273"/>
    <cellStyle name="Accent5 27" xfId="1274"/>
    <cellStyle name="Accent5 28" xfId="1275"/>
    <cellStyle name="Accent5 29" xfId="1276"/>
    <cellStyle name="Accent5 3" xfId="1277"/>
    <cellStyle name="Accent5 30" xfId="1278"/>
    <cellStyle name="Accent5 31" xfId="1279"/>
    <cellStyle name="Accent5 32" xfId="1280"/>
    <cellStyle name="Accent5 33" xfId="1281"/>
    <cellStyle name="Accent5 34" xfId="1282"/>
    <cellStyle name="Accent5 35" xfId="1283"/>
    <cellStyle name="Accent5 36" xfId="1284"/>
    <cellStyle name="Accent5 37" xfId="1285"/>
    <cellStyle name="Accent5 38" xfId="1286"/>
    <cellStyle name="Accent5 39" xfId="1287"/>
    <cellStyle name="Accent5 4" xfId="1288"/>
    <cellStyle name="Accent5 40" xfId="1289"/>
    <cellStyle name="Accent5 41" xfId="1290"/>
    <cellStyle name="Accent5 42" xfId="1291"/>
    <cellStyle name="Accent5 43" xfId="1292"/>
    <cellStyle name="Accent5 44" xfId="1293"/>
    <cellStyle name="Accent5 45" xfId="1294"/>
    <cellStyle name="Accent5 46" xfId="1295"/>
    <cellStyle name="Accent5 47" xfId="1296"/>
    <cellStyle name="Accent5 48" xfId="1297"/>
    <cellStyle name="Accent5 49" xfId="1298"/>
    <cellStyle name="Accent5 5" xfId="1299"/>
    <cellStyle name="Accent5 50" xfId="1300"/>
    <cellStyle name="Accent5 51" xfId="1301"/>
    <cellStyle name="Accent5 52" xfId="1302"/>
    <cellStyle name="Accent5 6" xfId="1303"/>
    <cellStyle name="Accent5 7" xfId="1304"/>
    <cellStyle name="Accent5 8" xfId="1305"/>
    <cellStyle name="Accent5 9" xfId="1306"/>
    <cellStyle name="Accent6 10" xfId="1307"/>
    <cellStyle name="Accent6 11" xfId="1308"/>
    <cellStyle name="Accent6 12" xfId="1309"/>
    <cellStyle name="Accent6 13" xfId="1310"/>
    <cellStyle name="Accent6 14" xfId="1311"/>
    <cellStyle name="Accent6 15" xfId="1312"/>
    <cellStyle name="Accent6 16" xfId="1313"/>
    <cellStyle name="Accent6 17" xfId="1314"/>
    <cellStyle name="Accent6 18" xfId="1315"/>
    <cellStyle name="Accent6 19" xfId="1316"/>
    <cellStyle name="Accent6 2" xfId="1317"/>
    <cellStyle name="Accent6 2 2" xfId="1318"/>
    <cellStyle name="Accent6 2 3" xfId="1319"/>
    <cellStyle name="Accent6 2 4" xfId="1320"/>
    <cellStyle name="Accent6 2 5" xfId="1321"/>
    <cellStyle name="Accent6 2 6" xfId="1322"/>
    <cellStyle name="Accent6 20" xfId="1323"/>
    <cellStyle name="Accent6 21" xfId="1324"/>
    <cellStyle name="Accent6 22" xfId="1325"/>
    <cellStyle name="Accent6 23" xfId="1326"/>
    <cellStyle name="Accent6 24" xfId="1327"/>
    <cellStyle name="Accent6 25" xfId="1328"/>
    <cellStyle name="Accent6 26" xfId="1329"/>
    <cellStyle name="Accent6 27" xfId="1330"/>
    <cellStyle name="Accent6 28" xfId="1331"/>
    <cellStyle name="Accent6 29" xfId="1332"/>
    <cellStyle name="Accent6 3" xfId="1333"/>
    <cellStyle name="Accent6 30" xfId="1334"/>
    <cellStyle name="Accent6 31" xfId="1335"/>
    <cellStyle name="Accent6 32" xfId="1336"/>
    <cellStyle name="Accent6 33" xfId="1337"/>
    <cellStyle name="Accent6 34" xfId="1338"/>
    <cellStyle name="Accent6 35" xfId="1339"/>
    <cellStyle name="Accent6 36" xfId="1340"/>
    <cellStyle name="Accent6 37" xfId="1341"/>
    <cellStyle name="Accent6 38" xfId="1342"/>
    <cellStyle name="Accent6 39" xfId="1343"/>
    <cellStyle name="Accent6 4" xfId="1344"/>
    <cellStyle name="Accent6 40" xfId="1345"/>
    <cellStyle name="Accent6 41" xfId="1346"/>
    <cellStyle name="Accent6 42" xfId="1347"/>
    <cellStyle name="Accent6 43" xfId="1348"/>
    <cellStyle name="Accent6 44" xfId="1349"/>
    <cellStyle name="Accent6 45" xfId="1350"/>
    <cellStyle name="Accent6 46" xfId="1351"/>
    <cellStyle name="Accent6 47" xfId="1352"/>
    <cellStyle name="Accent6 48" xfId="1353"/>
    <cellStyle name="Accent6 49" xfId="1354"/>
    <cellStyle name="Accent6 5" xfId="1355"/>
    <cellStyle name="Accent6 50" xfId="1356"/>
    <cellStyle name="Accent6 51" xfId="1357"/>
    <cellStyle name="Accent6 52" xfId="1358"/>
    <cellStyle name="Accent6 6" xfId="1359"/>
    <cellStyle name="Accent6 7" xfId="1360"/>
    <cellStyle name="Accent6 8" xfId="1361"/>
    <cellStyle name="Accent6 9" xfId="1362"/>
    <cellStyle name="Bad 10" xfId="1363"/>
    <cellStyle name="Bad 11" xfId="1364"/>
    <cellStyle name="Bad 12" xfId="1365"/>
    <cellStyle name="Bad 13" xfId="1366"/>
    <cellStyle name="Bad 14" xfId="1367"/>
    <cellStyle name="Bad 15" xfId="1368"/>
    <cellStyle name="Bad 16" xfId="1369"/>
    <cellStyle name="Bad 17" xfId="1370"/>
    <cellStyle name="Bad 18" xfId="1371"/>
    <cellStyle name="Bad 19" xfId="1372"/>
    <cellStyle name="Bad 2" xfId="1373"/>
    <cellStyle name="Bad 2 2" xfId="1374"/>
    <cellStyle name="Bad 2 3" xfId="1375"/>
    <cellStyle name="Bad 2 4" xfId="1376"/>
    <cellStyle name="Bad 2 5" xfId="1377"/>
    <cellStyle name="Bad 2 6" xfId="1378"/>
    <cellStyle name="Bad 20" xfId="1379"/>
    <cellStyle name="Bad 21" xfId="1380"/>
    <cellStyle name="Bad 22" xfId="1381"/>
    <cellStyle name="Bad 23" xfId="1382"/>
    <cellStyle name="Bad 24" xfId="1383"/>
    <cellStyle name="Bad 25" xfId="1384"/>
    <cellStyle name="Bad 26" xfId="1385"/>
    <cellStyle name="Bad 27" xfId="1386"/>
    <cellStyle name="Bad 28" xfId="1387"/>
    <cellStyle name="Bad 29" xfId="1388"/>
    <cellStyle name="Bad 3" xfId="1389"/>
    <cellStyle name="Bad 30" xfId="1390"/>
    <cellStyle name="Bad 31" xfId="1391"/>
    <cellStyle name="Bad 32" xfId="1392"/>
    <cellStyle name="Bad 33" xfId="1393"/>
    <cellStyle name="Bad 34" xfId="1394"/>
    <cellStyle name="Bad 35" xfId="1395"/>
    <cellStyle name="Bad 36" xfId="1396"/>
    <cellStyle name="Bad 37" xfId="1397"/>
    <cellStyle name="Bad 38" xfId="1398"/>
    <cellStyle name="Bad 39" xfId="1399"/>
    <cellStyle name="Bad 4" xfId="1400"/>
    <cellStyle name="Bad 40" xfId="1401"/>
    <cellStyle name="Bad 41" xfId="1402"/>
    <cellStyle name="Bad 42" xfId="1403"/>
    <cellStyle name="Bad 43" xfId="1404"/>
    <cellStyle name="Bad 44" xfId="1405"/>
    <cellStyle name="Bad 45" xfId="1406"/>
    <cellStyle name="Bad 46" xfId="1407"/>
    <cellStyle name="Bad 47" xfId="1408"/>
    <cellStyle name="Bad 48" xfId="1409"/>
    <cellStyle name="Bad 49" xfId="1410"/>
    <cellStyle name="Bad 5" xfId="1411"/>
    <cellStyle name="Bad 50" xfId="1412"/>
    <cellStyle name="Bad 51" xfId="1413"/>
    <cellStyle name="Bad 52" xfId="1414"/>
    <cellStyle name="Bad 6" xfId="1415"/>
    <cellStyle name="Bad 7" xfId="1416"/>
    <cellStyle name="Bad 8" xfId="1417"/>
    <cellStyle name="Bad 9" xfId="1418"/>
    <cellStyle name="Calculation 10" xfId="1419"/>
    <cellStyle name="Calculation 10 10" xfId="7217"/>
    <cellStyle name="Calculation 10 10 2" xfId="29117"/>
    <cellStyle name="Calculation 10 11" xfId="7218"/>
    <cellStyle name="Calculation 10 11 2" xfId="29118"/>
    <cellStyle name="Calculation 10 12" xfId="7219"/>
    <cellStyle name="Calculation 10 12 2" xfId="29119"/>
    <cellStyle name="Calculation 10 13" xfId="7220"/>
    <cellStyle name="Calculation 10 13 2" xfId="29120"/>
    <cellStyle name="Calculation 10 14" xfId="7221"/>
    <cellStyle name="Calculation 10 14 2" xfId="29121"/>
    <cellStyle name="Calculation 10 15" xfId="7222"/>
    <cellStyle name="Calculation 10 15 2" xfId="29122"/>
    <cellStyle name="Calculation 10 16" xfId="7223"/>
    <cellStyle name="Calculation 10 16 2" xfId="29123"/>
    <cellStyle name="Calculation 10 17" xfId="7224"/>
    <cellStyle name="Calculation 10 17 2" xfId="29124"/>
    <cellStyle name="Calculation 10 18" xfId="7225"/>
    <cellStyle name="Calculation 10 18 2" xfId="29125"/>
    <cellStyle name="Calculation 10 19" xfId="7226"/>
    <cellStyle name="Calculation 10 19 2" xfId="29126"/>
    <cellStyle name="Calculation 10 2" xfId="7227"/>
    <cellStyle name="Calculation 10 2 2" xfId="29127"/>
    <cellStyle name="Calculation 10 20" xfId="7228"/>
    <cellStyle name="Calculation 10 20 2" xfId="29128"/>
    <cellStyle name="Calculation 10 21" xfId="7229"/>
    <cellStyle name="Calculation 10 21 2" xfId="29129"/>
    <cellStyle name="Calculation 10 22" xfId="7230"/>
    <cellStyle name="Calculation 10 22 2" xfId="29130"/>
    <cellStyle name="Calculation 10 23" xfId="29131"/>
    <cellStyle name="Calculation 10 3" xfId="7231"/>
    <cellStyle name="Calculation 10 3 2" xfId="29132"/>
    <cellStyle name="Calculation 10 4" xfId="7232"/>
    <cellStyle name="Calculation 10 4 2" xfId="29133"/>
    <cellStyle name="Calculation 10 5" xfId="7233"/>
    <cellStyle name="Calculation 10 5 2" xfId="29134"/>
    <cellStyle name="Calculation 10 6" xfId="7234"/>
    <cellStyle name="Calculation 10 6 2" xfId="29135"/>
    <cellStyle name="Calculation 10 7" xfId="7235"/>
    <cellStyle name="Calculation 10 7 2" xfId="29136"/>
    <cellStyle name="Calculation 10 8" xfId="7236"/>
    <cellStyle name="Calculation 10 8 2" xfId="29137"/>
    <cellStyle name="Calculation 10 9" xfId="7237"/>
    <cellStyle name="Calculation 10 9 2" xfId="29138"/>
    <cellStyle name="Calculation 11" xfId="1420"/>
    <cellStyle name="Calculation 11 10" xfId="7238"/>
    <cellStyle name="Calculation 11 10 2" xfId="29139"/>
    <cellStyle name="Calculation 11 11" xfId="7239"/>
    <cellStyle name="Calculation 11 11 2" xfId="29140"/>
    <cellStyle name="Calculation 11 12" xfId="7240"/>
    <cellStyle name="Calculation 11 12 2" xfId="29141"/>
    <cellStyle name="Calculation 11 13" xfId="7241"/>
    <cellStyle name="Calculation 11 13 2" xfId="29142"/>
    <cellStyle name="Calculation 11 14" xfId="7242"/>
    <cellStyle name="Calculation 11 14 2" xfId="29143"/>
    <cellStyle name="Calculation 11 15" xfId="7243"/>
    <cellStyle name="Calculation 11 15 2" xfId="29144"/>
    <cellStyle name="Calculation 11 16" xfId="7244"/>
    <cellStyle name="Calculation 11 16 2" xfId="29145"/>
    <cellStyle name="Calculation 11 17" xfId="7245"/>
    <cellStyle name="Calculation 11 17 2" xfId="29146"/>
    <cellStyle name="Calculation 11 18" xfId="7246"/>
    <cellStyle name="Calculation 11 18 2" xfId="29147"/>
    <cellStyle name="Calculation 11 19" xfId="7247"/>
    <cellStyle name="Calculation 11 19 2" xfId="29148"/>
    <cellStyle name="Calculation 11 2" xfId="7248"/>
    <cellStyle name="Calculation 11 2 2" xfId="29149"/>
    <cellStyle name="Calculation 11 20" xfId="7249"/>
    <cellStyle name="Calculation 11 20 2" xfId="29150"/>
    <cellStyle name="Calculation 11 21" xfId="7250"/>
    <cellStyle name="Calculation 11 21 2" xfId="29151"/>
    <cellStyle name="Calculation 11 22" xfId="7251"/>
    <cellStyle name="Calculation 11 22 2" xfId="29152"/>
    <cellStyle name="Calculation 11 23" xfId="29153"/>
    <cellStyle name="Calculation 11 3" xfId="7252"/>
    <cellStyle name="Calculation 11 3 2" xfId="29154"/>
    <cellStyle name="Calculation 11 4" xfId="7253"/>
    <cellStyle name="Calculation 11 4 2" xfId="29155"/>
    <cellStyle name="Calculation 11 5" xfId="7254"/>
    <cellStyle name="Calculation 11 5 2" xfId="29156"/>
    <cellStyle name="Calculation 11 6" xfId="7255"/>
    <cellStyle name="Calculation 11 6 2" xfId="29157"/>
    <cellStyle name="Calculation 11 7" xfId="7256"/>
    <cellStyle name="Calculation 11 7 2" xfId="29158"/>
    <cellStyle name="Calculation 11 8" xfId="7257"/>
    <cellStyle name="Calculation 11 8 2" xfId="29159"/>
    <cellStyle name="Calculation 11 9" xfId="7258"/>
    <cellStyle name="Calculation 11 9 2" xfId="29160"/>
    <cellStyle name="Calculation 12" xfId="1421"/>
    <cellStyle name="Calculation 12 10" xfId="7259"/>
    <cellStyle name="Calculation 12 10 2" xfId="29161"/>
    <cellStyle name="Calculation 12 11" xfId="7260"/>
    <cellStyle name="Calculation 12 11 2" xfId="29162"/>
    <cellStyle name="Calculation 12 12" xfId="7261"/>
    <cellStyle name="Calculation 12 12 2" xfId="29163"/>
    <cellStyle name="Calculation 12 13" xfId="7262"/>
    <cellStyle name="Calculation 12 13 2" xfId="29164"/>
    <cellStyle name="Calculation 12 14" xfId="7263"/>
    <cellStyle name="Calculation 12 14 2" xfId="29165"/>
    <cellStyle name="Calculation 12 15" xfId="7264"/>
    <cellStyle name="Calculation 12 15 2" xfId="29166"/>
    <cellStyle name="Calculation 12 16" xfId="7265"/>
    <cellStyle name="Calculation 12 16 2" xfId="29167"/>
    <cellStyle name="Calculation 12 17" xfId="7266"/>
    <cellStyle name="Calculation 12 17 2" xfId="29168"/>
    <cellStyle name="Calculation 12 18" xfId="7267"/>
    <cellStyle name="Calculation 12 18 2" xfId="29169"/>
    <cellStyle name="Calculation 12 19" xfId="7268"/>
    <cellStyle name="Calculation 12 19 2" xfId="29170"/>
    <cellStyle name="Calculation 12 2" xfId="7269"/>
    <cellStyle name="Calculation 12 2 2" xfId="29171"/>
    <cellStyle name="Calculation 12 20" xfId="7270"/>
    <cellStyle name="Calculation 12 20 2" xfId="29172"/>
    <cellStyle name="Calculation 12 21" xfId="7271"/>
    <cellStyle name="Calculation 12 21 2" xfId="29173"/>
    <cellStyle name="Calculation 12 22" xfId="7272"/>
    <cellStyle name="Calculation 12 22 2" xfId="29174"/>
    <cellStyle name="Calculation 12 23" xfId="29175"/>
    <cellStyle name="Calculation 12 3" xfId="7273"/>
    <cellStyle name="Calculation 12 3 2" xfId="29176"/>
    <cellStyle name="Calculation 12 4" xfId="7274"/>
    <cellStyle name="Calculation 12 4 2" xfId="29177"/>
    <cellStyle name="Calculation 12 5" xfId="7275"/>
    <cellStyle name="Calculation 12 5 2" xfId="29178"/>
    <cellStyle name="Calculation 12 6" xfId="7276"/>
    <cellStyle name="Calculation 12 6 2" xfId="29179"/>
    <cellStyle name="Calculation 12 7" xfId="7277"/>
    <cellStyle name="Calculation 12 7 2" xfId="29180"/>
    <cellStyle name="Calculation 12 8" xfId="7278"/>
    <cellStyle name="Calculation 12 8 2" xfId="29181"/>
    <cellStyle name="Calculation 12 9" xfId="7279"/>
    <cellStyle name="Calculation 12 9 2" xfId="29182"/>
    <cellStyle name="Calculation 13" xfId="1422"/>
    <cellStyle name="Calculation 13 10" xfId="7280"/>
    <cellStyle name="Calculation 13 10 2" xfId="29183"/>
    <cellStyle name="Calculation 13 11" xfId="7281"/>
    <cellStyle name="Calculation 13 11 2" xfId="29184"/>
    <cellStyle name="Calculation 13 12" xfId="7282"/>
    <cellStyle name="Calculation 13 12 2" xfId="29185"/>
    <cellStyle name="Calculation 13 13" xfId="7283"/>
    <cellStyle name="Calculation 13 13 2" xfId="29186"/>
    <cellStyle name="Calculation 13 14" xfId="7284"/>
    <cellStyle name="Calculation 13 14 2" xfId="29187"/>
    <cellStyle name="Calculation 13 15" xfId="7285"/>
    <cellStyle name="Calculation 13 15 2" xfId="29188"/>
    <cellStyle name="Calculation 13 16" xfId="7286"/>
    <cellStyle name="Calculation 13 16 2" xfId="29189"/>
    <cellStyle name="Calculation 13 17" xfId="7287"/>
    <cellStyle name="Calculation 13 17 2" xfId="29190"/>
    <cellStyle name="Calculation 13 18" xfId="7288"/>
    <cellStyle name="Calculation 13 18 2" xfId="29191"/>
    <cellStyle name="Calculation 13 19" xfId="7289"/>
    <cellStyle name="Calculation 13 19 2" xfId="29192"/>
    <cellStyle name="Calculation 13 2" xfId="7290"/>
    <cellStyle name="Calculation 13 2 2" xfId="29193"/>
    <cellStyle name="Calculation 13 20" xfId="7291"/>
    <cellStyle name="Calculation 13 20 2" xfId="29194"/>
    <cellStyle name="Calculation 13 21" xfId="7292"/>
    <cellStyle name="Calculation 13 21 2" xfId="29195"/>
    <cellStyle name="Calculation 13 22" xfId="7293"/>
    <cellStyle name="Calculation 13 22 2" xfId="29196"/>
    <cellStyle name="Calculation 13 23" xfId="29197"/>
    <cellStyle name="Calculation 13 3" xfId="7294"/>
    <cellStyle name="Calculation 13 3 2" xfId="29198"/>
    <cellStyle name="Calculation 13 4" xfId="7295"/>
    <cellStyle name="Calculation 13 4 2" xfId="29199"/>
    <cellStyle name="Calculation 13 5" xfId="7296"/>
    <cellStyle name="Calculation 13 5 2" xfId="29200"/>
    <cellStyle name="Calculation 13 6" xfId="7297"/>
    <cellStyle name="Calculation 13 6 2" xfId="29201"/>
    <cellStyle name="Calculation 13 7" xfId="7298"/>
    <cellStyle name="Calculation 13 7 2" xfId="29202"/>
    <cellStyle name="Calculation 13 8" xfId="7299"/>
    <cellStyle name="Calculation 13 8 2" xfId="29203"/>
    <cellStyle name="Calculation 13 9" xfId="7300"/>
    <cellStyle name="Calculation 13 9 2" xfId="29204"/>
    <cellStyle name="Calculation 14" xfId="1423"/>
    <cellStyle name="Calculation 14 10" xfId="7301"/>
    <cellStyle name="Calculation 14 10 2" xfId="29205"/>
    <cellStyle name="Calculation 14 11" xfId="7302"/>
    <cellStyle name="Calculation 14 11 2" xfId="29206"/>
    <cellStyle name="Calculation 14 12" xfId="7303"/>
    <cellStyle name="Calculation 14 12 2" xfId="29207"/>
    <cellStyle name="Calculation 14 13" xfId="7304"/>
    <cellStyle name="Calculation 14 13 2" xfId="29208"/>
    <cellStyle name="Calculation 14 14" xfId="7305"/>
    <cellStyle name="Calculation 14 14 2" xfId="29209"/>
    <cellStyle name="Calculation 14 15" xfId="7306"/>
    <cellStyle name="Calculation 14 15 2" xfId="29210"/>
    <cellStyle name="Calculation 14 16" xfId="7307"/>
    <cellStyle name="Calculation 14 16 2" xfId="29211"/>
    <cellStyle name="Calculation 14 17" xfId="7308"/>
    <cellStyle name="Calculation 14 17 2" xfId="29212"/>
    <cellStyle name="Calculation 14 18" xfId="7309"/>
    <cellStyle name="Calculation 14 18 2" xfId="29213"/>
    <cellStyle name="Calculation 14 19" xfId="7310"/>
    <cellStyle name="Calculation 14 19 2" xfId="29214"/>
    <cellStyle name="Calculation 14 2" xfId="7311"/>
    <cellStyle name="Calculation 14 2 2" xfId="29215"/>
    <cellStyle name="Calculation 14 20" xfId="7312"/>
    <cellStyle name="Calculation 14 20 2" xfId="29216"/>
    <cellStyle name="Calculation 14 21" xfId="7313"/>
    <cellStyle name="Calculation 14 21 2" xfId="29217"/>
    <cellStyle name="Calculation 14 22" xfId="7314"/>
    <cellStyle name="Calculation 14 22 2" xfId="29218"/>
    <cellStyle name="Calculation 14 23" xfId="29219"/>
    <cellStyle name="Calculation 14 3" xfId="7315"/>
    <cellStyle name="Calculation 14 3 2" xfId="29220"/>
    <cellStyle name="Calculation 14 4" xfId="7316"/>
    <cellStyle name="Calculation 14 4 2" xfId="29221"/>
    <cellStyle name="Calculation 14 5" xfId="7317"/>
    <cellStyle name="Calculation 14 5 2" xfId="29222"/>
    <cellStyle name="Calculation 14 6" xfId="7318"/>
    <cellStyle name="Calculation 14 6 2" xfId="29223"/>
    <cellStyle name="Calculation 14 7" xfId="7319"/>
    <cellStyle name="Calculation 14 7 2" xfId="29224"/>
    <cellStyle name="Calculation 14 8" xfId="7320"/>
    <cellStyle name="Calculation 14 8 2" xfId="29225"/>
    <cellStyle name="Calculation 14 9" xfId="7321"/>
    <cellStyle name="Calculation 14 9 2" xfId="29226"/>
    <cellStyle name="Calculation 15" xfId="1424"/>
    <cellStyle name="Calculation 15 10" xfId="7322"/>
    <cellStyle name="Calculation 15 10 2" xfId="29227"/>
    <cellStyle name="Calculation 15 11" xfId="7323"/>
    <cellStyle name="Calculation 15 11 2" xfId="29228"/>
    <cellStyle name="Calculation 15 12" xfId="7324"/>
    <cellStyle name="Calculation 15 12 2" xfId="29229"/>
    <cellStyle name="Calculation 15 13" xfId="7325"/>
    <cellStyle name="Calculation 15 13 2" xfId="29230"/>
    <cellStyle name="Calculation 15 14" xfId="7326"/>
    <cellStyle name="Calculation 15 14 2" xfId="29231"/>
    <cellStyle name="Calculation 15 15" xfId="7327"/>
    <cellStyle name="Calculation 15 15 2" xfId="29232"/>
    <cellStyle name="Calculation 15 16" xfId="7328"/>
    <cellStyle name="Calculation 15 16 2" xfId="29233"/>
    <cellStyle name="Calculation 15 17" xfId="7329"/>
    <cellStyle name="Calculation 15 17 2" xfId="29234"/>
    <cellStyle name="Calculation 15 18" xfId="7330"/>
    <cellStyle name="Calculation 15 18 2" xfId="29235"/>
    <cellStyle name="Calculation 15 19" xfId="7331"/>
    <cellStyle name="Calculation 15 19 2" xfId="29236"/>
    <cellStyle name="Calculation 15 2" xfId="7332"/>
    <cellStyle name="Calculation 15 2 2" xfId="29237"/>
    <cellStyle name="Calculation 15 20" xfId="7333"/>
    <cellStyle name="Calculation 15 20 2" xfId="29238"/>
    <cellStyle name="Calculation 15 21" xfId="7334"/>
    <cellStyle name="Calculation 15 21 2" xfId="29239"/>
    <cellStyle name="Calculation 15 22" xfId="7335"/>
    <cellStyle name="Calculation 15 22 2" xfId="29240"/>
    <cellStyle name="Calculation 15 23" xfId="29241"/>
    <cellStyle name="Calculation 15 3" xfId="7336"/>
    <cellStyle name="Calculation 15 3 2" xfId="29242"/>
    <cellStyle name="Calculation 15 4" xfId="7337"/>
    <cellStyle name="Calculation 15 4 2" xfId="29243"/>
    <cellStyle name="Calculation 15 5" xfId="7338"/>
    <cellStyle name="Calculation 15 5 2" xfId="29244"/>
    <cellStyle name="Calculation 15 6" xfId="7339"/>
    <cellStyle name="Calculation 15 6 2" xfId="29245"/>
    <cellStyle name="Calculation 15 7" xfId="7340"/>
    <cellStyle name="Calculation 15 7 2" xfId="29246"/>
    <cellStyle name="Calculation 15 8" xfId="7341"/>
    <cellStyle name="Calculation 15 8 2" xfId="29247"/>
    <cellStyle name="Calculation 15 9" xfId="7342"/>
    <cellStyle name="Calculation 15 9 2" xfId="29248"/>
    <cellStyle name="Calculation 16" xfId="1425"/>
    <cellStyle name="Calculation 16 10" xfId="7343"/>
    <cellStyle name="Calculation 16 10 2" xfId="29249"/>
    <cellStyle name="Calculation 16 11" xfId="7344"/>
    <cellStyle name="Calculation 16 11 2" xfId="29250"/>
    <cellStyle name="Calculation 16 12" xfId="7345"/>
    <cellStyle name="Calculation 16 12 2" xfId="29251"/>
    <cellStyle name="Calculation 16 13" xfId="7346"/>
    <cellStyle name="Calculation 16 13 2" xfId="29252"/>
    <cellStyle name="Calculation 16 14" xfId="7347"/>
    <cellStyle name="Calculation 16 14 2" xfId="29253"/>
    <cellStyle name="Calculation 16 15" xfId="7348"/>
    <cellStyle name="Calculation 16 15 2" xfId="29254"/>
    <cellStyle name="Calculation 16 16" xfId="7349"/>
    <cellStyle name="Calculation 16 16 2" xfId="29255"/>
    <cellStyle name="Calculation 16 17" xfId="7350"/>
    <cellStyle name="Calculation 16 17 2" xfId="29256"/>
    <cellStyle name="Calculation 16 18" xfId="7351"/>
    <cellStyle name="Calculation 16 18 2" xfId="29257"/>
    <cellStyle name="Calculation 16 19" xfId="7352"/>
    <cellStyle name="Calculation 16 19 2" xfId="29258"/>
    <cellStyle name="Calculation 16 2" xfId="7353"/>
    <cellStyle name="Calculation 16 2 2" xfId="29259"/>
    <cellStyle name="Calculation 16 20" xfId="7354"/>
    <cellStyle name="Calculation 16 20 2" xfId="29260"/>
    <cellStyle name="Calculation 16 21" xfId="7355"/>
    <cellStyle name="Calculation 16 21 2" xfId="29261"/>
    <cellStyle name="Calculation 16 22" xfId="7356"/>
    <cellStyle name="Calculation 16 22 2" xfId="29262"/>
    <cellStyle name="Calculation 16 23" xfId="29263"/>
    <cellStyle name="Calculation 16 3" xfId="7357"/>
    <cellStyle name="Calculation 16 3 2" xfId="29264"/>
    <cellStyle name="Calculation 16 4" xfId="7358"/>
    <cellStyle name="Calculation 16 4 2" xfId="29265"/>
    <cellStyle name="Calculation 16 5" xfId="7359"/>
    <cellStyle name="Calculation 16 5 2" xfId="29266"/>
    <cellStyle name="Calculation 16 6" xfId="7360"/>
    <cellStyle name="Calculation 16 6 2" xfId="29267"/>
    <cellStyle name="Calculation 16 7" xfId="7361"/>
    <cellStyle name="Calculation 16 7 2" xfId="29268"/>
    <cellStyle name="Calculation 16 8" xfId="7362"/>
    <cellStyle name="Calculation 16 8 2" xfId="29269"/>
    <cellStyle name="Calculation 16 9" xfId="7363"/>
    <cellStyle name="Calculation 16 9 2" xfId="29270"/>
    <cellStyle name="Calculation 17" xfId="1426"/>
    <cellStyle name="Calculation 17 10" xfId="7364"/>
    <cellStyle name="Calculation 17 10 2" xfId="29271"/>
    <cellStyle name="Calculation 17 11" xfId="7365"/>
    <cellStyle name="Calculation 17 11 2" xfId="29272"/>
    <cellStyle name="Calculation 17 12" xfId="7366"/>
    <cellStyle name="Calculation 17 12 2" xfId="29273"/>
    <cellStyle name="Calculation 17 13" xfId="7367"/>
    <cellStyle name="Calculation 17 13 2" xfId="29274"/>
    <cellStyle name="Calculation 17 14" xfId="7368"/>
    <cellStyle name="Calculation 17 14 2" xfId="29275"/>
    <cellStyle name="Calculation 17 15" xfId="7369"/>
    <cellStyle name="Calculation 17 15 2" xfId="29276"/>
    <cellStyle name="Calculation 17 16" xfId="7370"/>
    <cellStyle name="Calculation 17 16 2" xfId="29277"/>
    <cellStyle name="Calculation 17 17" xfId="7371"/>
    <cellStyle name="Calculation 17 17 2" xfId="29278"/>
    <cellStyle name="Calculation 17 18" xfId="7372"/>
    <cellStyle name="Calculation 17 18 2" xfId="29279"/>
    <cellStyle name="Calculation 17 19" xfId="7373"/>
    <cellStyle name="Calculation 17 19 2" xfId="29280"/>
    <cellStyle name="Calculation 17 2" xfId="7374"/>
    <cellStyle name="Calculation 17 2 2" xfId="29281"/>
    <cellStyle name="Calculation 17 20" xfId="7375"/>
    <cellStyle name="Calculation 17 20 2" xfId="29282"/>
    <cellStyle name="Calculation 17 21" xfId="7376"/>
    <cellStyle name="Calculation 17 21 2" xfId="29283"/>
    <cellStyle name="Calculation 17 22" xfId="7377"/>
    <cellStyle name="Calculation 17 22 2" xfId="29284"/>
    <cellStyle name="Calculation 17 23" xfId="29285"/>
    <cellStyle name="Calculation 17 3" xfId="7378"/>
    <cellStyle name="Calculation 17 3 2" xfId="29286"/>
    <cellStyle name="Calculation 17 4" xfId="7379"/>
    <cellStyle name="Calculation 17 4 2" xfId="29287"/>
    <cellStyle name="Calculation 17 5" xfId="7380"/>
    <cellStyle name="Calculation 17 5 2" xfId="29288"/>
    <cellStyle name="Calculation 17 6" xfId="7381"/>
    <cellStyle name="Calculation 17 6 2" xfId="29289"/>
    <cellStyle name="Calculation 17 7" xfId="7382"/>
    <cellStyle name="Calculation 17 7 2" xfId="29290"/>
    <cellStyle name="Calculation 17 8" xfId="7383"/>
    <cellStyle name="Calculation 17 8 2" xfId="29291"/>
    <cellStyle name="Calculation 17 9" xfId="7384"/>
    <cellStyle name="Calculation 17 9 2" xfId="29292"/>
    <cellStyle name="Calculation 18" xfId="1427"/>
    <cellStyle name="Calculation 18 10" xfId="7385"/>
    <cellStyle name="Calculation 18 10 2" xfId="29293"/>
    <cellStyle name="Calculation 18 11" xfId="7386"/>
    <cellStyle name="Calculation 18 11 2" xfId="29294"/>
    <cellStyle name="Calculation 18 12" xfId="7387"/>
    <cellStyle name="Calculation 18 12 2" xfId="29295"/>
    <cellStyle name="Calculation 18 13" xfId="7388"/>
    <cellStyle name="Calculation 18 13 2" xfId="29296"/>
    <cellStyle name="Calculation 18 14" xfId="7389"/>
    <cellStyle name="Calculation 18 14 2" xfId="29297"/>
    <cellStyle name="Calculation 18 15" xfId="7390"/>
    <cellStyle name="Calculation 18 15 2" xfId="29298"/>
    <cellStyle name="Calculation 18 16" xfId="7391"/>
    <cellStyle name="Calculation 18 16 2" xfId="29299"/>
    <cellStyle name="Calculation 18 17" xfId="7392"/>
    <cellStyle name="Calculation 18 17 2" xfId="29300"/>
    <cellStyle name="Calculation 18 18" xfId="7393"/>
    <cellStyle name="Calculation 18 18 2" xfId="29301"/>
    <cellStyle name="Calculation 18 19" xfId="7394"/>
    <cellStyle name="Calculation 18 19 2" xfId="29302"/>
    <cellStyle name="Calculation 18 2" xfId="7395"/>
    <cellStyle name="Calculation 18 2 2" xfId="29303"/>
    <cellStyle name="Calculation 18 20" xfId="7396"/>
    <cellStyle name="Calculation 18 20 2" xfId="29304"/>
    <cellStyle name="Calculation 18 21" xfId="7397"/>
    <cellStyle name="Calculation 18 21 2" xfId="29305"/>
    <cellStyle name="Calculation 18 22" xfId="7398"/>
    <cellStyle name="Calculation 18 22 2" xfId="29306"/>
    <cellStyle name="Calculation 18 23" xfId="29307"/>
    <cellStyle name="Calculation 18 3" xfId="7399"/>
    <cellStyle name="Calculation 18 3 2" xfId="29308"/>
    <cellStyle name="Calculation 18 4" xfId="7400"/>
    <cellStyle name="Calculation 18 4 2" xfId="29309"/>
    <cellStyle name="Calculation 18 5" xfId="7401"/>
    <cellStyle name="Calculation 18 5 2" xfId="29310"/>
    <cellStyle name="Calculation 18 6" xfId="7402"/>
    <cellStyle name="Calculation 18 6 2" xfId="29311"/>
    <cellStyle name="Calculation 18 7" xfId="7403"/>
    <cellStyle name="Calculation 18 7 2" xfId="29312"/>
    <cellStyle name="Calculation 18 8" xfId="7404"/>
    <cellStyle name="Calculation 18 8 2" xfId="29313"/>
    <cellStyle name="Calculation 18 9" xfId="7405"/>
    <cellStyle name="Calculation 18 9 2" xfId="29314"/>
    <cellStyle name="Calculation 19" xfId="1428"/>
    <cellStyle name="Calculation 19 10" xfId="7406"/>
    <cellStyle name="Calculation 19 10 2" xfId="29315"/>
    <cellStyle name="Calculation 19 11" xfId="7407"/>
    <cellStyle name="Calculation 19 11 2" xfId="29316"/>
    <cellStyle name="Calculation 19 12" xfId="7408"/>
    <cellStyle name="Calculation 19 12 2" xfId="29317"/>
    <cellStyle name="Calculation 19 13" xfId="7409"/>
    <cellStyle name="Calculation 19 13 2" xfId="29318"/>
    <cellStyle name="Calculation 19 14" xfId="7410"/>
    <cellStyle name="Calculation 19 14 2" xfId="29319"/>
    <cellStyle name="Calculation 19 15" xfId="7411"/>
    <cellStyle name="Calculation 19 15 2" xfId="29320"/>
    <cellStyle name="Calculation 19 16" xfId="7412"/>
    <cellStyle name="Calculation 19 16 2" xfId="29321"/>
    <cellStyle name="Calculation 19 17" xfId="7413"/>
    <cellStyle name="Calculation 19 17 2" xfId="29322"/>
    <cellStyle name="Calculation 19 18" xfId="7414"/>
    <cellStyle name="Calculation 19 18 2" xfId="29323"/>
    <cellStyle name="Calculation 19 19" xfId="7415"/>
    <cellStyle name="Calculation 19 19 2" xfId="29324"/>
    <cellStyle name="Calculation 19 2" xfId="7416"/>
    <cellStyle name="Calculation 19 2 2" xfId="29325"/>
    <cellStyle name="Calculation 19 20" xfId="7417"/>
    <cellStyle name="Calculation 19 20 2" xfId="29326"/>
    <cellStyle name="Calculation 19 21" xfId="7418"/>
    <cellStyle name="Calculation 19 21 2" xfId="29327"/>
    <cellStyle name="Calculation 19 22" xfId="7419"/>
    <cellStyle name="Calculation 19 22 2" xfId="29328"/>
    <cellStyle name="Calculation 19 23" xfId="29329"/>
    <cellStyle name="Calculation 19 3" xfId="7420"/>
    <cellStyle name="Calculation 19 3 2" xfId="29330"/>
    <cellStyle name="Calculation 19 4" xfId="7421"/>
    <cellStyle name="Calculation 19 4 2" xfId="29331"/>
    <cellStyle name="Calculation 19 5" xfId="7422"/>
    <cellStyle name="Calculation 19 5 2" xfId="29332"/>
    <cellStyle name="Calculation 19 6" xfId="7423"/>
    <cellStyle name="Calculation 19 6 2" xfId="29333"/>
    <cellStyle name="Calculation 19 7" xfId="7424"/>
    <cellStyle name="Calculation 19 7 2" xfId="29334"/>
    <cellStyle name="Calculation 19 8" xfId="7425"/>
    <cellStyle name="Calculation 19 8 2" xfId="29335"/>
    <cellStyle name="Calculation 19 9" xfId="7426"/>
    <cellStyle name="Calculation 19 9 2" xfId="29336"/>
    <cellStyle name="Calculation 2" xfId="1429"/>
    <cellStyle name="Calculation 2 10" xfId="7427"/>
    <cellStyle name="Calculation 2 10 2" xfId="29337"/>
    <cellStyle name="Calculation 2 11" xfId="7428"/>
    <cellStyle name="Calculation 2 11 2" xfId="29338"/>
    <cellStyle name="Calculation 2 12" xfId="7429"/>
    <cellStyle name="Calculation 2 12 2" xfId="29339"/>
    <cellStyle name="Calculation 2 13" xfId="7430"/>
    <cellStyle name="Calculation 2 13 2" xfId="29340"/>
    <cellStyle name="Calculation 2 14" xfId="7431"/>
    <cellStyle name="Calculation 2 14 2" xfId="29341"/>
    <cellStyle name="Calculation 2 15" xfId="7432"/>
    <cellStyle name="Calculation 2 15 2" xfId="29342"/>
    <cellStyle name="Calculation 2 16" xfId="7433"/>
    <cellStyle name="Calculation 2 16 2" xfId="29343"/>
    <cellStyle name="Calculation 2 17" xfId="7434"/>
    <cellStyle name="Calculation 2 17 2" xfId="29344"/>
    <cellStyle name="Calculation 2 18" xfId="7435"/>
    <cellStyle name="Calculation 2 18 2" xfId="29345"/>
    <cellStyle name="Calculation 2 19" xfId="7436"/>
    <cellStyle name="Calculation 2 19 2" xfId="29346"/>
    <cellStyle name="Calculation 2 2" xfId="1430"/>
    <cellStyle name="Calculation 2 2 10" xfId="7437"/>
    <cellStyle name="Calculation 2 2 10 2" xfId="29347"/>
    <cellStyle name="Calculation 2 2 11" xfId="7438"/>
    <cellStyle name="Calculation 2 2 11 2" xfId="29348"/>
    <cellStyle name="Calculation 2 2 12" xfId="7439"/>
    <cellStyle name="Calculation 2 2 12 2" xfId="29349"/>
    <cellStyle name="Calculation 2 2 13" xfId="7440"/>
    <cellStyle name="Calculation 2 2 13 2" xfId="29350"/>
    <cellStyle name="Calculation 2 2 14" xfId="7441"/>
    <cellStyle name="Calculation 2 2 14 2" xfId="29351"/>
    <cellStyle name="Calculation 2 2 15" xfId="7442"/>
    <cellStyle name="Calculation 2 2 15 2" xfId="29352"/>
    <cellStyle name="Calculation 2 2 16" xfId="7443"/>
    <cellStyle name="Calculation 2 2 16 2" xfId="29353"/>
    <cellStyle name="Calculation 2 2 17" xfId="7444"/>
    <cellStyle name="Calculation 2 2 17 2" xfId="29354"/>
    <cellStyle name="Calculation 2 2 18" xfId="7445"/>
    <cellStyle name="Calculation 2 2 18 2" xfId="29355"/>
    <cellStyle name="Calculation 2 2 19" xfId="7446"/>
    <cellStyle name="Calculation 2 2 19 2" xfId="29356"/>
    <cellStyle name="Calculation 2 2 2" xfId="7447"/>
    <cellStyle name="Calculation 2 2 2 2" xfId="29357"/>
    <cellStyle name="Calculation 2 2 20" xfId="7448"/>
    <cellStyle name="Calculation 2 2 20 2" xfId="29358"/>
    <cellStyle name="Calculation 2 2 21" xfId="7449"/>
    <cellStyle name="Calculation 2 2 21 2" xfId="29359"/>
    <cellStyle name="Calculation 2 2 22" xfId="7450"/>
    <cellStyle name="Calculation 2 2 22 2" xfId="29360"/>
    <cellStyle name="Calculation 2 2 23" xfId="29361"/>
    <cellStyle name="Calculation 2 2 3" xfId="7451"/>
    <cellStyle name="Calculation 2 2 3 2" xfId="29362"/>
    <cellStyle name="Calculation 2 2 4" xfId="7452"/>
    <cellStyle name="Calculation 2 2 4 2" xfId="29363"/>
    <cellStyle name="Calculation 2 2 5" xfId="7453"/>
    <cellStyle name="Calculation 2 2 5 2" xfId="29364"/>
    <cellStyle name="Calculation 2 2 6" xfId="7454"/>
    <cellStyle name="Calculation 2 2 6 2" xfId="29365"/>
    <cellStyle name="Calculation 2 2 7" xfId="7455"/>
    <cellStyle name="Calculation 2 2 7 2" xfId="29366"/>
    <cellStyle name="Calculation 2 2 8" xfId="7456"/>
    <cellStyle name="Calculation 2 2 8 2" xfId="29367"/>
    <cellStyle name="Calculation 2 2 9" xfId="7457"/>
    <cellStyle name="Calculation 2 2 9 2" xfId="29368"/>
    <cellStyle name="Calculation 2 20" xfId="7458"/>
    <cellStyle name="Calculation 2 20 2" xfId="29369"/>
    <cellStyle name="Calculation 2 21" xfId="7459"/>
    <cellStyle name="Calculation 2 21 2" xfId="29370"/>
    <cellStyle name="Calculation 2 22" xfId="7460"/>
    <cellStyle name="Calculation 2 22 2" xfId="29371"/>
    <cellStyle name="Calculation 2 23" xfId="7461"/>
    <cellStyle name="Calculation 2 23 2" xfId="29372"/>
    <cellStyle name="Calculation 2 24" xfId="7462"/>
    <cellStyle name="Calculation 2 24 2" xfId="29373"/>
    <cellStyle name="Calculation 2 25" xfId="7463"/>
    <cellStyle name="Calculation 2 25 2" xfId="29374"/>
    <cellStyle name="Calculation 2 26" xfId="7464"/>
    <cellStyle name="Calculation 2 26 2" xfId="29375"/>
    <cellStyle name="Calculation 2 27" xfId="7465"/>
    <cellStyle name="Calculation 2 27 2" xfId="29376"/>
    <cellStyle name="Calculation 2 28" xfId="29377"/>
    <cellStyle name="Calculation 2 3" xfId="1431"/>
    <cellStyle name="Calculation 2 3 10" xfId="7466"/>
    <cellStyle name="Calculation 2 3 10 2" xfId="29378"/>
    <cellStyle name="Calculation 2 3 11" xfId="7467"/>
    <cellStyle name="Calculation 2 3 11 2" xfId="29379"/>
    <cellStyle name="Calculation 2 3 12" xfId="7468"/>
    <cellStyle name="Calculation 2 3 12 2" xfId="29380"/>
    <cellStyle name="Calculation 2 3 13" xfId="7469"/>
    <cellStyle name="Calculation 2 3 13 2" xfId="29381"/>
    <cellStyle name="Calculation 2 3 14" xfId="7470"/>
    <cellStyle name="Calculation 2 3 14 2" xfId="29382"/>
    <cellStyle name="Calculation 2 3 15" xfId="7471"/>
    <cellStyle name="Calculation 2 3 15 2" xfId="29383"/>
    <cellStyle name="Calculation 2 3 16" xfId="7472"/>
    <cellStyle name="Calculation 2 3 16 2" xfId="29384"/>
    <cellStyle name="Calculation 2 3 17" xfId="7473"/>
    <cellStyle name="Calculation 2 3 17 2" xfId="29385"/>
    <cellStyle name="Calculation 2 3 18" xfId="7474"/>
    <cellStyle name="Calculation 2 3 18 2" xfId="29386"/>
    <cellStyle name="Calculation 2 3 19" xfId="7475"/>
    <cellStyle name="Calculation 2 3 19 2" xfId="29387"/>
    <cellStyle name="Calculation 2 3 2" xfId="7476"/>
    <cellStyle name="Calculation 2 3 2 2" xfId="29388"/>
    <cellStyle name="Calculation 2 3 20" xfId="7477"/>
    <cellStyle name="Calculation 2 3 20 2" xfId="29389"/>
    <cellStyle name="Calculation 2 3 21" xfId="7478"/>
    <cellStyle name="Calculation 2 3 21 2" xfId="29390"/>
    <cellStyle name="Calculation 2 3 22" xfId="7479"/>
    <cellStyle name="Calculation 2 3 22 2" xfId="29391"/>
    <cellStyle name="Calculation 2 3 23" xfId="29392"/>
    <cellStyle name="Calculation 2 3 3" xfId="7480"/>
    <cellStyle name="Calculation 2 3 3 2" xfId="29393"/>
    <cellStyle name="Calculation 2 3 4" xfId="7481"/>
    <cellStyle name="Calculation 2 3 4 2" xfId="29394"/>
    <cellStyle name="Calculation 2 3 5" xfId="7482"/>
    <cellStyle name="Calculation 2 3 5 2" xfId="29395"/>
    <cellStyle name="Calculation 2 3 6" xfId="7483"/>
    <cellStyle name="Calculation 2 3 6 2" xfId="29396"/>
    <cellStyle name="Calculation 2 3 7" xfId="7484"/>
    <cellStyle name="Calculation 2 3 7 2" xfId="29397"/>
    <cellStyle name="Calculation 2 3 8" xfId="7485"/>
    <cellStyle name="Calculation 2 3 8 2" xfId="29398"/>
    <cellStyle name="Calculation 2 3 9" xfId="7486"/>
    <cellStyle name="Calculation 2 3 9 2" xfId="29399"/>
    <cellStyle name="Calculation 2 4" xfId="1432"/>
    <cellStyle name="Calculation 2 4 10" xfId="7487"/>
    <cellStyle name="Calculation 2 4 10 2" xfId="29400"/>
    <cellStyle name="Calculation 2 4 11" xfId="7488"/>
    <cellStyle name="Calculation 2 4 11 2" xfId="29401"/>
    <cellStyle name="Calculation 2 4 12" xfId="7489"/>
    <cellStyle name="Calculation 2 4 12 2" xfId="29402"/>
    <cellStyle name="Calculation 2 4 13" xfId="7490"/>
    <cellStyle name="Calculation 2 4 13 2" xfId="29403"/>
    <cellStyle name="Calculation 2 4 14" xfId="7491"/>
    <cellStyle name="Calculation 2 4 14 2" xfId="29404"/>
    <cellStyle name="Calculation 2 4 15" xfId="7492"/>
    <cellStyle name="Calculation 2 4 15 2" xfId="29405"/>
    <cellStyle name="Calculation 2 4 16" xfId="7493"/>
    <cellStyle name="Calculation 2 4 16 2" xfId="29406"/>
    <cellStyle name="Calculation 2 4 17" xfId="7494"/>
    <cellStyle name="Calculation 2 4 17 2" xfId="29407"/>
    <cellStyle name="Calculation 2 4 18" xfId="7495"/>
    <cellStyle name="Calculation 2 4 18 2" xfId="29408"/>
    <cellStyle name="Calculation 2 4 19" xfId="7496"/>
    <cellStyle name="Calculation 2 4 19 2" xfId="29409"/>
    <cellStyle name="Calculation 2 4 2" xfId="7497"/>
    <cellStyle name="Calculation 2 4 2 2" xfId="29410"/>
    <cellStyle name="Calculation 2 4 20" xfId="7498"/>
    <cellStyle name="Calculation 2 4 20 2" xfId="29411"/>
    <cellStyle name="Calculation 2 4 21" xfId="7499"/>
    <cellStyle name="Calculation 2 4 21 2" xfId="29412"/>
    <cellStyle name="Calculation 2 4 22" xfId="7500"/>
    <cellStyle name="Calculation 2 4 22 2" xfId="29413"/>
    <cellStyle name="Calculation 2 4 23" xfId="29414"/>
    <cellStyle name="Calculation 2 4 3" xfId="7501"/>
    <cellStyle name="Calculation 2 4 3 2" xfId="29415"/>
    <cellStyle name="Calculation 2 4 4" xfId="7502"/>
    <cellStyle name="Calculation 2 4 4 2" xfId="29416"/>
    <cellStyle name="Calculation 2 4 5" xfId="7503"/>
    <cellStyle name="Calculation 2 4 5 2" xfId="29417"/>
    <cellStyle name="Calculation 2 4 6" xfId="7504"/>
    <cellStyle name="Calculation 2 4 6 2" xfId="29418"/>
    <cellStyle name="Calculation 2 4 7" xfId="7505"/>
    <cellStyle name="Calculation 2 4 7 2" xfId="29419"/>
    <cellStyle name="Calculation 2 4 8" xfId="7506"/>
    <cellStyle name="Calculation 2 4 8 2" xfId="29420"/>
    <cellStyle name="Calculation 2 4 9" xfId="7507"/>
    <cellStyle name="Calculation 2 4 9 2" xfId="29421"/>
    <cellStyle name="Calculation 2 5" xfId="1433"/>
    <cellStyle name="Calculation 2 5 10" xfId="7508"/>
    <cellStyle name="Calculation 2 5 10 2" xfId="29422"/>
    <cellStyle name="Calculation 2 5 11" xfId="7509"/>
    <cellStyle name="Calculation 2 5 11 2" xfId="29423"/>
    <cellStyle name="Calculation 2 5 12" xfId="7510"/>
    <cellStyle name="Calculation 2 5 12 2" xfId="29424"/>
    <cellStyle name="Calculation 2 5 13" xfId="7511"/>
    <cellStyle name="Calculation 2 5 13 2" xfId="29425"/>
    <cellStyle name="Calculation 2 5 14" xfId="7512"/>
    <cellStyle name="Calculation 2 5 14 2" xfId="29426"/>
    <cellStyle name="Calculation 2 5 15" xfId="7513"/>
    <cellStyle name="Calculation 2 5 15 2" xfId="29427"/>
    <cellStyle name="Calculation 2 5 16" xfId="7514"/>
    <cellStyle name="Calculation 2 5 16 2" xfId="29428"/>
    <cellStyle name="Calculation 2 5 17" xfId="7515"/>
    <cellStyle name="Calculation 2 5 17 2" xfId="29429"/>
    <cellStyle name="Calculation 2 5 18" xfId="7516"/>
    <cellStyle name="Calculation 2 5 18 2" xfId="29430"/>
    <cellStyle name="Calculation 2 5 19" xfId="7517"/>
    <cellStyle name="Calculation 2 5 19 2" xfId="29431"/>
    <cellStyle name="Calculation 2 5 2" xfId="7518"/>
    <cellStyle name="Calculation 2 5 2 2" xfId="29432"/>
    <cellStyle name="Calculation 2 5 20" xfId="7519"/>
    <cellStyle name="Calculation 2 5 20 2" xfId="29433"/>
    <cellStyle name="Calculation 2 5 21" xfId="7520"/>
    <cellStyle name="Calculation 2 5 21 2" xfId="29434"/>
    <cellStyle name="Calculation 2 5 22" xfId="7521"/>
    <cellStyle name="Calculation 2 5 22 2" xfId="29435"/>
    <cellStyle name="Calculation 2 5 23" xfId="29436"/>
    <cellStyle name="Calculation 2 5 3" xfId="7522"/>
    <cellStyle name="Calculation 2 5 3 2" xfId="29437"/>
    <cellStyle name="Calculation 2 5 4" xfId="7523"/>
    <cellStyle name="Calculation 2 5 4 2" xfId="29438"/>
    <cellStyle name="Calculation 2 5 5" xfId="7524"/>
    <cellStyle name="Calculation 2 5 5 2" xfId="29439"/>
    <cellStyle name="Calculation 2 5 6" xfId="7525"/>
    <cellStyle name="Calculation 2 5 6 2" xfId="29440"/>
    <cellStyle name="Calculation 2 5 7" xfId="7526"/>
    <cellStyle name="Calculation 2 5 7 2" xfId="29441"/>
    <cellStyle name="Calculation 2 5 8" xfId="7527"/>
    <cellStyle name="Calculation 2 5 8 2" xfId="29442"/>
    <cellStyle name="Calculation 2 5 9" xfId="7528"/>
    <cellStyle name="Calculation 2 5 9 2" xfId="29443"/>
    <cellStyle name="Calculation 2 6" xfId="1434"/>
    <cellStyle name="Calculation 2 6 10" xfId="7529"/>
    <cellStyle name="Calculation 2 6 10 2" xfId="29444"/>
    <cellStyle name="Calculation 2 6 11" xfId="7530"/>
    <cellStyle name="Calculation 2 6 11 2" xfId="29445"/>
    <cellStyle name="Calculation 2 6 12" xfId="7531"/>
    <cellStyle name="Calculation 2 6 12 2" xfId="29446"/>
    <cellStyle name="Calculation 2 6 13" xfId="7532"/>
    <cellStyle name="Calculation 2 6 13 2" xfId="29447"/>
    <cellStyle name="Calculation 2 6 14" xfId="7533"/>
    <cellStyle name="Calculation 2 6 14 2" xfId="29448"/>
    <cellStyle name="Calculation 2 6 15" xfId="7534"/>
    <cellStyle name="Calculation 2 6 15 2" xfId="29449"/>
    <cellStyle name="Calculation 2 6 16" xfId="7535"/>
    <cellStyle name="Calculation 2 6 16 2" xfId="29450"/>
    <cellStyle name="Calculation 2 6 17" xfId="7536"/>
    <cellStyle name="Calculation 2 6 17 2" xfId="29451"/>
    <cellStyle name="Calculation 2 6 18" xfId="7537"/>
    <cellStyle name="Calculation 2 6 18 2" xfId="29452"/>
    <cellStyle name="Calculation 2 6 19" xfId="7538"/>
    <cellStyle name="Calculation 2 6 19 2" xfId="29453"/>
    <cellStyle name="Calculation 2 6 2" xfId="7539"/>
    <cellStyle name="Calculation 2 6 2 2" xfId="29454"/>
    <cellStyle name="Calculation 2 6 20" xfId="7540"/>
    <cellStyle name="Calculation 2 6 20 2" xfId="29455"/>
    <cellStyle name="Calculation 2 6 21" xfId="7541"/>
    <cellStyle name="Calculation 2 6 21 2" xfId="29456"/>
    <cellStyle name="Calculation 2 6 22" xfId="7542"/>
    <cellStyle name="Calculation 2 6 22 2" xfId="29457"/>
    <cellStyle name="Calculation 2 6 23" xfId="29458"/>
    <cellStyle name="Calculation 2 6 3" xfId="7543"/>
    <cellStyle name="Calculation 2 6 3 2" xfId="29459"/>
    <cellStyle name="Calculation 2 6 4" xfId="7544"/>
    <cellStyle name="Calculation 2 6 4 2" xfId="29460"/>
    <cellStyle name="Calculation 2 6 5" xfId="7545"/>
    <cellStyle name="Calculation 2 6 5 2" xfId="29461"/>
    <cellStyle name="Calculation 2 6 6" xfId="7546"/>
    <cellStyle name="Calculation 2 6 6 2" xfId="29462"/>
    <cellStyle name="Calculation 2 6 7" xfId="7547"/>
    <cellStyle name="Calculation 2 6 7 2" xfId="29463"/>
    <cellStyle name="Calculation 2 6 8" xfId="7548"/>
    <cellStyle name="Calculation 2 6 8 2" xfId="29464"/>
    <cellStyle name="Calculation 2 6 9" xfId="7549"/>
    <cellStyle name="Calculation 2 6 9 2" xfId="29465"/>
    <cellStyle name="Calculation 2 7" xfId="7550"/>
    <cellStyle name="Calculation 2 7 2" xfId="29466"/>
    <cellStyle name="Calculation 2 8" xfId="7551"/>
    <cellStyle name="Calculation 2 8 2" xfId="29467"/>
    <cellStyle name="Calculation 2 9" xfId="7552"/>
    <cellStyle name="Calculation 2 9 2" xfId="29468"/>
    <cellStyle name="Calculation 20" xfId="1435"/>
    <cellStyle name="Calculation 20 10" xfId="7553"/>
    <cellStyle name="Calculation 20 10 2" xfId="29469"/>
    <cellStyle name="Calculation 20 11" xfId="7554"/>
    <cellStyle name="Calculation 20 11 2" xfId="29470"/>
    <cellStyle name="Calculation 20 12" xfId="7555"/>
    <cellStyle name="Calculation 20 12 2" xfId="29471"/>
    <cellStyle name="Calculation 20 13" xfId="7556"/>
    <cellStyle name="Calculation 20 13 2" xfId="29472"/>
    <cellStyle name="Calculation 20 14" xfId="7557"/>
    <cellStyle name="Calculation 20 14 2" xfId="29473"/>
    <cellStyle name="Calculation 20 15" xfId="7558"/>
    <cellStyle name="Calculation 20 15 2" xfId="29474"/>
    <cellStyle name="Calculation 20 16" xfId="7559"/>
    <cellStyle name="Calculation 20 16 2" xfId="29475"/>
    <cellStyle name="Calculation 20 17" xfId="7560"/>
    <cellStyle name="Calculation 20 17 2" xfId="29476"/>
    <cellStyle name="Calculation 20 18" xfId="7561"/>
    <cellStyle name="Calculation 20 18 2" xfId="29477"/>
    <cellStyle name="Calculation 20 19" xfId="7562"/>
    <cellStyle name="Calculation 20 19 2" xfId="29478"/>
    <cellStyle name="Calculation 20 2" xfId="7563"/>
    <cellStyle name="Calculation 20 2 2" xfId="29479"/>
    <cellStyle name="Calculation 20 20" xfId="7564"/>
    <cellStyle name="Calculation 20 20 2" xfId="29480"/>
    <cellStyle name="Calculation 20 21" xfId="7565"/>
    <cellStyle name="Calculation 20 21 2" xfId="29481"/>
    <cellStyle name="Calculation 20 22" xfId="7566"/>
    <cellStyle name="Calculation 20 22 2" xfId="29482"/>
    <cellStyle name="Calculation 20 23" xfId="29483"/>
    <cellStyle name="Calculation 20 3" xfId="7567"/>
    <cellStyle name="Calculation 20 3 2" xfId="29484"/>
    <cellStyle name="Calculation 20 4" xfId="7568"/>
    <cellStyle name="Calculation 20 4 2" xfId="29485"/>
    <cellStyle name="Calculation 20 5" xfId="7569"/>
    <cellStyle name="Calculation 20 5 2" xfId="29486"/>
    <cellStyle name="Calculation 20 6" xfId="7570"/>
    <cellStyle name="Calculation 20 6 2" xfId="29487"/>
    <cellStyle name="Calculation 20 7" xfId="7571"/>
    <cellStyle name="Calculation 20 7 2" xfId="29488"/>
    <cellStyle name="Calculation 20 8" xfId="7572"/>
    <cellStyle name="Calculation 20 8 2" xfId="29489"/>
    <cellStyle name="Calculation 20 9" xfId="7573"/>
    <cellStyle name="Calculation 20 9 2" xfId="29490"/>
    <cellStyle name="Calculation 21" xfId="1436"/>
    <cellStyle name="Calculation 21 10" xfId="7574"/>
    <cellStyle name="Calculation 21 10 2" xfId="29491"/>
    <cellStyle name="Calculation 21 11" xfId="7575"/>
    <cellStyle name="Calculation 21 11 2" xfId="29492"/>
    <cellStyle name="Calculation 21 12" xfId="7576"/>
    <cellStyle name="Calculation 21 12 2" xfId="29493"/>
    <cellStyle name="Calculation 21 13" xfId="7577"/>
    <cellStyle name="Calculation 21 13 2" xfId="29494"/>
    <cellStyle name="Calculation 21 14" xfId="7578"/>
    <cellStyle name="Calculation 21 14 2" xfId="29495"/>
    <cellStyle name="Calculation 21 15" xfId="7579"/>
    <cellStyle name="Calculation 21 15 2" xfId="29496"/>
    <cellStyle name="Calculation 21 16" xfId="7580"/>
    <cellStyle name="Calculation 21 16 2" xfId="29497"/>
    <cellStyle name="Calculation 21 17" xfId="7581"/>
    <cellStyle name="Calculation 21 17 2" xfId="29498"/>
    <cellStyle name="Calculation 21 18" xfId="7582"/>
    <cellStyle name="Calculation 21 18 2" xfId="29499"/>
    <cellStyle name="Calculation 21 19" xfId="7583"/>
    <cellStyle name="Calculation 21 19 2" xfId="29500"/>
    <cellStyle name="Calculation 21 2" xfId="7584"/>
    <cellStyle name="Calculation 21 2 2" xfId="29501"/>
    <cellStyle name="Calculation 21 20" xfId="7585"/>
    <cellStyle name="Calculation 21 20 2" xfId="29502"/>
    <cellStyle name="Calculation 21 21" xfId="7586"/>
    <cellStyle name="Calculation 21 21 2" xfId="29503"/>
    <cellStyle name="Calculation 21 22" xfId="7587"/>
    <cellStyle name="Calculation 21 22 2" xfId="29504"/>
    <cellStyle name="Calculation 21 23" xfId="29505"/>
    <cellStyle name="Calculation 21 3" xfId="7588"/>
    <cellStyle name="Calculation 21 3 2" xfId="29506"/>
    <cellStyle name="Calculation 21 4" xfId="7589"/>
    <cellStyle name="Calculation 21 4 2" xfId="29507"/>
    <cellStyle name="Calculation 21 5" xfId="7590"/>
    <cellStyle name="Calculation 21 5 2" xfId="29508"/>
    <cellStyle name="Calculation 21 6" xfId="7591"/>
    <cellStyle name="Calculation 21 6 2" xfId="29509"/>
    <cellStyle name="Calculation 21 7" xfId="7592"/>
    <cellStyle name="Calculation 21 7 2" xfId="29510"/>
    <cellStyle name="Calculation 21 8" xfId="7593"/>
    <cellStyle name="Calculation 21 8 2" xfId="29511"/>
    <cellStyle name="Calculation 21 9" xfId="7594"/>
    <cellStyle name="Calculation 21 9 2" xfId="29512"/>
    <cellStyle name="Calculation 22" xfId="1437"/>
    <cellStyle name="Calculation 22 10" xfId="7595"/>
    <cellStyle name="Calculation 22 10 2" xfId="29513"/>
    <cellStyle name="Calculation 22 11" xfId="7596"/>
    <cellStyle name="Calculation 22 11 2" xfId="29514"/>
    <cellStyle name="Calculation 22 12" xfId="7597"/>
    <cellStyle name="Calculation 22 12 2" xfId="29515"/>
    <cellStyle name="Calculation 22 13" xfId="7598"/>
    <cellStyle name="Calculation 22 13 2" xfId="29516"/>
    <cellStyle name="Calculation 22 14" xfId="7599"/>
    <cellStyle name="Calculation 22 14 2" xfId="29517"/>
    <cellStyle name="Calculation 22 15" xfId="7600"/>
    <cellStyle name="Calculation 22 15 2" xfId="29518"/>
    <cellStyle name="Calculation 22 16" xfId="7601"/>
    <cellStyle name="Calculation 22 16 2" xfId="29519"/>
    <cellStyle name="Calculation 22 17" xfId="7602"/>
    <cellStyle name="Calculation 22 17 2" xfId="29520"/>
    <cellStyle name="Calculation 22 18" xfId="7603"/>
    <cellStyle name="Calculation 22 18 2" xfId="29521"/>
    <cellStyle name="Calculation 22 19" xfId="7604"/>
    <cellStyle name="Calculation 22 19 2" xfId="29522"/>
    <cellStyle name="Calculation 22 2" xfId="7605"/>
    <cellStyle name="Calculation 22 2 2" xfId="29523"/>
    <cellStyle name="Calculation 22 20" xfId="7606"/>
    <cellStyle name="Calculation 22 20 2" xfId="29524"/>
    <cellStyle name="Calculation 22 21" xfId="7607"/>
    <cellStyle name="Calculation 22 21 2" xfId="29525"/>
    <cellStyle name="Calculation 22 22" xfId="7608"/>
    <cellStyle name="Calculation 22 22 2" xfId="29526"/>
    <cellStyle name="Calculation 22 23" xfId="29527"/>
    <cellStyle name="Calculation 22 3" xfId="7609"/>
    <cellStyle name="Calculation 22 3 2" xfId="29528"/>
    <cellStyle name="Calculation 22 4" xfId="7610"/>
    <cellStyle name="Calculation 22 4 2" xfId="29529"/>
    <cellStyle name="Calculation 22 5" xfId="7611"/>
    <cellStyle name="Calculation 22 5 2" xfId="29530"/>
    <cellStyle name="Calculation 22 6" xfId="7612"/>
    <cellStyle name="Calculation 22 6 2" xfId="29531"/>
    <cellStyle name="Calculation 22 7" xfId="7613"/>
    <cellStyle name="Calculation 22 7 2" xfId="29532"/>
    <cellStyle name="Calculation 22 8" xfId="7614"/>
    <cellStyle name="Calculation 22 8 2" xfId="29533"/>
    <cellStyle name="Calculation 22 9" xfId="7615"/>
    <cellStyle name="Calculation 22 9 2" xfId="29534"/>
    <cellStyle name="Calculation 23" xfId="1438"/>
    <cellStyle name="Calculation 23 10" xfId="7616"/>
    <cellStyle name="Calculation 23 10 2" xfId="29535"/>
    <cellStyle name="Calculation 23 11" xfId="7617"/>
    <cellStyle name="Calculation 23 11 2" xfId="29536"/>
    <cellStyle name="Calculation 23 12" xfId="7618"/>
    <cellStyle name="Calculation 23 12 2" xfId="29537"/>
    <cellStyle name="Calculation 23 13" xfId="7619"/>
    <cellStyle name="Calculation 23 13 2" xfId="29538"/>
    <cellStyle name="Calculation 23 14" xfId="7620"/>
    <cellStyle name="Calculation 23 14 2" xfId="29539"/>
    <cellStyle name="Calculation 23 15" xfId="7621"/>
    <cellStyle name="Calculation 23 15 2" xfId="29540"/>
    <cellStyle name="Calculation 23 16" xfId="7622"/>
    <cellStyle name="Calculation 23 16 2" xfId="29541"/>
    <cellStyle name="Calculation 23 17" xfId="7623"/>
    <cellStyle name="Calculation 23 17 2" xfId="29542"/>
    <cellStyle name="Calculation 23 18" xfId="7624"/>
    <cellStyle name="Calculation 23 18 2" xfId="29543"/>
    <cellStyle name="Calculation 23 19" xfId="7625"/>
    <cellStyle name="Calculation 23 19 2" xfId="29544"/>
    <cellStyle name="Calculation 23 2" xfId="7626"/>
    <cellStyle name="Calculation 23 2 2" xfId="29545"/>
    <cellStyle name="Calculation 23 20" xfId="7627"/>
    <cellStyle name="Calculation 23 20 2" xfId="29546"/>
    <cellStyle name="Calculation 23 21" xfId="7628"/>
    <cellStyle name="Calculation 23 21 2" xfId="29547"/>
    <cellStyle name="Calculation 23 22" xfId="7629"/>
    <cellStyle name="Calculation 23 22 2" xfId="29548"/>
    <cellStyle name="Calculation 23 23" xfId="29549"/>
    <cellStyle name="Calculation 23 3" xfId="7630"/>
    <cellStyle name="Calculation 23 3 2" xfId="29550"/>
    <cellStyle name="Calculation 23 4" xfId="7631"/>
    <cellStyle name="Calculation 23 4 2" xfId="29551"/>
    <cellStyle name="Calculation 23 5" xfId="7632"/>
    <cellStyle name="Calculation 23 5 2" xfId="29552"/>
    <cellStyle name="Calculation 23 6" xfId="7633"/>
    <cellStyle name="Calculation 23 6 2" xfId="29553"/>
    <cellStyle name="Calculation 23 7" xfId="7634"/>
    <cellStyle name="Calculation 23 7 2" xfId="29554"/>
    <cellStyle name="Calculation 23 8" xfId="7635"/>
    <cellStyle name="Calculation 23 8 2" xfId="29555"/>
    <cellStyle name="Calculation 23 9" xfId="7636"/>
    <cellStyle name="Calculation 23 9 2" xfId="29556"/>
    <cellStyle name="Calculation 24" xfId="1439"/>
    <cellStyle name="Calculation 24 10" xfId="7637"/>
    <cellStyle name="Calculation 24 10 2" xfId="29557"/>
    <cellStyle name="Calculation 24 11" xfId="7638"/>
    <cellStyle name="Calculation 24 11 2" xfId="29558"/>
    <cellStyle name="Calculation 24 12" xfId="7639"/>
    <cellStyle name="Calculation 24 12 2" xfId="29559"/>
    <cellStyle name="Calculation 24 13" xfId="7640"/>
    <cellStyle name="Calculation 24 13 2" xfId="29560"/>
    <cellStyle name="Calculation 24 14" xfId="7641"/>
    <cellStyle name="Calculation 24 14 2" xfId="29561"/>
    <cellStyle name="Calculation 24 15" xfId="7642"/>
    <cellStyle name="Calculation 24 15 2" xfId="29562"/>
    <cellStyle name="Calculation 24 16" xfId="7643"/>
    <cellStyle name="Calculation 24 16 2" xfId="29563"/>
    <cellStyle name="Calculation 24 17" xfId="7644"/>
    <cellStyle name="Calculation 24 17 2" xfId="29564"/>
    <cellStyle name="Calculation 24 18" xfId="7645"/>
    <cellStyle name="Calculation 24 18 2" xfId="29565"/>
    <cellStyle name="Calculation 24 19" xfId="7646"/>
    <cellStyle name="Calculation 24 19 2" xfId="29566"/>
    <cellStyle name="Calculation 24 2" xfId="7647"/>
    <cellStyle name="Calculation 24 2 2" xfId="29567"/>
    <cellStyle name="Calculation 24 20" xfId="7648"/>
    <cellStyle name="Calculation 24 20 2" xfId="29568"/>
    <cellStyle name="Calculation 24 21" xfId="7649"/>
    <cellStyle name="Calculation 24 21 2" xfId="29569"/>
    <cellStyle name="Calculation 24 22" xfId="7650"/>
    <cellStyle name="Calculation 24 22 2" xfId="29570"/>
    <cellStyle name="Calculation 24 23" xfId="29571"/>
    <cellStyle name="Calculation 24 3" xfId="7651"/>
    <cellStyle name="Calculation 24 3 2" xfId="29572"/>
    <cellStyle name="Calculation 24 4" xfId="7652"/>
    <cellStyle name="Calculation 24 4 2" xfId="29573"/>
    <cellStyle name="Calculation 24 5" xfId="7653"/>
    <cellStyle name="Calculation 24 5 2" xfId="29574"/>
    <cellStyle name="Calculation 24 6" xfId="7654"/>
    <cellStyle name="Calculation 24 6 2" xfId="29575"/>
    <cellStyle name="Calculation 24 7" xfId="7655"/>
    <cellStyle name="Calculation 24 7 2" xfId="29576"/>
    <cellStyle name="Calculation 24 8" xfId="7656"/>
    <cellStyle name="Calculation 24 8 2" xfId="29577"/>
    <cellStyle name="Calculation 24 9" xfId="7657"/>
    <cellStyle name="Calculation 24 9 2" xfId="29578"/>
    <cellStyle name="Calculation 25" xfId="1440"/>
    <cellStyle name="Calculation 25 10" xfId="7658"/>
    <cellStyle name="Calculation 25 10 2" xfId="29579"/>
    <cellStyle name="Calculation 25 11" xfId="7659"/>
    <cellStyle name="Calculation 25 11 2" xfId="29580"/>
    <cellStyle name="Calculation 25 12" xfId="7660"/>
    <cellStyle name="Calculation 25 12 2" xfId="29581"/>
    <cellStyle name="Calculation 25 13" xfId="7661"/>
    <cellStyle name="Calculation 25 13 2" xfId="29582"/>
    <cellStyle name="Calculation 25 14" xfId="7662"/>
    <cellStyle name="Calculation 25 14 2" xfId="29583"/>
    <cellStyle name="Calculation 25 15" xfId="7663"/>
    <cellStyle name="Calculation 25 15 2" xfId="29584"/>
    <cellStyle name="Calculation 25 16" xfId="7664"/>
    <cellStyle name="Calculation 25 16 2" xfId="29585"/>
    <cellStyle name="Calculation 25 17" xfId="7665"/>
    <cellStyle name="Calculation 25 17 2" xfId="29586"/>
    <cellStyle name="Calculation 25 18" xfId="7666"/>
    <cellStyle name="Calculation 25 18 2" xfId="29587"/>
    <cellStyle name="Calculation 25 19" xfId="7667"/>
    <cellStyle name="Calculation 25 19 2" xfId="29588"/>
    <cellStyle name="Calculation 25 2" xfId="7668"/>
    <cellStyle name="Calculation 25 2 2" xfId="29589"/>
    <cellStyle name="Calculation 25 20" xfId="7669"/>
    <cellStyle name="Calculation 25 20 2" xfId="29590"/>
    <cellStyle name="Calculation 25 21" xfId="7670"/>
    <cellStyle name="Calculation 25 21 2" xfId="29591"/>
    <cellStyle name="Calculation 25 22" xfId="7671"/>
    <cellStyle name="Calculation 25 22 2" xfId="29592"/>
    <cellStyle name="Calculation 25 23" xfId="29593"/>
    <cellStyle name="Calculation 25 3" xfId="7672"/>
    <cellStyle name="Calculation 25 3 2" xfId="29594"/>
    <cellStyle name="Calculation 25 4" xfId="7673"/>
    <cellStyle name="Calculation 25 4 2" xfId="29595"/>
    <cellStyle name="Calculation 25 5" xfId="7674"/>
    <cellStyle name="Calculation 25 5 2" xfId="29596"/>
    <cellStyle name="Calculation 25 6" xfId="7675"/>
    <cellStyle name="Calculation 25 6 2" xfId="29597"/>
    <cellStyle name="Calculation 25 7" xfId="7676"/>
    <cellStyle name="Calculation 25 7 2" xfId="29598"/>
    <cellStyle name="Calculation 25 8" xfId="7677"/>
    <cellStyle name="Calculation 25 8 2" xfId="29599"/>
    <cellStyle name="Calculation 25 9" xfId="7678"/>
    <cellStyle name="Calculation 25 9 2" xfId="29600"/>
    <cellStyle name="Calculation 26" xfId="1441"/>
    <cellStyle name="Calculation 26 10" xfId="7679"/>
    <cellStyle name="Calculation 26 10 2" xfId="29601"/>
    <cellStyle name="Calculation 26 11" xfId="7680"/>
    <cellStyle name="Calculation 26 11 2" xfId="29602"/>
    <cellStyle name="Calculation 26 12" xfId="7681"/>
    <cellStyle name="Calculation 26 12 2" xfId="29603"/>
    <cellStyle name="Calculation 26 13" xfId="7682"/>
    <cellStyle name="Calculation 26 13 2" xfId="29604"/>
    <cellStyle name="Calculation 26 14" xfId="7683"/>
    <cellStyle name="Calculation 26 14 2" xfId="29605"/>
    <cellStyle name="Calculation 26 15" xfId="7684"/>
    <cellStyle name="Calculation 26 15 2" xfId="29606"/>
    <cellStyle name="Calculation 26 16" xfId="7685"/>
    <cellStyle name="Calculation 26 16 2" xfId="29607"/>
    <cellStyle name="Calculation 26 17" xfId="7686"/>
    <cellStyle name="Calculation 26 17 2" xfId="29608"/>
    <cellStyle name="Calculation 26 18" xfId="7687"/>
    <cellStyle name="Calculation 26 18 2" xfId="29609"/>
    <cellStyle name="Calculation 26 19" xfId="7688"/>
    <cellStyle name="Calculation 26 19 2" xfId="29610"/>
    <cellStyle name="Calculation 26 2" xfId="7689"/>
    <cellStyle name="Calculation 26 2 2" xfId="29611"/>
    <cellStyle name="Calculation 26 20" xfId="7690"/>
    <cellStyle name="Calculation 26 20 2" xfId="29612"/>
    <cellStyle name="Calculation 26 21" xfId="7691"/>
    <cellStyle name="Calculation 26 21 2" xfId="29613"/>
    <cellStyle name="Calculation 26 22" xfId="7692"/>
    <cellStyle name="Calculation 26 22 2" xfId="29614"/>
    <cellStyle name="Calculation 26 23" xfId="29615"/>
    <cellStyle name="Calculation 26 3" xfId="7693"/>
    <cellStyle name="Calculation 26 3 2" xfId="29616"/>
    <cellStyle name="Calculation 26 4" xfId="7694"/>
    <cellStyle name="Calculation 26 4 2" xfId="29617"/>
    <cellStyle name="Calculation 26 5" xfId="7695"/>
    <cellStyle name="Calculation 26 5 2" xfId="29618"/>
    <cellStyle name="Calculation 26 6" xfId="7696"/>
    <cellStyle name="Calculation 26 6 2" xfId="29619"/>
    <cellStyle name="Calculation 26 7" xfId="7697"/>
    <cellStyle name="Calculation 26 7 2" xfId="29620"/>
    <cellStyle name="Calculation 26 8" xfId="7698"/>
    <cellStyle name="Calculation 26 8 2" xfId="29621"/>
    <cellStyle name="Calculation 26 9" xfId="7699"/>
    <cellStyle name="Calculation 26 9 2" xfId="29622"/>
    <cellStyle name="Calculation 27" xfId="1442"/>
    <cellStyle name="Calculation 27 10" xfId="7700"/>
    <cellStyle name="Calculation 27 10 2" xfId="29623"/>
    <cellStyle name="Calculation 27 11" xfId="7701"/>
    <cellStyle name="Calculation 27 11 2" xfId="29624"/>
    <cellStyle name="Calculation 27 12" xfId="7702"/>
    <cellStyle name="Calculation 27 12 2" xfId="29625"/>
    <cellStyle name="Calculation 27 13" xfId="7703"/>
    <cellStyle name="Calculation 27 13 2" xfId="29626"/>
    <cellStyle name="Calculation 27 14" xfId="7704"/>
    <cellStyle name="Calculation 27 14 2" xfId="29627"/>
    <cellStyle name="Calculation 27 15" xfId="7705"/>
    <cellStyle name="Calculation 27 15 2" xfId="29628"/>
    <cellStyle name="Calculation 27 16" xfId="7706"/>
    <cellStyle name="Calculation 27 16 2" xfId="29629"/>
    <cellStyle name="Calculation 27 17" xfId="7707"/>
    <cellStyle name="Calculation 27 17 2" xfId="29630"/>
    <cellStyle name="Calculation 27 18" xfId="7708"/>
    <cellStyle name="Calculation 27 18 2" xfId="29631"/>
    <cellStyle name="Calculation 27 19" xfId="7709"/>
    <cellStyle name="Calculation 27 19 2" xfId="29632"/>
    <cellStyle name="Calculation 27 2" xfId="7710"/>
    <cellStyle name="Calculation 27 2 2" xfId="29633"/>
    <cellStyle name="Calculation 27 20" xfId="7711"/>
    <cellStyle name="Calculation 27 20 2" xfId="29634"/>
    <cellStyle name="Calculation 27 21" xfId="7712"/>
    <cellStyle name="Calculation 27 21 2" xfId="29635"/>
    <cellStyle name="Calculation 27 22" xfId="7713"/>
    <cellStyle name="Calculation 27 22 2" xfId="29636"/>
    <cellStyle name="Calculation 27 23" xfId="29637"/>
    <cellStyle name="Calculation 27 3" xfId="7714"/>
    <cellStyle name="Calculation 27 3 2" xfId="29638"/>
    <cellStyle name="Calculation 27 4" xfId="7715"/>
    <cellStyle name="Calculation 27 4 2" xfId="29639"/>
    <cellStyle name="Calculation 27 5" xfId="7716"/>
    <cellStyle name="Calculation 27 5 2" xfId="29640"/>
    <cellStyle name="Calculation 27 6" xfId="7717"/>
    <cellStyle name="Calculation 27 6 2" xfId="29641"/>
    <cellStyle name="Calculation 27 7" xfId="7718"/>
    <cellStyle name="Calculation 27 7 2" xfId="29642"/>
    <cellStyle name="Calculation 27 8" xfId="7719"/>
    <cellStyle name="Calculation 27 8 2" xfId="29643"/>
    <cellStyle name="Calculation 27 9" xfId="7720"/>
    <cellStyle name="Calculation 27 9 2" xfId="29644"/>
    <cellStyle name="Calculation 28" xfId="1443"/>
    <cellStyle name="Calculation 28 10" xfId="7721"/>
    <cellStyle name="Calculation 28 10 2" xfId="29645"/>
    <cellStyle name="Calculation 28 11" xfId="7722"/>
    <cellStyle name="Calculation 28 11 2" xfId="29646"/>
    <cellStyle name="Calculation 28 12" xfId="7723"/>
    <cellStyle name="Calculation 28 12 2" xfId="29647"/>
    <cellStyle name="Calculation 28 13" xfId="7724"/>
    <cellStyle name="Calculation 28 13 2" xfId="29648"/>
    <cellStyle name="Calculation 28 14" xfId="7725"/>
    <cellStyle name="Calculation 28 14 2" xfId="29649"/>
    <cellStyle name="Calculation 28 15" xfId="7726"/>
    <cellStyle name="Calculation 28 15 2" xfId="29650"/>
    <cellStyle name="Calculation 28 16" xfId="7727"/>
    <cellStyle name="Calculation 28 16 2" xfId="29651"/>
    <cellStyle name="Calculation 28 17" xfId="7728"/>
    <cellStyle name="Calculation 28 17 2" xfId="29652"/>
    <cellStyle name="Calculation 28 18" xfId="7729"/>
    <cellStyle name="Calculation 28 18 2" xfId="29653"/>
    <cellStyle name="Calculation 28 19" xfId="7730"/>
    <cellStyle name="Calculation 28 19 2" xfId="29654"/>
    <cellStyle name="Calculation 28 2" xfId="7731"/>
    <cellStyle name="Calculation 28 2 2" xfId="29655"/>
    <cellStyle name="Calculation 28 20" xfId="7732"/>
    <cellStyle name="Calculation 28 20 2" xfId="29656"/>
    <cellStyle name="Calculation 28 21" xfId="7733"/>
    <cellStyle name="Calculation 28 21 2" xfId="29657"/>
    <cellStyle name="Calculation 28 22" xfId="7734"/>
    <cellStyle name="Calculation 28 22 2" xfId="29658"/>
    <cellStyle name="Calculation 28 23" xfId="29659"/>
    <cellStyle name="Calculation 28 3" xfId="7735"/>
    <cellStyle name="Calculation 28 3 2" xfId="29660"/>
    <cellStyle name="Calculation 28 4" xfId="7736"/>
    <cellStyle name="Calculation 28 4 2" xfId="29661"/>
    <cellStyle name="Calculation 28 5" xfId="7737"/>
    <cellStyle name="Calculation 28 5 2" xfId="29662"/>
    <cellStyle name="Calculation 28 6" xfId="7738"/>
    <cellStyle name="Calculation 28 6 2" xfId="29663"/>
    <cellStyle name="Calculation 28 7" xfId="7739"/>
    <cellStyle name="Calculation 28 7 2" xfId="29664"/>
    <cellStyle name="Calculation 28 8" xfId="7740"/>
    <cellStyle name="Calculation 28 8 2" xfId="29665"/>
    <cellStyle name="Calculation 28 9" xfId="7741"/>
    <cellStyle name="Calculation 28 9 2" xfId="29666"/>
    <cellStyle name="Calculation 29" xfId="1444"/>
    <cellStyle name="Calculation 29 10" xfId="7742"/>
    <cellStyle name="Calculation 29 10 2" xfId="29667"/>
    <cellStyle name="Calculation 29 11" xfId="7743"/>
    <cellStyle name="Calculation 29 11 2" xfId="29668"/>
    <cellStyle name="Calculation 29 12" xfId="7744"/>
    <cellStyle name="Calculation 29 12 2" xfId="29669"/>
    <cellStyle name="Calculation 29 13" xfId="7745"/>
    <cellStyle name="Calculation 29 13 2" xfId="29670"/>
    <cellStyle name="Calculation 29 14" xfId="7746"/>
    <cellStyle name="Calculation 29 14 2" xfId="29671"/>
    <cellStyle name="Calculation 29 15" xfId="7747"/>
    <cellStyle name="Calculation 29 15 2" xfId="29672"/>
    <cellStyle name="Calculation 29 16" xfId="7748"/>
    <cellStyle name="Calculation 29 16 2" xfId="29673"/>
    <cellStyle name="Calculation 29 17" xfId="7749"/>
    <cellStyle name="Calculation 29 17 2" xfId="29674"/>
    <cellStyle name="Calculation 29 18" xfId="7750"/>
    <cellStyle name="Calculation 29 18 2" xfId="29675"/>
    <cellStyle name="Calculation 29 19" xfId="7751"/>
    <cellStyle name="Calculation 29 19 2" xfId="29676"/>
    <cellStyle name="Calculation 29 2" xfId="7752"/>
    <cellStyle name="Calculation 29 2 2" xfId="29677"/>
    <cellStyle name="Calculation 29 20" xfId="7753"/>
    <cellStyle name="Calculation 29 20 2" xfId="29678"/>
    <cellStyle name="Calculation 29 21" xfId="7754"/>
    <cellStyle name="Calculation 29 21 2" xfId="29679"/>
    <cellStyle name="Calculation 29 22" xfId="7755"/>
    <cellStyle name="Calculation 29 22 2" xfId="29680"/>
    <cellStyle name="Calculation 29 23" xfId="29681"/>
    <cellStyle name="Calculation 29 3" xfId="7756"/>
    <cellStyle name="Calculation 29 3 2" xfId="29682"/>
    <cellStyle name="Calculation 29 4" xfId="7757"/>
    <cellStyle name="Calculation 29 4 2" xfId="29683"/>
    <cellStyle name="Calculation 29 5" xfId="7758"/>
    <cellStyle name="Calculation 29 5 2" xfId="29684"/>
    <cellStyle name="Calculation 29 6" xfId="7759"/>
    <cellStyle name="Calculation 29 6 2" xfId="29685"/>
    <cellStyle name="Calculation 29 7" xfId="7760"/>
    <cellStyle name="Calculation 29 7 2" xfId="29686"/>
    <cellStyle name="Calculation 29 8" xfId="7761"/>
    <cellStyle name="Calculation 29 8 2" xfId="29687"/>
    <cellStyle name="Calculation 29 9" xfId="7762"/>
    <cellStyle name="Calculation 29 9 2" xfId="29688"/>
    <cellStyle name="Calculation 3" xfId="1445"/>
    <cellStyle name="Calculation 3 10" xfId="7763"/>
    <cellStyle name="Calculation 3 10 2" xfId="29689"/>
    <cellStyle name="Calculation 3 11" xfId="7764"/>
    <cellStyle name="Calculation 3 11 2" xfId="29690"/>
    <cellStyle name="Calculation 3 12" xfId="7765"/>
    <cellStyle name="Calculation 3 12 2" xfId="29691"/>
    <cellStyle name="Calculation 3 13" xfId="7766"/>
    <cellStyle name="Calculation 3 13 2" xfId="29692"/>
    <cellStyle name="Calculation 3 14" xfId="7767"/>
    <cellStyle name="Calculation 3 14 2" xfId="29693"/>
    <cellStyle name="Calculation 3 15" xfId="7768"/>
    <cellStyle name="Calculation 3 15 2" xfId="29694"/>
    <cellStyle name="Calculation 3 16" xfId="7769"/>
    <cellStyle name="Calculation 3 16 2" xfId="29695"/>
    <cellStyle name="Calculation 3 17" xfId="7770"/>
    <cellStyle name="Calculation 3 17 2" xfId="29696"/>
    <cellStyle name="Calculation 3 18" xfId="7771"/>
    <cellStyle name="Calculation 3 18 2" xfId="29697"/>
    <cellStyle name="Calculation 3 19" xfId="7772"/>
    <cellStyle name="Calculation 3 19 2" xfId="29698"/>
    <cellStyle name="Calculation 3 2" xfId="7773"/>
    <cellStyle name="Calculation 3 2 2" xfId="29699"/>
    <cellStyle name="Calculation 3 20" xfId="7774"/>
    <cellStyle name="Calculation 3 20 2" xfId="29700"/>
    <cellStyle name="Calculation 3 21" xfId="7775"/>
    <cellStyle name="Calculation 3 21 2" xfId="29701"/>
    <cellStyle name="Calculation 3 22" xfId="7776"/>
    <cellStyle name="Calculation 3 22 2" xfId="29702"/>
    <cellStyle name="Calculation 3 23" xfId="29703"/>
    <cellStyle name="Calculation 3 3" xfId="7777"/>
    <cellStyle name="Calculation 3 3 2" xfId="29704"/>
    <cellStyle name="Calculation 3 4" xfId="7778"/>
    <cellStyle name="Calculation 3 4 2" xfId="29705"/>
    <cellStyle name="Calculation 3 5" xfId="7779"/>
    <cellStyle name="Calculation 3 5 2" xfId="29706"/>
    <cellStyle name="Calculation 3 6" xfId="7780"/>
    <cellStyle name="Calculation 3 6 2" xfId="29707"/>
    <cellStyle name="Calculation 3 7" xfId="7781"/>
    <cellStyle name="Calculation 3 7 2" xfId="29708"/>
    <cellStyle name="Calculation 3 8" xfId="7782"/>
    <cellStyle name="Calculation 3 8 2" xfId="29709"/>
    <cellStyle name="Calculation 3 9" xfId="7783"/>
    <cellStyle name="Calculation 3 9 2" xfId="29710"/>
    <cellStyle name="Calculation 30" xfId="1446"/>
    <cellStyle name="Calculation 30 10" xfId="7784"/>
    <cellStyle name="Calculation 30 10 2" xfId="29711"/>
    <cellStyle name="Calculation 30 11" xfId="7785"/>
    <cellStyle name="Calculation 30 11 2" xfId="29712"/>
    <cellStyle name="Calculation 30 12" xfId="7786"/>
    <cellStyle name="Calculation 30 12 2" xfId="29713"/>
    <cellStyle name="Calculation 30 13" xfId="7787"/>
    <cellStyle name="Calculation 30 13 2" xfId="29714"/>
    <cellStyle name="Calculation 30 14" xfId="7788"/>
    <cellStyle name="Calculation 30 14 2" xfId="29715"/>
    <cellStyle name="Calculation 30 15" xfId="7789"/>
    <cellStyle name="Calculation 30 15 2" xfId="29716"/>
    <cellStyle name="Calculation 30 16" xfId="7790"/>
    <cellStyle name="Calculation 30 16 2" xfId="29717"/>
    <cellStyle name="Calculation 30 17" xfId="7791"/>
    <cellStyle name="Calculation 30 17 2" xfId="29718"/>
    <cellStyle name="Calculation 30 18" xfId="7792"/>
    <cellStyle name="Calculation 30 18 2" xfId="29719"/>
    <cellStyle name="Calculation 30 19" xfId="7793"/>
    <cellStyle name="Calculation 30 19 2" xfId="29720"/>
    <cellStyle name="Calculation 30 2" xfId="7794"/>
    <cellStyle name="Calculation 30 2 2" xfId="29721"/>
    <cellStyle name="Calculation 30 20" xfId="7795"/>
    <cellStyle name="Calculation 30 20 2" xfId="29722"/>
    <cellStyle name="Calculation 30 21" xfId="7796"/>
    <cellStyle name="Calculation 30 21 2" xfId="29723"/>
    <cellStyle name="Calculation 30 22" xfId="7797"/>
    <cellStyle name="Calculation 30 22 2" xfId="29724"/>
    <cellStyle name="Calculation 30 23" xfId="29725"/>
    <cellStyle name="Calculation 30 3" xfId="7798"/>
    <cellStyle name="Calculation 30 3 2" xfId="29726"/>
    <cellStyle name="Calculation 30 4" xfId="7799"/>
    <cellStyle name="Calculation 30 4 2" xfId="29727"/>
    <cellStyle name="Calculation 30 5" xfId="7800"/>
    <cellStyle name="Calculation 30 5 2" xfId="29728"/>
    <cellStyle name="Calculation 30 6" xfId="7801"/>
    <cellStyle name="Calculation 30 6 2" xfId="29729"/>
    <cellStyle name="Calculation 30 7" xfId="7802"/>
    <cellStyle name="Calculation 30 7 2" xfId="29730"/>
    <cellStyle name="Calculation 30 8" xfId="7803"/>
    <cellStyle name="Calculation 30 8 2" xfId="29731"/>
    <cellStyle name="Calculation 30 9" xfId="7804"/>
    <cellStyle name="Calculation 30 9 2" xfId="29732"/>
    <cellStyle name="Calculation 31" xfId="1447"/>
    <cellStyle name="Calculation 31 10" xfId="7805"/>
    <cellStyle name="Calculation 31 10 2" xfId="29733"/>
    <cellStyle name="Calculation 31 11" xfId="7806"/>
    <cellStyle name="Calculation 31 11 2" xfId="29734"/>
    <cellStyle name="Calculation 31 12" xfId="7807"/>
    <cellStyle name="Calculation 31 12 2" xfId="29735"/>
    <cellStyle name="Calculation 31 13" xfId="7808"/>
    <cellStyle name="Calculation 31 13 2" xfId="29736"/>
    <cellStyle name="Calculation 31 14" xfId="7809"/>
    <cellStyle name="Calculation 31 14 2" xfId="29737"/>
    <cellStyle name="Calculation 31 15" xfId="7810"/>
    <cellStyle name="Calculation 31 15 2" xfId="29738"/>
    <cellStyle name="Calculation 31 16" xfId="7811"/>
    <cellStyle name="Calculation 31 16 2" xfId="29739"/>
    <cellStyle name="Calculation 31 17" xfId="7812"/>
    <cellStyle name="Calculation 31 17 2" xfId="29740"/>
    <cellStyle name="Calculation 31 18" xfId="7813"/>
    <cellStyle name="Calculation 31 18 2" xfId="29741"/>
    <cellStyle name="Calculation 31 19" xfId="7814"/>
    <cellStyle name="Calculation 31 19 2" xfId="29742"/>
    <cellStyle name="Calculation 31 2" xfId="7815"/>
    <cellStyle name="Calculation 31 2 2" xfId="29743"/>
    <cellStyle name="Calculation 31 20" xfId="7816"/>
    <cellStyle name="Calculation 31 20 2" xfId="29744"/>
    <cellStyle name="Calculation 31 21" xfId="7817"/>
    <cellStyle name="Calculation 31 21 2" xfId="29745"/>
    <cellStyle name="Calculation 31 22" xfId="7818"/>
    <cellStyle name="Calculation 31 22 2" xfId="29746"/>
    <cellStyle name="Calculation 31 23" xfId="29747"/>
    <cellStyle name="Calculation 31 3" xfId="7819"/>
    <cellStyle name="Calculation 31 3 2" xfId="29748"/>
    <cellStyle name="Calculation 31 4" xfId="7820"/>
    <cellStyle name="Calculation 31 4 2" xfId="29749"/>
    <cellStyle name="Calculation 31 5" xfId="7821"/>
    <cellStyle name="Calculation 31 5 2" xfId="29750"/>
    <cellStyle name="Calculation 31 6" xfId="7822"/>
    <cellStyle name="Calculation 31 6 2" xfId="29751"/>
    <cellStyle name="Calculation 31 7" xfId="7823"/>
    <cellStyle name="Calculation 31 7 2" xfId="29752"/>
    <cellStyle name="Calculation 31 8" xfId="7824"/>
    <cellStyle name="Calculation 31 8 2" xfId="29753"/>
    <cellStyle name="Calculation 31 9" xfId="7825"/>
    <cellStyle name="Calculation 31 9 2" xfId="29754"/>
    <cellStyle name="Calculation 32" xfId="1448"/>
    <cellStyle name="Calculation 32 10" xfId="7826"/>
    <cellStyle name="Calculation 32 10 2" xfId="29755"/>
    <cellStyle name="Calculation 32 11" xfId="7827"/>
    <cellStyle name="Calculation 32 11 2" xfId="29756"/>
    <cellStyle name="Calculation 32 12" xfId="7828"/>
    <cellStyle name="Calculation 32 12 2" xfId="29757"/>
    <cellStyle name="Calculation 32 13" xfId="7829"/>
    <cellStyle name="Calculation 32 13 2" xfId="29758"/>
    <cellStyle name="Calculation 32 14" xfId="7830"/>
    <cellStyle name="Calculation 32 14 2" xfId="29759"/>
    <cellStyle name="Calculation 32 15" xfId="7831"/>
    <cellStyle name="Calculation 32 15 2" xfId="29760"/>
    <cellStyle name="Calculation 32 16" xfId="7832"/>
    <cellStyle name="Calculation 32 16 2" xfId="29761"/>
    <cellStyle name="Calculation 32 17" xfId="7833"/>
    <cellStyle name="Calculation 32 17 2" xfId="29762"/>
    <cellStyle name="Calculation 32 18" xfId="7834"/>
    <cellStyle name="Calculation 32 18 2" xfId="29763"/>
    <cellStyle name="Calculation 32 19" xfId="7835"/>
    <cellStyle name="Calculation 32 19 2" xfId="29764"/>
    <cellStyle name="Calculation 32 2" xfId="7836"/>
    <cellStyle name="Calculation 32 2 2" xfId="29765"/>
    <cellStyle name="Calculation 32 20" xfId="7837"/>
    <cellStyle name="Calculation 32 20 2" xfId="29766"/>
    <cellStyle name="Calculation 32 21" xfId="7838"/>
    <cellStyle name="Calculation 32 21 2" xfId="29767"/>
    <cellStyle name="Calculation 32 22" xfId="7839"/>
    <cellStyle name="Calculation 32 22 2" xfId="29768"/>
    <cellStyle name="Calculation 32 23" xfId="29769"/>
    <cellStyle name="Calculation 32 3" xfId="7840"/>
    <cellStyle name="Calculation 32 3 2" xfId="29770"/>
    <cellStyle name="Calculation 32 4" xfId="7841"/>
    <cellStyle name="Calculation 32 4 2" xfId="29771"/>
    <cellStyle name="Calculation 32 5" xfId="7842"/>
    <cellStyle name="Calculation 32 5 2" xfId="29772"/>
    <cellStyle name="Calculation 32 6" xfId="7843"/>
    <cellStyle name="Calculation 32 6 2" xfId="29773"/>
    <cellStyle name="Calculation 32 7" xfId="7844"/>
    <cellStyle name="Calculation 32 7 2" xfId="29774"/>
    <cellStyle name="Calculation 32 8" xfId="7845"/>
    <cellStyle name="Calculation 32 8 2" xfId="29775"/>
    <cellStyle name="Calculation 32 9" xfId="7846"/>
    <cellStyle name="Calculation 32 9 2" xfId="29776"/>
    <cellStyle name="Calculation 33" xfId="1449"/>
    <cellStyle name="Calculation 33 10" xfId="7847"/>
    <cellStyle name="Calculation 33 10 2" xfId="29777"/>
    <cellStyle name="Calculation 33 11" xfId="7848"/>
    <cellStyle name="Calculation 33 11 2" xfId="29778"/>
    <cellStyle name="Calculation 33 12" xfId="7849"/>
    <cellStyle name="Calculation 33 12 2" xfId="29779"/>
    <cellStyle name="Calculation 33 13" xfId="7850"/>
    <cellStyle name="Calculation 33 13 2" xfId="29780"/>
    <cellStyle name="Calculation 33 14" xfId="7851"/>
    <cellStyle name="Calculation 33 14 2" xfId="29781"/>
    <cellStyle name="Calculation 33 15" xfId="7852"/>
    <cellStyle name="Calculation 33 15 2" xfId="29782"/>
    <cellStyle name="Calculation 33 16" xfId="7853"/>
    <cellStyle name="Calculation 33 16 2" xfId="29783"/>
    <cellStyle name="Calculation 33 17" xfId="7854"/>
    <cellStyle name="Calculation 33 17 2" xfId="29784"/>
    <cellStyle name="Calculation 33 18" xfId="7855"/>
    <cellStyle name="Calculation 33 18 2" xfId="29785"/>
    <cellStyle name="Calculation 33 19" xfId="7856"/>
    <cellStyle name="Calculation 33 19 2" xfId="29786"/>
    <cellStyle name="Calculation 33 2" xfId="7857"/>
    <cellStyle name="Calculation 33 2 2" xfId="29787"/>
    <cellStyle name="Calculation 33 20" xfId="7858"/>
    <cellStyle name="Calculation 33 20 2" xfId="29788"/>
    <cellStyle name="Calculation 33 21" xfId="7859"/>
    <cellStyle name="Calculation 33 21 2" xfId="29789"/>
    <cellStyle name="Calculation 33 22" xfId="7860"/>
    <cellStyle name="Calculation 33 22 2" xfId="29790"/>
    <cellStyle name="Calculation 33 23" xfId="29791"/>
    <cellStyle name="Calculation 33 3" xfId="7861"/>
    <cellStyle name="Calculation 33 3 2" xfId="29792"/>
    <cellStyle name="Calculation 33 4" xfId="7862"/>
    <cellStyle name="Calculation 33 4 2" xfId="29793"/>
    <cellStyle name="Calculation 33 5" xfId="7863"/>
    <cellStyle name="Calculation 33 5 2" xfId="29794"/>
    <cellStyle name="Calculation 33 6" xfId="7864"/>
    <cellStyle name="Calculation 33 6 2" xfId="29795"/>
    <cellStyle name="Calculation 33 7" xfId="7865"/>
    <cellStyle name="Calculation 33 7 2" xfId="29796"/>
    <cellStyle name="Calculation 33 8" xfId="7866"/>
    <cellStyle name="Calculation 33 8 2" xfId="29797"/>
    <cellStyle name="Calculation 33 9" xfId="7867"/>
    <cellStyle name="Calculation 33 9 2" xfId="29798"/>
    <cellStyle name="Calculation 34" xfId="1450"/>
    <cellStyle name="Calculation 34 10" xfId="7868"/>
    <cellStyle name="Calculation 34 10 2" xfId="29799"/>
    <cellStyle name="Calculation 34 11" xfId="7869"/>
    <cellStyle name="Calculation 34 11 2" xfId="29800"/>
    <cellStyle name="Calculation 34 12" xfId="7870"/>
    <cellStyle name="Calculation 34 12 2" xfId="29801"/>
    <cellStyle name="Calculation 34 13" xfId="7871"/>
    <cellStyle name="Calculation 34 13 2" xfId="29802"/>
    <cellStyle name="Calculation 34 14" xfId="7872"/>
    <cellStyle name="Calculation 34 14 2" xfId="29803"/>
    <cellStyle name="Calculation 34 15" xfId="7873"/>
    <cellStyle name="Calculation 34 15 2" xfId="29804"/>
    <cellStyle name="Calculation 34 16" xfId="7874"/>
    <cellStyle name="Calculation 34 16 2" xfId="29805"/>
    <cellStyle name="Calculation 34 17" xfId="7875"/>
    <cellStyle name="Calculation 34 17 2" xfId="29806"/>
    <cellStyle name="Calculation 34 18" xfId="7876"/>
    <cellStyle name="Calculation 34 18 2" xfId="29807"/>
    <cellStyle name="Calculation 34 19" xfId="7877"/>
    <cellStyle name="Calculation 34 19 2" xfId="29808"/>
    <cellStyle name="Calculation 34 2" xfId="7878"/>
    <cellStyle name="Calculation 34 2 2" xfId="29809"/>
    <cellStyle name="Calculation 34 20" xfId="7879"/>
    <cellStyle name="Calculation 34 20 2" xfId="29810"/>
    <cellStyle name="Calculation 34 21" xfId="7880"/>
    <cellStyle name="Calculation 34 21 2" xfId="29811"/>
    <cellStyle name="Calculation 34 22" xfId="7881"/>
    <cellStyle name="Calculation 34 22 2" xfId="29812"/>
    <cellStyle name="Calculation 34 23" xfId="29813"/>
    <cellStyle name="Calculation 34 3" xfId="7882"/>
    <cellStyle name="Calculation 34 3 2" xfId="29814"/>
    <cellStyle name="Calculation 34 4" xfId="7883"/>
    <cellStyle name="Calculation 34 4 2" xfId="29815"/>
    <cellStyle name="Calculation 34 5" xfId="7884"/>
    <cellStyle name="Calculation 34 5 2" xfId="29816"/>
    <cellStyle name="Calculation 34 6" xfId="7885"/>
    <cellStyle name="Calculation 34 6 2" xfId="29817"/>
    <cellStyle name="Calculation 34 7" xfId="7886"/>
    <cellStyle name="Calculation 34 7 2" xfId="29818"/>
    <cellStyle name="Calculation 34 8" xfId="7887"/>
    <cellStyle name="Calculation 34 8 2" xfId="29819"/>
    <cellStyle name="Calculation 34 9" xfId="7888"/>
    <cellStyle name="Calculation 34 9 2" xfId="29820"/>
    <cellStyle name="Calculation 35" xfId="1451"/>
    <cellStyle name="Calculation 35 10" xfId="7889"/>
    <cellStyle name="Calculation 35 10 2" xfId="29821"/>
    <cellStyle name="Calculation 35 11" xfId="7890"/>
    <cellStyle name="Calculation 35 11 2" xfId="29822"/>
    <cellStyle name="Calculation 35 12" xfId="7891"/>
    <cellStyle name="Calculation 35 12 2" xfId="29823"/>
    <cellStyle name="Calculation 35 13" xfId="7892"/>
    <cellStyle name="Calculation 35 13 2" xfId="29824"/>
    <cellStyle name="Calculation 35 14" xfId="7893"/>
    <cellStyle name="Calculation 35 14 2" xfId="29825"/>
    <cellStyle name="Calculation 35 15" xfId="7894"/>
    <cellStyle name="Calculation 35 15 2" xfId="29826"/>
    <cellStyle name="Calculation 35 16" xfId="7895"/>
    <cellStyle name="Calculation 35 16 2" xfId="29827"/>
    <cellStyle name="Calculation 35 17" xfId="7896"/>
    <cellStyle name="Calculation 35 17 2" xfId="29828"/>
    <cellStyle name="Calculation 35 18" xfId="7897"/>
    <cellStyle name="Calculation 35 18 2" xfId="29829"/>
    <cellStyle name="Calculation 35 19" xfId="7898"/>
    <cellStyle name="Calculation 35 19 2" xfId="29830"/>
    <cellStyle name="Calculation 35 2" xfId="7899"/>
    <cellStyle name="Calculation 35 2 2" xfId="29831"/>
    <cellStyle name="Calculation 35 20" xfId="7900"/>
    <cellStyle name="Calculation 35 20 2" xfId="29832"/>
    <cellStyle name="Calculation 35 21" xfId="7901"/>
    <cellStyle name="Calculation 35 21 2" xfId="29833"/>
    <cellStyle name="Calculation 35 22" xfId="7902"/>
    <cellStyle name="Calculation 35 22 2" xfId="29834"/>
    <cellStyle name="Calculation 35 23" xfId="29835"/>
    <cellStyle name="Calculation 35 3" xfId="7903"/>
    <cellStyle name="Calculation 35 3 2" xfId="29836"/>
    <cellStyle name="Calculation 35 4" xfId="7904"/>
    <cellStyle name="Calculation 35 4 2" xfId="29837"/>
    <cellStyle name="Calculation 35 5" xfId="7905"/>
    <cellStyle name="Calculation 35 5 2" xfId="29838"/>
    <cellStyle name="Calculation 35 6" xfId="7906"/>
    <cellStyle name="Calculation 35 6 2" xfId="29839"/>
    <cellStyle name="Calculation 35 7" xfId="7907"/>
    <cellStyle name="Calculation 35 7 2" xfId="29840"/>
    <cellStyle name="Calculation 35 8" xfId="7908"/>
    <cellStyle name="Calculation 35 8 2" xfId="29841"/>
    <cellStyle name="Calculation 35 9" xfId="7909"/>
    <cellStyle name="Calculation 35 9 2" xfId="29842"/>
    <cellStyle name="Calculation 36" xfId="1452"/>
    <cellStyle name="Calculation 36 10" xfId="7910"/>
    <cellStyle name="Calculation 36 10 2" xfId="29843"/>
    <cellStyle name="Calculation 36 11" xfId="7911"/>
    <cellStyle name="Calculation 36 11 2" xfId="29844"/>
    <cellStyle name="Calculation 36 12" xfId="7912"/>
    <cellStyle name="Calculation 36 12 2" xfId="29845"/>
    <cellStyle name="Calculation 36 13" xfId="7913"/>
    <cellStyle name="Calculation 36 13 2" xfId="29846"/>
    <cellStyle name="Calculation 36 14" xfId="7914"/>
    <cellStyle name="Calculation 36 14 2" xfId="29847"/>
    <cellStyle name="Calculation 36 15" xfId="7915"/>
    <cellStyle name="Calculation 36 15 2" xfId="29848"/>
    <cellStyle name="Calculation 36 16" xfId="7916"/>
    <cellStyle name="Calculation 36 16 2" xfId="29849"/>
    <cellStyle name="Calculation 36 17" xfId="7917"/>
    <cellStyle name="Calculation 36 17 2" xfId="29850"/>
    <cellStyle name="Calculation 36 18" xfId="7918"/>
    <cellStyle name="Calculation 36 18 2" xfId="29851"/>
    <cellStyle name="Calculation 36 19" xfId="7919"/>
    <cellStyle name="Calculation 36 19 2" xfId="29852"/>
    <cellStyle name="Calculation 36 2" xfId="7920"/>
    <cellStyle name="Calculation 36 2 2" xfId="29853"/>
    <cellStyle name="Calculation 36 20" xfId="7921"/>
    <cellStyle name="Calculation 36 20 2" xfId="29854"/>
    <cellStyle name="Calculation 36 21" xfId="7922"/>
    <cellStyle name="Calculation 36 21 2" xfId="29855"/>
    <cellStyle name="Calculation 36 22" xfId="7923"/>
    <cellStyle name="Calculation 36 22 2" xfId="29856"/>
    <cellStyle name="Calculation 36 23" xfId="29857"/>
    <cellStyle name="Calculation 36 3" xfId="7924"/>
    <cellStyle name="Calculation 36 3 2" xfId="29858"/>
    <cellStyle name="Calculation 36 4" xfId="7925"/>
    <cellStyle name="Calculation 36 4 2" xfId="29859"/>
    <cellStyle name="Calculation 36 5" xfId="7926"/>
    <cellStyle name="Calculation 36 5 2" xfId="29860"/>
    <cellStyle name="Calculation 36 6" xfId="7927"/>
    <cellStyle name="Calculation 36 6 2" xfId="29861"/>
    <cellStyle name="Calculation 36 7" xfId="7928"/>
    <cellStyle name="Calculation 36 7 2" xfId="29862"/>
    <cellStyle name="Calculation 36 8" xfId="7929"/>
    <cellStyle name="Calculation 36 8 2" xfId="29863"/>
    <cellStyle name="Calculation 36 9" xfId="7930"/>
    <cellStyle name="Calculation 36 9 2" xfId="29864"/>
    <cellStyle name="Calculation 37" xfId="1453"/>
    <cellStyle name="Calculation 37 10" xfId="7931"/>
    <cellStyle name="Calculation 37 10 2" xfId="29865"/>
    <cellStyle name="Calculation 37 11" xfId="7932"/>
    <cellStyle name="Calculation 37 11 2" xfId="29866"/>
    <cellStyle name="Calculation 37 12" xfId="7933"/>
    <cellStyle name="Calculation 37 12 2" xfId="29867"/>
    <cellStyle name="Calculation 37 13" xfId="7934"/>
    <cellStyle name="Calculation 37 13 2" xfId="29868"/>
    <cellStyle name="Calculation 37 14" xfId="7935"/>
    <cellStyle name="Calculation 37 14 2" xfId="29869"/>
    <cellStyle name="Calculation 37 15" xfId="7936"/>
    <cellStyle name="Calculation 37 15 2" xfId="29870"/>
    <cellStyle name="Calculation 37 16" xfId="7937"/>
    <cellStyle name="Calculation 37 16 2" xfId="29871"/>
    <cellStyle name="Calculation 37 17" xfId="7938"/>
    <cellStyle name="Calculation 37 17 2" xfId="29872"/>
    <cellStyle name="Calculation 37 18" xfId="7939"/>
    <cellStyle name="Calculation 37 18 2" xfId="29873"/>
    <cellStyle name="Calculation 37 19" xfId="7940"/>
    <cellStyle name="Calculation 37 19 2" xfId="29874"/>
    <cellStyle name="Calculation 37 2" xfId="7941"/>
    <cellStyle name="Calculation 37 2 2" xfId="29875"/>
    <cellStyle name="Calculation 37 20" xfId="7942"/>
    <cellStyle name="Calculation 37 20 2" xfId="29876"/>
    <cellStyle name="Calculation 37 21" xfId="7943"/>
    <cellStyle name="Calculation 37 21 2" xfId="29877"/>
    <cellStyle name="Calculation 37 22" xfId="7944"/>
    <cellStyle name="Calculation 37 22 2" xfId="29878"/>
    <cellStyle name="Calculation 37 23" xfId="29879"/>
    <cellStyle name="Calculation 37 3" xfId="7945"/>
    <cellStyle name="Calculation 37 3 2" xfId="29880"/>
    <cellStyle name="Calculation 37 4" xfId="7946"/>
    <cellStyle name="Calculation 37 4 2" xfId="29881"/>
    <cellStyle name="Calculation 37 5" xfId="7947"/>
    <cellStyle name="Calculation 37 5 2" xfId="29882"/>
    <cellStyle name="Calculation 37 6" xfId="7948"/>
    <cellStyle name="Calculation 37 6 2" xfId="29883"/>
    <cellStyle name="Calculation 37 7" xfId="7949"/>
    <cellStyle name="Calculation 37 7 2" xfId="29884"/>
    <cellStyle name="Calculation 37 8" xfId="7950"/>
    <cellStyle name="Calculation 37 8 2" xfId="29885"/>
    <cellStyle name="Calculation 37 9" xfId="7951"/>
    <cellStyle name="Calculation 37 9 2" xfId="29886"/>
    <cellStyle name="Calculation 38" xfId="1454"/>
    <cellStyle name="Calculation 38 10" xfId="7952"/>
    <cellStyle name="Calculation 38 10 2" xfId="29887"/>
    <cellStyle name="Calculation 38 11" xfId="7953"/>
    <cellStyle name="Calculation 38 11 2" xfId="29888"/>
    <cellStyle name="Calculation 38 12" xfId="7954"/>
    <cellStyle name="Calculation 38 12 2" xfId="29889"/>
    <cellStyle name="Calculation 38 13" xfId="7955"/>
    <cellStyle name="Calculation 38 13 2" xfId="29890"/>
    <cellStyle name="Calculation 38 14" xfId="7956"/>
    <cellStyle name="Calculation 38 14 2" xfId="29891"/>
    <cellStyle name="Calculation 38 15" xfId="7957"/>
    <cellStyle name="Calculation 38 15 2" xfId="29892"/>
    <cellStyle name="Calculation 38 16" xfId="7958"/>
    <cellStyle name="Calculation 38 16 2" xfId="29893"/>
    <cellStyle name="Calculation 38 17" xfId="7959"/>
    <cellStyle name="Calculation 38 17 2" xfId="29894"/>
    <cellStyle name="Calculation 38 18" xfId="7960"/>
    <cellStyle name="Calculation 38 18 2" xfId="29895"/>
    <cellStyle name="Calculation 38 19" xfId="7961"/>
    <cellStyle name="Calculation 38 19 2" xfId="29896"/>
    <cellStyle name="Calculation 38 2" xfId="7962"/>
    <cellStyle name="Calculation 38 2 2" xfId="29897"/>
    <cellStyle name="Calculation 38 20" xfId="7963"/>
    <cellStyle name="Calculation 38 20 2" xfId="29898"/>
    <cellStyle name="Calculation 38 21" xfId="7964"/>
    <cellStyle name="Calculation 38 21 2" xfId="29899"/>
    <cellStyle name="Calculation 38 22" xfId="7965"/>
    <cellStyle name="Calculation 38 22 2" xfId="29900"/>
    <cellStyle name="Calculation 38 23" xfId="29901"/>
    <cellStyle name="Calculation 38 3" xfId="7966"/>
    <cellStyle name="Calculation 38 3 2" xfId="29902"/>
    <cellStyle name="Calculation 38 4" xfId="7967"/>
    <cellStyle name="Calculation 38 4 2" xfId="29903"/>
    <cellStyle name="Calculation 38 5" xfId="7968"/>
    <cellStyle name="Calculation 38 5 2" xfId="29904"/>
    <cellStyle name="Calculation 38 6" xfId="7969"/>
    <cellStyle name="Calculation 38 6 2" xfId="29905"/>
    <cellStyle name="Calculation 38 7" xfId="7970"/>
    <cellStyle name="Calculation 38 7 2" xfId="29906"/>
    <cellStyle name="Calculation 38 8" xfId="7971"/>
    <cellStyle name="Calculation 38 8 2" xfId="29907"/>
    <cellStyle name="Calculation 38 9" xfId="7972"/>
    <cellStyle name="Calculation 38 9 2" xfId="29908"/>
    <cellStyle name="Calculation 39" xfId="1455"/>
    <cellStyle name="Calculation 39 10" xfId="7973"/>
    <cellStyle name="Calculation 39 10 2" xfId="29909"/>
    <cellStyle name="Calculation 39 11" xfId="7974"/>
    <cellStyle name="Calculation 39 11 2" xfId="29910"/>
    <cellStyle name="Calculation 39 12" xfId="7975"/>
    <cellStyle name="Calculation 39 12 2" xfId="29911"/>
    <cellStyle name="Calculation 39 13" xfId="7976"/>
    <cellStyle name="Calculation 39 13 2" xfId="29912"/>
    <cellStyle name="Calculation 39 14" xfId="7977"/>
    <cellStyle name="Calculation 39 14 2" xfId="29913"/>
    <cellStyle name="Calculation 39 15" xfId="7978"/>
    <cellStyle name="Calculation 39 15 2" xfId="29914"/>
    <cellStyle name="Calculation 39 16" xfId="7979"/>
    <cellStyle name="Calculation 39 16 2" xfId="29915"/>
    <cellStyle name="Calculation 39 17" xfId="7980"/>
    <cellStyle name="Calculation 39 17 2" xfId="29916"/>
    <cellStyle name="Calculation 39 18" xfId="7981"/>
    <cellStyle name="Calculation 39 18 2" xfId="29917"/>
    <cellStyle name="Calculation 39 19" xfId="7982"/>
    <cellStyle name="Calculation 39 19 2" xfId="29918"/>
    <cellStyle name="Calculation 39 2" xfId="7983"/>
    <cellStyle name="Calculation 39 2 2" xfId="29919"/>
    <cellStyle name="Calculation 39 20" xfId="7984"/>
    <cellStyle name="Calculation 39 20 2" xfId="29920"/>
    <cellStyle name="Calculation 39 21" xfId="7985"/>
    <cellStyle name="Calculation 39 21 2" xfId="29921"/>
    <cellStyle name="Calculation 39 22" xfId="7986"/>
    <cellStyle name="Calculation 39 22 2" xfId="29922"/>
    <cellStyle name="Calculation 39 23" xfId="29923"/>
    <cellStyle name="Calculation 39 3" xfId="7987"/>
    <cellStyle name="Calculation 39 3 2" xfId="29924"/>
    <cellStyle name="Calculation 39 4" xfId="7988"/>
    <cellStyle name="Calculation 39 4 2" xfId="29925"/>
    <cellStyle name="Calculation 39 5" xfId="7989"/>
    <cellStyle name="Calculation 39 5 2" xfId="29926"/>
    <cellStyle name="Calculation 39 6" xfId="7990"/>
    <cellStyle name="Calculation 39 6 2" xfId="29927"/>
    <cellStyle name="Calculation 39 7" xfId="7991"/>
    <cellStyle name="Calculation 39 7 2" xfId="29928"/>
    <cellStyle name="Calculation 39 8" xfId="7992"/>
    <cellStyle name="Calculation 39 8 2" xfId="29929"/>
    <cellStyle name="Calculation 39 9" xfId="7993"/>
    <cellStyle name="Calculation 39 9 2" xfId="29930"/>
    <cellStyle name="Calculation 4" xfId="1456"/>
    <cellStyle name="Calculation 4 10" xfId="7994"/>
    <cellStyle name="Calculation 4 10 2" xfId="29931"/>
    <cellStyle name="Calculation 4 11" xfId="7995"/>
    <cellStyle name="Calculation 4 11 2" xfId="29932"/>
    <cellStyle name="Calculation 4 12" xfId="7996"/>
    <cellStyle name="Calculation 4 12 2" xfId="29933"/>
    <cellStyle name="Calculation 4 13" xfId="7997"/>
    <cellStyle name="Calculation 4 13 2" xfId="29934"/>
    <cellStyle name="Calculation 4 14" xfId="7998"/>
    <cellStyle name="Calculation 4 14 2" xfId="29935"/>
    <cellStyle name="Calculation 4 15" xfId="7999"/>
    <cellStyle name="Calculation 4 15 2" xfId="29936"/>
    <cellStyle name="Calculation 4 16" xfId="8000"/>
    <cellStyle name="Calculation 4 16 2" xfId="29937"/>
    <cellStyle name="Calculation 4 17" xfId="8001"/>
    <cellStyle name="Calculation 4 17 2" xfId="29938"/>
    <cellStyle name="Calculation 4 18" xfId="8002"/>
    <cellStyle name="Calculation 4 18 2" xfId="29939"/>
    <cellStyle name="Calculation 4 19" xfId="8003"/>
    <cellStyle name="Calculation 4 19 2" xfId="29940"/>
    <cellStyle name="Calculation 4 2" xfId="8004"/>
    <cellStyle name="Calculation 4 2 2" xfId="29941"/>
    <cellStyle name="Calculation 4 20" xfId="8005"/>
    <cellStyle name="Calculation 4 20 2" xfId="29942"/>
    <cellStyle name="Calculation 4 21" xfId="8006"/>
    <cellStyle name="Calculation 4 21 2" xfId="29943"/>
    <cellStyle name="Calculation 4 22" xfId="8007"/>
    <cellStyle name="Calculation 4 22 2" xfId="29944"/>
    <cellStyle name="Calculation 4 23" xfId="29945"/>
    <cellStyle name="Calculation 4 3" xfId="8008"/>
    <cellStyle name="Calculation 4 3 2" xfId="29946"/>
    <cellStyle name="Calculation 4 4" xfId="8009"/>
    <cellStyle name="Calculation 4 4 2" xfId="29947"/>
    <cellStyle name="Calculation 4 5" xfId="8010"/>
    <cellStyle name="Calculation 4 5 2" xfId="29948"/>
    <cellStyle name="Calculation 4 6" xfId="8011"/>
    <cellStyle name="Calculation 4 6 2" xfId="29949"/>
    <cellStyle name="Calculation 4 7" xfId="8012"/>
    <cellStyle name="Calculation 4 7 2" xfId="29950"/>
    <cellStyle name="Calculation 4 8" xfId="8013"/>
    <cellStyle name="Calculation 4 8 2" xfId="29951"/>
    <cellStyle name="Calculation 4 9" xfId="8014"/>
    <cellStyle name="Calculation 4 9 2" xfId="29952"/>
    <cellStyle name="Calculation 40" xfId="1457"/>
    <cellStyle name="Calculation 40 10" xfId="8015"/>
    <cellStyle name="Calculation 40 10 2" xfId="29953"/>
    <cellStyle name="Calculation 40 11" xfId="8016"/>
    <cellStyle name="Calculation 40 11 2" xfId="29954"/>
    <cellStyle name="Calculation 40 12" xfId="8017"/>
    <cellStyle name="Calculation 40 12 2" xfId="29955"/>
    <cellStyle name="Calculation 40 13" xfId="8018"/>
    <cellStyle name="Calculation 40 13 2" xfId="29956"/>
    <cellStyle name="Calculation 40 14" xfId="8019"/>
    <cellStyle name="Calculation 40 14 2" xfId="29957"/>
    <cellStyle name="Calculation 40 15" xfId="8020"/>
    <cellStyle name="Calculation 40 15 2" xfId="29958"/>
    <cellStyle name="Calculation 40 16" xfId="8021"/>
    <cellStyle name="Calculation 40 16 2" xfId="29959"/>
    <cellStyle name="Calculation 40 17" xfId="8022"/>
    <cellStyle name="Calculation 40 17 2" xfId="29960"/>
    <cellStyle name="Calculation 40 18" xfId="8023"/>
    <cellStyle name="Calculation 40 18 2" xfId="29961"/>
    <cellStyle name="Calculation 40 19" xfId="8024"/>
    <cellStyle name="Calculation 40 19 2" xfId="29962"/>
    <cellStyle name="Calculation 40 2" xfId="8025"/>
    <cellStyle name="Calculation 40 2 2" xfId="29963"/>
    <cellStyle name="Calculation 40 20" xfId="8026"/>
    <cellStyle name="Calculation 40 20 2" xfId="29964"/>
    <cellStyle name="Calculation 40 21" xfId="8027"/>
    <cellStyle name="Calculation 40 21 2" xfId="29965"/>
    <cellStyle name="Calculation 40 22" xfId="8028"/>
    <cellStyle name="Calculation 40 22 2" xfId="29966"/>
    <cellStyle name="Calculation 40 23" xfId="29967"/>
    <cellStyle name="Calculation 40 3" xfId="8029"/>
    <cellStyle name="Calculation 40 3 2" xfId="29968"/>
    <cellStyle name="Calculation 40 4" xfId="8030"/>
    <cellStyle name="Calculation 40 4 2" xfId="29969"/>
    <cellStyle name="Calculation 40 5" xfId="8031"/>
    <cellStyle name="Calculation 40 5 2" xfId="29970"/>
    <cellStyle name="Calculation 40 6" xfId="8032"/>
    <cellStyle name="Calculation 40 6 2" xfId="29971"/>
    <cellStyle name="Calculation 40 7" xfId="8033"/>
    <cellStyle name="Calculation 40 7 2" xfId="29972"/>
    <cellStyle name="Calculation 40 8" xfId="8034"/>
    <cellStyle name="Calculation 40 8 2" xfId="29973"/>
    <cellStyle name="Calculation 40 9" xfId="8035"/>
    <cellStyle name="Calculation 40 9 2" xfId="29974"/>
    <cellStyle name="Calculation 41" xfId="1458"/>
    <cellStyle name="Calculation 41 10" xfId="8036"/>
    <cellStyle name="Calculation 41 10 2" xfId="29975"/>
    <cellStyle name="Calculation 41 11" xfId="8037"/>
    <cellStyle name="Calculation 41 11 2" xfId="29976"/>
    <cellStyle name="Calculation 41 12" xfId="8038"/>
    <cellStyle name="Calculation 41 12 2" xfId="29977"/>
    <cellStyle name="Calculation 41 13" xfId="8039"/>
    <cellStyle name="Calculation 41 13 2" xfId="29978"/>
    <cellStyle name="Calculation 41 14" xfId="8040"/>
    <cellStyle name="Calculation 41 14 2" xfId="29979"/>
    <cellStyle name="Calculation 41 15" xfId="8041"/>
    <cellStyle name="Calculation 41 15 2" xfId="29980"/>
    <cellStyle name="Calculation 41 16" xfId="8042"/>
    <cellStyle name="Calculation 41 16 2" xfId="29981"/>
    <cellStyle name="Calculation 41 17" xfId="8043"/>
    <cellStyle name="Calculation 41 17 2" xfId="29982"/>
    <cellStyle name="Calculation 41 18" xfId="8044"/>
    <cellStyle name="Calculation 41 18 2" xfId="29983"/>
    <cellStyle name="Calculation 41 19" xfId="8045"/>
    <cellStyle name="Calculation 41 19 2" xfId="29984"/>
    <cellStyle name="Calculation 41 2" xfId="8046"/>
    <cellStyle name="Calculation 41 2 2" xfId="29985"/>
    <cellStyle name="Calculation 41 20" xfId="8047"/>
    <cellStyle name="Calculation 41 20 2" xfId="29986"/>
    <cellStyle name="Calculation 41 21" xfId="8048"/>
    <cellStyle name="Calculation 41 21 2" xfId="29987"/>
    <cellStyle name="Calculation 41 22" xfId="8049"/>
    <cellStyle name="Calculation 41 22 2" xfId="29988"/>
    <cellStyle name="Calculation 41 23" xfId="29989"/>
    <cellStyle name="Calculation 41 3" xfId="8050"/>
    <cellStyle name="Calculation 41 3 2" xfId="29990"/>
    <cellStyle name="Calculation 41 4" xfId="8051"/>
    <cellStyle name="Calculation 41 4 2" xfId="29991"/>
    <cellStyle name="Calculation 41 5" xfId="8052"/>
    <cellStyle name="Calculation 41 5 2" xfId="29992"/>
    <cellStyle name="Calculation 41 6" xfId="8053"/>
    <cellStyle name="Calculation 41 6 2" xfId="29993"/>
    <cellStyle name="Calculation 41 7" xfId="8054"/>
    <cellStyle name="Calculation 41 7 2" xfId="29994"/>
    <cellStyle name="Calculation 41 8" xfId="8055"/>
    <cellStyle name="Calculation 41 8 2" xfId="29995"/>
    <cellStyle name="Calculation 41 9" xfId="8056"/>
    <cellStyle name="Calculation 41 9 2" xfId="29996"/>
    <cellStyle name="Calculation 42" xfId="1459"/>
    <cellStyle name="Calculation 42 10" xfId="8057"/>
    <cellStyle name="Calculation 42 10 2" xfId="29997"/>
    <cellStyle name="Calculation 42 11" xfId="8058"/>
    <cellStyle name="Calculation 42 11 2" xfId="29998"/>
    <cellStyle name="Calculation 42 12" xfId="8059"/>
    <cellStyle name="Calculation 42 12 2" xfId="29999"/>
    <cellStyle name="Calculation 42 13" xfId="8060"/>
    <cellStyle name="Calculation 42 13 2" xfId="30000"/>
    <cellStyle name="Calculation 42 14" xfId="8061"/>
    <cellStyle name="Calculation 42 14 2" xfId="30001"/>
    <cellStyle name="Calculation 42 15" xfId="8062"/>
    <cellStyle name="Calculation 42 15 2" xfId="30002"/>
    <cellStyle name="Calculation 42 16" xfId="8063"/>
    <cellStyle name="Calculation 42 16 2" xfId="30003"/>
    <cellStyle name="Calculation 42 17" xfId="8064"/>
    <cellStyle name="Calculation 42 17 2" xfId="30004"/>
    <cellStyle name="Calculation 42 18" xfId="8065"/>
    <cellStyle name="Calculation 42 18 2" xfId="30005"/>
    <cellStyle name="Calculation 42 19" xfId="8066"/>
    <cellStyle name="Calculation 42 19 2" xfId="30006"/>
    <cellStyle name="Calculation 42 2" xfId="8067"/>
    <cellStyle name="Calculation 42 2 2" xfId="30007"/>
    <cellStyle name="Calculation 42 20" xfId="8068"/>
    <cellStyle name="Calculation 42 20 2" xfId="30008"/>
    <cellStyle name="Calculation 42 21" xfId="8069"/>
    <cellStyle name="Calculation 42 21 2" xfId="30009"/>
    <cellStyle name="Calculation 42 22" xfId="8070"/>
    <cellStyle name="Calculation 42 22 2" xfId="30010"/>
    <cellStyle name="Calculation 42 23" xfId="30011"/>
    <cellStyle name="Calculation 42 3" xfId="8071"/>
    <cellStyle name="Calculation 42 3 2" xfId="30012"/>
    <cellStyle name="Calculation 42 4" xfId="8072"/>
    <cellStyle name="Calculation 42 4 2" xfId="30013"/>
    <cellStyle name="Calculation 42 5" xfId="8073"/>
    <cellStyle name="Calculation 42 5 2" xfId="30014"/>
    <cellStyle name="Calculation 42 6" xfId="8074"/>
    <cellStyle name="Calculation 42 6 2" xfId="30015"/>
    <cellStyle name="Calculation 42 7" xfId="8075"/>
    <cellStyle name="Calculation 42 7 2" xfId="30016"/>
    <cellStyle name="Calculation 42 8" xfId="8076"/>
    <cellStyle name="Calculation 42 8 2" xfId="30017"/>
    <cellStyle name="Calculation 42 9" xfId="8077"/>
    <cellStyle name="Calculation 42 9 2" xfId="30018"/>
    <cellStyle name="Calculation 43" xfId="1460"/>
    <cellStyle name="Calculation 43 10" xfId="8078"/>
    <cellStyle name="Calculation 43 10 2" xfId="30019"/>
    <cellStyle name="Calculation 43 11" xfId="8079"/>
    <cellStyle name="Calculation 43 11 2" xfId="30020"/>
    <cellStyle name="Calculation 43 12" xfId="8080"/>
    <cellStyle name="Calculation 43 12 2" xfId="30021"/>
    <cellStyle name="Calculation 43 13" xfId="8081"/>
    <cellStyle name="Calculation 43 13 2" xfId="30022"/>
    <cellStyle name="Calculation 43 14" xfId="8082"/>
    <cellStyle name="Calculation 43 14 2" xfId="30023"/>
    <cellStyle name="Calculation 43 15" xfId="8083"/>
    <cellStyle name="Calculation 43 15 2" xfId="30024"/>
    <cellStyle name="Calculation 43 16" xfId="8084"/>
    <cellStyle name="Calculation 43 16 2" xfId="30025"/>
    <cellStyle name="Calculation 43 17" xfId="8085"/>
    <cellStyle name="Calculation 43 17 2" xfId="30026"/>
    <cellStyle name="Calculation 43 18" xfId="8086"/>
    <cellStyle name="Calculation 43 18 2" xfId="30027"/>
    <cellStyle name="Calculation 43 19" xfId="8087"/>
    <cellStyle name="Calculation 43 19 2" xfId="30028"/>
    <cellStyle name="Calculation 43 2" xfId="8088"/>
    <cellStyle name="Calculation 43 2 2" xfId="30029"/>
    <cellStyle name="Calculation 43 20" xfId="8089"/>
    <cellStyle name="Calculation 43 20 2" xfId="30030"/>
    <cellStyle name="Calculation 43 21" xfId="8090"/>
    <cellStyle name="Calculation 43 21 2" xfId="30031"/>
    <cellStyle name="Calculation 43 22" xfId="8091"/>
    <cellStyle name="Calculation 43 22 2" xfId="30032"/>
    <cellStyle name="Calculation 43 23" xfId="30033"/>
    <cellStyle name="Calculation 43 3" xfId="8092"/>
    <cellStyle name="Calculation 43 3 2" xfId="30034"/>
    <cellStyle name="Calculation 43 4" xfId="8093"/>
    <cellStyle name="Calculation 43 4 2" xfId="30035"/>
    <cellStyle name="Calculation 43 5" xfId="8094"/>
    <cellStyle name="Calculation 43 5 2" xfId="30036"/>
    <cellStyle name="Calculation 43 6" xfId="8095"/>
    <cellStyle name="Calculation 43 6 2" xfId="30037"/>
    <cellStyle name="Calculation 43 7" xfId="8096"/>
    <cellStyle name="Calculation 43 7 2" xfId="30038"/>
    <cellStyle name="Calculation 43 8" xfId="8097"/>
    <cellStyle name="Calculation 43 8 2" xfId="30039"/>
    <cellStyle name="Calculation 43 9" xfId="8098"/>
    <cellStyle name="Calculation 43 9 2" xfId="30040"/>
    <cellStyle name="Calculation 44" xfId="1461"/>
    <cellStyle name="Calculation 44 10" xfId="8099"/>
    <cellStyle name="Calculation 44 10 2" xfId="30041"/>
    <cellStyle name="Calculation 44 11" xfId="8100"/>
    <cellStyle name="Calculation 44 11 2" xfId="30042"/>
    <cellStyle name="Calculation 44 12" xfId="8101"/>
    <cellStyle name="Calculation 44 12 2" xfId="30043"/>
    <cellStyle name="Calculation 44 13" xfId="8102"/>
    <cellStyle name="Calculation 44 13 2" xfId="30044"/>
    <cellStyle name="Calculation 44 14" xfId="8103"/>
    <cellStyle name="Calculation 44 14 2" xfId="30045"/>
    <cellStyle name="Calculation 44 15" xfId="8104"/>
    <cellStyle name="Calculation 44 15 2" xfId="30046"/>
    <cellStyle name="Calculation 44 16" xfId="8105"/>
    <cellStyle name="Calculation 44 16 2" xfId="30047"/>
    <cellStyle name="Calculation 44 17" xfId="8106"/>
    <cellStyle name="Calculation 44 17 2" xfId="30048"/>
    <cellStyle name="Calculation 44 18" xfId="8107"/>
    <cellStyle name="Calculation 44 18 2" xfId="30049"/>
    <cellStyle name="Calculation 44 19" xfId="8108"/>
    <cellStyle name="Calculation 44 19 2" xfId="30050"/>
    <cellStyle name="Calculation 44 2" xfId="8109"/>
    <cellStyle name="Calculation 44 2 2" xfId="30051"/>
    <cellStyle name="Calculation 44 20" xfId="8110"/>
    <cellStyle name="Calculation 44 20 2" xfId="30052"/>
    <cellStyle name="Calculation 44 21" xfId="8111"/>
    <cellStyle name="Calculation 44 21 2" xfId="30053"/>
    <cellStyle name="Calculation 44 22" xfId="8112"/>
    <cellStyle name="Calculation 44 22 2" xfId="30054"/>
    <cellStyle name="Calculation 44 23" xfId="30055"/>
    <cellStyle name="Calculation 44 3" xfId="8113"/>
    <cellStyle name="Calculation 44 3 2" xfId="30056"/>
    <cellStyle name="Calculation 44 4" xfId="8114"/>
    <cellStyle name="Calculation 44 4 2" xfId="30057"/>
    <cellStyle name="Calculation 44 5" xfId="8115"/>
    <cellStyle name="Calculation 44 5 2" xfId="30058"/>
    <cellStyle name="Calculation 44 6" xfId="8116"/>
    <cellStyle name="Calculation 44 6 2" xfId="30059"/>
    <cellStyle name="Calculation 44 7" xfId="8117"/>
    <cellStyle name="Calculation 44 7 2" xfId="30060"/>
    <cellStyle name="Calculation 44 8" xfId="8118"/>
    <cellStyle name="Calculation 44 8 2" xfId="30061"/>
    <cellStyle name="Calculation 44 9" xfId="8119"/>
    <cellStyle name="Calculation 44 9 2" xfId="30062"/>
    <cellStyle name="Calculation 45" xfId="1462"/>
    <cellStyle name="Calculation 45 10" xfId="8120"/>
    <cellStyle name="Calculation 45 10 2" xfId="30063"/>
    <cellStyle name="Calculation 45 11" xfId="8121"/>
    <cellStyle name="Calculation 45 11 2" xfId="30064"/>
    <cellStyle name="Calculation 45 12" xfId="8122"/>
    <cellStyle name="Calculation 45 12 2" xfId="30065"/>
    <cellStyle name="Calculation 45 13" xfId="8123"/>
    <cellStyle name="Calculation 45 13 2" xfId="30066"/>
    <cellStyle name="Calculation 45 14" xfId="8124"/>
    <cellStyle name="Calculation 45 14 2" xfId="30067"/>
    <cellStyle name="Calculation 45 15" xfId="8125"/>
    <cellStyle name="Calculation 45 15 2" xfId="30068"/>
    <cellStyle name="Calculation 45 16" xfId="8126"/>
    <cellStyle name="Calculation 45 16 2" xfId="30069"/>
    <cellStyle name="Calculation 45 17" xfId="8127"/>
    <cellStyle name="Calculation 45 17 2" xfId="30070"/>
    <cellStyle name="Calculation 45 18" xfId="8128"/>
    <cellStyle name="Calculation 45 18 2" xfId="30071"/>
    <cellStyle name="Calculation 45 19" xfId="8129"/>
    <cellStyle name="Calculation 45 19 2" xfId="30072"/>
    <cellStyle name="Calculation 45 2" xfId="8130"/>
    <cellStyle name="Calculation 45 2 2" xfId="30073"/>
    <cellStyle name="Calculation 45 20" xfId="8131"/>
    <cellStyle name="Calculation 45 20 2" xfId="30074"/>
    <cellStyle name="Calculation 45 21" xfId="8132"/>
    <cellStyle name="Calculation 45 21 2" xfId="30075"/>
    <cellStyle name="Calculation 45 22" xfId="8133"/>
    <cellStyle name="Calculation 45 22 2" xfId="30076"/>
    <cellStyle name="Calculation 45 23" xfId="30077"/>
    <cellStyle name="Calculation 45 3" xfId="8134"/>
    <cellStyle name="Calculation 45 3 2" xfId="30078"/>
    <cellStyle name="Calculation 45 4" xfId="8135"/>
    <cellStyle name="Calculation 45 4 2" xfId="30079"/>
    <cellStyle name="Calculation 45 5" xfId="8136"/>
    <cellStyle name="Calculation 45 5 2" xfId="30080"/>
    <cellStyle name="Calculation 45 6" xfId="8137"/>
    <cellStyle name="Calculation 45 6 2" xfId="30081"/>
    <cellStyle name="Calculation 45 7" xfId="8138"/>
    <cellStyle name="Calculation 45 7 2" xfId="30082"/>
    <cellStyle name="Calculation 45 8" xfId="8139"/>
    <cellStyle name="Calculation 45 8 2" xfId="30083"/>
    <cellStyle name="Calculation 45 9" xfId="8140"/>
    <cellStyle name="Calculation 45 9 2" xfId="30084"/>
    <cellStyle name="Calculation 46" xfId="1463"/>
    <cellStyle name="Calculation 46 10" xfId="8141"/>
    <cellStyle name="Calculation 46 10 2" xfId="30085"/>
    <cellStyle name="Calculation 46 11" xfId="8142"/>
    <cellStyle name="Calculation 46 11 2" xfId="30086"/>
    <cellStyle name="Calculation 46 12" xfId="8143"/>
    <cellStyle name="Calculation 46 12 2" xfId="30087"/>
    <cellStyle name="Calculation 46 13" xfId="8144"/>
    <cellStyle name="Calculation 46 13 2" xfId="30088"/>
    <cellStyle name="Calculation 46 14" xfId="8145"/>
    <cellStyle name="Calculation 46 14 2" xfId="30089"/>
    <cellStyle name="Calculation 46 15" xfId="8146"/>
    <cellStyle name="Calculation 46 15 2" xfId="30090"/>
    <cellStyle name="Calculation 46 16" xfId="8147"/>
    <cellStyle name="Calculation 46 16 2" xfId="30091"/>
    <cellStyle name="Calculation 46 17" xfId="8148"/>
    <cellStyle name="Calculation 46 17 2" xfId="30092"/>
    <cellStyle name="Calculation 46 18" xfId="8149"/>
    <cellStyle name="Calculation 46 18 2" xfId="30093"/>
    <cellStyle name="Calculation 46 19" xfId="8150"/>
    <cellStyle name="Calculation 46 19 2" xfId="30094"/>
    <cellStyle name="Calculation 46 2" xfId="8151"/>
    <cellStyle name="Calculation 46 2 2" xfId="30095"/>
    <cellStyle name="Calculation 46 20" xfId="8152"/>
    <cellStyle name="Calculation 46 20 2" xfId="30096"/>
    <cellStyle name="Calculation 46 21" xfId="8153"/>
    <cellStyle name="Calculation 46 21 2" xfId="30097"/>
    <cellStyle name="Calculation 46 22" xfId="8154"/>
    <cellStyle name="Calculation 46 22 2" xfId="30098"/>
    <cellStyle name="Calculation 46 23" xfId="30099"/>
    <cellStyle name="Calculation 46 3" xfId="8155"/>
    <cellStyle name="Calculation 46 3 2" xfId="30100"/>
    <cellStyle name="Calculation 46 4" xfId="8156"/>
    <cellStyle name="Calculation 46 4 2" xfId="30101"/>
    <cellStyle name="Calculation 46 5" xfId="8157"/>
    <cellStyle name="Calculation 46 5 2" xfId="30102"/>
    <cellStyle name="Calculation 46 6" xfId="8158"/>
    <cellStyle name="Calculation 46 6 2" xfId="30103"/>
    <cellStyle name="Calculation 46 7" xfId="8159"/>
    <cellStyle name="Calculation 46 7 2" xfId="30104"/>
    <cellStyle name="Calculation 46 8" xfId="8160"/>
    <cellStyle name="Calculation 46 8 2" xfId="30105"/>
    <cellStyle name="Calculation 46 9" xfId="8161"/>
    <cellStyle name="Calculation 46 9 2" xfId="30106"/>
    <cellStyle name="Calculation 47" xfId="1464"/>
    <cellStyle name="Calculation 47 10" xfId="8162"/>
    <cellStyle name="Calculation 47 10 2" xfId="30107"/>
    <cellStyle name="Calculation 47 11" xfId="8163"/>
    <cellStyle name="Calculation 47 11 2" xfId="30108"/>
    <cellStyle name="Calculation 47 12" xfId="8164"/>
    <cellStyle name="Calculation 47 12 2" xfId="30109"/>
    <cellStyle name="Calculation 47 13" xfId="8165"/>
    <cellStyle name="Calculation 47 13 2" xfId="30110"/>
    <cellStyle name="Calculation 47 14" xfId="8166"/>
    <cellStyle name="Calculation 47 14 2" xfId="30111"/>
    <cellStyle name="Calculation 47 15" xfId="8167"/>
    <cellStyle name="Calculation 47 15 2" xfId="30112"/>
    <cellStyle name="Calculation 47 16" xfId="8168"/>
    <cellStyle name="Calculation 47 16 2" xfId="30113"/>
    <cellStyle name="Calculation 47 17" xfId="8169"/>
    <cellStyle name="Calculation 47 17 2" xfId="30114"/>
    <cellStyle name="Calculation 47 18" xfId="8170"/>
    <cellStyle name="Calculation 47 18 2" xfId="30115"/>
    <cellStyle name="Calculation 47 19" xfId="8171"/>
    <cellStyle name="Calculation 47 19 2" xfId="30116"/>
    <cellStyle name="Calculation 47 2" xfId="8172"/>
    <cellStyle name="Calculation 47 2 2" xfId="30117"/>
    <cellStyle name="Calculation 47 20" xfId="8173"/>
    <cellStyle name="Calculation 47 20 2" xfId="30118"/>
    <cellStyle name="Calculation 47 21" xfId="8174"/>
    <cellStyle name="Calculation 47 21 2" xfId="30119"/>
    <cellStyle name="Calculation 47 22" xfId="8175"/>
    <cellStyle name="Calculation 47 22 2" xfId="30120"/>
    <cellStyle name="Calculation 47 23" xfId="30121"/>
    <cellStyle name="Calculation 47 3" xfId="8176"/>
    <cellStyle name="Calculation 47 3 2" xfId="30122"/>
    <cellStyle name="Calculation 47 4" xfId="8177"/>
    <cellStyle name="Calculation 47 4 2" xfId="30123"/>
    <cellStyle name="Calculation 47 5" xfId="8178"/>
    <cellStyle name="Calculation 47 5 2" xfId="30124"/>
    <cellStyle name="Calculation 47 6" xfId="8179"/>
    <cellStyle name="Calculation 47 6 2" xfId="30125"/>
    <cellStyle name="Calculation 47 7" xfId="8180"/>
    <cellStyle name="Calculation 47 7 2" xfId="30126"/>
    <cellStyle name="Calculation 47 8" xfId="8181"/>
    <cellStyle name="Calculation 47 8 2" xfId="30127"/>
    <cellStyle name="Calculation 47 9" xfId="8182"/>
    <cellStyle name="Calculation 47 9 2" xfId="30128"/>
    <cellStyle name="Calculation 48" xfId="1465"/>
    <cellStyle name="Calculation 48 10" xfId="8183"/>
    <cellStyle name="Calculation 48 10 2" xfId="30129"/>
    <cellStyle name="Calculation 48 11" xfId="8184"/>
    <cellStyle name="Calculation 48 11 2" xfId="30130"/>
    <cellStyle name="Calculation 48 12" xfId="8185"/>
    <cellStyle name="Calculation 48 12 2" xfId="30131"/>
    <cellStyle name="Calculation 48 13" xfId="8186"/>
    <cellStyle name="Calculation 48 13 2" xfId="30132"/>
    <cellStyle name="Calculation 48 14" xfId="8187"/>
    <cellStyle name="Calculation 48 14 2" xfId="30133"/>
    <cellStyle name="Calculation 48 15" xfId="8188"/>
    <cellStyle name="Calculation 48 15 2" xfId="30134"/>
    <cellStyle name="Calculation 48 16" xfId="8189"/>
    <cellStyle name="Calculation 48 16 2" xfId="30135"/>
    <cellStyle name="Calculation 48 17" xfId="8190"/>
    <cellStyle name="Calculation 48 17 2" xfId="30136"/>
    <cellStyle name="Calculation 48 18" xfId="8191"/>
    <cellStyle name="Calculation 48 18 2" xfId="30137"/>
    <cellStyle name="Calculation 48 19" xfId="8192"/>
    <cellStyle name="Calculation 48 19 2" xfId="30138"/>
    <cellStyle name="Calculation 48 2" xfId="8193"/>
    <cellStyle name="Calculation 48 2 2" xfId="30139"/>
    <cellStyle name="Calculation 48 20" xfId="8194"/>
    <cellStyle name="Calculation 48 20 2" xfId="30140"/>
    <cellStyle name="Calculation 48 21" xfId="8195"/>
    <cellStyle name="Calculation 48 21 2" xfId="30141"/>
    <cellStyle name="Calculation 48 22" xfId="8196"/>
    <cellStyle name="Calculation 48 22 2" xfId="30142"/>
    <cellStyle name="Calculation 48 23" xfId="30143"/>
    <cellStyle name="Calculation 48 3" xfId="8197"/>
    <cellStyle name="Calculation 48 3 2" xfId="30144"/>
    <cellStyle name="Calculation 48 4" xfId="8198"/>
    <cellStyle name="Calculation 48 4 2" xfId="30145"/>
    <cellStyle name="Calculation 48 5" xfId="8199"/>
    <cellStyle name="Calculation 48 5 2" xfId="30146"/>
    <cellStyle name="Calculation 48 6" xfId="8200"/>
    <cellStyle name="Calculation 48 6 2" xfId="30147"/>
    <cellStyle name="Calculation 48 7" xfId="8201"/>
    <cellStyle name="Calculation 48 7 2" xfId="30148"/>
    <cellStyle name="Calculation 48 8" xfId="8202"/>
    <cellStyle name="Calculation 48 8 2" xfId="30149"/>
    <cellStyle name="Calculation 48 9" xfId="8203"/>
    <cellStyle name="Calculation 48 9 2" xfId="30150"/>
    <cellStyle name="Calculation 49" xfId="1466"/>
    <cellStyle name="Calculation 49 10" xfId="8204"/>
    <cellStyle name="Calculation 49 10 2" xfId="30151"/>
    <cellStyle name="Calculation 49 11" xfId="8205"/>
    <cellStyle name="Calculation 49 11 2" xfId="30152"/>
    <cellStyle name="Calculation 49 12" xfId="8206"/>
    <cellStyle name="Calculation 49 12 2" xfId="30153"/>
    <cellStyle name="Calculation 49 13" xfId="8207"/>
    <cellStyle name="Calculation 49 13 2" xfId="30154"/>
    <cellStyle name="Calculation 49 14" xfId="8208"/>
    <cellStyle name="Calculation 49 14 2" xfId="30155"/>
    <cellStyle name="Calculation 49 15" xfId="8209"/>
    <cellStyle name="Calculation 49 15 2" xfId="30156"/>
    <cellStyle name="Calculation 49 16" xfId="8210"/>
    <cellStyle name="Calculation 49 16 2" xfId="30157"/>
    <cellStyle name="Calculation 49 17" xfId="8211"/>
    <cellStyle name="Calculation 49 17 2" xfId="30158"/>
    <cellStyle name="Calculation 49 18" xfId="8212"/>
    <cellStyle name="Calculation 49 18 2" xfId="30159"/>
    <cellStyle name="Calculation 49 19" xfId="8213"/>
    <cellStyle name="Calculation 49 19 2" xfId="30160"/>
    <cellStyle name="Calculation 49 2" xfId="8214"/>
    <cellStyle name="Calculation 49 2 2" xfId="30161"/>
    <cellStyle name="Calculation 49 20" xfId="8215"/>
    <cellStyle name="Calculation 49 20 2" xfId="30162"/>
    <cellStyle name="Calculation 49 21" xfId="8216"/>
    <cellStyle name="Calculation 49 21 2" xfId="30163"/>
    <cellStyle name="Calculation 49 22" xfId="8217"/>
    <cellStyle name="Calculation 49 22 2" xfId="30164"/>
    <cellStyle name="Calculation 49 23" xfId="30165"/>
    <cellStyle name="Calculation 49 3" xfId="8218"/>
    <cellStyle name="Calculation 49 3 2" xfId="30166"/>
    <cellStyle name="Calculation 49 4" xfId="8219"/>
    <cellStyle name="Calculation 49 4 2" xfId="30167"/>
    <cellStyle name="Calculation 49 5" xfId="8220"/>
    <cellStyle name="Calculation 49 5 2" xfId="30168"/>
    <cellStyle name="Calculation 49 6" xfId="8221"/>
    <cellStyle name="Calculation 49 6 2" xfId="30169"/>
    <cellStyle name="Calculation 49 7" xfId="8222"/>
    <cellStyle name="Calculation 49 7 2" xfId="30170"/>
    <cellStyle name="Calculation 49 8" xfId="8223"/>
    <cellStyle name="Calculation 49 8 2" xfId="30171"/>
    <cellStyle name="Calculation 49 9" xfId="8224"/>
    <cellStyle name="Calculation 49 9 2" xfId="30172"/>
    <cellStyle name="Calculation 5" xfId="1467"/>
    <cellStyle name="Calculation 5 10" xfId="8225"/>
    <cellStyle name="Calculation 5 10 2" xfId="30173"/>
    <cellStyle name="Calculation 5 11" xfId="8226"/>
    <cellStyle name="Calculation 5 11 2" xfId="30174"/>
    <cellStyle name="Calculation 5 12" xfId="8227"/>
    <cellStyle name="Calculation 5 12 2" xfId="30175"/>
    <cellStyle name="Calculation 5 13" xfId="8228"/>
    <cellStyle name="Calculation 5 13 2" xfId="30176"/>
    <cellStyle name="Calculation 5 14" xfId="8229"/>
    <cellStyle name="Calculation 5 14 2" xfId="30177"/>
    <cellStyle name="Calculation 5 15" xfId="8230"/>
    <cellStyle name="Calculation 5 15 2" xfId="30178"/>
    <cellStyle name="Calculation 5 16" xfId="8231"/>
    <cellStyle name="Calculation 5 16 2" xfId="30179"/>
    <cellStyle name="Calculation 5 17" xfId="8232"/>
    <cellStyle name="Calculation 5 17 2" xfId="30180"/>
    <cellStyle name="Calculation 5 18" xfId="8233"/>
    <cellStyle name="Calculation 5 18 2" xfId="30181"/>
    <cellStyle name="Calculation 5 19" xfId="8234"/>
    <cellStyle name="Calculation 5 19 2" xfId="30182"/>
    <cellStyle name="Calculation 5 2" xfId="8235"/>
    <cellStyle name="Calculation 5 2 2" xfId="30183"/>
    <cellStyle name="Calculation 5 20" xfId="8236"/>
    <cellStyle name="Calculation 5 20 2" xfId="30184"/>
    <cellStyle name="Calculation 5 21" xfId="8237"/>
    <cellStyle name="Calculation 5 21 2" xfId="30185"/>
    <cellStyle name="Calculation 5 22" xfId="8238"/>
    <cellStyle name="Calculation 5 22 2" xfId="30186"/>
    <cellStyle name="Calculation 5 23" xfId="30187"/>
    <cellStyle name="Calculation 5 3" xfId="8239"/>
    <cellStyle name="Calculation 5 3 2" xfId="30188"/>
    <cellStyle name="Calculation 5 4" xfId="8240"/>
    <cellStyle name="Calculation 5 4 2" xfId="30189"/>
    <cellStyle name="Calculation 5 5" xfId="8241"/>
    <cellStyle name="Calculation 5 5 2" xfId="30190"/>
    <cellStyle name="Calculation 5 6" xfId="8242"/>
    <cellStyle name="Calculation 5 6 2" xfId="30191"/>
    <cellStyle name="Calculation 5 7" xfId="8243"/>
    <cellStyle name="Calculation 5 7 2" xfId="30192"/>
    <cellStyle name="Calculation 5 8" xfId="8244"/>
    <cellStyle name="Calculation 5 8 2" xfId="30193"/>
    <cellStyle name="Calculation 5 9" xfId="8245"/>
    <cellStyle name="Calculation 5 9 2" xfId="30194"/>
    <cellStyle name="Calculation 50" xfId="1468"/>
    <cellStyle name="Calculation 50 10" xfId="8246"/>
    <cellStyle name="Calculation 50 10 2" xfId="30195"/>
    <cellStyle name="Calculation 50 11" xfId="8247"/>
    <cellStyle name="Calculation 50 11 2" xfId="30196"/>
    <cellStyle name="Calculation 50 12" xfId="8248"/>
    <cellStyle name="Calculation 50 12 2" xfId="30197"/>
    <cellStyle name="Calculation 50 13" xfId="8249"/>
    <cellStyle name="Calculation 50 13 2" xfId="30198"/>
    <cellStyle name="Calculation 50 14" xfId="8250"/>
    <cellStyle name="Calculation 50 14 2" xfId="30199"/>
    <cellStyle name="Calculation 50 15" xfId="8251"/>
    <cellStyle name="Calculation 50 15 2" xfId="30200"/>
    <cellStyle name="Calculation 50 16" xfId="8252"/>
    <cellStyle name="Calculation 50 16 2" xfId="30201"/>
    <cellStyle name="Calculation 50 17" xfId="8253"/>
    <cellStyle name="Calculation 50 17 2" xfId="30202"/>
    <cellStyle name="Calculation 50 18" xfId="8254"/>
    <cellStyle name="Calculation 50 18 2" xfId="30203"/>
    <cellStyle name="Calculation 50 19" xfId="8255"/>
    <cellStyle name="Calculation 50 19 2" xfId="30204"/>
    <cellStyle name="Calculation 50 2" xfId="8256"/>
    <cellStyle name="Calculation 50 2 2" xfId="30205"/>
    <cellStyle name="Calculation 50 20" xfId="8257"/>
    <cellStyle name="Calculation 50 20 2" xfId="30206"/>
    <cellStyle name="Calculation 50 21" xfId="8258"/>
    <cellStyle name="Calculation 50 21 2" xfId="30207"/>
    <cellStyle name="Calculation 50 22" xfId="8259"/>
    <cellStyle name="Calculation 50 22 2" xfId="30208"/>
    <cellStyle name="Calculation 50 23" xfId="30209"/>
    <cellStyle name="Calculation 50 3" xfId="8260"/>
    <cellStyle name="Calculation 50 3 2" xfId="30210"/>
    <cellStyle name="Calculation 50 4" xfId="8261"/>
    <cellStyle name="Calculation 50 4 2" xfId="30211"/>
    <cellStyle name="Calculation 50 5" xfId="8262"/>
    <cellStyle name="Calculation 50 5 2" xfId="30212"/>
    <cellStyle name="Calculation 50 6" xfId="8263"/>
    <cellStyle name="Calculation 50 6 2" xfId="30213"/>
    <cellStyle name="Calculation 50 7" xfId="8264"/>
    <cellStyle name="Calculation 50 7 2" xfId="30214"/>
    <cellStyle name="Calculation 50 8" xfId="8265"/>
    <cellStyle name="Calculation 50 8 2" xfId="30215"/>
    <cellStyle name="Calculation 50 9" xfId="8266"/>
    <cellStyle name="Calculation 50 9 2" xfId="30216"/>
    <cellStyle name="Calculation 51" xfId="1469"/>
    <cellStyle name="Calculation 51 10" xfId="8267"/>
    <cellStyle name="Calculation 51 10 2" xfId="30217"/>
    <cellStyle name="Calculation 51 11" xfId="8268"/>
    <cellStyle name="Calculation 51 11 2" xfId="30218"/>
    <cellStyle name="Calculation 51 12" xfId="8269"/>
    <cellStyle name="Calculation 51 12 2" xfId="30219"/>
    <cellStyle name="Calculation 51 13" xfId="8270"/>
    <cellStyle name="Calculation 51 13 2" xfId="30220"/>
    <cellStyle name="Calculation 51 14" xfId="8271"/>
    <cellStyle name="Calculation 51 14 2" xfId="30221"/>
    <cellStyle name="Calculation 51 15" xfId="8272"/>
    <cellStyle name="Calculation 51 15 2" xfId="30222"/>
    <cellStyle name="Calculation 51 16" xfId="8273"/>
    <cellStyle name="Calculation 51 16 2" xfId="30223"/>
    <cellStyle name="Calculation 51 17" xfId="8274"/>
    <cellStyle name="Calculation 51 17 2" xfId="30224"/>
    <cellStyle name="Calculation 51 18" xfId="8275"/>
    <cellStyle name="Calculation 51 18 2" xfId="30225"/>
    <cellStyle name="Calculation 51 19" xfId="8276"/>
    <cellStyle name="Calculation 51 19 2" xfId="30226"/>
    <cellStyle name="Calculation 51 2" xfId="8277"/>
    <cellStyle name="Calculation 51 2 2" xfId="30227"/>
    <cellStyle name="Calculation 51 20" xfId="8278"/>
    <cellStyle name="Calculation 51 20 2" xfId="30228"/>
    <cellStyle name="Calculation 51 21" xfId="8279"/>
    <cellStyle name="Calculation 51 21 2" xfId="30229"/>
    <cellStyle name="Calculation 51 22" xfId="8280"/>
    <cellStyle name="Calculation 51 22 2" xfId="30230"/>
    <cellStyle name="Calculation 51 23" xfId="30231"/>
    <cellStyle name="Calculation 51 3" xfId="8281"/>
    <cellStyle name="Calculation 51 3 2" xfId="30232"/>
    <cellStyle name="Calculation 51 4" xfId="8282"/>
    <cellStyle name="Calculation 51 4 2" xfId="30233"/>
    <cellStyle name="Calculation 51 5" xfId="8283"/>
    <cellStyle name="Calculation 51 5 2" xfId="30234"/>
    <cellStyle name="Calculation 51 6" xfId="8284"/>
    <cellStyle name="Calculation 51 6 2" xfId="30235"/>
    <cellStyle name="Calculation 51 7" xfId="8285"/>
    <cellStyle name="Calculation 51 7 2" xfId="30236"/>
    <cellStyle name="Calculation 51 8" xfId="8286"/>
    <cellStyle name="Calculation 51 8 2" xfId="30237"/>
    <cellStyle name="Calculation 51 9" xfId="8287"/>
    <cellStyle name="Calculation 51 9 2" xfId="30238"/>
    <cellStyle name="Calculation 52" xfId="1470"/>
    <cellStyle name="Calculation 52 10" xfId="8288"/>
    <cellStyle name="Calculation 52 10 2" xfId="30239"/>
    <cellStyle name="Calculation 52 11" xfId="8289"/>
    <cellStyle name="Calculation 52 11 2" xfId="30240"/>
    <cellStyle name="Calculation 52 12" xfId="8290"/>
    <cellStyle name="Calculation 52 12 2" xfId="30241"/>
    <cellStyle name="Calculation 52 13" xfId="8291"/>
    <cellStyle name="Calculation 52 13 2" xfId="30242"/>
    <cellStyle name="Calculation 52 14" xfId="8292"/>
    <cellStyle name="Calculation 52 14 2" xfId="30243"/>
    <cellStyle name="Calculation 52 15" xfId="8293"/>
    <cellStyle name="Calculation 52 15 2" xfId="30244"/>
    <cellStyle name="Calculation 52 16" xfId="8294"/>
    <cellStyle name="Calculation 52 16 2" xfId="30245"/>
    <cellStyle name="Calculation 52 17" xfId="8295"/>
    <cellStyle name="Calculation 52 17 2" xfId="30246"/>
    <cellStyle name="Calculation 52 18" xfId="8296"/>
    <cellStyle name="Calculation 52 18 2" xfId="30247"/>
    <cellStyle name="Calculation 52 19" xfId="8297"/>
    <cellStyle name="Calculation 52 19 2" xfId="30248"/>
    <cellStyle name="Calculation 52 2" xfId="8298"/>
    <cellStyle name="Calculation 52 2 2" xfId="30249"/>
    <cellStyle name="Calculation 52 20" xfId="8299"/>
    <cellStyle name="Calculation 52 20 2" xfId="30250"/>
    <cellStyle name="Calculation 52 21" xfId="8300"/>
    <cellStyle name="Calculation 52 21 2" xfId="30251"/>
    <cellStyle name="Calculation 52 22" xfId="8301"/>
    <cellStyle name="Calculation 52 22 2" xfId="30252"/>
    <cellStyle name="Calculation 52 23" xfId="30253"/>
    <cellStyle name="Calculation 52 3" xfId="8302"/>
    <cellStyle name="Calculation 52 3 2" xfId="30254"/>
    <cellStyle name="Calculation 52 4" xfId="8303"/>
    <cellStyle name="Calculation 52 4 2" xfId="30255"/>
    <cellStyle name="Calculation 52 5" xfId="8304"/>
    <cellStyle name="Calculation 52 5 2" xfId="30256"/>
    <cellStyle name="Calculation 52 6" xfId="8305"/>
    <cellStyle name="Calculation 52 6 2" xfId="30257"/>
    <cellStyle name="Calculation 52 7" xfId="8306"/>
    <cellStyle name="Calculation 52 7 2" xfId="30258"/>
    <cellStyle name="Calculation 52 8" xfId="8307"/>
    <cellStyle name="Calculation 52 8 2" xfId="30259"/>
    <cellStyle name="Calculation 52 9" xfId="8308"/>
    <cellStyle name="Calculation 52 9 2" xfId="30260"/>
    <cellStyle name="Calculation 6" xfId="1471"/>
    <cellStyle name="Calculation 6 10" xfId="8309"/>
    <cellStyle name="Calculation 6 10 2" xfId="30261"/>
    <cellStyle name="Calculation 6 11" xfId="8310"/>
    <cellStyle name="Calculation 6 11 2" xfId="30262"/>
    <cellStyle name="Calculation 6 12" xfId="8311"/>
    <cellStyle name="Calculation 6 12 2" xfId="30263"/>
    <cellStyle name="Calculation 6 13" xfId="8312"/>
    <cellStyle name="Calculation 6 13 2" xfId="30264"/>
    <cellStyle name="Calculation 6 14" xfId="8313"/>
    <cellStyle name="Calculation 6 14 2" xfId="30265"/>
    <cellStyle name="Calculation 6 15" xfId="8314"/>
    <cellStyle name="Calculation 6 15 2" xfId="30266"/>
    <cellStyle name="Calculation 6 16" xfId="8315"/>
    <cellStyle name="Calculation 6 16 2" xfId="30267"/>
    <cellStyle name="Calculation 6 17" xfId="8316"/>
    <cellStyle name="Calculation 6 17 2" xfId="30268"/>
    <cellStyle name="Calculation 6 18" xfId="8317"/>
    <cellStyle name="Calculation 6 18 2" xfId="30269"/>
    <cellStyle name="Calculation 6 19" xfId="8318"/>
    <cellStyle name="Calculation 6 19 2" xfId="30270"/>
    <cellStyle name="Calculation 6 2" xfId="8319"/>
    <cellStyle name="Calculation 6 2 2" xfId="30271"/>
    <cellStyle name="Calculation 6 20" xfId="8320"/>
    <cellStyle name="Calculation 6 20 2" xfId="30272"/>
    <cellStyle name="Calculation 6 21" xfId="8321"/>
    <cellStyle name="Calculation 6 21 2" xfId="30273"/>
    <cellStyle name="Calculation 6 22" xfId="8322"/>
    <cellStyle name="Calculation 6 22 2" xfId="30274"/>
    <cellStyle name="Calculation 6 23" xfId="30275"/>
    <cellStyle name="Calculation 6 3" xfId="8323"/>
    <cellStyle name="Calculation 6 3 2" xfId="30276"/>
    <cellStyle name="Calculation 6 4" xfId="8324"/>
    <cellStyle name="Calculation 6 4 2" xfId="30277"/>
    <cellStyle name="Calculation 6 5" xfId="8325"/>
    <cellStyle name="Calculation 6 5 2" xfId="30278"/>
    <cellStyle name="Calculation 6 6" xfId="8326"/>
    <cellStyle name="Calculation 6 6 2" xfId="30279"/>
    <cellStyle name="Calculation 6 7" xfId="8327"/>
    <cellStyle name="Calculation 6 7 2" xfId="30280"/>
    <cellStyle name="Calculation 6 8" xfId="8328"/>
    <cellStyle name="Calculation 6 8 2" xfId="30281"/>
    <cellStyle name="Calculation 6 9" xfId="8329"/>
    <cellStyle name="Calculation 6 9 2" xfId="30282"/>
    <cellStyle name="Calculation 7" xfId="1472"/>
    <cellStyle name="Calculation 7 10" xfId="8330"/>
    <cellStyle name="Calculation 7 10 2" xfId="30283"/>
    <cellStyle name="Calculation 7 11" xfId="8331"/>
    <cellStyle name="Calculation 7 11 2" xfId="30284"/>
    <cellStyle name="Calculation 7 12" xfId="8332"/>
    <cellStyle name="Calculation 7 12 2" xfId="30285"/>
    <cellStyle name="Calculation 7 13" xfId="8333"/>
    <cellStyle name="Calculation 7 13 2" xfId="30286"/>
    <cellStyle name="Calculation 7 14" xfId="8334"/>
    <cellStyle name="Calculation 7 14 2" xfId="30287"/>
    <cellStyle name="Calculation 7 15" xfId="8335"/>
    <cellStyle name="Calculation 7 15 2" xfId="30288"/>
    <cellStyle name="Calculation 7 16" xfId="8336"/>
    <cellStyle name="Calculation 7 16 2" xfId="30289"/>
    <cellStyle name="Calculation 7 17" xfId="8337"/>
    <cellStyle name="Calculation 7 17 2" xfId="30290"/>
    <cellStyle name="Calculation 7 18" xfId="8338"/>
    <cellStyle name="Calculation 7 18 2" xfId="30291"/>
    <cellStyle name="Calculation 7 19" xfId="8339"/>
    <cellStyle name="Calculation 7 19 2" xfId="30292"/>
    <cellStyle name="Calculation 7 2" xfId="8340"/>
    <cellStyle name="Calculation 7 2 2" xfId="30293"/>
    <cellStyle name="Calculation 7 20" xfId="8341"/>
    <cellStyle name="Calculation 7 20 2" xfId="30294"/>
    <cellStyle name="Calculation 7 21" xfId="8342"/>
    <cellStyle name="Calculation 7 21 2" xfId="30295"/>
    <cellStyle name="Calculation 7 22" xfId="8343"/>
    <cellStyle name="Calculation 7 22 2" xfId="30296"/>
    <cellStyle name="Calculation 7 23" xfId="30297"/>
    <cellStyle name="Calculation 7 3" xfId="8344"/>
    <cellStyle name="Calculation 7 3 2" xfId="30298"/>
    <cellStyle name="Calculation 7 4" xfId="8345"/>
    <cellStyle name="Calculation 7 4 2" xfId="30299"/>
    <cellStyle name="Calculation 7 5" xfId="8346"/>
    <cellStyle name="Calculation 7 5 2" xfId="30300"/>
    <cellStyle name="Calculation 7 6" xfId="8347"/>
    <cellStyle name="Calculation 7 6 2" xfId="30301"/>
    <cellStyle name="Calculation 7 7" xfId="8348"/>
    <cellStyle name="Calculation 7 7 2" xfId="30302"/>
    <cellStyle name="Calculation 7 8" xfId="8349"/>
    <cellStyle name="Calculation 7 8 2" xfId="30303"/>
    <cellStyle name="Calculation 7 9" xfId="8350"/>
    <cellStyle name="Calculation 7 9 2" xfId="30304"/>
    <cellStyle name="Calculation 8" xfId="1473"/>
    <cellStyle name="Calculation 8 10" xfId="8351"/>
    <cellStyle name="Calculation 8 10 2" xfId="30305"/>
    <cellStyle name="Calculation 8 11" xfId="8352"/>
    <cellStyle name="Calculation 8 11 2" xfId="30306"/>
    <cellStyle name="Calculation 8 12" xfId="8353"/>
    <cellStyle name="Calculation 8 12 2" xfId="30307"/>
    <cellStyle name="Calculation 8 13" xfId="8354"/>
    <cellStyle name="Calculation 8 13 2" xfId="30308"/>
    <cellStyle name="Calculation 8 14" xfId="8355"/>
    <cellStyle name="Calculation 8 14 2" xfId="30309"/>
    <cellStyle name="Calculation 8 15" xfId="8356"/>
    <cellStyle name="Calculation 8 15 2" xfId="30310"/>
    <cellStyle name="Calculation 8 16" xfId="8357"/>
    <cellStyle name="Calculation 8 16 2" xfId="30311"/>
    <cellStyle name="Calculation 8 17" xfId="8358"/>
    <cellStyle name="Calculation 8 17 2" xfId="30312"/>
    <cellStyle name="Calculation 8 18" xfId="8359"/>
    <cellStyle name="Calculation 8 18 2" xfId="30313"/>
    <cellStyle name="Calculation 8 19" xfId="8360"/>
    <cellStyle name="Calculation 8 19 2" xfId="30314"/>
    <cellStyle name="Calculation 8 2" xfId="8361"/>
    <cellStyle name="Calculation 8 2 2" xfId="30315"/>
    <cellStyle name="Calculation 8 20" xfId="8362"/>
    <cellStyle name="Calculation 8 20 2" xfId="30316"/>
    <cellStyle name="Calculation 8 21" xfId="8363"/>
    <cellStyle name="Calculation 8 21 2" xfId="30317"/>
    <cellStyle name="Calculation 8 22" xfId="8364"/>
    <cellStyle name="Calculation 8 22 2" xfId="30318"/>
    <cellStyle name="Calculation 8 23" xfId="30319"/>
    <cellStyle name="Calculation 8 3" xfId="8365"/>
    <cellStyle name="Calculation 8 3 2" xfId="30320"/>
    <cellStyle name="Calculation 8 4" xfId="8366"/>
    <cellStyle name="Calculation 8 4 2" xfId="30321"/>
    <cellStyle name="Calculation 8 5" xfId="8367"/>
    <cellStyle name="Calculation 8 5 2" xfId="30322"/>
    <cellStyle name="Calculation 8 6" xfId="8368"/>
    <cellStyle name="Calculation 8 6 2" xfId="30323"/>
    <cellStyle name="Calculation 8 7" xfId="8369"/>
    <cellStyle name="Calculation 8 7 2" xfId="30324"/>
    <cellStyle name="Calculation 8 8" xfId="8370"/>
    <cellStyle name="Calculation 8 8 2" xfId="30325"/>
    <cellStyle name="Calculation 8 9" xfId="8371"/>
    <cellStyle name="Calculation 8 9 2" xfId="30326"/>
    <cellStyle name="Calculation 9" xfId="1474"/>
    <cellStyle name="Calculation 9 10" xfId="8372"/>
    <cellStyle name="Calculation 9 10 2" xfId="30327"/>
    <cellStyle name="Calculation 9 11" xfId="8373"/>
    <cellStyle name="Calculation 9 11 2" xfId="30328"/>
    <cellStyle name="Calculation 9 12" xfId="8374"/>
    <cellStyle name="Calculation 9 12 2" xfId="30329"/>
    <cellStyle name="Calculation 9 13" xfId="8375"/>
    <cellStyle name="Calculation 9 13 2" xfId="30330"/>
    <cellStyle name="Calculation 9 14" xfId="8376"/>
    <cellStyle name="Calculation 9 14 2" xfId="30331"/>
    <cellStyle name="Calculation 9 15" xfId="8377"/>
    <cellStyle name="Calculation 9 15 2" xfId="30332"/>
    <cellStyle name="Calculation 9 16" xfId="8378"/>
    <cellStyle name="Calculation 9 16 2" xfId="30333"/>
    <cellStyle name="Calculation 9 17" xfId="8379"/>
    <cellStyle name="Calculation 9 17 2" xfId="30334"/>
    <cellStyle name="Calculation 9 18" xfId="8380"/>
    <cellStyle name="Calculation 9 18 2" xfId="30335"/>
    <cellStyle name="Calculation 9 19" xfId="8381"/>
    <cellStyle name="Calculation 9 19 2" xfId="30336"/>
    <cellStyle name="Calculation 9 2" xfId="8382"/>
    <cellStyle name="Calculation 9 2 2" xfId="30337"/>
    <cellStyle name="Calculation 9 20" xfId="8383"/>
    <cellStyle name="Calculation 9 20 2" xfId="30338"/>
    <cellStyle name="Calculation 9 21" xfId="8384"/>
    <cellStyle name="Calculation 9 21 2" xfId="30339"/>
    <cellStyle name="Calculation 9 22" xfId="8385"/>
    <cellStyle name="Calculation 9 22 2" xfId="30340"/>
    <cellStyle name="Calculation 9 23" xfId="30341"/>
    <cellStyle name="Calculation 9 3" xfId="8386"/>
    <cellStyle name="Calculation 9 3 2" xfId="30342"/>
    <cellStyle name="Calculation 9 4" xfId="8387"/>
    <cellStyle name="Calculation 9 4 2" xfId="30343"/>
    <cellStyle name="Calculation 9 5" xfId="8388"/>
    <cellStyle name="Calculation 9 5 2" xfId="30344"/>
    <cellStyle name="Calculation 9 6" xfId="8389"/>
    <cellStyle name="Calculation 9 6 2" xfId="30345"/>
    <cellStyle name="Calculation 9 7" xfId="8390"/>
    <cellStyle name="Calculation 9 7 2" xfId="30346"/>
    <cellStyle name="Calculation 9 8" xfId="8391"/>
    <cellStyle name="Calculation 9 8 2" xfId="30347"/>
    <cellStyle name="Calculation 9 9" xfId="8392"/>
    <cellStyle name="Calculation 9 9 2" xfId="30348"/>
    <cellStyle name="Check Cell 10" xfId="1475"/>
    <cellStyle name="Check Cell 11" xfId="1476"/>
    <cellStyle name="Check Cell 12" xfId="1477"/>
    <cellStyle name="Check Cell 13" xfId="1478"/>
    <cellStyle name="Check Cell 14" xfId="1479"/>
    <cellStyle name="Check Cell 15" xfId="1480"/>
    <cellStyle name="Check Cell 16" xfId="1481"/>
    <cellStyle name="Check Cell 17" xfId="1482"/>
    <cellStyle name="Check Cell 18" xfId="1483"/>
    <cellStyle name="Check Cell 19" xfId="1484"/>
    <cellStyle name="Check Cell 2" xfId="1485"/>
    <cellStyle name="Check Cell 2 2" xfId="1486"/>
    <cellStyle name="Check Cell 2 3" xfId="1487"/>
    <cellStyle name="Check Cell 2 4" xfId="1488"/>
    <cellStyle name="Check Cell 2 5" xfId="1489"/>
    <cellStyle name="Check Cell 2 6" xfId="1490"/>
    <cellStyle name="Check Cell 20" xfId="1491"/>
    <cellStyle name="Check Cell 21" xfId="1492"/>
    <cellStyle name="Check Cell 22" xfId="1493"/>
    <cellStyle name="Check Cell 23" xfId="1494"/>
    <cellStyle name="Check Cell 24" xfId="1495"/>
    <cellStyle name="Check Cell 25" xfId="1496"/>
    <cellStyle name="Check Cell 26" xfId="1497"/>
    <cellStyle name="Check Cell 27" xfId="1498"/>
    <cellStyle name="Check Cell 28" xfId="1499"/>
    <cellStyle name="Check Cell 29" xfId="1500"/>
    <cellStyle name="Check Cell 3" xfId="1501"/>
    <cellStyle name="Check Cell 30" xfId="1502"/>
    <cellStyle name="Check Cell 31" xfId="1503"/>
    <cellStyle name="Check Cell 32" xfId="1504"/>
    <cellStyle name="Check Cell 33" xfId="1505"/>
    <cellStyle name="Check Cell 34" xfId="1506"/>
    <cellStyle name="Check Cell 35" xfId="1507"/>
    <cellStyle name="Check Cell 36" xfId="1508"/>
    <cellStyle name="Check Cell 37" xfId="1509"/>
    <cellStyle name="Check Cell 38" xfId="1510"/>
    <cellStyle name="Check Cell 39" xfId="1511"/>
    <cellStyle name="Check Cell 4" xfId="1512"/>
    <cellStyle name="Check Cell 40" xfId="1513"/>
    <cellStyle name="Check Cell 41" xfId="1514"/>
    <cellStyle name="Check Cell 42" xfId="1515"/>
    <cellStyle name="Check Cell 43" xfId="1516"/>
    <cellStyle name="Check Cell 44" xfId="1517"/>
    <cellStyle name="Check Cell 45" xfId="1518"/>
    <cellStyle name="Check Cell 46" xfId="1519"/>
    <cellStyle name="Check Cell 47" xfId="1520"/>
    <cellStyle name="Check Cell 48" xfId="1521"/>
    <cellStyle name="Check Cell 49" xfId="1522"/>
    <cellStyle name="Check Cell 5" xfId="1523"/>
    <cellStyle name="Check Cell 50" xfId="1524"/>
    <cellStyle name="Check Cell 51" xfId="1525"/>
    <cellStyle name="Check Cell 52" xfId="1526"/>
    <cellStyle name="Check Cell 6" xfId="1527"/>
    <cellStyle name="Check Cell 7" xfId="1528"/>
    <cellStyle name="Check Cell 8" xfId="1529"/>
    <cellStyle name="Check Cell 9" xfId="1530"/>
    <cellStyle name="Comma" xfId="1" builtinId="3"/>
    <cellStyle name="Comma [0]" xfId="2" builtinId="6"/>
    <cellStyle name="Comma [0] 10" xfId="1531"/>
    <cellStyle name="Comma [0] 10 10" xfId="1532"/>
    <cellStyle name="Comma [0] 10 11" xfId="1533"/>
    <cellStyle name="Comma [0] 10 12" xfId="1534"/>
    <cellStyle name="Comma [0] 10 13" xfId="1535"/>
    <cellStyle name="Comma [0] 10 14" xfId="1536"/>
    <cellStyle name="Comma [0] 10 15" xfId="8393"/>
    <cellStyle name="Comma [0] 10 16" xfId="8394"/>
    <cellStyle name="Comma [0] 10 17" xfId="8395"/>
    <cellStyle name="Comma [0] 10 18" xfId="8396"/>
    <cellStyle name="Comma [0] 10 19" xfId="8397"/>
    <cellStyle name="Comma [0] 10 2" xfId="1537"/>
    <cellStyle name="Comma [0] 10 2 10" xfId="8398"/>
    <cellStyle name="Comma [0] 10 2 11" xfId="8399"/>
    <cellStyle name="Comma [0] 10 2 12" xfId="8400"/>
    <cellStyle name="Comma [0] 10 2 13" xfId="8401"/>
    <cellStyle name="Comma [0] 10 2 14" xfId="8402"/>
    <cellStyle name="Comma [0] 10 2 15" xfId="8403"/>
    <cellStyle name="Comma [0] 10 2 16" xfId="8404"/>
    <cellStyle name="Comma [0] 10 2 17" xfId="8405"/>
    <cellStyle name="Comma [0] 10 2 18" xfId="8406"/>
    <cellStyle name="Comma [0] 10 2 19" xfId="8407"/>
    <cellStyle name="Comma [0] 10 2 2" xfId="15"/>
    <cellStyle name="Comma [0] 10 2 2 10" xfId="8408"/>
    <cellStyle name="Comma [0] 10 2 2 11" xfId="8409"/>
    <cellStyle name="Comma [0] 10 2 2 12" xfId="8410"/>
    <cellStyle name="Comma [0] 10 2 2 13" xfId="8411"/>
    <cellStyle name="Comma [0] 10 2 2 14" xfId="8412"/>
    <cellStyle name="Comma [0] 10 2 2 15" xfId="8413"/>
    <cellStyle name="Comma [0] 10 2 2 16" xfId="8414"/>
    <cellStyle name="Comma [0] 10 2 2 17" xfId="8415"/>
    <cellStyle name="Comma [0] 10 2 2 18" xfId="8416"/>
    <cellStyle name="Comma [0] 10 2 2 19" xfId="8417"/>
    <cellStyle name="Comma [0] 10 2 2 2" xfId="8418"/>
    <cellStyle name="Comma [0] 10 2 2 20" xfId="8419"/>
    <cellStyle name="Comma [0] 10 2 2 21" xfId="8420"/>
    <cellStyle name="Comma [0] 10 2 2 22" xfId="8421"/>
    <cellStyle name="Comma [0] 10 2 2 23" xfId="8422"/>
    <cellStyle name="Comma [0] 10 2 2 24" xfId="8423"/>
    <cellStyle name="Comma [0] 10 2 2 3" xfId="8424"/>
    <cellStyle name="Comma [0] 10 2 2 4" xfId="8425"/>
    <cellStyle name="Comma [0] 10 2 2 5" xfId="8426"/>
    <cellStyle name="Comma [0] 10 2 2 6" xfId="8427"/>
    <cellStyle name="Comma [0] 10 2 2 7" xfId="8428"/>
    <cellStyle name="Comma [0] 10 2 2 8" xfId="8429"/>
    <cellStyle name="Comma [0] 10 2 2 9" xfId="8430"/>
    <cellStyle name="Comma [0] 10 2 20" xfId="8431"/>
    <cellStyle name="Comma [0] 10 2 21" xfId="8432"/>
    <cellStyle name="Comma [0] 10 2 22" xfId="8433"/>
    <cellStyle name="Comma [0] 10 2 23" xfId="8434"/>
    <cellStyle name="Comma [0] 10 2 24" xfId="8435"/>
    <cellStyle name="Comma [0] 10 2 25" xfId="8436"/>
    <cellStyle name="Comma [0] 10 2 26" xfId="8437"/>
    <cellStyle name="Comma [0] 10 2 27" xfId="8438"/>
    <cellStyle name="Comma [0] 10 2 28" xfId="8439"/>
    <cellStyle name="Comma [0] 10 2 29" xfId="8440"/>
    <cellStyle name="Comma [0] 10 2 3" xfId="1538"/>
    <cellStyle name="Comma [0] 10 2 3 10" xfId="8441"/>
    <cellStyle name="Comma [0] 10 2 3 11" xfId="8442"/>
    <cellStyle name="Comma [0] 10 2 3 12" xfId="8443"/>
    <cellStyle name="Comma [0] 10 2 3 13" xfId="8444"/>
    <cellStyle name="Comma [0] 10 2 3 14" xfId="8445"/>
    <cellStyle name="Comma [0] 10 2 3 15" xfId="8446"/>
    <cellStyle name="Comma [0] 10 2 3 16" xfId="8447"/>
    <cellStyle name="Comma [0] 10 2 3 17" xfId="8448"/>
    <cellStyle name="Comma [0] 10 2 3 18" xfId="8449"/>
    <cellStyle name="Comma [0] 10 2 3 19" xfId="8450"/>
    <cellStyle name="Comma [0] 10 2 3 2" xfId="8451"/>
    <cellStyle name="Comma [0] 10 2 3 20" xfId="8452"/>
    <cellStyle name="Comma [0] 10 2 3 21" xfId="8453"/>
    <cellStyle name="Comma [0] 10 2 3 22" xfId="8454"/>
    <cellStyle name="Comma [0] 10 2 3 23" xfId="8455"/>
    <cellStyle name="Comma [0] 10 2 3 3" xfId="8456"/>
    <cellStyle name="Comma [0] 10 2 3 4" xfId="8457"/>
    <cellStyle name="Comma [0] 10 2 3 5" xfId="8458"/>
    <cellStyle name="Comma [0] 10 2 3 6" xfId="8459"/>
    <cellStyle name="Comma [0] 10 2 3 7" xfId="8460"/>
    <cellStyle name="Comma [0] 10 2 3 8" xfId="8461"/>
    <cellStyle name="Comma [0] 10 2 3 9" xfId="8462"/>
    <cellStyle name="Comma [0] 10 2 4" xfId="1539"/>
    <cellStyle name="Comma [0] 10 2 4 10" xfId="8463"/>
    <cellStyle name="Comma [0] 10 2 4 11" xfId="8464"/>
    <cellStyle name="Comma [0] 10 2 4 12" xfId="8465"/>
    <cellStyle name="Comma [0] 10 2 4 13" xfId="8466"/>
    <cellStyle name="Comma [0] 10 2 4 14" xfId="8467"/>
    <cellStyle name="Comma [0] 10 2 4 15" xfId="8468"/>
    <cellStyle name="Comma [0] 10 2 4 16" xfId="8469"/>
    <cellStyle name="Comma [0] 10 2 4 17" xfId="8470"/>
    <cellStyle name="Comma [0] 10 2 4 18" xfId="8471"/>
    <cellStyle name="Comma [0] 10 2 4 19" xfId="8472"/>
    <cellStyle name="Comma [0] 10 2 4 2" xfId="8473"/>
    <cellStyle name="Comma [0] 10 2 4 20" xfId="8474"/>
    <cellStyle name="Comma [0] 10 2 4 21" xfId="8475"/>
    <cellStyle name="Comma [0] 10 2 4 22" xfId="8476"/>
    <cellStyle name="Comma [0] 10 2 4 23" xfId="8477"/>
    <cellStyle name="Comma [0] 10 2 4 3" xfId="8478"/>
    <cellStyle name="Comma [0] 10 2 4 4" xfId="8479"/>
    <cellStyle name="Comma [0] 10 2 4 5" xfId="8480"/>
    <cellStyle name="Comma [0] 10 2 4 6" xfId="8481"/>
    <cellStyle name="Comma [0] 10 2 4 7" xfId="8482"/>
    <cellStyle name="Comma [0] 10 2 4 8" xfId="8483"/>
    <cellStyle name="Comma [0] 10 2 4 9" xfId="8484"/>
    <cellStyle name="Comma [0] 10 2 5" xfId="1540"/>
    <cellStyle name="Comma [0] 10 2 5 10" xfId="8485"/>
    <cellStyle name="Comma [0] 10 2 5 11" xfId="8486"/>
    <cellStyle name="Comma [0] 10 2 5 12" xfId="8487"/>
    <cellStyle name="Comma [0] 10 2 5 13" xfId="8488"/>
    <cellStyle name="Comma [0] 10 2 5 14" xfId="8489"/>
    <cellStyle name="Comma [0] 10 2 5 15" xfId="8490"/>
    <cellStyle name="Comma [0] 10 2 5 16" xfId="8491"/>
    <cellStyle name="Comma [0] 10 2 5 17" xfId="8492"/>
    <cellStyle name="Comma [0] 10 2 5 18" xfId="8493"/>
    <cellStyle name="Comma [0] 10 2 5 19" xfId="8494"/>
    <cellStyle name="Comma [0] 10 2 5 2" xfId="8495"/>
    <cellStyle name="Comma [0] 10 2 5 20" xfId="8496"/>
    <cellStyle name="Comma [0] 10 2 5 21" xfId="8497"/>
    <cellStyle name="Comma [0] 10 2 5 22" xfId="8498"/>
    <cellStyle name="Comma [0] 10 2 5 23" xfId="8499"/>
    <cellStyle name="Comma [0] 10 2 5 3" xfId="8500"/>
    <cellStyle name="Comma [0] 10 2 5 4" xfId="8501"/>
    <cellStyle name="Comma [0] 10 2 5 5" xfId="8502"/>
    <cellStyle name="Comma [0] 10 2 5 6" xfId="8503"/>
    <cellStyle name="Comma [0] 10 2 5 7" xfId="8504"/>
    <cellStyle name="Comma [0] 10 2 5 8" xfId="8505"/>
    <cellStyle name="Comma [0] 10 2 5 9" xfId="8506"/>
    <cellStyle name="Comma [0] 10 2 6" xfId="1541"/>
    <cellStyle name="Comma [0] 10 2 7" xfId="1542"/>
    <cellStyle name="Comma [0] 10 2 8" xfId="1543"/>
    <cellStyle name="Comma [0] 10 2 8 2" xfId="1544"/>
    <cellStyle name="Comma [0] 10 2 8 2 2" xfId="1545"/>
    <cellStyle name="Comma [0] 10 2 8 2 3" xfId="1546"/>
    <cellStyle name="Comma [0] 10 2 8 2 3 2" xfId="1547"/>
    <cellStyle name="Comma [0] 10 2 8 2 3 2 2" xfId="1548"/>
    <cellStyle name="Comma [0] 10 2 8 2 3 2 2 2" xfId="1549"/>
    <cellStyle name="Comma [0] 10 2 8 2 3 2 2 3" xfId="1550"/>
    <cellStyle name="Comma [0] 10 2 8 2 4" xfId="1551"/>
    <cellStyle name="Comma [0] 10 2 8 2 4 2" xfId="1552"/>
    <cellStyle name="Comma [0] 10 2 8 2 4 2 2" xfId="1553"/>
    <cellStyle name="Comma [0] 10 2 8 2 5" xfId="1554"/>
    <cellStyle name="Comma [0] 10 2 8 2 6" xfId="1555"/>
    <cellStyle name="Comma [0] 10 2 8 3" xfId="1556"/>
    <cellStyle name="Comma [0] 10 2 8 3 2" xfId="1557"/>
    <cellStyle name="Comma [0] 10 2 8 3 2 2" xfId="1558"/>
    <cellStyle name="Comma [0] 10 2 8 3 2 2 2" xfId="1559"/>
    <cellStyle name="Comma [0] 10 2 8 3 2 2 2 2" xfId="1560"/>
    <cellStyle name="Comma [0] 10 2 9" xfId="8507"/>
    <cellStyle name="Comma [0] 10 20" xfId="8508"/>
    <cellStyle name="Comma [0] 10 21" xfId="8509"/>
    <cellStyle name="Comma [0] 10 22" xfId="8510"/>
    <cellStyle name="Comma [0] 10 23" xfId="8511"/>
    <cellStyle name="Comma [0] 10 24" xfId="8512"/>
    <cellStyle name="Comma [0] 10 25" xfId="8513"/>
    <cellStyle name="Comma [0] 10 26" xfId="8514"/>
    <cellStyle name="Comma [0] 10 27" xfId="8515"/>
    <cellStyle name="Comma [0] 10 28" xfId="8516"/>
    <cellStyle name="Comma [0] 10 29" xfId="8517"/>
    <cellStyle name="Comma [0] 10 3" xfId="1561"/>
    <cellStyle name="Comma [0] 10 3 10" xfId="8518"/>
    <cellStyle name="Comma [0] 10 3 11" xfId="8519"/>
    <cellStyle name="Comma [0] 10 3 12" xfId="8520"/>
    <cellStyle name="Comma [0] 10 3 13" xfId="8521"/>
    <cellStyle name="Comma [0] 10 3 14" xfId="8522"/>
    <cellStyle name="Comma [0] 10 3 15" xfId="8523"/>
    <cellStyle name="Comma [0] 10 3 16" xfId="8524"/>
    <cellStyle name="Comma [0] 10 3 17" xfId="8525"/>
    <cellStyle name="Comma [0] 10 3 18" xfId="8526"/>
    <cellStyle name="Comma [0] 10 3 19" xfId="8527"/>
    <cellStyle name="Comma [0] 10 3 2" xfId="1562"/>
    <cellStyle name="Comma [0] 10 3 20" xfId="8528"/>
    <cellStyle name="Comma [0] 10 3 21" xfId="8529"/>
    <cellStyle name="Comma [0] 10 3 22" xfId="8530"/>
    <cellStyle name="Comma [0] 10 3 23" xfId="8531"/>
    <cellStyle name="Comma [0] 10 3 24" xfId="8532"/>
    <cellStyle name="Comma [0] 10 3 25" xfId="8533"/>
    <cellStyle name="Comma [0] 10 3 26" xfId="8534"/>
    <cellStyle name="Comma [0] 10 3 27" xfId="8535"/>
    <cellStyle name="Comma [0] 10 3 28" xfId="8536"/>
    <cellStyle name="Comma [0] 10 3 29" xfId="8537"/>
    <cellStyle name="Comma [0] 10 3 3" xfId="1563"/>
    <cellStyle name="Comma [0] 10 3 3 10" xfId="8538"/>
    <cellStyle name="Comma [0] 10 3 3 11" xfId="8539"/>
    <cellStyle name="Comma [0] 10 3 3 12" xfId="8540"/>
    <cellStyle name="Comma [0] 10 3 3 13" xfId="8541"/>
    <cellStyle name="Comma [0] 10 3 3 14" xfId="8542"/>
    <cellStyle name="Comma [0] 10 3 3 15" xfId="8543"/>
    <cellStyle name="Comma [0] 10 3 3 16" xfId="8544"/>
    <cellStyle name="Comma [0] 10 3 3 17" xfId="8545"/>
    <cellStyle name="Comma [0] 10 3 3 18" xfId="8546"/>
    <cellStyle name="Comma [0] 10 3 3 19" xfId="8547"/>
    <cellStyle name="Comma [0] 10 3 3 2" xfId="8548"/>
    <cellStyle name="Comma [0] 10 3 3 20" xfId="8549"/>
    <cellStyle name="Comma [0] 10 3 3 21" xfId="8550"/>
    <cellStyle name="Comma [0] 10 3 3 22" xfId="8551"/>
    <cellStyle name="Comma [0] 10 3 3 23" xfId="8552"/>
    <cellStyle name="Comma [0] 10 3 3 3" xfId="8553"/>
    <cellStyle name="Comma [0] 10 3 3 4" xfId="8554"/>
    <cellStyle name="Comma [0] 10 3 3 5" xfId="8555"/>
    <cellStyle name="Comma [0] 10 3 3 6" xfId="8556"/>
    <cellStyle name="Comma [0] 10 3 3 7" xfId="8557"/>
    <cellStyle name="Comma [0] 10 3 3 8" xfId="8558"/>
    <cellStyle name="Comma [0] 10 3 3 9" xfId="8559"/>
    <cellStyle name="Comma [0] 10 3 30" xfId="8560"/>
    <cellStyle name="Comma [0] 10 3 4" xfId="1564"/>
    <cellStyle name="Comma [0] 10 3 5" xfId="1565"/>
    <cellStyle name="Comma [0] 10 3 6" xfId="1566"/>
    <cellStyle name="Comma [0] 10 3 7" xfId="1567"/>
    <cellStyle name="Comma [0] 10 3 8" xfId="1568"/>
    <cellStyle name="Comma [0] 10 3 8 2" xfId="8561"/>
    <cellStyle name="Comma [0] 10 3 8 3" xfId="8562"/>
    <cellStyle name="Comma [0] 10 3 8 4" xfId="8563"/>
    <cellStyle name="Comma [0] 10 3 9" xfId="1569"/>
    <cellStyle name="Comma [0] 10 30" xfId="8564"/>
    <cellStyle name="Comma [0] 10 31" xfId="8565"/>
    <cellStyle name="Comma [0] 10 32" xfId="8566"/>
    <cellStyle name="Comma [0] 10 33" xfId="8567"/>
    <cellStyle name="Comma [0] 10 34" xfId="8568"/>
    <cellStyle name="Comma [0] 10 35" xfId="8569"/>
    <cellStyle name="Comma [0] 10 4" xfId="1570"/>
    <cellStyle name="Comma [0] 10 4 10" xfId="8570"/>
    <cellStyle name="Comma [0] 10 4 11" xfId="8571"/>
    <cellStyle name="Comma [0] 10 4 12" xfId="8572"/>
    <cellStyle name="Comma [0] 10 4 13" xfId="8573"/>
    <cellStyle name="Comma [0] 10 4 14" xfId="8574"/>
    <cellStyle name="Comma [0] 10 4 15" xfId="8575"/>
    <cellStyle name="Comma [0] 10 4 16" xfId="8576"/>
    <cellStyle name="Comma [0] 10 4 17" xfId="8577"/>
    <cellStyle name="Comma [0] 10 4 18" xfId="8578"/>
    <cellStyle name="Comma [0] 10 4 19" xfId="8579"/>
    <cellStyle name="Comma [0] 10 4 2" xfId="1571"/>
    <cellStyle name="Comma [0] 10 4 2 10" xfId="8580"/>
    <cellStyle name="Comma [0] 10 4 2 11" xfId="8581"/>
    <cellStyle name="Comma [0] 10 4 2 12" xfId="8582"/>
    <cellStyle name="Comma [0] 10 4 2 13" xfId="8583"/>
    <cellStyle name="Comma [0] 10 4 2 14" xfId="8584"/>
    <cellStyle name="Comma [0] 10 4 2 15" xfId="8585"/>
    <cellStyle name="Comma [0] 10 4 2 16" xfId="8586"/>
    <cellStyle name="Comma [0] 10 4 2 17" xfId="8587"/>
    <cellStyle name="Comma [0] 10 4 2 18" xfId="8588"/>
    <cellStyle name="Comma [0] 10 4 2 19" xfId="8589"/>
    <cellStyle name="Comma [0] 10 4 2 2" xfId="8590"/>
    <cellStyle name="Comma [0] 10 4 2 20" xfId="8591"/>
    <cellStyle name="Comma [0] 10 4 2 21" xfId="8592"/>
    <cellStyle name="Comma [0] 10 4 2 22" xfId="8593"/>
    <cellStyle name="Comma [0] 10 4 2 23" xfId="8594"/>
    <cellStyle name="Comma [0] 10 4 2 3" xfId="8595"/>
    <cellStyle name="Comma [0] 10 4 2 4" xfId="8596"/>
    <cellStyle name="Comma [0] 10 4 2 5" xfId="8597"/>
    <cellStyle name="Comma [0] 10 4 2 6" xfId="8598"/>
    <cellStyle name="Comma [0] 10 4 2 7" xfId="8599"/>
    <cellStyle name="Comma [0] 10 4 2 8" xfId="8600"/>
    <cellStyle name="Comma [0] 10 4 2 9" xfId="8601"/>
    <cellStyle name="Comma [0] 10 4 20" xfId="8602"/>
    <cellStyle name="Comma [0] 10 4 21" xfId="8603"/>
    <cellStyle name="Comma [0] 10 4 22" xfId="8604"/>
    <cellStyle name="Comma [0] 10 4 23" xfId="8605"/>
    <cellStyle name="Comma [0] 10 4 24" xfId="8606"/>
    <cellStyle name="Comma [0] 10 4 25" xfId="8607"/>
    <cellStyle name="Comma [0] 10 4 26" xfId="8608"/>
    <cellStyle name="Comma [0] 10 4 27" xfId="8609"/>
    <cellStyle name="Comma [0] 10 4 28" xfId="8610"/>
    <cellStyle name="Comma [0] 10 4 3" xfId="1572"/>
    <cellStyle name="Comma [0] 10 4 4" xfId="1573"/>
    <cellStyle name="Comma [0] 10 4 5" xfId="1574"/>
    <cellStyle name="Comma [0] 10 4 6" xfId="1575"/>
    <cellStyle name="Comma [0] 10 4 7" xfId="1576"/>
    <cellStyle name="Comma [0] 10 4 8" xfId="8611"/>
    <cellStyle name="Comma [0] 10 4 9" xfId="8612"/>
    <cellStyle name="Comma [0] 10 5" xfId="1577"/>
    <cellStyle name="Comma [0] 10 5 10" xfId="8613"/>
    <cellStyle name="Comma [0] 10 5 11" xfId="8614"/>
    <cellStyle name="Comma [0] 10 5 12" xfId="8615"/>
    <cellStyle name="Comma [0] 10 5 13" xfId="8616"/>
    <cellStyle name="Comma [0] 10 5 14" xfId="8617"/>
    <cellStyle name="Comma [0] 10 5 15" xfId="8618"/>
    <cellStyle name="Comma [0] 10 5 16" xfId="8619"/>
    <cellStyle name="Comma [0] 10 5 17" xfId="8620"/>
    <cellStyle name="Comma [0] 10 5 18" xfId="8621"/>
    <cellStyle name="Comma [0] 10 5 19" xfId="8622"/>
    <cellStyle name="Comma [0] 10 5 2" xfId="1578"/>
    <cellStyle name="Comma [0] 10 5 20" xfId="8623"/>
    <cellStyle name="Comma [0] 10 5 21" xfId="8624"/>
    <cellStyle name="Comma [0] 10 5 22" xfId="8625"/>
    <cellStyle name="Comma [0] 10 5 23" xfId="8626"/>
    <cellStyle name="Comma [0] 10 5 24" xfId="8627"/>
    <cellStyle name="Comma [0] 10 5 25" xfId="8628"/>
    <cellStyle name="Comma [0] 10 5 26" xfId="8629"/>
    <cellStyle name="Comma [0] 10 5 27" xfId="8630"/>
    <cellStyle name="Comma [0] 10 5 28" xfId="8631"/>
    <cellStyle name="Comma [0] 10 5 3" xfId="1579"/>
    <cellStyle name="Comma [0] 10 5 3 10" xfId="8632"/>
    <cellStyle name="Comma [0] 10 5 3 11" xfId="8633"/>
    <cellStyle name="Comma [0] 10 5 3 12" xfId="8634"/>
    <cellStyle name="Comma [0] 10 5 3 13" xfId="8635"/>
    <cellStyle name="Comma [0] 10 5 3 14" xfId="8636"/>
    <cellStyle name="Comma [0] 10 5 3 15" xfId="8637"/>
    <cellStyle name="Comma [0] 10 5 3 16" xfId="8638"/>
    <cellStyle name="Comma [0] 10 5 3 17" xfId="8639"/>
    <cellStyle name="Comma [0] 10 5 3 18" xfId="8640"/>
    <cellStyle name="Comma [0] 10 5 3 19" xfId="8641"/>
    <cellStyle name="Comma [0] 10 5 3 2" xfId="8642"/>
    <cellStyle name="Comma [0] 10 5 3 20" xfId="8643"/>
    <cellStyle name="Comma [0] 10 5 3 21" xfId="8644"/>
    <cellStyle name="Comma [0] 10 5 3 22" xfId="8645"/>
    <cellStyle name="Comma [0] 10 5 3 23" xfId="8646"/>
    <cellStyle name="Comma [0] 10 5 3 3" xfId="8647"/>
    <cellStyle name="Comma [0] 10 5 3 4" xfId="8648"/>
    <cellStyle name="Comma [0] 10 5 3 5" xfId="8649"/>
    <cellStyle name="Comma [0] 10 5 3 6" xfId="8650"/>
    <cellStyle name="Comma [0] 10 5 3 7" xfId="8651"/>
    <cellStyle name="Comma [0] 10 5 3 8" xfId="8652"/>
    <cellStyle name="Comma [0] 10 5 3 9" xfId="8653"/>
    <cellStyle name="Comma [0] 10 5 4" xfId="1580"/>
    <cellStyle name="Comma [0] 10 5 4 10" xfId="8654"/>
    <cellStyle name="Comma [0] 10 5 4 11" xfId="8655"/>
    <cellStyle name="Comma [0] 10 5 4 12" xfId="8656"/>
    <cellStyle name="Comma [0] 10 5 4 13" xfId="8657"/>
    <cellStyle name="Comma [0] 10 5 4 14" xfId="8658"/>
    <cellStyle name="Comma [0] 10 5 4 15" xfId="8659"/>
    <cellStyle name="Comma [0] 10 5 4 16" xfId="8660"/>
    <cellStyle name="Comma [0] 10 5 4 17" xfId="8661"/>
    <cellStyle name="Comma [0] 10 5 4 18" xfId="8662"/>
    <cellStyle name="Comma [0] 10 5 4 19" xfId="8663"/>
    <cellStyle name="Comma [0] 10 5 4 2" xfId="8664"/>
    <cellStyle name="Comma [0] 10 5 4 20" xfId="8665"/>
    <cellStyle name="Comma [0] 10 5 4 21" xfId="8666"/>
    <cellStyle name="Comma [0] 10 5 4 22" xfId="8667"/>
    <cellStyle name="Comma [0] 10 5 4 23" xfId="8668"/>
    <cellStyle name="Comma [0] 10 5 4 3" xfId="8669"/>
    <cellStyle name="Comma [0] 10 5 4 4" xfId="8670"/>
    <cellStyle name="Comma [0] 10 5 4 5" xfId="8671"/>
    <cellStyle name="Comma [0] 10 5 4 6" xfId="8672"/>
    <cellStyle name="Comma [0] 10 5 4 7" xfId="8673"/>
    <cellStyle name="Comma [0] 10 5 4 8" xfId="8674"/>
    <cellStyle name="Comma [0] 10 5 4 9" xfId="8675"/>
    <cellStyle name="Comma [0] 10 5 5" xfId="1581"/>
    <cellStyle name="Comma [0] 10 5 5 10" xfId="8676"/>
    <cellStyle name="Comma [0] 10 5 5 11" xfId="8677"/>
    <cellStyle name="Comma [0] 10 5 5 12" xfId="8678"/>
    <cellStyle name="Comma [0] 10 5 5 13" xfId="8679"/>
    <cellStyle name="Comma [0] 10 5 5 14" xfId="8680"/>
    <cellStyle name="Comma [0] 10 5 5 15" xfId="8681"/>
    <cellStyle name="Comma [0] 10 5 5 16" xfId="8682"/>
    <cellStyle name="Comma [0] 10 5 5 17" xfId="8683"/>
    <cellStyle name="Comma [0] 10 5 5 18" xfId="8684"/>
    <cellStyle name="Comma [0] 10 5 5 19" xfId="8685"/>
    <cellStyle name="Comma [0] 10 5 5 2" xfId="8686"/>
    <cellStyle name="Comma [0] 10 5 5 20" xfId="8687"/>
    <cellStyle name="Comma [0] 10 5 5 21" xfId="8688"/>
    <cellStyle name="Comma [0] 10 5 5 22" xfId="8689"/>
    <cellStyle name="Comma [0] 10 5 5 23" xfId="8690"/>
    <cellStyle name="Comma [0] 10 5 5 3" xfId="8691"/>
    <cellStyle name="Comma [0] 10 5 5 4" xfId="8692"/>
    <cellStyle name="Comma [0] 10 5 5 5" xfId="8693"/>
    <cellStyle name="Comma [0] 10 5 5 6" xfId="8694"/>
    <cellStyle name="Comma [0] 10 5 5 7" xfId="8695"/>
    <cellStyle name="Comma [0] 10 5 5 8" xfId="8696"/>
    <cellStyle name="Comma [0] 10 5 5 9" xfId="8697"/>
    <cellStyle name="Comma [0] 10 5 6" xfId="1582"/>
    <cellStyle name="Comma [0] 10 5 6 10" xfId="8698"/>
    <cellStyle name="Comma [0] 10 5 6 11" xfId="8699"/>
    <cellStyle name="Comma [0] 10 5 6 12" xfId="8700"/>
    <cellStyle name="Comma [0] 10 5 6 13" xfId="8701"/>
    <cellStyle name="Comma [0] 10 5 6 14" xfId="8702"/>
    <cellStyle name="Comma [0] 10 5 6 15" xfId="8703"/>
    <cellStyle name="Comma [0] 10 5 6 16" xfId="8704"/>
    <cellStyle name="Comma [0] 10 5 6 17" xfId="8705"/>
    <cellStyle name="Comma [0] 10 5 6 18" xfId="8706"/>
    <cellStyle name="Comma [0] 10 5 6 19" xfId="8707"/>
    <cellStyle name="Comma [0] 10 5 6 2" xfId="8708"/>
    <cellStyle name="Comma [0] 10 5 6 2 2" xfId="8709"/>
    <cellStyle name="Comma [0] 10 5 6 20" xfId="8710"/>
    <cellStyle name="Comma [0] 10 5 6 21" xfId="8711"/>
    <cellStyle name="Comma [0] 10 5 6 22" xfId="8712"/>
    <cellStyle name="Comma [0] 10 5 6 23" xfId="8713"/>
    <cellStyle name="Comma [0] 10 5 6 24" xfId="8714"/>
    <cellStyle name="Comma [0] 10 5 6 25" xfId="8715"/>
    <cellStyle name="Comma [0] 10 5 6 3" xfId="8716"/>
    <cellStyle name="Comma [0] 10 5 6 4" xfId="8717"/>
    <cellStyle name="Comma [0] 10 5 6 5" xfId="8718"/>
    <cellStyle name="Comma [0] 10 5 6 6" xfId="8719"/>
    <cellStyle name="Comma [0] 10 5 6 7" xfId="8720"/>
    <cellStyle name="Comma [0] 10 5 6 8" xfId="8721"/>
    <cellStyle name="Comma [0] 10 5 6 9" xfId="8722"/>
    <cellStyle name="Comma [0] 10 5 7" xfId="1583"/>
    <cellStyle name="Comma [0] 10 5 7 10" xfId="8723"/>
    <cellStyle name="Comma [0] 10 5 7 11" xfId="8724"/>
    <cellStyle name="Comma [0] 10 5 7 12" xfId="8725"/>
    <cellStyle name="Comma [0] 10 5 7 13" xfId="8726"/>
    <cellStyle name="Comma [0] 10 5 7 14" xfId="8727"/>
    <cellStyle name="Comma [0] 10 5 7 15" xfId="8728"/>
    <cellStyle name="Comma [0] 10 5 7 16" xfId="8729"/>
    <cellStyle name="Comma [0] 10 5 7 17" xfId="8730"/>
    <cellStyle name="Comma [0] 10 5 7 18" xfId="8731"/>
    <cellStyle name="Comma [0] 10 5 7 19" xfId="8732"/>
    <cellStyle name="Comma [0] 10 5 7 2" xfId="8733"/>
    <cellStyle name="Comma [0] 10 5 7 20" xfId="8734"/>
    <cellStyle name="Comma [0] 10 5 7 21" xfId="8735"/>
    <cellStyle name="Comma [0] 10 5 7 22" xfId="8736"/>
    <cellStyle name="Comma [0] 10 5 7 23" xfId="8737"/>
    <cellStyle name="Comma [0] 10 5 7 3" xfId="8738"/>
    <cellStyle name="Comma [0] 10 5 7 4" xfId="8739"/>
    <cellStyle name="Comma [0] 10 5 7 5" xfId="8740"/>
    <cellStyle name="Comma [0] 10 5 7 6" xfId="8741"/>
    <cellStyle name="Comma [0] 10 5 7 7" xfId="8742"/>
    <cellStyle name="Comma [0] 10 5 7 8" xfId="8743"/>
    <cellStyle name="Comma [0] 10 5 7 9" xfId="8744"/>
    <cellStyle name="Comma [0] 10 5 8" xfId="8745"/>
    <cellStyle name="Comma [0] 10 5 9" xfId="8746"/>
    <cellStyle name="Comma [0] 10 6" xfId="1584"/>
    <cellStyle name="Comma [0] 10 6 10" xfId="8747"/>
    <cellStyle name="Comma [0] 10 6 11" xfId="8748"/>
    <cellStyle name="Comma [0] 10 6 12" xfId="8749"/>
    <cellStyle name="Comma [0] 10 6 13" xfId="8750"/>
    <cellStyle name="Comma [0] 10 6 14" xfId="8751"/>
    <cellStyle name="Comma [0] 10 6 15" xfId="8752"/>
    <cellStyle name="Comma [0] 10 6 16" xfId="8753"/>
    <cellStyle name="Comma [0] 10 6 17" xfId="8754"/>
    <cellStyle name="Comma [0] 10 6 18" xfId="8755"/>
    <cellStyle name="Comma [0] 10 6 19" xfId="8756"/>
    <cellStyle name="Comma [0] 10 6 2" xfId="1585"/>
    <cellStyle name="Comma [0] 10 6 2 10" xfId="8757"/>
    <cellStyle name="Comma [0] 10 6 2 11" xfId="8758"/>
    <cellStyle name="Comma [0] 10 6 2 12" xfId="8759"/>
    <cellStyle name="Comma [0] 10 6 2 13" xfId="8760"/>
    <cellStyle name="Comma [0] 10 6 2 14" xfId="8761"/>
    <cellStyle name="Comma [0] 10 6 2 15" xfId="8762"/>
    <cellStyle name="Comma [0] 10 6 2 16" xfId="8763"/>
    <cellStyle name="Comma [0] 10 6 2 17" xfId="8764"/>
    <cellStyle name="Comma [0] 10 6 2 18" xfId="8765"/>
    <cellStyle name="Comma [0] 10 6 2 19" xfId="8766"/>
    <cellStyle name="Comma [0] 10 6 2 2" xfId="8767"/>
    <cellStyle name="Comma [0] 10 6 2 20" xfId="8768"/>
    <cellStyle name="Comma [0] 10 6 2 21" xfId="8769"/>
    <cellStyle name="Comma [0] 10 6 2 22" xfId="8770"/>
    <cellStyle name="Comma [0] 10 6 2 23" xfId="8771"/>
    <cellStyle name="Comma [0] 10 6 2 3" xfId="8772"/>
    <cellStyle name="Comma [0] 10 6 2 4" xfId="8773"/>
    <cellStyle name="Comma [0] 10 6 2 5" xfId="8774"/>
    <cellStyle name="Comma [0] 10 6 2 6" xfId="8775"/>
    <cellStyle name="Comma [0] 10 6 2 7" xfId="8776"/>
    <cellStyle name="Comma [0] 10 6 2 8" xfId="8777"/>
    <cellStyle name="Comma [0] 10 6 2 9" xfId="8778"/>
    <cellStyle name="Comma [0] 10 6 20" xfId="8779"/>
    <cellStyle name="Comma [0] 10 6 21" xfId="8780"/>
    <cellStyle name="Comma [0] 10 6 22" xfId="8781"/>
    <cellStyle name="Comma [0] 10 6 23" xfId="8782"/>
    <cellStyle name="Comma [0] 10 6 24" xfId="8783"/>
    <cellStyle name="Comma [0] 10 6 25" xfId="8784"/>
    <cellStyle name="Comma [0] 10 6 26" xfId="8785"/>
    <cellStyle name="Comma [0] 10 6 27" xfId="8786"/>
    <cellStyle name="Comma [0] 10 6 28" xfId="8787"/>
    <cellStyle name="Comma [0] 10 6 3" xfId="1586"/>
    <cellStyle name="Comma [0] 10 6 4" xfId="1587"/>
    <cellStyle name="Comma [0] 10 6 5" xfId="1588"/>
    <cellStyle name="Comma [0] 10 6 6" xfId="1589"/>
    <cellStyle name="Comma [0] 10 6 7" xfId="1590"/>
    <cellStyle name="Comma [0] 10 6 8" xfId="8788"/>
    <cellStyle name="Comma [0] 10 6 9" xfId="8789"/>
    <cellStyle name="Comma [0] 10 7" xfId="1591"/>
    <cellStyle name="Comma [0] 10 7 10" xfId="8790"/>
    <cellStyle name="Comma [0] 10 7 2" xfId="1592"/>
    <cellStyle name="Comma [0] 10 7 3" xfId="1593"/>
    <cellStyle name="Comma [0] 10 7 4" xfId="1594"/>
    <cellStyle name="Comma [0] 10 7 5" xfId="1595"/>
    <cellStyle name="Comma [0] 10 7 6" xfId="1596"/>
    <cellStyle name="Comma [0] 10 7 7" xfId="1597"/>
    <cellStyle name="Comma [0] 10 7 8" xfId="8791"/>
    <cellStyle name="Comma [0] 10 7 9" xfId="8792"/>
    <cellStyle name="Comma [0] 10 8" xfId="1598"/>
    <cellStyle name="Comma [0] 10 8 10" xfId="8793"/>
    <cellStyle name="Comma [0] 10 8 2" xfId="1599"/>
    <cellStyle name="Comma [0] 10 8 3" xfId="1600"/>
    <cellStyle name="Comma [0] 10 8 4" xfId="1601"/>
    <cellStyle name="Comma [0] 10 8 5" xfId="1602"/>
    <cellStyle name="Comma [0] 10 8 6" xfId="1603"/>
    <cellStyle name="Comma [0] 10 8 7" xfId="1604"/>
    <cellStyle name="Comma [0] 10 8 8" xfId="8794"/>
    <cellStyle name="Comma [0] 10 8 9" xfId="8795"/>
    <cellStyle name="Comma [0] 10 9" xfId="1605"/>
    <cellStyle name="Comma [0] 100" xfId="1606"/>
    <cellStyle name="Comma [0] 101" xfId="1607"/>
    <cellStyle name="Comma [0] 102" xfId="1608"/>
    <cellStyle name="Comma [0] 103" xfId="1609"/>
    <cellStyle name="Comma [0] 104" xfId="1610"/>
    <cellStyle name="Comma [0] 105" xfId="1611"/>
    <cellStyle name="Comma [0] 106" xfId="1612"/>
    <cellStyle name="Comma [0] 106 2" xfId="1613"/>
    <cellStyle name="Comma [0] 106 3" xfId="1614"/>
    <cellStyle name="Comma [0] 106 4" xfId="1615"/>
    <cellStyle name="Comma [0] 106 5" xfId="1616"/>
    <cellStyle name="Comma [0] 106 6" xfId="1617"/>
    <cellStyle name="Comma [0] 106 7" xfId="1618"/>
    <cellStyle name="Comma [0] 106 8" xfId="1619"/>
    <cellStyle name="Comma [0] 107" xfId="1620"/>
    <cellStyle name="Comma [0] 108" xfId="1621"/>
    <cellStyle name="Comma [0] 109" xfId="1622"/>
    <cellStyle name="Comma [0] 11" xfId="1623"/>
    <cellStyle name="Comma [0] 11 10" xfId="8796"/>
    <cellStyle name="Comma [0] 11 11" xfId="8797"/>
    <cellStyle name="Comma [0] 11 12" xfId="8798"/>
    <cellStyle name="Comma [0] 11 13" xfId="8799"/>
    <cellStyle name="Comma [0] 11 14" xfId="8800"/>
    <cellStyle name="Comma [0] 11 15" xfId="8801"/>
    <cellStyle name="Comma [0] 11 16" xfId="8802"/>
    <cellStyle name="Comma [0] 11 17" xfId="8803"/>
    <cellStyle name="Comma [0] 11 18" xfId="8804"/>
    <cellStyle name="Comma [0] 11 19" xfId="8805"/>
    <cellStyle name="Comma [0] 11 2" xfId="1624"/>
    <cellStyle name="Comma [0] 11 2 2" xfId="1625"/>
    <cellStyle name="Comma [0] 11 2 2 2" xfId="8806"/>
    <cellStyle name="Comma [0] 11 2 2 3" xfId="8807"/>
    <cellStyle name="Comma [0] 11 2 2 4" xfId="8808"/>
    <cellStyle name="Comma [0] 11 2 3" xfId="1626"/>
    <cellStyle name="Comma [0] 11 20" xfId="8809"/>
    <cellStyle name="Comma [0] 11 21" xfId="8810"/>
    <cellStyle name="Comma [0] 11 22" xfId="8811"/>
    <cellStyle name="Comma [0] 11 23" xfId="8812"/>
    <cellStyle name="Comma [0] 11 24" xfId="8813"/>
    <cellStyle name="Comma [0] 11 25" xfId="8814"/>
    <cellStyle name="Comma [0] 11 26" xfId="8815"/>
    <cellStyle name="Comma [0] 11 27" xfId="8816"/>
    <cellStyle name="Comma [0] 11 3" xfId="1627"/>
    <cellStyle name="Comma [0] 11 3 10" xfId="8817"/>
    <cellStyle name="Comma [0] 11 3 11" xfId="8818"/>
    <cellStyle name="Comma [0] 11 3 12" xfId="8819"/>
    <cellStyle name="Comma [0] 11 3 13" xfId="8820"/>
    <cellStyle name="Comma [0] 11 3 14" xfId="8821"/>
    <cellStyle name="Comma [0] 11 3 15" xfId="8822"/>
    <cellStyle name="Comma [0] 11 3 16" xfId="8823"/>
    <cellStyle name="Comma [0] 11 3 17" xfId="8824"/>
    <cellStyle name="Comma [0] 11 3 18" xfId="8825"/>
    <cellStyle name="Comma [0] 11 3 19" xfId="8826"/>
    <cellStyle name="Comma [0] 11 3 2" xfId="1628"/>
    <cellStyle name="Comma [0] 11 3 20" xfId="8827"/>
    <cellStyle name="Comma [0] 11 3 21" xfId="8828"/>
    <cellStyle name="Comma [0] 11 3 22" xfId="8829"/>
    <cellStyle name="Comma [0] 11 3 23" xfId="8830"/>
    <cellStyle name="Comma [0] 11 3 24" xfId="8831"/>
    <cellStyle name="Comma [0] 11 3 3" xfId="8832"/>
    <cellStyle name="Comma [0] 11 3 4" xfId="8833"/>
    <cellStyle name="Comma [0] 11 3 5" xfId="8834"/>
    <cellStyle name="Comma [0] 11 3 6" xfId="8835"/>
    <cellStyle name="Comma [0] 11 3 7" xfId="8836"/>
    <cellStyle name="Comma [0] 11 3 8" xfId="8837"/>
    <cellStyle name="Comma [0] 11 3 9" xfId="8838"/>
    <cellStyle name="Comma [0] 11 4" xfId="1629"/>
    <cellStyle name="Comma [0] 11 5" xfId="1630"/>
    <cellStyle name="Comma [0] 11 5 10" xfId="8839"/>
    <cellStyle name="Comma [0] 11 5 11" xfId="8840"/>
    <cellStyle name="Comma [0] 11 5 12" xfId="8841"/>
    <cellStyle name="Comma [0] 11 5 13" xfId="8842"/>
    <cellStyle name="Comma [0] 11 5 14" xfId="8843"/>
    <cellStyle name="Comma [0] 11 5 15" xfId="8844"/>
    <cellStyle name="Comma [0] 11 5 16" xfId="8845"/>
    <cellStyle name="Comma [0] 11 5 17" xfId="8846"/>
    <cellStyle name="Comma [0] 11 5 18" xfId="8847"/>
    <cellStyle name="Comma [0] 11 5 19" xfId="8848"/>
    <cellStyle name="Comma [0] 11 5 2" xfId="1631"/>
    <cellStyle name="Comma [0] 11 5 2 10" xfId="8849"/>
    <cellStyle name="Comma [0] 11 5 2 11" xfId="8850"/>
    <cellStyle name="Comma [0] 11 5 2 12" xfId="8851"/>
    <cellStyle name="Comma [0] 11 5 2 13" xfId="8852"/>
    <cellStyle name="Comma [0] 11 5 2 14" xfId="8853"/>
    <cellStyle name="Comma [0] 11 5 2 15" xfId="8854"/>
    <cellStyle name="Comma [0] 11 5 2 16" xfId="8855"/>
    <cellStyle name="Comma [0] 11 5 2 17" xfId="8856"/>
    <cellStyle name="Comma [0] 11 5 2 18" xfId="8857"/>
    <cellStyle name="Comma [0] 11 5 2 19" xfId="8858"/>
    <cellStyle name="Comma [0] 11 5 2 2" xfId="8859"/>
    <cellStyle name="Comma [0] 11 5 2 20" xfId="8860"/>
    <cellStyle name="Comma [0] 11 5 2 21" xfId="8861"/>
    <cellStyle name="Comma [0] 11 5 2 22" xfId="8862"/>
    <cellStyle name="Comma [0] 11 5 2 23" xfId="8863"/>
    <cellStyle name="Comma [0] 11 5 2 3" xfId="8864"/>
    <cellStyle name="Comma [0] 11 5 2 4" xfId="8865"/>
    <cellStyle name="Comma [0] 11 5 2 5" xfId="8866"/>
    <cellStyle name="Comma [0] 11 5 2 6" xfId="8867"/>
    <cellStyle name="Comma [0] 11 5 2 7" xfId="8868"/>
    <cellStyle name="Comma [0] 11 5 2 8" xfId="8869"/>
    <cellStyle name="Comma [0] 11 5 2 9" xfId="8870"/>
    <cellStyle name="Comma [0] 11 5 20" xfId="8871"/>
    <cellStyle name="Comma [0] 11 5 21" xfId="8872"/>
    <cellStyle name="Comma [0] 11 5 22" xfId="8873"/>
    <cellStyle name="Comma [0] 11 5 23" xfId="8874"/>
    <cellStyle name="Comma [0] 11 5 24" xfId="8875"/>
    <cellStyle name="Comma [0] 11 5 3" xfId="8876"/>
    <cellStyle name="Comma [0] 11 5 4" xfId="8877"/>
    <cellStyle name="Comma [0] 11 5 5" xfId="8878"/>
    <cellStyle name="Comma [0] 11 5 6" xfId="8879"/>
    <cellStyle name="Comma [0] 11 5 7" xfId="8880"/>
    <cellStyle name="Comma [0] 11 5 8" xfId="8881"/>
    <cellStyle name="Comma [0] 11 5 9" xfId="8882"/>
    <cellStyle name="Comma [0] 11 6" xfId="8883"/>
    <cellStyle name="Comma [0] 11 7" xfId="8884"/>
    <cellStyle name="Comma [0] 11 8" xfId="8885"/>
    <cellStyle name="Comma [0] 11 9" xfId="8886"/>
    <cellStyle name="Comma [0] 110" xfId="1632"/>
    <cellStyle name="Comma [0] 111" xfId="1633"/>
    <cellStyle name="Comma [0] 112" xfId="1634"/>
    <cellStyle name="Comma [0] 113" xfId="1635"/>
    <cellStyle name="Comma [0] 114" xfId="1636"/>
    <cellStyle name="Comma [0] 115" xfId="1637"/>
    <cellStyle name="Comma [0] 116" xfId="1638"/>
    <cellStyle name="Comma [0] 117" xfId="1639"/>
    <cellStyle name="Comma [0] 118" xfId="1640"/>
    <cellStyle name="Comma [0] 119" xfId="1641"/>
    <cellStyle name="Comma [0] 12" xfId="1642"/>
    <cellStyle name="Comma [0] 12 10" xfId="8887"/>
    <cellStyle name="Comma [0] 12 11" xfId="8888"/>
    <cellStyle name="Comma [0] 12 12" xfId="8889"/>
    <cellStyle name="Comma [0] 12 13" xfId="8890"/>
    <cellStyle name="Comma [0] 12 14" xfId="8891"/>
    <cellStyle name="Comma [0] 12 15" xfId="8892"/>
    <cellStyle name="Comma [0] 12 16" xfId="8893"/>
    <cellStyle name="Comma [0] 12 17" xfId="8894"/>
    <cellStyle name="Comma [0] 12 18" xfId="8895"/>
    <cellStyle name="Comma [0] 12 19" xfId="8896"/>
    <cellStyle name="Comma [0] 12 2" xfId="1643"/>
    <cellStyle name="Comma [0] 12 2 10" xfId="8897"/>
    <cellStyle name="Comma [0] 12 2 11" xfId="8898"/>
    <cellStyle name="Comma [0] 12 2 12" xfId="8899"/>
    <cellStyle name="Comma [0] 12 2 13" xfId="8900"/>
    <cellStyle name="Comma [0] 12 2 14" xfId="8901"/>
    <cellStyle name="Comma [0] 12 2 15" xfId="8902"/>
    <cellStyle name="Comma [0] 12 2 16" xfId="8903"/>
    <cellStyle name="Comma [0] 12 2 17" xfId="8904"/>
    <cellStyle name="Comma [0] 12 2 18" xfId="8905"/>
    <cellStyle name="Comma [0] 12 2 19" xfId="8906"/>
    <cellStyle name="Comma [0] 12 2 2" xfId="1644"/>
    <cellStyle name="Comma [0] 12 2 20" xfId="8907"/>
    <cellStyle name="Comma [0] 12 2 21" xfId="8908"/>
    <cellStyle name="Comma [0] 12 2 22" xfId="8909"/>
    <cellStyle name="Comma [0] 12 2 23" xfId="8910"/>
    <cellStyle name="Comma [0] 12 2 24" xfId="8911"/>
    <cellStyle name="Comma [0] 12 2 25" xfId="8912"/>
    <cellStyle name="Comma [0] 12 2 3" xfId="1645"/>
    <cellStyle name="Comma [0] 12 2 3 2" xfId="1646"/>
    <cellStyle name="Comma [0] 12 2 3 3" xfId="1647"/>
    <cellStyle name="Comma [0] 12 2 4" xfId="8913"/>
    <cellStyle name="Comma [0] 12 2 5" xfId="8914"/>
    <cellStyle name="Comma [0] 12 2 6" xfId="8915"/>
    <cellStyle name="Comma [0] 12 2 7" xfId="8916"/>
    <cellStyle name="Comma [0] 12 2 8" xfId="8917"/>
    <cellStyle name="Comma [0] 12 2 9" xfId="8918"/>
    <cellStyle name="Comma [0] 12 20" xfId="8919"/>
    <cellStyle name="Comma [0] 12 21" xfId="8920"/>
    <cellStyle name="Comma [0] 12 22" xfId="8921"/>
    <cellStyle name="Comma [0] 12 23" xfId="8922"/>
    <cellStyle name="Comma [0] 12 24" xfId="8923"/>
    <cellStyle name="Comma [0] 12 25" xfId="8924"/>
    <cellStyle name="Comma [0] 12 26" xfId="8925"/>
    <cellStyle name="Comma [0] 12 3" xfId="1648"/>
    <cellStyle name="Comma [0] 12 3 10" xfId="8926"/>
    <cellStyle name="Comma [0] 12 3 11" xfId="8927"/>
    <cellStyle name="Comma [0] 12 3 12" xfId="8928"/>
    <cellStyle name="Comma [0] 12 3 13" xfId="8929"/>
    <cellStyle name="Comma [0] 12 3 14" xfId="8930"/>
    <cellStyle name="Comma [0] 12 3 15" xfId="8931"/>
    <cellStyle name="Comma [0] 12 3 16" xfId="8932"/>
    <cellStyle name="Comma [0] 12 3 17" xfId="8933"/>
    <cellStyle name="Comma [0] 12 3 18" xfId="8934"/>
    <cellStyle name="Comma [0] 12 3 19" xfId="8935"/>
    <cellStyle name="Comma [0] 12 3 2" xfId="1649"/>
    <cellStyle name="Comma [0] 12 3 2 10" xfId="8936"/>
    <cellStyle name="Comma [0] 12 3 2 11" xfId="8937"/>
    <cellStyle name="Comma [0] 12 3 2 12" xfId="8938"/>
    <cellStyle name="Comma [0] 12 3 2 13" xfId="8939"/>
    <cellStyle name="Comma [0] 12 3 2 14" xfId="8940"/>
    <cellStyle name="Comma [0] 12 3 2 15" xfId="8941"/>
    <cellStyle name="Comma [0] 12 3 2 16" xfId="8942"/>
    <cellStyle name="Comma [0] 12 3 2 17" xfId="8943"/>
    <cellStyle name="Comma [0] 12 3 2 18" xfId="8944"/>
    <cellStyle name="Comma [0] 12 3 2 19" xfId="8945"/>
    <cellStyle name="Comma [0] 12 3 2 2" xfId="8946"/>
    <cellStyle name="Comma [0] 12 3 2 20" xfId="8947"/>
    <cellStyle name="Comma [0] 12 3 2 21" xfId="8948"/>
    <cellStyle name="Comma [0] 12 3 2 22" xfId="8949"/>
    <cellStyle name="Comma [0] 12 3 2 23" xfId="8950"/>
    <cellStyle name="Comma [0] 12 3 2 3" xfId="8951"/>
    <cellStyle name="Comma [0] 12 3 2 4" xfId="8952"/>
    <cellStyle name="Comma [0] 12 3 2 5" xfId="8953"/>
    <cellStyle name="Comma [0] 12 3 2 6" xfId="8954"/>
    <cellStyle name="Comma [0] 12 3 2 7" xfId="8955"/>
    <cellStyle name="Comma [0] 12 3 2 8" xfId="8956"/>
    <cellStyle name="Comma [0] 12 3 2 9" xfId="8957"/>
    <cellStyle name="Comma [0] 12 3 20" xfId="8958"/>
    <cellStyle name="Comma [0] 12 3 21" xfId="8959"/>
    <cellStyle name="Comma [0] 12 3 22" xfId="8960"/>
    <cellStyle name="Comma [0] 12 3 23" xfId="8961"/>
    <cellStyle name="Comma [0] 12 3 24" xfId="8962"/>
    <cellStyle name="Comma [0] 12 3 3" xfId="8963"/>
    <cellStyle name="Comma [0] 12 3 4" xfId="8964"/>
    <cellStyle name="Comma [0] 12 3 5" xfId="8965"/>
    <cellStyle name="Comma [0] 12 3 6" xfId="8966"/>
    <cellStyle name="Comma [0] 12 3 7" xfId="8967"/>
    <cellStyle name="Comma [0] 12 3 8" xfId="8968"/>
    <cellStyle name="Comma [0] 12 3 9" xfId="8969"/>
    <cellStyle name="Comma [0] 12 4" xfId="1650"/>
    <cellStyle name="Comma [0] 12 5" xfId="1651"/>
    <cellStyle name="Comma [0] 12 5 2" xfId="8970"/>
    <cellStyle name="Comma [0] 12 5 3" xfId="8971"/>
    <cellStyle name="Comma [0] 12 5 4" xfId="8972"/>
    <cellStyle name="Comma [0] 12 6" xfId="8973"/>
    <cellStyle name="Comma [0] 12 7" xfId="8974"/>
    <cellStyle name="Comma [0] 12 8" xfId="8975"/>
    <cellStyle name="Comma [0] 12 9" xfId="8976"/>
    <cellStyle name="Comma [0] 120" xfId="1652"/>
    <cellStyle name="Comma [0] 121" xfId="1653"/>
    <cellStyle name="Comma [0] 122" xfId="1654"/>
    <cellStyle name="Comma [0] 123" xfId="1655"/>
    <cellStyle name="Comma [0] 124" xfId="1656"/>
    <cellStyle name="Comma [0] 124 2" xfId="1657"/>
    <cellStyle name="Comma [0] 125" xfId="1658"/>
    <cellStyle name="Comma [0] 126" xfId="1659"/>
    <cellStyle name="Comma [0] 127" xfId="1660"/>
    <cellStyle name="Comma [0] 128" xfId="1661"/>
    <cellStyle name="Comma [0] 129" xfId="1662"/>
    <cellStyle name="Comma [0] 13" xfId="1663"/>
    <cellStyle name="Comma [0] 13 10" xfId="8977"/>
    <cellStyle name="Comma [0] 13 11" xfId="8978"/>
    <cellStyle name="Comma [0] 13 12" xfId="8979"/>
    <cellStyle name="Comma [0] 13 13" xfId="8980"/>
    <cellStyle name="Comma [0] 13 14" xfId="8981"/>
    <cellStyle name="Comma [0] 13 15" xfId="8982"/>
    <cellStyle name="Comma [0] 13 16" xfId="8983"/>
    <cellStyle name="Comma [0] 13 17" xfId="8984"/>
    <cellStyle name="Comma [0] 13 18" xfId="8985"/>
    <cellStyle name="Comma [0] 13 19" xfId="8986"/>
    <cellStyle name="Comma [0] 13 2" xfId="1664"/>
    <cellStyle name="Comma [0] 13 2 10" xfId="8987"/>
    <cellStyle name="Comma [0] 13 2 11" xfId="8988"/>
    <cellStyle name="Comma [0] 13 2 12" xfId="8989"/>
    <cellStyle name="Comma [0] 13 2 13" xfId="8990"/>
    <cellStyle name="Comma [0] 13 2 14" xfId="8991"/>
    <cellStyle name="Comma [0] 13 2 15" xfId="8992"/>
    <cellStyle name="Comma [0] 13 2 16" xfId="8993"/>
    <cellStyle name="Comma [0] 13 2 17" xfId="8994"/>
    <cellStyle name="Comma [0] 13 2 18" xfId="8995"/>
    <cellStyle name="Comma [0] 13 2 19" xfId="8996"/>
    <cellStyle name="Comma [0] 13 2 2" xfId="1665"/>
    <cellStyle name="Comma [0] 13 2 2 10" xfId="8997"/>
    <cellStyle name="Comma [0] 13 2 2 11" xfId="8998"/>
    <cellStyle name="Comma [0] 13 2 2 12" xfId="8999"/>
    <cellStyle name="Comma [0] 13 2 2 13" xfId="9000"/>
    <cellStyle name="Comma [0] 13 2 2 14" xfId="9001"/>
    <cellStyle name="Comma [0] 13 2 2 15" xfId="9002"/>
    <cellStyle name="Comma [0] 13 2 2 16" xfId="9003"/>
    <cellStyle name="Comma [0] 13 2 2 17" xfId="9004"/>
    <cellStyle name="Comma [0] 13 2 2 18" xfId="9005"/>
    <cellStyle name="Comma [0] 13 2 2 19" xfId="9006"/>
    <cellStyle name="Comma [0] 13 2 2 2" xfId="9007"/>
    <cellStyle name="Comma [0] 13 2 2 20" xfId="9008"/>
    <cellStyle name="Comma [0] 13 2 2 21" xfId="9009"/>
    <cellStyle name="Comma [0] 13 2 2 22" xfId="9010"/>
    <cellStyle name="Comma [0] 13 2 2 23" xfId="9011"/>
    <cellStyle name="Comma [0] 13 2 2 3" xfId="9012"/>
    <cellStyle name="Comma [0] 13 2 2 4" xfId="9013"/>
    <cellStyle name="Comma [0] 13 2 2 5" xfId="9014"/>
    <cellStyle name="Comma [0] 13 2 2 6" xfId="9015"/>
    <cellStyle name="Comma [0] 13 2 2 7" xfId="9016"/>
    <cellStyle name="Comma [0] 13 2 2 8" xfId="9017"/>
    <cellStyle name="Comma [0] 13 2 2 9" xfId="9018"/>
    <cellStyle name="Comma [0] 13 2 20" xfId="9019"/>
    <cellStyle name="Comma [0] 13 2 21" xfId="9020"/>
    <cellStyle name="Comma [0] 13 2 22" xfId="9021"/>
    <cellStyle name="Comma [0] 13 2 23" xfId="9022"/>
    <cellStyle name="Comma [0] 13 2 24" xfId="9023"/>
    <cellStyle name="Comma [0] 13 2 3" xfId="9024"/>
    <cellStyle name="Comma [0] 13 2 4" xfId="9025"/>
    <cellStyle name="Comma [0] 13 2 5" xfId="9026"/>
    <cellStyle name="Comma [0] 13 2 6" xfId="9027"/>
    <cellStyle name="Comma [0] 13 2 7" xfId="9028"/>
    <cellStyle name="Comma [0] 13 2 8" xfId="9029"/>
    <cellStyle name="Comma [0] 13 2 9" xfId="9030"/>
    <cellStyle name="Comma [0] 13 20" xfId="9031"/>
    <cellStyle name="Comma [0] 13 21" xfId="9032"/>
    <cellStyle name="Comma [0] 13 22" xfId="9033"/>
    <cellStyle name="Comma [0] 13 23" xfId="9034"/>
    <cellStyle name="Comma [0] 13 24" xfId="9035"/>
    <cellStyle name="Comma [0] 13 25" xfId="9036"/>
    <cellStyle name="Comma [0] 13 3" xfId="1666"/>
    <cellStyle name="Comma [0] 13 4" xfId="1667"/>
    <cellStyle name="Comma [0] 13 5" xfId="9037"/>
    <cellStyle name="Comma [0] 13 6" xfId="9038"/>
    <cellStyle name="Comma [0] 13 7" xfId="9039"/>
    <cellStyle name="Comma [0] 13 8" xfId="9040"/>
    <cellStyle name="Comma [0] 13 9" xfId="9041"/>
    <cellStyle name="Comma [0] 130" xfId="1668"/>
    <cellStyle name="Comma [0] 130 2" xfId="1669"/>
    <cellStyle name="Comma [0] 131" xfId="1670"/>
    <cellStyle name="Comma [0] 132" xfId="1671"/>
    <cellStyle name="Comma [0] 133" xfId="9042"/>
    <cellStyle name="Comma [0] 134" xfId="28330"/>
    <cellStyle name="Comma [0] 134 2" xfId="30349"/>
    <cellStyle name="Comma [0] 135" xfId="28341"/>
    <cellStyle name="Comma [0] 14" xfId="1672"/>
    <cellStyle name="Comma [0] 14 10" xfId="9043"/>
    <cellStyle name="Comma [0] 14 11" xfId="9044"/>
    <cellStyle name="Comma [0] 14 12" xfId="9045"/>
    <cellStyle name="Comma [0] 14 13" xfId="9046"/>
    <cellStyle name="Comma [0] 14 14" xfId="9047"/>
    <cellStyle name="Comma [0] 14 15" xfId="9048"/>
    <cellStyle name="Comma [0] 14 16" xfId="9049"/>
    <cellStyle name="Comma [0] 14 17" xfId="9050"/>
    <cellStyle name="Comma [0] 14 18" xfId="9051"/>
    <cellStyle name="Comma [0] 14 19" xfId="9052"/>
    <cellStyle name="Comma [0] 14 2" xfId="1673"/>
    <cellStyle name="Comma [0] 14 2 10" xfId="9053"/>
    <cellStyle name="Comma [0] 14 2 11" xfId="9054"/>
    <cellStyle name="Comma [0] 14 2 12" xfId="9055"/>
    <cellStyle name="Comma [0] 14 2 13" xfId="9056"/>
    <cellStyle name="Comma [0] 14 2 14" xfId="9057"/>
    <cellStyle name="Comma [0] 14 2 15" xfId="9058"/>
    <cellStyle name="Comma [0] 14 2 16" xfId="9059"/>
    <cellStyle name="Comma [0] 14 2 17" xfId="9060"/>
    <cellStyle name="Comma [0] 14 2 18" xfId="9061"/>
    <cellStyle name="Comma [0] 14 2 19" xfId="9062"/>
    <cellStyle name="Comma [0] 14 2 2" xfId="9063"/>
    <cellStyle name="Comma [0] 14 2 20" xfId="9064"/>
    <cellStyle name="Comma [0] 14 2 21" xfId="9065"/>
    <cellStyle name="Comma [0] 14 2 22" xfId="9066"/>
    <cellStyle name="Comma [0] 14 2 23" xfId="9067"/>
    <cellStyle name="Comma [0] 14 2 3" xfId="9068"/>
    <cellStyle name="Comma [0] 14 2 4" xfId="9069"/>
    <cellStyle name="Comma [0] 14 2 5" xfId="9070"/>
    <cellStyle name="Comma [0] 14 2 6" xfId="9071"/>
    <cellStyle name="Comma [0] 14 2 7" xfId="9072"/>
    <cellStyle name="Comma [0] 14 2 8" xfId="9073"/>
    <cellStyle name="Comma [0] 14 2 9" xfId="9074"/>
    <cellStyle name="Comma [0] 14 20" xfId="9075"/>
    <cellStyle name="Comma [0] 14 21" xfId="9076"/>
    <cellStyle name="Comma [0] 14 22" xfId="9077"/>
    <cellStyle name="Comma [0] 14 23" xfId="9078"/>
    <cellStyle name="Comma [0] 14 24" xfId="9079"/>
    <cellStyle name="Comma [0] 14 25" xfId="9080"/>
    <cellStyle name="Comma [0] 14 26" xfId="9081"/>
    <cellStyle name="Comma [0] 14 3" xfId="1674"/>
    <cellStyle name="Comma [0] 14 3 10" xfId="9082"/>
    <cellStyle name="Comma [0] 14 3 11" xfId="9083"/>
    <cellStyle name="Comma [0] 14 3 12" xfId="9084"/>
    <cellStyle name="Comma [0] 14 3 13" xfId="9085"/>
    <cellStyle name="Comma [0] 14 3 14" xfId="9086"/>
    <cellStyle name="Comma [0] 14 3 15" xfId="9087"/>
    <cellStyle name="Comma [0] 14 3 16" xfId="9088"/>
    <cellStyle name="Comma [0] 14 3 17" xfId="9089"/>
    <cellStyle name="Comma [0] 14 3 18" xfId="9090"/>
    <cellStyle name="Comma [0] 14 3 19" xfId="9091"/>
    <cellStyle name="Comma [0] 14 3 2" xfId="9092"/>
    <cellStyle name="Comma [0] 14 3 20" xfId="9093"/>
    <cellStyle name="Comma [0] 14 3 21" xfId="9094"/>
    <cellStyle name="Comma [0] 14 3 22" xfId="9095"/>
    <cellStyle name="Comma [0] 14 3 23" xfId="9096"/>
    <cellStyle name="Comma [0] 14 3 3" xfId="9097"/>
    <cellStyle name="Comma [0] 14 3 4" xfId="9098"/>
    <cellStyle name="Comma [0] 14 3 5" xfId="9099"/>
    <cellStyle name="Comma [0] 14 3 6" xfId="9100"/>
    <cellStyle name="Comma [0] 14 3 7" xfId="9101"/>
    <cellStyle name="Comma [0] 14 3 8" xfId="9102"/>
    <cellStyle name="Comma [0] 14 3 9" xfId="9103"/>
    <cellStyle name="Comma [0] 14 4" xfId="1675"/>
    <cellStyle name="Comma [0] 14 4 10" xfId="9104"/>
    <cellStyle name="Comma [0] 14 4 11" xfId="9105"/>
    <cellStyle name="Comma [0] 14 4 12" xfId="9106"/>
    <cellStyle name="Comma [0] 14 4 13" xfId="9107"/>
    <cellStyle name="Comma [0] 14 4 14" xfId="9108"/>
    <cellStyle name="Comma [0] 14 4 15" xfId="9109"/>
    <cellStyle name="Comma [0] 14 4 16" xfId="9110"/>
    <cellStyle name="Comma [0] 14 4 17" xfId="9111"/>
    <cellStyle name="Comma [0] 14 4 18" xfId="9112"/>
    <cellStyle name="Comma [0] 14 4 19" xfId="9113"/>
    <cellStyle name="Comma [0] 14 4 2" xfId="1676"/>
    <cellStyle name="Comma [0] 14 4 2 10" xfId="9114"/>
    <cellStyle name="Comma [0] 14 4 2 11" xfId="9115"/>
    <cellStyle name="Comma [0] 14 4 2 12" xfId="9116"/>
    <cellStyle name="Comma [0] 14 4 2 13" xfId="9117"/>
    <cellStyle name="Comma [0] 14 4 2 14" xfId="9118"/>
    <cellStyle name="Comma [0] 14 4 2 15" xfId="9119"/>
    <cellStyle name="Comma [0] 14 4 2 16" xfId="9120"/>
    <cellStyle name="Comma [0] 14 4 2 17" xfId="9121"/>
    <cellStyle name="Comma [0] 14 4 2 18" xfId="9122"/>
    <cellStyle name="Comma [0] 14 4 2 19" xfId="9123"/>
    <cellStyle name="Comma [0] 14 4 2 2" xfId="9124"/>
    <cellStyle name="Comma [0] 14 4 2 20" xfId="9125"/>
    <cellStyle name="Comma [0] 14 4 2 21" xfId="9126"/>
    <cellStyle name="Comma [0] 14 4 2 22" xfId="9127"/>
    <cellStyle name="Comma [0] 14 4 2 23" xfId="9128"/>
    <cellStyle name="Comma [0] 14 4 2 3" xfId="9129"/>
    <cellStyle name="Comma [0] 14 4 2 4" xfId="9130"/>
    <cellStyle name="Comma [0] 14 4 2 5" xfId="9131"/>
    <cellStyle name="Comma [0] 14 4 2 6" xfId="9132"/>
    <cellStyle name="Comma [0] 14 4 2 7" xfId="9133"/>
    <cellStyle name="Comma [0] 14 4 2 8" xfId="9134"/>
    <cellStyle name="Comma [0] 14 4 2 9" xfId="9135"/>
    <cellStyle name="Comma [0] 14 4 20" xfId="9136"/>
    <cellStyle name="Comma [0] 14 4 21" xfId="9137"/>
    <cellStyle name="Comma [0] 14 4 22" xfId="9138"/>
    <cellStyle name="Comma [0] 14 4 23" xfId="9139"/>
    <cellStyle name="Comma [0] 14 4 24" xfId="9140"/>
    <cellStyle name="Comma [0] 14 4 3" xfId="9141"/>
    <cellStyle name="Comma [0] 14 4 4" xfId="9142"/>
    <cellStyle name="Comma [0] 14 4 5" xfId="9143"/>
    <cellStyle name="Comma [0] 14 4 6" xfId="9144"/>
    <cellStyle name="Comma [0] 14 4 7" xfId="9145"/>
    <cellStyle name="Comma [0] 14 4 8" xfId="9146"/>
    <cellStyle name="Comma [0] 14 4 9" xfId="9147"/>
    <cellStyle name="Comma [0] 14 5" xfId="1677"/>
    <cellStyle name="Comma [0] 14 5 10" xfId="9148"/>
    <cellStyle name="Comma [0] 14 5 11" xfId="9149"/>
    <cellStyle name="Comma [0] 14 5 12" xfId="9150"/>
    <cellStyle name="Comma [0] 14 5 13" xfId="9151"/>
    <cellStyle name="Comma [0] 14 5 14" xfId="9152"/>
    <cellStyle name="Comma [0] 14 5 15" xfId="9153"/>
    <cellStyle name="Comma [0] 14 5 16" xfId="9154"/>
    <cellStyle name="Comma [0] 14 5 17" xfId="9155"/>
    <cellStyle name="Comma [0] 14 5 18" xfId="9156"/>
    <cellStyle name="Comma [0] 14 5 19" xfId="9157"/>
    <cellStyle name="Comma [0] 14 5 2" xfId="9158"/>
    <cellStyle name="Comma [0] 14 5 20" xfId="9159"/>
    <cellStyle name="Comma [0] 14 5 21" xfId="9160"/>
    <cellStyle name="Comma [0] 14 5 22" xfId="9161"/>
    <cellStyle name="Comma [0] 14 5 23" xfId="9162"/>
    <cellStyle name="Comma [0] 14 5 3" xfId="9163"/>
    <cellStyle name="Comma [0] 14 5 4" xfId="9164"/>
    <cellStyle name="Comma [0] 14 5 5" xfId="9165"/>
    <cellStyle name="Comma [0] 14 5 6" xfId="9166"/>
    <cellStyle name="Comma [0] 14 5 7" xfId="9167"/>
    <cellStyle name="Comma [0] 14 5 8" xfId="9168"/>
    <cellStyle name="Comma [0] 14 5 9" xfId="9169"/>
    <cellStyle name="Comma [0] 14 6" xfId="9170"/>
    <cellStyle name="Comma [0] 14 7" xfId="9171"/>
    <cellStyle name="Comma [0] 14 8" xfId="9172"/>
    <cellStyle name="Comma [0] 14 9" xfId="9173"/>
    <cellStyle name="Comma [0] 142" xfId="28923"/>
    <cellStyle name="Comma [0] 15" xfId="1678"/>
    <cellStyle name="Comma [0] 15 10" xfId="9174"/>
    <cellStyle name="Comma [0] 15 11" xfId="9175"/>
    <cellStyle name="Comma [0] 15 12" xfId="9176"/>
    <cellStyle name="Comma [0] 15 13" xfId="9177"/>
    <cellStyle name="Comma [0] 15 14" xfId="9178"/>
    <cellStyle name="Comma [0] 15 15" xfId="9179"/>
    <cellStyle name="Comma [0] 15 16" xfId="9180"/>
    <cellStyle name="Comma [0] 15 17" xfId="9181"/>
    <cellStyle name="Comma [0] 15 18" xfId="9182"/>
    <cellStyle name="Comma [0] 15 19" xfId="9183"/>
    <cellStyle name="Comma [0] 15 2" xfId="1679"/>
    <cellStyle name="Comma [0] 15 2 10" xfId="9184"/>
    <cellStyle name="Comma [0] 15 2 11" xfId="9185"/>
    <cellStyle name="Comma [0] 15 2 12" xfId="9186"/>
    <cellStyle name="Comma [0] 15 2 13" xfId="9187"/>
    <cellStyle name="Comma [0] 15 2 14" xfId="9188"/>
    <cellStyle name="Comma [0] 15 2 15" xfId="9189"/>
    <cellStyle name="Comma [0] 15 2 16" xfId="9190"/>
    <cellStyle name="Comma [0] 15 2 17" xfId="9191"/>
    <cellStyle name="Comma [0] 15 2 18" xfId="9192"/>
    <cellStyle name="Comma [0] 15 2 19" xfId="9193"/>
    <cellStyle name="Comma [0] 15 2 2" xfId="1680"/>
    <cellStyle name="Comma [0] 15 2 2 10" xfId="9194"/>
    <cellStyle name="Comma [0] 15 2 2 11" xfId="9195"/>
    <cellStyle name="Comma [0] 15 2 2 12" xfId="9196"/>
    <cellStyle name="Comma [0] 15 2 2 13" xfId="9197"/>
    <cellStyle name="Comma [0] 15 2 2 14" xfId="9198"/>
    <cellStyle name="Comma [0] 15 2 2 15" xfId="9199"/>
    <cellStyle name="Comma [0] 15 2 2 16" xfId="9200"/>
    <cellStyle name="Comma [0] 15 2 2 17" xfId="9201"/>
    <cellStyle name="Comma [0] 15 2 2 18" xfId="9202"/>
    <cellStyle name="Comma [0] 15 2 2 19" xfId="9203"/>
    <cellStyle name="Comma [0] 15 2 2 2" xfId="9204"/>
    <cellStyle name="Comma [0] 15 2 2 20" xfId="9205"/>
    <cellStyle name="Comma [0] 15 2 2 21" xfId="9206"/>
    <cellStyle name="Comma [0] 15 2 2 22" xfId="9207"/>
    <cellStyle name="Comma [0] 15 2 2 23" xfId="9208"/>
    <cellStyle name="Comma [0] 15 2 2 3" xfId="9209"/>
    <cellStyle name="Comma [0] 15 2 2 4" xfId="9210"/>
    <cellStyle name="Comma [0] 15 2 2 5" xfId="9211"/>
    <cellStyle name="Comma [0] 15 2 2 6" xfId="9212"/>
    <cellStyle name="Comma [0] 15 2 2 7" xfId="9213"/>
    <cellStyle name="Comma [0] 15 2 2 8" xfId="9214"/>
    <cellStyle name="Comma [0] 15 2 2 9" xfId="9215"/>
    <cellStyle name="Comma [0] 15 2 20" xfId="9216"/>
    <cellStyle name="Comma [0] 15 2 21" xfId="9217"/>
    <cellStyle name="Comma [0] 15 2 22" xfId="9218"/>
    <cellStyle name="Comma [0] 15 2 23" xfId="9219"/>
    <cellStyle name="Comma [0] 15 2 24" xfId="9220"/>
    <cellStyle name="Comma [0] 15 2 3" xfId="9221"/>
    <cellStyle name="Comma [0] 15 2 4" xfId="9222"/>
    <cellStyle name="Comma [0] 15 2 5" xfId="9223"/>
    <cellStyle name="Comma [0] 15 2 6" xfId="9224"/>
    <cellStyle name="Comma [0] 15 2 7" xfId="9225"/>
    <cellStyle name="Comma [0] 15 2 8" xfId="9226"/>
    <cellStyle name="Comma [0] 15 2 9" xfId="9227"/>
    <cellStyle name="Comma [0] 15 20" xfId="9228"/>
    <cellStyle name="Comma [0] 15 21" xfId="9229"/>
    <cellStyle name="Comma [0] 15 22" xfId="9230"/>
    <cellStyle name="Comma [0] 15 23" xfId="9231"/>
    <cellStyle name="Comma [0] 15 24" xfId="9232"/>
    <cellStyle name="Comma [0] 15 25" xfId="9233"/>
    <cellStyle name="Comma [0] 15 3" xfId="1681"/>
    <cellStyle name="Comma [0] 15 4" xfId="1682"/>
    <cellStyle name="Comma [0] 15 5" xfId="9234"/>
    <cellStyle name="Comma [0] 15 6" xfId="9235"/>
    <cellStyle name="Comma [0] 15 7" xfId="9236"/>
    <cellStyle name="Comma [0] 15 8" xfId="9237"/>
    <cellStyle name="Comma [0] 15 9" xfId="9238"/>
    <cellStyle name="Comma [0] 16" xfId="1683"/>
    <cellStyle name="Comma [0] 16 10" xfId="1684"/>
    <cellStyle name="Comma [0] 16 11" xfId="1685"/>
    <cellStyle name="Comma [0] 16 11 2" xfId="9239"/>
    <cellStyle name="Comma [0] 16 11 3" xfId="9240"/>
    <cellStyle name="Comma [0] 16 11 4" xfId="9241"/>
    <cellStyle name="Comma [0] 16 12" xfId="9242"/>
    <cellStyle name="Comma [0] 16 13" xfId="9243"/>
    <cellStyle name="Comma [0] 16 14" xfId="9244"/>
    <cellStyle name="Comma [0] 16 15" xfId="9245"/>
    <cellStyle name="Comma [0] 16 16" xfId="9246"/>
    <cellStyle name="Comma [0] 16 17" xfId="9247"/>
    <cellStyle name="Comma [0] 16 18" xfId="9248"/>
    <cellStyle name="Comma [0] 16 19" xfId="9249"/>
    <cellStyle name="Comma [0] 16 2" xfId="1686"/>
    <cellStyle name="Comma [0] 16 2 10" xfId="9250"/>
    <cellStyle name="Comma [0] 16 2 11" xfId="9251"/>
    <cellStyle name="Comma [0] 16 2 12" xfId="9252"/>
    <cellStyle name="Comma [0] 16 2 13" xfId="9253"/>
    <cellStyle name="Comma [0] 16 2 14" xfId="9254"/>
    <cellStyle name="Comma [0] 16 2 15" xfId="9255"/>
    <cellStyle name="Comma [0] 16 2 16" xfId="9256"/>
    <cellStyle name="Comma [0] 16 2 17" xfId="9257"/>
    <cellStyle name="Comma [0] 16 2 18" xfId="9258"/>
    <cellStyle name="Comma [0] 16 2 19" xfId="9259"/>
    <cellStyle name="Comma [0] 16 2 2" xfId="9260"/>
    <cellStyle name="Comma [0] 16 2 20" xfId="9261"/>
    <cellStyle name="Comma [0] 16 2 21" xfId="9262"/>
    <cellStyle name="Comma [0] 16 2 22" xfId="9263"/>
    <cellStyle name="Comma [0] 16 2 23" xfId="9264"/>
    <cellStyle name="Comma [0] 16 2 3" xfId="9265"/>
    <cellStyle name="Comma [0] 16 2 4" xfId="9266"/>
    <cellStyle name="Comma [0] 16 2 5" xfId="9267"/>
    <cellStyle name="Comma [0] 16 2 6" xfId="9268"/>
    <cellStyle name="Comma [0] 16 2 7" xfId="9269"/>
    <cellStyle name="Comma [0] 16 2 8" xfId="9270"/>
    <cellStyle name="Comma [0] 16 2 9" xfId="9271"/>
    <cellStyle name="Comma [0] 16 20" xfId="9272"/>
    <cellStyle name="Comma [0] 16 21" xfId="9273"/>
    <cellStyle name="Comma [0] 16 22" xfId="9274"/>
    <cellStyle name="Comma [0] 16 23" xfId="9275"/>
    <cellStyle name="Comma [0] 16 24" xfId="9276"/>
    <cellStyle name="Comma [0] 16 25" xfId="9277"/>
    <cellStyle name="Comma [0] 16 26" xfId="9278"/>
    <cellStyle name="Comma [0] 16 27" xfId="9279"/>
    <cellStyle name="Comma [0] 16 28" xfId="9280"/>
    <cellStyle name="Comma [0] 16 29" xfId="9281"/>
    <cellStyle name="Comma [0] 16 3" xfId="1687"/>
    <cellStyle name="Comma [0] 16 30" xfId="9282"/>
    <cellStyle name="Comma [0] 16 31" xfId="9283"/>
    <cellStyle name="Comma [0] 16 32" xfId="9284"/>
    <cellStyle name="Comma [0] 16 4" xfId="1688"/>
    <cellStyle name="Comma [0] 16 4 10" xfId="9285"/>
    <cellStyle name="Comma [0] 16 4 11" xfId="9286"/>
    <cellStyle name="Comma [0] 16 4 12" xfId="9287"/>
    <cellStyle name="Comma [0] 16 4 13" xfId="9288"/>
    <cellStyle name="Comma [0] 16 4 14" xfId="9289"/>
    <cellStyle name="Comma [0] 16 4 15" xfId="9290"/>
    <cellStyle name="Comma [0] 16 4 16" xfId="9291"/>
    <cellStyle name="Comma [0] 16 4 17" xfId="9292"/>
    <cellStyle name="Comma [0] 16 4 18" xfId="9293"/>
    <cellStyle name="Comma [0] 16 4 19" xfId="9294"/>
    <cellStyle name="Comma [0] 16 4 2" xfId="9295"/>
    <cellStyle name="Comma [0] 16 4 20" xfId="9296"/>
    <cellStyle name="Comma [0] 16 4 21" xfId="9297"/>
    <cellStyle name="Comma [0] 16 4 22" xfId="9298"/>
    <cellStyle name="Comma [0] 16 4 23" xfId="9299"/>
    <cellStyle name="Comma [0] 16 4 3" xfId="9300"/>
    <cellStyle name="Comma [0] 16 4 4" xfId="9301"/>
    <cellStyle name="Comma [0] 16 4 5" xfId="9302"/>
    <cellStyle name="Comma [0] 16 4 6" xfId="9303"/>
    <cellStyle name="Comma [0] 16 4 7" xfId="9304"/>
    <cellStyle name="Comma [0] 16 4 8" xfId="9305"/>
    <cellStyle name="Comma [0] 16 4 9" xfId="9306"/>
    <cellStyle name="Comma [0] 16 5" xfId="1689"/>
    <cellStyle name="Comma [0] 16 5 10" xfId="9307"/>
    <cellStyle name="Comma [0] 16 5 11" xfId="9308"/>
    <cellStyle name="Comma [0] 16 5 12" xfId="9309"/>
    <cellStyle name="Comma [0] 16 5 13" xfId="9310"/>
    <cellStyle name="Comma [0] 16 5 14" xfId="9311"/>
    <cellStyle name="Comma [0] 16 5 15" xfId="9312"/>
    <cellStyle name="Comma [0] 16 5 16" xfId="9313"/>
    <cellStyle name="Comma [0] 16 5 17" xfId="9314"/>
    <cellStyle name="Comma [0] 16 5 18" xfId="9315"/>
    <cellStyle name="Comma [0] 16 5 19" xfId="9316"/>
    <cellStyle name="Comma [0] 16 5 2" xfId="9317"/>
    <cellStyle name="Comma [0] 16 5 20" xfId="9318"/>
    <cellStyle name="Comma [0] 16 5 21" xfId="9319"/>
    <cellStyle name="Comma [0] 16 5 22" xfId="9320"/>
    <cellStyle name="Comma [0] 16 5 23" xfId="9321"/>
    <cellStyle name="Comma [0] 16 5 3" xfId="9322"/>
    <cellStyle name="Comma [0] 16 5 4" xfId="9323"/>
    <cellStyle name="Comma [0] 16 5 5" xfId="9324"/>
    <cellStyle name="Comma [0] 16 5 6" xfId="9325"/>
    <cellStyle name="Comma [0] 16 5 7" xfId="9326"/>
    <cellStyle name="Comma [0] 16 5 8" xfId="9327"/>
    <cellStyle name="Comma [0] 16 5 9" xfId="9328"/>
    <cellStyle name="Comma [0] 16 6" xfId="1690"/>
    <cellStyle name="Comma [0] 16 7" xfId="1691"/>
    <cellStyle name="Comma [0] 16 8" xfId="1692"/>
    <cellStyle name="Comma [0] 16 9" xfId="1693"/>
    <cellStyle name="Comma [0] 17" xfId="1694"/>
    <cellStyle name="Comma [0] 17 10" xfId="1695"/>
    <cellStyle name="Comma [0] 17 2" xfId="1696"/>
    <cellStyle name="Comma [0] 17 2 10" xfId="9329"/>
    <cellStyle name="Comma [0] 17 2 11" xfId="9330"/>
    <cellStyle name="Comma [0] 17 2 12" xfId="9331"/>
    <cellStyle name="Comma [0] 17 2 13" xfId="9332"/>
    <cellStyle name="Comma [0] 17 2 14" xfId="9333"/>
    <cellStyle name="Comma [0] 17 2 15" xfId="9334"/>
    <cellStyle name="Comma [0] 17 2 16" xfId="9335"/>
    <cellStyle name="Comma [0] 17 2 17" xfId="9336"/>
    <cellStyle name="Comma [0] 17 2 18" xfId="9337"/>
    <cellStyle name="Comma [0] 17 2 19" xfId="9338"/>
    <cellStyle name="Comma [0] 17 2 2" xfId="9339"/>
    <cellStyle name="Comma [0] 17 2 20" xfId="9340"/>
    <cellStyle name="Comma [0] 17 2 21" xfId="9341"/>
    <cellStyle name="Comma [0] 17 2 22" xfId="9342"/>
    <cellStyle name="Comma [0] 17 2 23" xfId="9343"/>
    <cellStyle name="Comma [0] 17 2 24" xfId="9344"/>
    <cellStyle name="Comma [0] 17 2 25" xfId="9345"/>
    <cellStyle name="Comma [0] 17 2 26" xfId="9346"/>
    <cellStyle name="Comma [0] 17 2 27" xfId="9347"/>
    <cellStyle name="Comma [0] 17 2 28" xfId="9348"/>
    <cellStyle name="Comma [0] 17 2 29" xfId="9349"/>
    <cellStyle name="Comma [0] 17 2 3" xfId="9350"/>
    <cellStyle name="Comma [0] 17 2 30" xfId="9351"/>
    <cellStyle name="Comma [0] 17 2 31" xfId="9352"/>
    <cellStyle name="Comma [0] 17 2 32" xfId="9353"/>
    <cellStyle name="Comma [0] 17 2 33" xfId="9354"/>
    <cellStyle name="Comma [0] 17 2 34" xfId="9355"/>
    <cellStyle name="Comma [0] 17 2 4" xfId="9356"/>
    <cellStyle name="Comma [0] 17 2 5" xfId="9357"/>
    <cellStyle name="Comma [0] 17 2 6" xfId="9358"/>
    <cellStyle name="Comma [0] 17 2 7" xfId="9359"/>
    <cellStyle name="Comma [0] 17 2 8" xfId="9360"/>
    <cellStyle name="Comma [0] 17 2 9" xfId="9361"/>
    <cellStyle name="Comma [0] 17 3" xfId="1697"/>
    <cellStyle name="Comma [0] 17 4" xfId="1698"/>
    <cellStyle name="Comma [0] 17 5" xfId="1699"/>
    <cellStyle name="Comma [0] 17 6" xfId="1700"/>
    <cellStyle name="Comma [0] 17 7" xfId="1701"/>
    <cellStyle name="Comma [0] 17 8" xfId="1702"/>
    <cellStyle name="Comma [0] 17 9" xfId="1703"/>
    <cellStyle name="Comma [0] 18" xfId="1704"/>
    <cellStyle name="Comma [0] 18 10" xfId="1705"/>
    <cellStyle name="Comma [0] 18 2" xfId="1706"/>
    <cellStyle name="Comma [0] 18 3" xfId="1707"/>
    <cellStyle name="Comma [0] 18 4" xfId="1708"/>
    <cellStyle name="Comma [0] 18 5" xfId="1709"/>
    <cellStyle name="Comma [0] 18 6" xfId="1710"/>
    <cellStyle name="Comma [0] 18 7" xfId="1711"/>
    <cellStyle name="Comma [0] 18 8" xfId="1712"/>
    <cellStyle name="Comma [0] 18 9" xfId="1713"/>
    <cellStyle name="Comma [0] 19" xfId="1714"/>
    <cellStyle name="Comma [0] 19 10" xfId="1715"/>
    <cellStyle name="Comma [0] 19 2" xfId="1716"/>
    <cellStyle name="Comma [0] 19 3" xfId="1717"/>
    <cellStyle name="Comma [0] 19 4" xfId="1718"/>
    <cellStyle name="Comma [0] 19 5" xfId="1719"/>
    <cellStyle name="Comma [0] 19 6" xfId="1720"/>
    <cellStyle name="Comma [0] 19 7" xfId="1721"/>
    <cellStyle name="Comma [0] 19 8" xfId="1722"/>
    <cellStyle name="Comma [0] 19 9" xfId="1723"/>
    <cellStyle name="Comma [0] 2" xfId="6"/>
    <cellStyle name="Comma [0] 2 10" xfId="1724"/>
    <cellStyle name="Comma [0] 2 10 10" xfId="9362"/>
    <cellStyle name="Comma [0] 2 10 11" xfId="9363"/>
    <cellStyle name="Comma [0] 2 10 12" xfId="9364"/>
    <cellStyle name="Comma [0] 2 10 13" xfId="9365"/>
    <cellStyle name="Comma [0] 2 10 14" xfId="9366"/>
    <cellStyle name="Comma [0] 2 10 15" xfId="9367"/>
    <cellStyle name="Comma [0] 2 10 16" xfId="9368"/>
    <cellStyle name="Comma [0] 2 10 17" xfId="9369"/>
    <cellStyle name="Comma [0] 2 10 18" xfId="9370"/>
    <cellStyle name="Comma [0] 2 10 19" xfId="9371"/>
    <cellStyle name="Comma [0] 2 10 2" xfId="1725"/>
    <cellStyle name="Comma [0] 2 10 20" xfId="9372"/>
    <cellStyle name="Comma [0] 2 10 21" xfId="9373"/>
    <cellStyle name="Comma [0] 2 10 22" xfId="9374"/>
    <cellStyle name="Comma [0] 2 10 23" xfId="9375"/>
    <cellStyle name="Comma [0] 2 10 24" xfId="9376"/>
    <cellStyle name="Comma [0] 2 10 3" xfId="1726"/>
    <cellStyle name="Comma [0] 2 10 4" xfId="9377"/>
    <cellStyle name="Comma [0] 2 10 5" xfId="9378"/>
    <cellStyle name="Comma [0] 2 10 6" xfId="9379"/>
    <cellStyle name="Comma [0] 2 10 7" xfId="9380"/>
    <cellStyle name="Comma [0] 2 10 8" xfId="9381"/>
    <cellStyle name="Comma [0] 2 10 9" xfId="9382"/>
    <cellStyle name="Comma [0] 2 11" xfId="1727"/>
    <cellStyle name="Comma [0] 2 11 10" xfId="9383"/>
    <cellStyle name="Comma [0] 2 11 11" xfId="9384"/>
    <cellStyle name="Comma [0] 2 11 12" xfId="9385"/>
    <cellStyle name="Comma [0] 2 11 13" xfId="9386"/>
    <cellStyle name="Comma [0] 2 11 14" xfId="9387"/>
    <cellStyle name="Comma [0] 2 11 15" xfId="9388"/>
    <cellStyle name="Comma [0] 2 11 16" xfId="9389"/>
    <cellStyle name="Comma [0] 2 11 17" xfId="9390"/>
    <cellStyle name="Comma [0] 2 11 18" xfId="9391"/>
    <cellStyle name="Comma [0] 2 11 19" xfId="9392"/>
    <cellStyle name="Comma [0] 2 11 2" xfId="1728"/>
    <cellStyle name="Comma [0] 2 11 2 10" xfId="9393"/>
    <cellStyle name="Comma [0] 2 11 2 11" xfId="9394"/>
    <cellStyle name="Comma [0] 2 11 2 12" xfId="9395"/>
    <cellStyle name="Comma [0] 2 11 2 13" xfId="9396"/>
    <cellStyle name="Comma [0] 2 11 2 14" xfId="9397"/>
    <cellStyle name="Comma [0] 2 11 2 15" xfId="9398"/>
    <cellStyle name="Comma [0] 2 11 2 16" xfId="9399"/>
    <cellStyle name="Comma [0] 2 11 2 17" xfId="9400"/>
    <cellStyle name="Comma [0] 2 11 2 18" xfId="9401"/>
    <cellStyle name="Comma [0] 2 11 2 19" xfId="9402"/>
    <cellStyle name="Comma [0] 2 11 2 2" xfId="9403"/>
    <cellStyle name="Comma [0] 2 11 2 20" xfId="9404"/>
    <cellStyle name="Comma [0] 2 11 2 21" xfId="9405"/>
    <cellStyle name="Comma [0] 2 11 2 22" xfId="9406"/>
    <cellStyle name="Comma [0] 2 11 2 23" xfId="9407"/>
    <cellStyle name="Comma [0] 2 11 2 3" xfId="9408"/>
    <cellStyle name="Comma [0] 2 11 2 4" xfId="9409"/>
    <cellStyle name="Comma [0] 2 11 2 5" xfId="9410"/>
    <cellStyle name="Comma [0] 2 11 2 6" xfId="9411"/>
    <cellStyle name="Comma [0] 2 11 2 7" xfId="9412"/>
    <cellStyle name="Comma [0] 2 11 2 8" xfId="9413"/>
    <cellStyle name="Comma [0] 2 11 2 9" xfId="9414"/>
    <cellStyle name="Comma [0] 2 11 20" xfId="9415"/>
    <cellStyle name="Comma [0] 2 11 21" xfId="9416"/>
    <cellStyle name="Comma [0] 2 11 22" xfId="9417"/>
    <cellStyle name="Comma [0] 2 11 23" xfId="9418"/>
    <cellStyle name="Comma [0] 2 11 24" xfId="9419"/>
    <cellStyle name="Comma [0] 2 11 3" xfId="9420"/>
    <cellStyle name="Comma [0] 2 11 4" xfId="9421"/>
    <cellStyle name="Comma [0] 2 11 5" xfId="9422"/>
    <cellStyle name="Comma [0] 2 11 6" xfId="9423"/>
    <cellStyle name="Comma [0] 2 11 7" xfId="9424"/>
    <cellStyle name="Comma [0] 2 11 8" xfId="9425"/>
    <cellStyle name="Comma [0] 2 11 9" xfId="9426"/>
    <cellStyle name="Comma [0] 2 12" xfId="1729"/>
    <cellStyle name="Comma [0] 2 12 2" xfId="1730"/>
    <cellStyle name="Comma [0] 2 13" xfId="1731"/>
    <cellStyle name="Comma [0] 2 13 2" xfId="1732"/>
    <cellStyle name="Comma [0] 2 14" xfId="1733"/>
    <cellStyle name="Comma [0] 2 14 2" xfId="1734"/>
    <cellStyle name="Comma [0] 2 15" xfId="1735"/>
    <cellStyle name="Comma [0] 2 15 2" xfId="1736"/>
    <cellStyle name="Comma [0] 2 16" xfId="1737"/>
    <cellStyle name="Comma [0] 2 16 2" xfId="1738"/>
    <cellStyle name="Comma [0] 2 16 3" xfId="1739"/>
    <cellStyle name="Comma [0] 2 17" xfId="1740"/>
    <cellStyle name="Comma [0] 2 17 2" xfId="1741"/>
    <cellStyle name="Comma [0] 2 18" xfId="1742"/>
    <cellStyle name="Comma [0] 2 18 2" xfId="1743"/>
    <cellStyle name="Comma [0] 2 19" xfId="1744"/>
    <cellStyle name="Comma [0] 2 19 2" xfId="1745"/>
    <cellStyle name="Comma [0] 2 19 3" xfId="1746"/>
    <cellStyle name="Comma [0] 2 2" xfId="1747"/>
    <cellStyle name="Comma [0] 2 2 10" xfId="9427"/>
    <cellStyle name="Comma [0] 2 2 11" xfId="9428"/>
    <cellStyle name="Comma [0] 2 2 12" xfId="9429"/>
    <cellStyle name="Comma [0] 2 2 13" xfId="9430"/>
    <cellStyle name="Comma [0] 2 2 14" xfId="9431"/>
    <cellStyle name="Comma [0] 2 2 15" xfId="9432"/>
    <cellStyle name="Comma [0] 2 2 16" xfId="9433"/>
    <cellStyle name="Comma [0] 2 2 17" xfId="9434"/>
    <cellStyle name="Comma [0] 2 2 18" xfId="9435"/>
    <cellStyle name="Comma [0] 2 2 19" xfId="9436"/>
    <cellStyle name="Comma [0] 2 2 2" xfId="1748"/>
    <cellStyle name="Comma [0] 2 2 2 2" xfId="1749"/>
    <cellStyle name="Comma [0] 2 2 2 2 2" xfId="1750"/>
    <cellStyle name="Comma [0] 2 2 2 3" xfId="1751"/>
    <cellStyle name="Comma [0] 2 2 2 4" xfId="1752"/>
    <cellStyle name="Comma [0] 2 2 20" xfId="9437"/>
    <cellStyle name="Comma [0] 2 2 21" xfId="9438"/>
    <cellStyle name="Comma [0] 2 2 22" xfId="9439"/>
    <cellStyle name="Comma [0] 2 2 23" xfId="9440"/>
    <cellStyle name="Comma [0] 2 2 24" xfId="9441"/>
    <cellStyle name="Comma [0] 2 2 25" xfId="9442"/>
    <cellStyle name="Comma [0] 2 2 26" xfId="9443"/>
    <cellStyle name="Comma [0] 2 2 27" xfId="9444"/>
    <cellStyle name="Comma [0] 2 2 28" xfId="9445"/>
    <cellStyle name="Comma [0] 2 2 29" xfId="9446"/>
    <cellStyle name="Comma [0] 2 2 3" xfId="1753"/>
    <cellStyle name="Comma [0] 2 2 4" xfId="1754"/>
    <cellStyle name="Comma [0] 2 2 4 10" xfId="9447"/>
    <cellStyle name="Comma [0] 2 2 4 11" xfId="9448"/>
    <cellStyle name="Comma [0] 2 2 4 12" xfId="9449"/>
    <cellStyle name="Comma [0] 2 2 4 13" xfId="9450"/>
    <cellStyle name="Comma [0] 2 2 4 14" xfId="9451"/>
    <cellStyle name="Comma [0] 2 2 4 15" xfId="9452"/>
    <cellStyle name="Comma [0] 2 2 4 16" xfId="9453"/>
    <cellStyle name="Comma [0] 2 2 4 17" xfId="9454"/>
    <cellStyle name="Comma [0] 2 2 4 18" xfId="9455"/>
    <cellStyle name="Comma [0] 2 2 4 19" xfId="9456"/>
    <cellStyle name="Comma [0] 2 2 4 2" xfId="1755"/>
    <cellStyle name="Comma [0] 2 2 4 2 10" xfId="9457"/>
    <cellStyle name="Comma [0] 2 2 4 2 11" xfId="9458"/>
    <cellStyle name="Comma [0] 2 2 4 2 12" xfId="9459"/>
    <cellStyle name="Comma [0] 2 2 4 2 13" xfId="9460"/>
    <cellStyle name="Comma [0] 2 2 4 2 14" xfId="9461"/>
    <cellStyle name="Comma [0] 2 2 4 2 15" xfId="9462"/>
    <cellStyle name="Comma [0] 2 2 4 2 16" xfId="9463"/>
    <cellStyle name="Comma [0] 2 2 4 2 17" xfId="9464"/>
    <cellStyle name="Comma [0] 2 2 4 2 18" xfId="9465"/>
    <cellStyle name="Comma [0] 2 2 4 2 19" xfId="9466"/>
    <cellStyle name="Comma [0] 2 2 4 2 2" xfId="1756"/>
    <cellStyle name="Comma [0] 2 2 4 2 2 10" xfId="9467"/>
    <cellStyle name="Comma [0] 2 2 4 2 2 11" xfId="9468"/>
    <cellStyle name="Comma [0] 2 2 4 2 2 12" xfId="9469"/>
    <cellStyle name="Comma [0] 2 2 4 2 2 13" xfId="9470"/>
    <cellStyle name="Comma [0] 2 2 4 2 2 14" xfId="9471"/>
    <cellStyle name="Comma [0] 2 2 4 2 2 15" xfId="9472"/>
    <cellStyle name="Comma [0] 2 2 4 2 2 16" xfId="9473"/>
    <cellStyle name="Comma [0] 2 2 4 2 2 17" xfId="9474"/>
    <cellStyle name="Comma [0] 2 2 4 2 2 18" xfId="9475"/>
    <cellStyle name="Comma [0] 2 2 4 2 2 19" xfId="9476"/>
    <cellStyle name="Comma [0] 2 2 4 2 2 2" xfId="9477"/>
    <cellStyle name="Comma [0] 2 2 4 2 2 20" xfId="9478"/>
    <cellStyle name="Comma [0] 2 2 4 2 2 21" xfId="9479"/>
    <cellStyle name="Comma [0] 2 2 4 2 2 22" xfId="9480"/>
    <cellStyle name="Comma [0] 2 2 4 2 2 23" xfId="9481"/>
    <cellStyle name="Comma [0] 2 2 4 2 2 3" xfId="9482"/>
    <cellStyle name="Comma [0] 2 2 4 2 2 4" xfId="9483"/>
    <cellStyle name="Comma [0] 2 2 4 2 2 5" xfId="9484"/>
    <cellStyle name="Comma [0] 2 2 4 2 2 6" xfId="9485"/>
    <cellStyle name="Comma [0] 2 2 4 2 2 7" xfId="9486"/>
    <cellStyle name="Comma [0] 2 2 4 2 2 8" xfId="9487"/>
    <cellStyle name="Comma [0] 2 2 4 2 2 9" xfId="9488"/>
    <cellStyle name="Comma [0] 2 2 4 2 20" xfId="9489"/>
    <cellStyle name="Comma [0] 2 2 4 2 21" xfId="9490"/>
    <cellStyle name="Comma [0] 2 2 4 2 22" xfId="9491"/>
    <cellStyle name="Comma [0] 2 2 4 2 23" xfId="9492"/>
    <cellStyle name="Comma [0] 2 2 4 2 3" xfId="9493"/>
    <cellStyle name="Comma [0] 2 2 4 2 4" xfId="9494"/>
    <cellStyle name="Comma [0] 2 2 4 2 5" xfId="9495"/>
    <cellStyle name="Comma [0] 2 2 4 2 6" xfId="9496"/>
    <cellStyle name="Comma [0] 2 2 4 2 7" xfId="9497"/>
    <cellStyle name="Comma [0] 2 2 4 2 8" xfId="9498"/>
    <cellStyle name="Comma [0] 2 2 4 2 9" xfId="9499"/>
    <cellStyle name="Comma [0] 2 2 4 20" xfId="9500"/>
    <cellStyle name="Comma [0] 2 2 4 21" xfId="9501"/>
    <cellStyle name="Comma [0] 2 2 4 22" xfId="9502"/>
    <cellStyle name="Comma [0] 2 2 4 23" xfId="9503"/>
    <cellStyle name="Comma [0] 2 2 4 24" xfId="9504"/>
    <cellStyle name="Comma [0] 2 2 4 25" xfId="9505"/>
    <cellStyle name="Comma [0] 2 2 4 26" xfId="9506"/>
    <cellStyle name="Comma [0] 2 2 4 27" xfId="9507"/>
    <cellStyle name="Comma [0] 2 2 4 3" xfId="1757"/>
    <cellStyle name="Comma [0] 2 2 4 3 10" xfId="9508"/>
    <cellStyle name="Comma [0] 2 2 4 3 11" xfId="9509"/>
    <cellStyle name="Comma [0] 2 2 4 3 12" xfId="9510"/>
    <cellStyle name="Comma [0] 2 2 4 3 13" xfId="9511"/>
    <cellStyle name="Comma [0] 2 2 4 3 14" xfId="9512"/>
    <cellStyle name="Comma [0] 2 2 4 3 15" xfId="9513"/>
    <cellStyle name="Comma [0] 2 2 4 3 16" xfId="9514"/>
    <cellStyle name="Comma [0] 2 2 4 3 17" xfId="9515"/>
    <cellStyle name="Comma [0] 2 2 4 3 18" xfId="9516"/>
    <cellStyle name="Comma [0] 2 2 4 3 19" xfId="9517"/>
    <cellStyle name="Comma [0] 2 2 4 3 2" xfId="9518"/>
    <cellStyle name="Comma [0] 2 2 4 3 20" xfId="9519"/>
    <cellStyle name="Comma [0] 2 2 4 3 21" xfId="9520"/>
    <cellStyle name="Comma [0] 2 2 4 3 22" xfId="9521"/>
    <cellStyle name="Comma [0] 2 2 4 3 23" xfId="9522"/>
    <cellStyle name="Comma [0] 2 2 4 3 3" xfId="9523"/>
    <cellStyle name="Comma [0] 2 2 4 3 4" xfId="9524"/>
    <cellStyle name="Comma [0] 2 2 4 3 5" xfId="9525"/>
    <cellStyle name="Comma [0] 2 2 4 3 6" xfId="9526"/>
    <cellStyle name="Comma [0] 2 2 4 3 7" xfId="9527"/>
    <cellStyle name="Comma [0] 2 2 4 3 8" xfId="9528"/>
    <cellStyle name="Comma [0] 2 2 4 3 9" xfId="9529"/>
    <cellStyle name="Comma [0] 2 2 4 4" xfId="1758"/>
    <cellStyle name="Comma [0] 2 2 4 4 10" xfId="9530"/>
    <cellStyle name="Comma [0] 2 2 4 4 11" xfId="9531"/>
    <cellStyle name="Comma [0] 2 2 4 4 12" xfId="9532"/>
    <cellStyle name="Comma [0] 2 2 4 4 13" xfId="9533"/>
    <cellStyle name="Comma [0] 2 2 4 4 14" xfId="9534"/>
    <cellStyle name="Comma [0] 2 2 4 4 15" xfId="9535"/>
    <cellStyle name="Comma [0] 2 2 4 4 16" xfId="9536"/>
    <cellStyle name="Comma [0] 2 2 4 4 17" xfId="9537"/>
    <cellStyle name="Comma [0] 2 2 4 4 18" xfId="9538"/>
    <cellStyle name="Comma [0] 2 2 4 4 19" xfId="9539"/>
    <cellStyle name="Comma [0] 2 2 4 4 2" xfId="9540"/>
    <cellStyle name="Comma [0] 2 2 4 4 20" xfId="9541"/>
    <cellStyle name="Comma [0] 2 2 4 4 21" xfId="9542"/>
    <cellStyle name="Comma [0] 2 2 4 4 22" xfId="9543"/>
    <cellStyle name="Comma [0] 2 2 4 4 23" xfId="9544"/>
    <cellStyle name="Comma [0] 2 2 4 4 3" xfId="9545"/>
    <cellStyle name="Comma [0] 2 2 4 4 4" xfId="9546"/>
    <cellStyle name="Comma [0] 2 2 4 4 5" xfId="9547"/>
    <cellStyle name="Comma [0] 2 2 4 4 6" xfId="9548"/>
    <cellStyle name="Comma [0] 2 2 4 4 7" xfId="9549"/>
    <cellStyle name="Comma [0] 2 2 4 4 8" xfId="9550"/>
    <cellStyle name="Comma [0] 2 2 4 4 9" xfId="9551"/>
    <cellStyle name="Comma [0] 2 2 4 5" xfId="1759"/>
    <cellStyle name="Comma [0] 2 2 4 5 10" xfId="9552"/>
    <cellStyle name="Comma [0] 2 2 4 5 11" xfId="9553"/>
    <cellStyle name="Comma [0] 2 2 4 5 12" xfId="9554"/>
    <cellStyle name="Comma [0] 2 2 4 5 13" xfId="9555"/>
    <cellStyle name="Comma [0] 2 2 4 5 14" xfId="9556"/>
    <cellStyle name="Comma [0] 2 2 4 5 15" xfId="9557"/>
    <cellStyle name="Comma [0] 2 2 4 5 16" xfId="9558"/>
    <cellStyle name="Comma [0] 2 2 4 5 17" xfId="9559"/>
    <cellStyle name="Comma [0] 2 2 4 5 18" xfId="9560"/>
    <cellStyle name="Comma [0] 2 2 4 5 19" xfId="9561"/>
    <cellStyle name="Comma [0] 2 2 4 5 2" xfId="9562"/>
    <cellStyle name="Comma [0] 2 2 4 5 20" xfId="9563"/>
    <cellStyle name="Comma [0] 2 2 4 5 21" xfId="9564"/>
    <cellStyle name="Comma [0] 2 2 4 5 22" xfId="9565"/>
    <cellStyle name="Comma [0] 2 2 4 5 23" xfId="9566"/>
    <cellStyle name="Comma [0] 2 2 4 5 3" xfId="9567"/>
    <cellStyle name="Comma [0] 2 2 4 5 4" xfId="9568"/>
    <cellStyle name="Comma [0] 2 2 4 5 5" xfId="9569"/>
    <cellStyle name="Comma [0] 2 2 4 5 6" xfId="9570"/>
    <cellStyle name="Comma [0] 2 2 4 5 7" xfId="9571"/>
    <cellStyle name="Comma [0] 2 2 4 5 8" xfId="9572"/>
    <cellStyle name="Comma [0] 2 2 4 5 9" xfId="9573"/>
    <cellStyle name="Comma [0] 2 2 4 6" xfId="1760"/>
    <cellStyle name="Comma [0] 2 2 4 6 2" xfId="9574"/>
    <cellStyle name="Comma [0] 2 2 4 6 3" xfId="9575"/>
    <cellStyle name="Comma [0] 2 2 4 6 4" xfId="9576"/>
    <cellStyle name="Comma [0] 2 2 4 7" xfId="9577"/>
    <cellStyle name="Comma [0] 2 2 4 8" xfId="9578"/>
    <cellStyle name="Comma [0] 2 2 4 9" xfId="9579"/>
    <cellStyle name="Comma [0] 2 2 5" xfId="1761"/>
    <cellStyle name="Comma [0] 2 2 5 10" xfId="9580"/>
    <cellStyle name="Comma [0] 2 2 5 11" xfId="9581"/>
    <cellStyle name="Comma [0] 2 2 5 12" xfId="9582"/>
    <cellStyle name="Comma [0] 2 2 5 13" xfId="9583"/>
    <cellStyle name="Comma [0] 2 2 5 14" xfId="9584"/>
    <cellStyle name="Comma [0] 2 2 5 15" xfId="9585"/>
    <cellStyle name="Comma [0] 2 2 5 16" xfId="9586"/>
    <cellStyle name="Comma [0] 2 2 5 17" xfId="9587"/>
    <cellStyle name="Comma [0] 2 2 5 18" xfId="9588"/>
    <cellStyle name="Comma [0] 2 2 5 19" xfId="9589"/>
    <cellStyle name="Comma [0] 2 2 5 2" xfId="9590"/>
    <cellStyle name="Comma [0] 2 2 5 20" xfId="9591"/>
    <cellStyle name="Comma [0] 2 2 5 21" xfId="9592"/>
    <cellStyle name="Comma [0] 2 2 5 22" xfId="9593"/>
    <cellStyle name="Comma [0] 2 2 5 23" xfId="9594"/>
    <cellStyle name="Comma [0] 2 2 5 3" xfId="9595"/>
    <cellStyle name="Comma [0] 2 2 5 4" xfId="9596"/>
    <cellStyle name="Comma [0] 2 2 5 5" xfId="9597"/>
    <cellStyle name="Comma [0] 2 2 5 6" xfId="9598"/>
    <cellStyle name="Comma [0] 2 2 5 7" xfId="9599"/>
    <cellStyle name="Comma [0] 2 2 5 8" xfId="9600"/>
    <cellStyle name="Comma [0] 2 2 5 9" xfId="9601"/>
    <cellStyle name="Comma [0] 2 2 6" xfId="1762"/>
    <cellStyle name="Comma [0] 2 2 7" xfId="1763"/>
    <cellStyle name="Comma [0] 2 2 7 10" xfId="9602"/>
    <cellStyle name="Comma [0] 2 2 7 11" xfId="9603"/>
    <cellStyle name="Comma [0] 2 2 7 12" xfId="9604"/>
    <cellStyle name="Comma [0] 2 2 7 13" xfId="9605"/>
    <cellStyle name="Comma [0] 2 2 7 14" xfId="9606"/>
    <cellStyle name="Comma [0] 2 2 7 15" xfId="9607"/>
    <cellStyle name="Comma [0] 2 2 7 16" xfId="9608"/>
    <cellStyle name="Comma [0] 2 2 7 17" xfId="9609"/>
    <cellStyle name="Comma [0] 2 2 7 18" xfId="9610"/>
    <cellStyle name="Comma [0] 2 2 7 19" xfId="9611"/>
    <cellStyle name="Comma [0] 2 2 7 2" xfId="9612"/>
    <cellStyle name="Comma [0] 2 2 7 20" xfId="9613"/>
    <cellStyle name="Comma [0] 2 2 7 21" xfId="9614"/>
    <cellStyle name="Comma [0] 2 2 7 22" xfId="9615"/>
    <cellStyle name="Comma [0] 2 2 7 23" xfId="9616"/>
    <cellStyle name="Comma [0] 2 2 7 3" xfId="9617"/>
    <cellStyle name="Comma [0] 2 2 7 4" xfId="9618"/>
    <cellStyle name="Comma [0] 2 2 7 5" xfId="9619"/>
    <cellStyle name="Comma [0] 2 2 7 6" xfId="9620"/>
    <cellStyle name="Comma [0] 2 2 7 7" xfId="9621"/>
    <cellStyle name="Comma [0] 2 2 7 8" xfId="9622"/>
    <cellStyle name="Comma [0] 2 2 7 9" xfId="9623"/>
    <cellStyle name="Comma [0] 2 2 8" xfId="9624"/>
    <cellStyle name="Comma [0] 2 2 9" xfId="9625"/>
    <cellStyle name="Comma [0] 2 20" xfId="1764"/>
    <cellStyle name="Comma [0] 2 20 2" xfId="1765"/>
    <cellStyle name="Comma [0] 2 21" xfId="1766"/>
    <cellStyle name="Comma [0] 2 21 2" xfId="1767"/>
    <cellStyle name="Comma [0] 2 22" xfId="1768"/>
    <cellStyle name="Comma [0] 2 22 2" xfId="1769"/>
    <cellStyle name="Comma [0] 2 22 3" xfId="1770"/>
    <cellStyle name="Comma [0] 2 23" xfId="1771"/>
    <cellStyle name="Comma [0] 2 23 2" xfId="1772"/>
    <cellStyle name="Comma [0] 2 24" xfId="1773"/>
    <cellStyle name="Comma [0] 2 24 2" xfId="1774"/>
    <cellStyle name="Comma [0] 2 25" xfId="1775"/>
    <cellStyle name="Comma [0] 2 25 2" xfId="1776"/>
    <cellStyle name="Comma [0] 2 26" xfId="1777"/>
    <cellStyle name="Comma [0] 2 26 10" xfId="9626"/>
    <cellStyle name="Comma [0] 2 26 11" xfId="9627"/>
    <cellStyle name="Comma [0] 2 26 2" xfId="1778"/>
    <cellStyle name="Comma [0] 2 26 2 2" xfId="1779"/>
    <cellStyle name="Comma [0] 2 26 2 2 10" xfId="9628"/>
    <cellStyle name="Comma [0] 2 26 2 2 2" xfId="1780"/>
    <cellStyle name="Comma [0] 2 26 2 2 3" xfId="1781"/>
    <cellStyle name="Comma [0] 2 26 2 2 4" xfId="1782"/>
    <cellStyle name="Comma [0] 2 26 2 2 5" xfId="1783"/>
    <cellStyle name="Comma [0] 2 26 2 2 6" xfId="1784"/>
    <cellStyle name="Comma [0] 2 26 2 2 7" xfId="1785"/>
    <cellStyle name="Comma [0] 2 26 2 2 8" xfId="9629"/>
    <cellStyle name="Comma [0] 2 26 2 2 9" xfId="9630"/>
    <cellStyle name="Comma [0] 2 26 3" xfId="1786"/>
    <cellStyle name="Comma [0] 2 26 4" xfId="1787"/>
    <cellStyle name="Comma [0] 2 26 5" xfId="1788"/>
    <cellStyle name="Comma [0] 2 26 6" xfId="1789"/>
    <cellStyle name="Comma [0] 2 26 7" xfId="1790"/>
    <cellStyle name="Comma [0] 2 26 8" xfId="1791"/>
    <cellStyle name="Comma [0] 2 26 9" xfId="9631"/>
    <cellStyle name="Comma [0] 2 27" xfId="1792"/>
    <cellStyle name="Comma [0] 2 27 10" xfId="9632"/>
    <cellStyle name="Comma [0] 2 27 2" xfId="1793"/>
    <cellStyle name="Comma [0] 2 27 3" xfId="1794"/>
    <cellStyle name="Comma [0] 2 27 4" xfId="1795"/>
    <cellStyle name="Comma [0] 2 27 5" xfId="1796"/>
    <cellStyle name="Comma [0] 2 27 6" xfId="1797"/>
    <cellStyle name="Comma [0] 2 27 7" xfId="1798"/>
    <cellStyle name="Comma [0] 2 27 8" xfId="9633"/>
    <cellStyle name="Comma [0] 2 27 9" xfId="9634"/>
    <cellStyle name="Comma [0] 2 28" xfId="1799"/>
    <cellStyle name="Comma [0] 2 29" xfId="1800"/>
    <cellStyle name="Comma [0] 2 3" xfId="1801"/>
    <cellStyle name="Comma [0] 2 3 10" xfId="1802"/>
    <cellStyle name="Comma [0] 2 3 10 10" xfId="9635"/>
    <cellStyle name="Comma [0] 2 3 10 2" xfId="1803"/>
    <cellStyle name="Comma [0] 2 3 10 3" xfId="1804"/>
    <cellStyle name="Comma [0] 2 3 10 4" xfId="1805"/>
    <cellStyle name="Comma [0] 2 3 10 5" xfId="1806"/>
    <cellStyle name="Comma [0] 2 3 10 6" xfId="1807"/>
    <cellStyle name="Comma [0] 2 3 10 7" xfId="1808"/>
    <cellStyle name="Comma [0] 2 3 10 8" xfId="9636"/>
    <cellStyle name="Comma [0] 2 3 10 9" xfId="9637"/>
    <cellStyle name="Comma [0] 2 3 11" xfId="9638"/>
    <cellStyle name="Comma [0] 2 3 12" xfId="9639"/>
    <cellStyle name="Comma [0] 2 3 13" xfId="9640"/>
    <cellStyle name="Comma [0] 2 3 14" xfId="9641"/>
    <cellStyle name="Comma [0] 2 3 15" xfId="9642"/>
    <cellStyle name="Comma [0] 2 3 16" xfId="9643"/>
    <cellStyle name="Comma [0] 2 3 17" xfId="9644"/>
    <cellStyle name="Comma [0] 2 3 18" xfId="9645"/>
    <cellStyle name="Comma [0] 2 3 19" xfId="9646"/>
    <cellStyle name="Comma [0] 2 3 2" xfId="1809"/>
    <cellStyle name="Comma [0] 2 3 2 2" xfId="1810"/>
    <cellStyle name="Comma [0] 2 3 20" xfId="9647"/>
    <cellStyle name="Comma [0] 2 3 21" xfId="9648"/>
    <cellStyle name="Comma [0] 2 3 22" xfId="9649"/>
    <cellStyle name="Comma [0] 2 3 23" xfId="9650"/>
    <cellStyle name="Comma [0] 2 3 24" xfId="9651"/>
    <cellStyle name="Comma [0] 2 3 25" xfId="9652"/>
    <cellStyle name="Comma [0] 2 3 26" xfId="9653"/>
    <cellStyle name="Comma [0] 2 3 27" xfId="9654"/>
    <cellStyle name="Comma [0] 2 3 28" xfId="9655"/>
    <cellStyle name="Comma [0] 2 3 29" xfId="9656"/>
    <cellStyle name="Comma [0] 2 3 3" xfId="1811"/>
    <cellStyle name="Comma [0] 2 3 3 10" xfId="9657"/>
    <cellStyle name="Comma [0] 2 3 3 11" xfId="9658"/>
    <cellStyle name="Comma [0] 2 3 3 12" xfId="9659"/>
    <cellStyle name="Comma [0] 2 3 3 13" xfId="9660"/>
    <cellStyle name="Comma [0] 2 3 3 14" xfId="9661"/>
    <cellStyle name="Comma [0] 2 3 3 15" xfId="9662"/>
    <cellStyle name="Comma [0] 2 3 3 16" xfId="9663"/>
    <cellStyle name="Comma [0] 2 3 3 17" xfId="9664"/>
    <cellStyle name="Comma [0] 2 3 3 18" xfId="9665"/>
    <cellStyle name="Comma [0] 2 3 3 19" xfId="9666"/>
    <cellStyle name="Comma [0] 2 3 3 2" xfId="9667"/>
    <cellStyle name="Comma [0] 2 3 3 20" xfId="9668"/>
    <cellStyle name="Comma [0] 2 3 3 21" xfId="9669"/>
    <cellStyle name="Comma [0] 2 3 3 22" xfId="9670"/>
    <cellStyle name="Comma [0] 2 3 3 23" xfId="9671"/>
    <cellStyle name="Comma [0] 2 3 3 3" xfId="9672"/>
    <cellStyle name="Comma [0] 2 3 3 4" xfId="9673"/>
    <cellStyle name="Comma [0] 2 3 3 5" xfId="9674"/>
    <cellStyle name="Comma [0] 2 3 3 6" xfId="9675"/>
    <cellStyle name="Comma [0] 2 3 3 7" xfId="9676"/>
    <cellStyle name="Comma [0] 2 3 3 8" xfId="9677"/>
    <cellStyle name="Comma [0] 2 3 3 9" xfId="9678"/>
    <cellStyle name="Comma [0] 2 3 30" xfId="9679"/>
    <cellStyle name="Comma [0] 2 3 31" xfId="9680"/>
    <cellStyle name="Comma [0] 2 3 4" xfId="1812"/>
    <cellStyle name="Comma [0] 2 3 4 10" xfId="9681"/>
    <cellStyle name="Comma [0] 2 3 4 11" xfId="9682"/>
    <cellStyle name="Comma [0] 2 3 4 12" xfId="9683"/>
    <cellStyle name="Comma [0] 2 3 4 13" xfId="9684"/>
    <cellStyle name="Comma [0] 2 3 4 14" xfId="9685"/>
    <cellStyle name="Comma [0] 2 3 4 15" xfId="9686"/>
    <cellStyle name="Comma [0] 2 3 4 16" xfId="9687"/>
    <cellStyle name="Comma [0] 2 3 4 17" xfId="9688"/>
    <cellStyle name="Comma [0] 2 3 4 18" xfId="9689"/>
    <cellStyle name="Comma [0] 2 3 4 19" xfId="9690"/>
    <cellStyle name="Comma [0] 2 3 4 2" xfId="1813"/>
    <cellStyle name="Comma [0] 2 3 4 2 10" xfId="9691"/>
    <cellStyle name="Comma [0] 2 3 4 2 11" xfId="9692"/>
    <cellStyle name="Comma [0] 2 3 4 2 12" xfId="9693"/>
    <cellStyle name="Comma [0] 2 3 4 2 13" xfId="9694"/>
    <cellStyle name="Comma [0] 2 3 4 2 14" xfId="9695"/>
    <cellStyle name="Comma [0] 2 3 4 2 15" xfId="9696"/>
    <cellStyle name="Comma [0] 2 3 4 2 16" xfId="9697"/>
    <cellStyle name="Comma [0] 2 3 4 2 17" xfId="9698"/>
    <cellStyle name="Comma [0] 2 3 4 2 18" xfId="9699"/>
    <cellStyle name="Comma [0] 2 3 4 2 19" xfId="9700"/>
    <cellStyle name="Comma [0] 2 3 4 2 2" xfId="9701"/>
    <cellStyle name="Comma [0] 2 3 4 2 20" xfId="9702"/>
    <cellStyle name="Comma [0] 2 3 4 2 21" xfId="9703"/>
    <cellStyle name="Comma [0] 2 3 4 2 22" xfId="9704"/>
    <cellStyle name="Comma [0] 2 3 4 2 23" xfId="9705"/>
    <cellStyle name="Comma [0] 2 3 4 2 3" xfId="9706"/>
    <cellStyle name="Comma [0] 2 3 4 2 4" xfId="9707"/>
    <cellStyle name="Comma [0] 2 3 4 2 5" xfId="9708"/>
    <cellStyle name="Comma [0] 2 3 4 2 6" xfId="9709"/>
    <cellStyle name="Comma [0] 2 3 4 2 7" xfId="9710"/>
    <cellStyle name="Comma [0] 2 3 4 2 8" xfId="9711"/>
    <cellStyle name="Comma [0] 2 3 4 2 9" xfId="9712"/>
    <cellStyle name="Comma [0] 2 3 4 20" xfId="9713"/>
    <cellStyle name="Comma [0] 2 3 4 21" xfId="9714"/>
    <cellStyle name="Comma [0] 2 3 4 22" xfId="9715"/>
    <cellStyle name="Comma [0] 2 3 4 23" xfId="9716"/>
    <cellStyle name="Comma [0] 2 3 4 24" xfId="9717"/>
    <cellStyle name="Comma [0] 2 3 4 25" xfId="9718"/>
    <cellStyle name="Comma [0] 2 3 4 26" xfId="9719"/>
    <cellStyle name="Comma [0] 2 3 4 27" xfId="9720"/>
    <cellStyle name="Comma [0] 2 3 4 28" xfId="9721"/>
    <cellStyle name="Comma [0] 2 3 4 3" xfId="1814"/>
    <cellStyle name="Comma [0] 2 3 4 4" xfId="1815"/>
    <cellStyle name="Comma [0] 2 3 4 5" xfId="1816"/>
    <cellStyle name="Comma [0] 2 3 4 6" xfId="1817"/>
    <cellStyle name="Comma [0] 2 3 4 7" xfId="1818"/>
    <cellStyle name="Comma [0] 2 3 4 8" xfId="9722"/>
    <cellStyle name="Comma [0] 2 3 4 9" xfId="9723"/>
    <cellStyle name="Comma [0] 2 3 5" xfId="1819"/>
    <cellStyle name="Comma [0] 2 3 5 10" xfId="9724"/>
    <cellStyle name="Comma [0] 2 3 5 11" xfId="9725"/>
    <cellStyle name="Comma [0] 2 3 5 12" xfId="9726"/>
    <cellStyle name="Comma [0] 2 3 5 13" xfId="9727"/>
    <cellStyle name="Comma [0] 2 3 5 14" xfId="9728"/>
    <cellStyle name="Comma [0] 2 3 5 15" xfId="9729"/>
    <cellStyle name="Comma [0] 2 3 5 16" xfId="9730"/>
    <cellStyle name="Comma [0] 2 3 5 17" xfId="9731"/>
    <cellStyle name="Comma [0] 2 3 5 18" xfId="9732"/>
    <cellStyle name="Comma [0] 2 3 5 19" xfId="9733"/>
    <cellStyle name="Comma [0] 2 3 5 2" xfId="1820"/>
    <cellStyle name="Comma [0] 2 3 5 2 10" xfId="9734"/>
    <cellStyle name="Comma [0] 2 3 5 2 11" xfId="9735"/>
    <cellStyle name="Comma [0] 2 3 5 2 12" xfId="9736"/>
    <cellStyle name="Comma [0] 2 3 5 2 13" xfId="9737"/>
    <cellStyle name="Comma [0] 2 3 5 2 14" xfId="9738"/>
    <cellStyle name="Comma [0] 2 3 5 2 15" xfId="9739"/>
    <cellStyle name="Comma [0] 2 3 5 2 16" xfId="9740"/>
    <cellStyle name="Comma [0] 2 3 5 2 17" xfId="9741"/>
    <cellStyle name="Comma [0] 2 3 5 2 18" xfId="9742"/>
    <cellStyle name="Comma [0] 2 3 5 2 19" xfId="9743"/>
    <cellStyle name="Comma [0] 2 3 5 2 2" xfId="9744"/>
    <cellStyle name="Comma [0] 2 3 5 2 20" xfId="9745"/>
    <cellStyle name="Comma [0] 2 3 5 2 21" xfId="9746"/>
    <cellStyle name="Comma [0] 2 3 5 2 22" xfId="9747"/>
    <cellStyle name="Comma [0] 2 3 5 2 23" xfId="9748"/>
    <cellStyle name="Comma [0] 2 3 5 2 3" xfId="9749"/>
    <cellStyle name="Comma [0] 2 3 5 2 4" xfId="9750"/>
    <cellStyle name="Comma [0] 2 3 5 2 5" xfId="9751"/>
    <cellStyle name="Comma [0] 2 3 5 2 6" xfId="9752"/>
    <cellStyle name="Comma [0] 2 3 5 2 7" xfId="9753"/>
    <cellStyle name="Comma [0] 2 3 5 2 8" xfId="9754"/>
    <cellStyle name="Comma [0] 2 3 5 2 9" xfId="9755"/>
    <cellStyle name="Comma [0] 2 3 5 20" xfId="9756"/>
    <cellStyle name="Comma [0] 2 3 5 21" xfId="9757"/>
    <cellStyle name="Comma [0] 2 3 5 22" xfId="9758"/>
    <cellStyle name="Comma [0] 2 3 5 23" xfId="9759"/>
    <cellStyle name="Comma [0] 2 3 5 24" xfId="9760"/>
    <cellStyle name="Comma [0] 2 3 5 25" xfId="9761"/>
    <cellStyle name="Comma [0] 2 3 5 26" xfId="9762"/>
    <cellStyle name="Comma [0] 2 3 5 27" xfId="9763"/>
    <cellStyle name="Comma [0] 2 3 5 28" xfId="9764"/>
    <cellStyle name="Comma [0] 2 3 5 3" xfId="1821"/>
    <cellStyle name="Comma [0] 2 3 5 4" xfId="1822"/>
    <cellStyle name="Comma [0] 2 3 5 5" xfId="1823"/>
    <cellStyle name="Comma [0] 2 3 5 6" xfId="1824"/>
    <cellStyle name="Comma [0] 2 3 5 7" xfId="1825"/>
    <cellStyle name="Comma [0] 2 3 5 8" xfId="9765"/>
    <cellStyle name="Comma [0] 2 3 5 9" xfId="9766"/>
    <cellStyle name="Comma [0] 2 3 6" xfId="1826"/>
    <cellStyle name="Comma [0] 2 3 6 10" xfId="9767"/>
    <cellStyle name="Comma [0] 2 3 6 2" xfId="1827"/>
    <cellStyle name="Comma [0] 2 3 6 3" xfId="1828"/>
    <cellStyle name="Comma [0] 2 3 6 4" xfId="1829"/>
    <cellStyle name="Comma [0] 2 3 6 5" xfId="1830"/>
    <cellStyle name="Comma [0] 2 3 6 6" xfId="1831"/>
    <cellStyle name="Comma [0] 2 3 6 7" xfId="1832"/>
    <cellStyle name="Comma [0] 2 3 6 8" xfId="9768"/>
    <cellStyle name="Comma [0] 2 3 6 9" xfId="9769"/>
    <cellStyle name="Comma [0] 2 3 7" xfId="1833"/>
    <cellStyle name="Comma [0] 2 3 7 10" xfId="9770"/>
    <cellStyle name="Comma [0] 2 3 7 2" xfId="1834"/>
    <cellStyle name="Comma [0] 2 3 7 3" xfId="1835"/>
    <cellStyle name="Comma [0] 2 3 7 4" xfId="1836"/>
    <cellStyle name="Comma [0] 2 3 7 5" xfId="1837"/>
    <cellStyle name="Comma [0] 2 3 7 6" xfId="1838"/>
    <cellStyle name="Comma [0] 2 3 7 7" xfId="1839"/>
    <cellStyle name="Comma [0] 2 3 7 8" xfId="9771"/>
    <cellStyle name="Comma [0] 2 3 7 9" xfId="9772"/>
    <cellStyle name="Comma [0] 2 3 8" xfId="1840"/>
    <cellStyle name="Comma [0] 2 3 8 10" xfId="9773"/>
    <cellStyle name="Comma [0] 2 3 8 2" xfId="1841"/>
    <cellStyle name="Comma [0] 2 3 8 3" xfId="1842"/>
    <cellStyle name="Comma [0] 2 3 8 4" xfId="1843"/>
    <cellStyle name="Comma [0] 2 3 8 5" xfId="1844"/>
    <cellStyle name="Comma [0] 2 3 8 6" xfId="1845"/>
    <cellStyle name="Comma [0] 2 3 8 7" xfId="1846"/>
    <cellStyle name="Comma [0] 2 3 8 8" xfId="9774"/>
    <cellStyle name="Comma [0] 2 3 8 9" xfId="9775"/>
    <cellStyle name="Comma [0] 2 3 9" xfId="1847"/>
    <cellStyle name="Comma [0] 2 3 9 10" xfId="9776"/>
    <cellStyle name="Comma [0] 2 3 9 2" xfId="1848"/>
    <cellStyle name="Comma [0] 2 3 9 3" xfId="1849"/>
    <cellStyle name="Comma [0] 2 3 9 4" xfId="1850"/>
    <cellStyle name="Comma [0] 2 3 9 5" xfId="1851"/>
    <cellStyle name="Comma [0] 2 3 9 6" xfId="1852"/>
    <cellStyle name="Comma [0] 2 3 9 7" xfId="1853"/>
    <cellStyle name="Comma [0] 2 3 9 8" xfId="9777"/>
    <cellStyle name="Comma [0] 2 3 9 9" xfId="9778"/>
    <cellStyle name="Comma [0] 2 30" xfId="1854"/>
    <cellStyle name="Comma [0] 2 30 2" xfId="9779"/>
    <cellStyle name="Comma [0] 2 30 3" xfId="9780"/>
    <cellStyle name="Comma [0] 2 30 4" xfId="9781"/>
    <cellStyle name="Comma [0] 2 31" xfId="9782"/>
    <cellStyle name="Comma [0] 2 32" xfId="9783"/>
    <cellStyle name="Comma [0] 2 33" xfId="9784"/>
    <cellStyle name="Comma [0] 2 34" xfId="9785"/>
    <cellStyle name="Comma [0] 2 35" xfId="9786"/>
    <cellStyle name="Comma [0] 2 36" xfId="9787"/>
    <cellStyle name="Comma [0] 2 37" xfId="9788"/>
    <cellStyle name="Comma [0] 2 38" xfId="9789"/>
    <cellStyle name="Comma [0] 2 39" xfId="9790"/>
    <cellStyle name="Comma [0] 2 4" xfId="1855"/>
    <cellStyle name="Comma [0] 2 4 10" xfId="1856"/>
    <cellStyle name="Comma [0] 2 4 11" xfId="1857"/>
    <cellStyle name="Comma [0] 2 4 12" xfId="1858"/>
    <cellStyle name="Comma [0] 2 4 13" xfId="1859"/>
    <cellStyle name="Comma [0] 2 4 14" xfId="1860"/>
    <cellStyle name="Comma [0] 2 4 15" xfId="1861"/>
    <cellStyle name="Comma [0] 2 4 16" xfId="1862"/>
    <cellStyle name="Comma [0] 2 4 17" xfId="1863"/>
    <cellStyle name="Comma [0] 2 4 18" xfId="1864"/>
    <cellStyle name="Comma [0] 2 4 19" xfId="1865"/>
    <cellStyle name="Comma [0] 2 4 2" xfId="1866"/>
    <cellStyle name="Comma [0] 2 4 2 2" xfId="1867"/>
    <cellStyle name="Comma [0] 2 4 2 3" xfId="1868"/>
    <cellStyle name="Comma [0] 2 4 2 4" xfId="1869"/>
    <cellStyle name="Comma [0] 2 4 2 5" xfId="1870"/>
    <cellStyle name="Comma [0] 2 4 2 6" xfId="1871"/>
    <cellStyle name="Comma [0] 2 4 2 7" xfId="1872"/>
    <cellStyle name="Comma [0] 2 4 2 8" xfId="1873"/>
    <cellStyle name="Comma [0] 2 4 20" xfId="1874"/>
    <cellStyle name="Comma [0] 2 4 21" xfId="1875"/>
    <cellStyle name="Comma [0] 2 4 22" xfId="1876"/>
    <cellStyle name="Comma [0] 2 4 3" xfId="1877"/>
    <cellStyle name="Comma [0] 2 4 3 2" xfId="1878"/>
    <cellStyle name="Comma [0] 2 4 3 3" xfId="1879"/>
    <cellStyle name="Comma [0] 2 4 3 4" xfId="1880"/>
    <cellStyle name="Comma [0] 2 4 3 5" xfId="1881"/>
    <cellStyle name="Comma [0] 2 4 3 6" xfId="1882"/>
    <cellStyle name="Comma [0] 2 4 3 7" xfId="1883"/>
    <cellStyle name="Comma [0] 2 4 3 8" xfId="1884"/>
    <cellStyle name="Comma [0] 2 4 4" xfId="1885"/>
    <cellStyle name="Comma [0] 2 4 4 2" xfId="1886"/>
    <cellStyle name="Comma [0] 2 4 4 3" xfId="1887"/>
    <cellStyle name="Comma [0] 2 4 4 4" xfId="1888"/>
    <cellStyle name="Comma [0] 2 4 4 5" xfId="1889"/>
    <cellStyle name="Comma [0] 2 4 4 6" xfId="1890"/>
    <cellStyle name="Comma [0] 2 4 4 7" xfId="1891"/>
    <cellStyle name="Comma [0] 2 4 4 8" xfId="1892"/>
    <cellStyle name="Comma [0] 2 4 5" xfId="1893"/>
    <cellStyle name="Comma [0] 2 4 5 2" xfId="1894"/>
    <cellStyle name="Comma [0] 2 4 5 3" xfId="1895"/>
    <cellStyle name="Comma [0] 2 4 5 4" xfId="1896"/>
    <cellStyle name="Comma [0] 2 4 5 5" xfId="1897"/>
    <cellStyle name="Comma [0] 2 4 5 6" xfId="1898"/>
    <cellStyle name="Comma [0] 2 4 5 7" xfId="1899"/>
    <cellStyle name="Comma [0] 2 4 5 8" xfId="1900"/>
    <cellStyle name="Comma [0] 2 4 6" xfId="1901"/>
    <cellStyle name="Comma [0] 2 4 7" xfId="1902"/>
    <cellStyle name="Comma [0] 2 4 7 10" xfId="9791"/>
    <cellStyle name="Comma [0] 2 4 7 11" xfId="9792"/>
    <cellStyle name="Comma [0] 2 4 7 12" xfId="9793"/>
    <cellStyle name="Comma [0] 2 4 7 13" xfId="9794"/>
    <cellStyle name="Comma [0] 2 4 7 14" xfId="9795"/>
    <cellStyle name="Comma [0] 2 4 7 15" xfId="9796"/>
    <cellStyle name="Comma [0] 2 4 7 16" xfId="9797"/>
    <cellStyle name="Comma [0] 2 4 7 17" xfId="9798"/>
    <cellStyle name="Comma [0] 2 4 7 18" xfId="9799"/>
    <cellStyle name="Comma [0] 2 4 7 19" xfId="9800"/>
    <cellStyle name="Comma [0] 2 4 7 2" xfId="9801"/>
    <cellStyle name="Comma [0] 2 4 7 20" xfId="9802"/>
    <cellStyle name="Comma [0] 2 4 7 21" xfId="9803"/>
    <cellStyle name="Comma [0] 2 4 7 22" xfId="9804"/>
    <cellStyle name="Comma [0] 2 4 7 23" xfId="9805"/>
    <cellStyle name="Comma [0] 2 4 7 3" xfId="9806"/>
    <cellStyle name="Comma [0] 2 4 7 4" xfId="9807"/>
    <cellStyle name="Comma [0] 2 4 7 5" xfId="9808"/>
    <cellStyle name="Comma [0] 2 4 7 6" xfId="9809"/>
    <cellStyle name="Comma [0] 2 4 7 7" xfId="9810"/>
    <cellStyle name="Comma [0] 2 4 7 8" xfId="9811"/>
    <cellStyle name="Comma [0] 2 4 7 9" xfId="9812"/>
    <cellStyle name="Comma [0] 2 4 8" xfId="1903"/>
    <cellStyle name="Comma [0] 2 4 9" xfId="1904"/>
    <cellStyle name="Comma [0] 2 40" xfId="9813"/>
    <cellStyle name="Comma [0] 2 41" xfId="9814"/>
    <cellStyle name="Comma [0] 2 42" xfId="9815"/>
    <cellStyle name="Comma [0] 2 43" xfId="9816"/>
    <cellStyle name="Comma [0] 2 44" xfId="9817"/>
    <cellStyle name="Comma [0] 2 45" xfId="9818"/>
    <cellStyle name="Comma [0] 2 46" xfId="9819"/>
    <cellStyle name="Comma [0] 2 47" xfId="9820"/>
    <cellStyle name="Comma [0] 2 48" xfId="9821"/>
    <cellStyle name="Comma [0] 2 49" xfId="9822"/>
    <cellStyle name="Comma [0] 2 5" xfId="1905"/>
    <cellStyle name="Comma [0] 2 5 10" xfId="9823"/>
    <cellStyle name="Comma [0] 2 5 11" xfId="9824"/>
    <cellStyle name="Comma [0] 2 5 12" xfId="9825"/>
    <cellStyle name="Comma [0] 2 5 13" xfId="9826"/>
    <cellStyle name="Comma [0] 2 5 14" xfId="9827"/>
    <cellStyle name="Comma [0] 2 5 15" xfId="9828"/>
    <cellStyle name="Comma [0] 2 5 16" xfId="9829"/>
    <cellStyle name="Comma [0] 2 5 17" xfId="9830"/>
    <cellStyle name="Comma [0] 2 5 18" xfId="9831"/>
    <cellStyle name="Comma [0] 2 5 19" xfId="9832"/>
    <cellStyle name="Comma [0] 2 5 2" xfId="1906"/>
    <cellStyle name="Comma [0] 2 5 20" xfId="9833"/>
    <cellStyle name="Comma [0] 2 5 21" xfId="9834"/>
    <cellStyle name="Comma [0] 2 5 22" xfId="9835"/>
    <cellStyle name="Comma [0] 2 5 23" xfId="9836"/>
    <cellStyle name="Comma [0] 2 5 24" xfId="9837"/>
    <cellStyle name="Comma [0] 2 5 3" xfId="9838"/>
    <cellStyle name="Comma [0] 2 5 4" xfId="9839"/>
    <cellStyle name="Comma [0] 2 5 5" xfId="9840"/>
    <cellStyle name="Comma [0] 2 5 6" xfId="9841"/>
    <cellStyle name="Comma [0] 2 5 7" xfId="9842"/>
    <cellStyle name="Comma [0] 2 5 8" xfId="9843"/>
    <cellStyle name="Comma [0] 2 5 9" xfId="9844"/>
    <cellStyle name="Comma [0] 2 50" xfId="9845"/>
    <cellStyle name="Comma [0] 2 51" xfId="9846"/>
    <cellStyle name="Comma [0] 2 6" xfId="1907"/>
    <cellStyle name="Comma [0] 2 6 10" xfId="9847"/>
    <cellStyle name="Comma [0] 2 6 11" xfId="9848"/>
    <cellStyle name="Comma [0] 2 6 12" xfId="9849"/>
    <cellStyle name="Comma [0] 2 6 13" xfId="9850"/>
    <cellStyle name="Comma [0] 2 6 14" xfId="9851"/>
    <cellStyle name="Comma [0] 2 6 15" xfId="9852"/>
    <cellStyle name="Comma [0] 2 6 16" xfId="9853"/>
    <cellStyle name="Comma [0] 2 6 17" xfId="9854"/>
    <cellStyle name="Comma [0] 2 6 18" xfId="9855"/>
    <cellStyle name="Comma [0] 2 6 19" xfId="9856"/>
    <cellStyle name="Comma [0] 2 6 2" xfId="1908"/>
    <cellStyle name="Comma [0] 2 6 20" xfId="9857"/>
    <cellStyle name="Comma [0] 2 6 21" xfId="9858"/>
    <cellStyle name="Comma [0] 2 6 22" xfId="9859"/>
    <cellStyle name="Comma [0] 2 6 23" xfId="9860"/>
    <cellStyle name="Comma [0] 2 6 24" xfId="9861"/>
    <cellStyle name="Comma [0] 2 6 3" xfId="9862"/>
    <cellStyle name="Comma [0] 2 6 4" xfId="9863"/>
    <cellStyle name="Comma [0] 2 6 5" xfId="9864"/>
    <cellStyle name="Comma [0] 2 6 6" xfId="9865"/>
    <cellStyle name="Comma [0] 2 6 7" xfId="9866"/>
    <cellStyle name="Comma [0] 2 6 8" xfId="9867"/>
    <cellStyle name="Comma [0] 2 6 9" xfId="9868"/>
    <cellStyle name="Comma [0] 2 7" xfId="1909"/>
    <cellStyle name="Comma [0] 2 7 10" xfId="9869"/>
    <cellStyle name="Comma [0] 2 7 11" xfId="9870"/>
    <cellStyle name="Comma [0] 2 7 12" xfId="9871"/>
    <cellStyle name="Comma [0] 2 7 13" xfId="9872"/>
    <cellStyle name="Comma [0] 2 7 14" xfId="9873"/>
    <cellStyle name="Comma [0] 2 7 15" xfId="9874"/>
    <cellStyle name="Comma [0] 2 7 16" xfId="9875"/>
    <cellStyle name="Comma [0] 2 7 17" xfId="9876"/>
    <cellStyle name="Comma [0] 2 7 18" xfId="9877"/>
    <cellStyle name="Comma [0] 2 7 19" xfId="9878"/>
    <cellStyle name="Comma [0] 2 7 2" xfId="1910"/>
    <cellStyle name="Comma [0] 2 7 2 10" xfId="9879"/>
    <cellStyle name="Comma [0] 2 7 2 11" xfId="9880"/>
    <cellStyle name="Comma [0] 2 7 2 12" xfId="9881"/>
    <cellStyle name="Comma [0] 2 7 2 13" xfId="9882"/>
    <cellStyle name="Comma [0] 2 7 2 14" xfId="9883"/>
    <cellStyle name="Comma [0] 2 7 2 15" xfId="9884"/>
    <cellStyle name="Comma [0] 2 7 2 16" xfId="9885"/>
    <cellStyle name="Comma [0] 2 7 2 17" xfId="9886"/>
    <cellStyle name="Comma [0] 2 7 2 18" xfId="9887"/>
    <cellStyle name="Comma [0] 2 7 2 19" xfId="9888"/>
    <cellStyle name="Comma [0] 2 7 2 2" xfId="9889"/>
    <cellStyle name="Comma [0] 2 7 2 20" xfId="9890"/>
    <cellStyle name="Comma [0] 2 7 2 21" xfId="9891"/>
    <cellStyle name="Comma [0] 2 7 2 22" xfId="9892"/>
    <cellStyle name="Comma [0] 2 7 2 23" xfId="9893"/>
    <cellStyle name="Comma [0] 2 7 2 3" xfId="9894"/>
    <cellStyle name="Comma [0] 2 7 2 4" xfId="9895"/>
    <cellStyle name="Comma [0] 2 7 2 5" xfId="9896"/>
    <cellStyle name="Comma [0] 2 7 2 6" xfId="9897"/>
    <cellStyle name="Comma [0] 2 7 2 7" xfId="9898"/>
    <cellStyle name="Comma [0] 2 7 2 8" xfId="9899"/>
    <cellStyle name="Comma [0] 2 7 2 9" xfId="9900"/>
    <cellStyle name="Comma [0] 2 7 20" xfId="9901"/>
    <cellStyle name="Comma [0] 2 7 21" xfId="9902"/>
    <cellStyle name="Comma [0] 2 7 22" xfId="9903"/>
    <cellStyle name="Comma [0] 2 7 23" xfId="9904"/>
    <cellStyle name="Comma [0] 2 7 3" xfId="9905"/>
    <cellStyle name="Comma [0] 2 7 4" xfId="9906"/>
    <cellStyle name="Comma [0] 2 7 5" xfId="9907"/>
    <cellStyle name="Comma [0] 2 7 6" xfId="9908"/>
    <cellStyle name="Comma [0] 2 7 7" xfId="9909"/>
    <cellStyle name="Comma [0] 2 7 8" xfId="9910"/>
    <cellStyle name="Comma [0] 2 7 9" xfId="9911"/>
    <cellStyle name="Comma [0] 2 8" xfId="1911"/>
    <cellStyle name="Comma [0] 2 8 10" xfId="9912"/>
    <cellStyle name="Comma [0] 2 8 11" xfId="9913"/>
    <cellStyle name="Comma [0] 2 8 12" xfId="9914"/>
    <cellStyle name="Comma [0] 2 8 13" xfId="9915"/>
    <cellStyle name="Comma [0] 2 8 14" xfId="9916"/>
    <cellStyle name="Comma [0] 2 8 15" xfId="9917"/>
    <cellStyle name="Comma [0] 2 8 16" xfId="9918"/>
    <cellStyle name="Comma [0] 2 8 17" xfId="9919"/>
    <cellStyle name="Comma [0] 2 8 18" xfId="9920"/>
    <cellStyle name="Comma [0] 2 8 19" xfId="9921"/>
    <cellStyle name="Comma [0] 2 8 2" xfId="1912"/>
    <cellStyle name="Comma [0] 2 8 2 10" xfId="9922"/>
    <cellStyle name="Comma [0] 2 8 2 11" xfId="9923"/>
    <cellStyle name="Comma [0] 2 8 2 12" xfId="9924"/>
    <cellStyle name="Comma [0] 2 8 2 13" xfId="9925"/>
    <cellStyle name="Comma [0] 2 8 2 14" xfId="9926"/>
    <cellStyle name="Comma [0] 2 8 2 15" xfId="9927"/>
    <cellStyle name="Comma [0] 2 8 2 16" xfId="9928"/>
    <cellStyle name="Comma [0] 2 8 2 17" xfId="9929"/>
    <cellStyle name="Comma [0] 2 8 2 18" xfId="9930"/>
    <cellStyle name="Comma [0] 2 8 2 19" xfId="9931"/>
    <cellStyle name="Comma [0] 2 8 2 2" xfId="9932"/>
    <cellStyle name="Comma [0] 2 8 2 20" xfId="9933"/>
    <cellStyle name="Comma [0] 2 8 2 21" xfId="9934"/>
    <cellStyle name="Comma [0] 2 8 2 22" xfId="9935"/>
    <cellStyle name="Comma [0] 2 8 2 23" xfId="9936"/>
    <cellStyle name="Comma [0] 2 8 2 3" xfId="9937"/>
    <cellStyle name="Comma [0] 2 8 2 4" xfId="9938"/>
    <cellStyle name="Comma [0] 2 8 2 5" xfId="9939"/>
    <cellStyle name="Comma [0] 2 8 2 6" xfId="9940"/>
    <cellStyle name="Comma [0] 2 8 2 7" xfId="9941"/>
    <cellStyle name="Comma [0] 2 8 2 8" xfId="9942"/>
    <cellStyle name="Comma [0] 2 8 2 9" xfId="9943"/>
    <cellStyle name="Comma [0] 2 8 20" xfId="9944"/>
    <cellStyle name="Comma [0] 2 8 21" xfId="9945"/>
    <cellStyle name="Comma [0] 2 8 22" xfId="9946"/>
    <cellStyle name="Comma [0] 2 8 23" xfId="9947"/>
    <cellStyle name="Comma [0] 2 8 3" xfId="9948"/>
    <cellStyle name="Comma [0] 2 8 4" xfId="9949"/>
    <cellStyle name="Comma [0] 2 8 5" xfId="9950"/>
    <cellStyle name="Comma [0] 2 8 6" xfId="9951"/>
    <cellStyle name="Comma [0] 2 8 7" xfId="9952"/>
    <cellStyle name="Comma [0] 2 8 8" xfId="9953"/>
    <cellStyle name="Comma [0] 2 8 9" xfId="9954"/>
    <cellStyle name="Comma [0] 2 9" xfId="1913"/>
    <cellStyle name="Comma [0] 2 9 10" xfId="9955"/>
    <cellStyle name="Comma [0] 2 9 11" xfId="9956"/>
    <cellStyle name="Comma [0] 2 9 12" xfId="9957"/>
    <cellStyle name="Comma [0] 2 9 13" xfId="9958"/>
    <cellStyle name="Comma [0] 2 9 14" xfId="9959"/>
    <cellStyle name="Comma [0] 2 9 15" xfId="9960"/>
    <cellStyle name="Comma [0] 2 9 16" xfId="9961"/>
    <cellStyle name="Comma [0] 2 9 17" xfId="9962"/>
    <cellStyle name="Comma [0] 2 9 18" xfId="9963"/>
    <cellStyle name="Comma [0] 2 9 19" xfId="9964"/>
    <cellStyle name="Comma [0] 2 9 2" xfId="1914"/>
    <cellStyle name="Comma [0] 2 9 2 2" xfId="1915"/>
    <cellStyle name="Comma [0] 2 9 20" xfId="9965"/>
    <cellStyle name="Comma [0] 2 9 21" xfId="9966"/>
    <cellStyle name="Comma [0] 2 9 22" xfId="9967"/>
    <cellStyle name="Comma [0] 2 9 23" xfId="9968"/>
    <cellStyle name="Comma [0] 2 9 24" xfId="9969"/>
    <cellStyle name="Comma [0] 2 9 3" xfId="1916"/>
    <cellStyle name="Comma [0] 2 9 4" xfId="9970"/>
    <cellStyle name="Comma [0] 2 9 5" xfId="9971"/>
    <cellStyle name="Comma [0] 2 9 6" xfId="9972"/>
    <cellStyle name="Comma [0] 2 9 7" xfId="9973"/>
    <cellStyle name="Comma [0] 2 9 8" xfId="9974"/>
    <cellStyle name="Comma [0] 2 9 9" xfId="9975"/>
    <cellStyle name="Comma [0] 20" xfId="1917"/>
    <cellStyle name="Comma [0] 20 2" xfId="1918"/>
    <cellStyle name="Comma [0] 20 2 10" xfId="9976"/>
    <cellStyle name="Comma [0] 20 2 11" xfId="9977"/>
    <cellStyle name="Comma [0] 20 2 12" xfId="9978"/>
    <cellStyle name="Comma [0] 20 2 13" xfId="9979"/>
    <cellStyle name="Comma [0] 20 2 14" xfId="9980"/>
    <cellStyle name="Comma [0] 20 2 15" xfId="9981"/>
    <cellStyle name="Comma [0] 20 2 16" xfId="9982"/>
    <cellStyle name="Comma [0] 20 2 17" xfId="9983"/>
    <cellStyle name="Comma [0] 20 2 18" xfId="9984"/>
    <cellStyle name="Comma [0] 20 2 19" xfId="9985"/>
    <cellStyle name="Comma [0] 20 2 2" xfId="9986"/>
    <cellStyle name="Comma [0] 20 2 20" xfId="9987"/>
    <cellStyle name="Comma [0] 20 2 21" xfId="9988"/>
    <cellStyle name="Comma [0] 20 2 22" xfId="9989"/>
    <cellStyle name="Comma [0] 20 2 23" xfId="9990"/>
    <cellStyle name="Comma [0] 20 2 3" xfId="9991"/>
    <cellStyle name="Comma [0] 20 2 4" xfId="9992"/>
    <cellStyle name="Comma [0] 20 2 5" xfId="9993"/>
    <cellStyle name="Comma [0] 20 2 6" xfId="9994"/>
    <cellStyle name="Comma [0] 20 2 7" xfId="9995"/>
    <cellStyle name="Comma [0] 20 2 8" xfId="9996"/>
    <cellStyle name="Comma [0] 20 2 9" xfId="9997"/>
    <cellStyle name="Comma [0] 20 3" xfId="1919"/>
    <cellStyle name="Comma [0] 20 4" xfId="1920"/>
    <cellStyle name="Comma [0] 21" xfId="1921"/>
    <cellStyle name="Comma [0] 21 10" xfId="1922"/>
    <cellStyle name="Comma [0] 21 2" xfId="1923"/>
    <cellStyle name="Comma [0] 21 3" xfId="1924"/>
    <cellStyle name="Comma [0] 21 4" xfId="1925"/>
    <cellStyle name="Comma [0] 21 5" xfId="1926"/>
    <cellStyle name="Comma [0] 21 6" xfId="1927"/>
    <cellStyle name="Comma [0] 21 7" xfId="1928"/>
    <cellStyle name="Comma [0] 21 8" xfId="1929"/>
    <cellStyle name="Comma [0] 21 9" xfId="1930"/>
    <cellStyle name="Comma [0] 22" xfId="1931"/>
    <cellStyle name="Comma [0] 22 10" xfId="1932"/>
    <cellStyle name="Comma [0] 22 2" xfId="1933"/>
    <cellStyle name="Comma [0] 22 2 10" xfId="9998"/>
    <cellStyle name="Comma [0] 22 2 11" xfId="9999"/>
    <cellStyle name="Comma [0] 22 2 12" xfId="10000"/>
    <cellStyle name="Comma [0] 22 2 13" xfId="10001"/>
    <cellStyle name="Comma [0] 22 2 14" xfId="10002"/>
    <cellStyle name="Comma [0] 22 2 15" xfId="10003"/>
    <cellStyle name="Comma [0] 22 2 16" xfId="10004"/>
    <cellStyle name="Comma [0] 22 2 17" xfId="10005"/>
    <cellStyle name="Comma [0] 22 2 18" xfId="10006"/>
    <cellStyle name="Comma [0] 22 2 19" xfId="10007"/>
    <cellStyle name="Comma [0] 22 2 2" xfId="10008"/>
    <cellStyle name="Comma [0] 22 2 20" xfId="10009"/>
    <cellStyle name="Comma [0] 22 2 21" xfId="10010"/>
    <cellStyle name="Comma [0] 22 2 22" xfId="10011"/>
    <cellStyle name="Comma [0] 22 2 23" xfId="10012"/>
    <cellStyle name="Comma [0] 22 2 3" xfId="10013"/>
    <cellStyle name="Comma [0] 22 2 4" xfId="10014"/>
    <cellStyle name="Comma [0] 22 2 5" xfId="10015"/>
    <cellStyle name="Comma [0] 22 2 6" xfId="10016"/>
    <cellStyle name="Comma [0] 22 2 7" xfId="10017"/>
    <cellStyle name="Comma [0] 22 2 8" xfId="10018"/>
    <cellStyle name="Comma [0] 22 2 9" xfId="10019"/>
    <cellStyle name="Comma [0] 22 3" xfId="1934"/>
    <cellStyle name="Comma [0] 22 4" xfId="1935"/>
    <cellStyle name="Comma [0] 22 5" xfId="1936"/>
    <cellStyle name="Comma [0] 22 6" xfId="1937"/>
    <cellStyle name="Comma [0] 22 7" xfId="1938"/>
    <cellStyle name="Comma [0] 22 8" xfId="1939"/>
    <cellStyle name="Comma [0] 22 9" xfId="1940"/>
    <cellStyle name="Comma [0] 23" xfId="1941"/>
    <cellStyle name="Comma [0] 23 10" xfId="1942"/>
    <cellStyle name="Comma [0] 23 2" xfId="1943"/>
    <cellStyle name="Comma [0] 23 3" xfId="1944"/>
    <cellStyle name="Comma [0] 23 4" xfId="1945"/>
    <cellStyle name="Comma [0] 23 5" xfId="1946"/>
    <cellStyle name="Comma [0] 23 6" xfId="1947"/>
    <cellStyle name="Comma [0] 23 7" xfId="1948"/>
    <cellStyle name="Comma [0] 23 8" xfId="1949"/>
    <cellStyle name="Comma [0] 23 9" xfId="1950"/>
    <cellStyle name="Comma [0] 24" xfId="1951"/>
    <cellStyle name="Comma [0] 24 2" xfId="1952"/>
    <cellStyle name="Comma [0] 24 3" xfId="1953"/>
    <cellStyle name="Comma [0] 24 4" xfId="1954"/>
    <cellStyle name="Comma [0] 25" xfId="1955"/>
    <cellStyle name="Comma [0] 25 10" xfId="1956"/>
    <cellStyle name="Comma [0] 25 2" xfId="1957"/>
    <cellStyle name="Comma [0] 25 2 10" xfId="10020"/>
    <cellStyle name="Comma [0] 25 2 11" xfId="10021"/>
    <cellStyle name="Comma [0] 25 2 12" xfId="10022"/>
    <cellStyle name="Comma [0] 25 2 13" xfId="10023"/>
    <cellStyle name="Comma [0] 25 2 14" xfId="10024"/>
    <cellStyle name="Comma [0] 25 2 15" xfId="10025"/>
    <cellStyle name="Comma [0] 25 2 16" xfId="10026"/>
    <cellStyle name="Comma [0] 25 2 17" xfId="10027"/>
    <cellStyle name="Comma [0] 25 2 18" xfId="10028"/>
    <cellStyle name="Comma [0] 25 2 19" xfId="10029"/>
    <cellStyle name="Comma [0] 25 2 2" xfId="10030"/>
    <cellStyle name="Comma [0] 25 2 20" xfId="10031"/>
    <cellStyle name="Comma [0] 25 2 21" xfId="10032"/>
    <cellStyle name="Comma [0] 25 2 22" xfId="10033"/>
    <cellStyle name="Comma [0] 25 2 23" xfId="10034"/>
    <cellStyle name="Comma [0] 25 2 3" xfId="10035"/>
    <cellStyle name="Comma [0] 25 2 4" xfId="10036"/>
    <cellStyle name="Comma [0] 25 2 5" xfId="10037"/>
    <cellStyle name="Comma [0] 25 2 6" xfId="10038"/>
    <cellStyle name="Comma [0] 25 2 7" xfId="10039"/>
    <cellStyle name="Comma [0] 25 2 8" xfId="10040"/>
    <cellStyle name="Comma [0] 25 2 9" xfId="10041"/>
    <cellStyle name="Comma [0] 25 3" xfId="1958"/>
    <cellStyle name="Comma [0] 25 4" xfId="1959"/>
    <cellStyle name="Comma [0] 25 5" xfId="1960"/>
    <cellStyle name="Comma [0] 25 6" xfId="1961"/>
    <cellStyle name="Comma [0] 25 7" xfId="1962"/>
    <cellStyle name="Comma [0] 25 8" xfId="1963"/>
    <cellStyle name="Comma [0] 25 9" xfId="1964"/>
    <cellStyle name="Comma [0] 26" xfId="1965"/>
    <cellStyle name="Comma [0] 26 10" xfId="1966"/>
    <cellStyle name="Comma [0] 26 2" xfId="1967"/>
    <cellStyle name="Comma [0] 26 3" xfId="1968"/>
    <cellStyle name="Comma [0] 26 4" xfId="1969"/>
    <cellStyle name="Comma [0] 26 5" xfId="1970"/>
    <cellStyle name="Comma [0] 26 6" xfId="1971"/>
    <cellStyle name="Comma [0] 26 7" xfId="1972"/>
    <cellStyle name="Comma [0] 26 8" xfId="1973"/>
    <cellStyle name="Comma [0] 26 9" xfId="1974"/>
    <cellStyle name="Comma [0] 27" xfId="1975"/>
    <cellStyle name="Comma [0] 27 2" xfId="1976"/>
    <cellStyle name="Comma [0] 27 2 10" xfId="10042"/>
    <cellStyle name="Comma [0] 27 2 11" xfId="10043"/>
    <cellStyle name="Comma [0] 27 2 12" xfId="10044"/>
    <cellStyle name="Comma [0] 27 2 13" xfId="10045"/>
    <cellStyle name="Comma [0] 27 2 14" xfId="10046"/>
    <cellStyle name="Comma [0] 27 2 15" xfId="10047"/>
    <cellStyle name="Comma [0] 27 2 16" xfId="10048"/>
    <cellStyle name="Comma [0] 27 2 17" xfId="10049"/>
    <cellStyle name="Comma [0] 27 2 18" xfId="10050"/>
    <cellStyle name="Comma [0] 27 2 19" xfId="10051"/>
    <cellStyle name="Comma [0] 27 2 2" xfId="10052"/>
    <cellStyle name="Comma [0] 27 2 20" xfId="10053"/>
    <cellStyle name="Comma [0] 27 2 21" xfId="10054"/>
    <cellStyle name="Comma [0] 27 2 22" xfId="10055"/>
    <cellStyle name="Comma [0] 27 2 23" xfId="10056"/>
    <cellStyle name="Comma [0] 27 2 3" xfId="10057"/>
    <cellStyle name="Comma [0] 27 2 4" xfId="10058"/>
    <cellStyle name="Comma [0] 27 2 5" xfId="10059"/>
    <cellStyle name="Comma [0] 27 2 6" xfId="10060"/>
    <cellStyle name="Comma [0] 27 2 7" xfId="10061"/>
    <cellStyle name="Comma [0] 27 2 8" xfId="10062"/>
    <cellStyle name="Comma [0] 27 2 9" xfId="10063"/>
    <cellStyle name="Comma [0] 27 3" xfId="1977"/>
    <cellStyle name="Comma [0] 27 4" xfId="1978"/>
    <cellStyle name="Comma [0] 28" xfId="1979"/>
    <cellStyle name="Comma [0] 28 2" xfId="1980"/>
    <cellStyle name="Comma [0] 28 3" xfId="1981"/>
    <cellStyle name="Comma [0] 28 4" xfId="1982"/>
    <cellStyle name="Comma [0] 29" xfId="1983"/>
    <cellStyle name="Comma [0] 29 10" xfId="1984"/>
    <cellStyle name="Comma [0] 29 2" xfId="1985"/>
    <cellStyle name="Comma [0] 29 3" xfId="1986"/>
    <cellStyle name="Comma [0] 29 4" xfId="1987"/>
    <cellStyle name="Comma [0] 29 5" xfId="1988"/>
    <cellStyle name="Comma [0] 29 6" xfId="1989"/>
    <cellStyle name="Comma [0] 29 7" xfId="1990"/>
    <cellStyle name="Comma [0] 29 8" xfId="1991"/>
    <cellStyle name="Comma [0] 29 9" xfId="1992"/>
    <cellStyle name="Comma [0] 3" xfId="12"/>
    <cellStyle name="Comma [0] 3 10" xfId="10064"/>
    <cellStyle name="Comma [0] 3 11" xfId="10065"/>
    <cellStyle name="Comma [0] 3 12" xfId="10066"/>
    <cellStyle name="Comma [0] 3 13" xfId="10067"/>
    <cellStyle name="Comma [0] 3 14" xfId="10068"/>
    <cellStyle name="Comma [0] 3 15" xfId="10069"/>
    <cellStyle name="Comma [0] 3 16" xfId="10070"/>
    <cellStyle name="Comma [0] 3 17" xfId="10071"/>
    <cellStyle name="Comma [0] 3 18" xfId="10072"/>
    <cellStyle name="Comma [0] 3 19" xfId="10073"/>
    <cellStyle name="Comma [0] 3 2" xfId="1993"/>
    <cellStyle name="Comma [0] 3 2 10" xfId="1994"/>
    <cellStyle name="Comma [0] 3 2 11" xfId="1995"/>
    <cellStyle name="Comma [0] 3 2 12" xfId="1996"/>
    <cellStyle name="Comma [0] 3 2 13" xfId="1997"/>
    <cellStyle name="Comma [0] 3 2 14" xfId="1998"/>
    <cellStyle name="Comma [0] 3 2 15" xfId="1999"/>
    <cellStyle name="Comma [0] 3 2 16" xfId="2000"/>
    <cellStyle name="Comma [0] 3 2 17" xfId="10074"/>
    <cellStyle name="Comma [0] 3 2 18" xfId="10075"/>
    <cellStyle name="Comma [0] 3 2 19" xfId="10076"/>
    <cellStyle name="Comma [0] 3 2 2" xfId="2001"/>
    <cellStyle name="Comma [0] 3 2 2 10" xfId="10077"/>
    <cellStyle name="Comma [0] 3 2 2 11" xfId="10078"/>
    <cellStyle name="Comma [0] 3 2 2 12" xfId="10079"/>
    <cellStyle name="Comma [0] 3 2 2 13" xfId="10080"/>
    <cellStyle name="Comma [0] 3 2 2 14" xfId="10081"/>
    <cellStyle name="Comma [0] 3 2 2 15" xfId="10082"/>
    <cellStyle name="Comma [0] 3 2 2 16" xfId="10083"/>
    <cellStyle name="Comma [0] 3 2 2 17" xfId="10084"/>
    <cellStyle name="Comma [0] 3 2 2 18" xfId="10085"/>
    <cellStyle name="Comma [0] 3 2 2 19" xfId="10086"/>
    <cellStyle name="Comma [0] 3 2 2 2" xfId="2002"/>
    <cellStyle name="Comma [0] 3 2 2 2 10" xfId="10087"/>
    <cellStyle name="Comma [0] 3 2 2 2 11" xfId="10088"/>
    <cellStyle name="Comma [0] 3 2 2 2 12" xfId="10089"/>
    <cellStyle name="Comma [0] 3 2 2 2 13" xfId="10090"/>
    <cellStyle name="Comma [0] 3 2 2 2 14" xfId="10091"/>
    <cellStyle name="Comma [0] 3 2 2 2 15" xfId="10092"/>
    <cellStyle name="Comma [0] 3 2 2 2 16" xfId="10093"/>
    <cellStyle name="Comma [0] 3 2 2 2 17" xfId="10094"/>
    <cellStyle name="Comma [0] 3 2 2 2 18" xfId="10095"/>
    <cellStyle name="Comma [0] 3 2 2 2 19" xfId="10096"/>
    <cellStyle name="Comma [0] 3 2 2 2 2" xfId="10097"/>
    <cellStyle name="Comma [0] 3 2 2 2 20" xfId="10098"/>
    <cellStyle name="Comma [0] 3 2 2 2 21" xfId="10099"/>
    <cellStyle name="Comma [0] 3 2 2 2 22" xfId="10100"/>
    <cellStyle name="Comma [0] 3 2 2 2 23" xfId="10101"/>
    <cellStyle name="Comma [0] 3 2 2 2 3" xfId="10102"/>
    <cellStyle name="Comma [0] 3 2 2 2 4" xfId="10103"/>
    <cellStyle name="Comma [0] 3 2 2 2 5" xfId="10104"/>
    <cellStyle name="Comma [0] 3 2 2 2 6" xfId="10105"/>
    <cellStyle name="Comma [0] 3 2 2 2 7" xfId="10106"/>
    <cellStyle name="Comma [0] 3 2 2 2 8" xfId="10107"/>
    <cellStyle name="Comma [0] 3 2 2 2 9" xfId="10108"/>
    <cellStyle name="Comma [0] 3 2 2 20" xfId="10109"/>
    <cellStyle name="Comma [0] 3 2 2 21" xfId="10110"/>
    <cellStyle name="Comma [0] 3 2 2 22" xfId="10111"/>
    <cellStyle name="Comma [0] 3 2 2 23" xfId="10112"/>
    <cellStyle name="Comma [0] 3 2 2 24" xfId="10113"/>
    <cellStyle name="Comma [0] 3 2 2 25" xfId="10114"/>
    <cellStyle name="Comma [0] 3 2 2 26" xfId="10115"/>
    <cellStyle name="Comma [0] 3 2 2 27" xfId="10116"/>
    <cellStyle name="Comma [0] 3 2 2 28" xfId="10117"/>
    <cellStyle name="Comma [0] 3 2 2 29" xfId="10118"/>
    <cellStyle name="Comma [0] 3 2 2 3" xfId="2003"/>
    <cellStyle name="Comma [0] 3 2 2 3 2" xfId="2004"/>
    <cellStyle name="Comma [0] 3 2 2 4" xfId="2005"/>
    <cellStyle name="Comma [0] 3 2 2 5" xfId="2006"/>
    <cellStyle name="Comma [0] 3 2 2 6" xfId="2007"/>
    <cellStyle name="Comma [0] 3 2 2 7" xfId="2008"/>
    <cellStyle name="Comma [0] 3 2 2 8" xfId="2009"/>
    <cellStyle name="Comma [0] 3 2 2 9" xfId="10119"/>
    <cellStyle name="Comma [0] 3 2 20" xfId="10120"/>
    <cellStyle name="Comma [0] 3 2 21" xfId="10121"/>
    <cellStyle name="Comma [0] 3 2 22" xfId="10122"/>
    <cellStyle name="Comma [0] 3 2 23" xfId="10123"/>
    <cellStyle name="Comma [0] 3 2 24" xfId="10124"/>
    <cellStyle name="Comma [0] 3 2 25" xfId="10125"/>
    <cellStyle name="Comma [0] 3 2 26" xfId="10126"/>
    <cellStyle name="Comma [0] 3 2 27" xfId="10127"/>
    <cellStyle name="Comma [0] 3 2 28" xfId="10128"/>
    <cellStyle name="Comma [0] 3 2 29" xfId="10129"/>
    <cellStyle name="Comma [0] 3 2 3" xfId="2010"/>
    <cellStyle name="Comma [0] 3 2 3 10" xfId="10130"/>
    <cellStyle name="Comma [0] 3 2 3 11" xfId="10131"/>
    <cellStyle name="Comma [0] 3 2 3 12" xfId="10132"/>
    <cellStyle name="Comma [0] 3 2 3 13" xfId="10133"/>
    <cellStyle name="Comma [0] 3 2 3 14" xfId="10134"/>
    <cellStyle name="Comma [0] 3 2 3 15" xfId="10135"/>
    <cellStyle name="Comma [0] 3 2 3 16" xfId="10136"/>
    <cellStyle name="Comma [0] 3 2 3 17" xfId="10137"/>
    <cellStyle name="Comma [0] 3 2 3 18" xfId="10138"/>
    <cellStyle name="Comma [0] 3 2 3 19" xfId="10139"/>
    <cellStyle name="Comma [0] 3 2 3 2" xfId="2011"/>
    <cellStyle name="Comma [0] 3 2 3 2 10" xfId="10140"/>
    <cellStyle name="Comma [0] 3 2 3 2 11" xfId="10141"/>
    <cellStyle name="Comma [0] 3 2 3 2 12" xfId="10142"/>
    <cellStyle name="Comma [0] 3 2 3 2 13" xfId="10143"/>
    <cellStyle name="Comma [0] 3 2 3 2 14" xfId="10144"/>
    <cellStyle name="Comma [0] 3 2 3 2 15" xfId="10145"/>
    <cellStyle name="Comma [0] 3 2 3 2 16" xfId="10146"/>
    <cellStyle name="Comma [0] 3 2 3 2 17" xfId="10147"/>
    <cellStyle name="Comma [0] 3 2 3 2 18" xfId="10148"/>
    <cellStyle name="Comma [0] 3 2 3 2 19" xfId="10149"/>
    <cellStyle name="Comma [0] 3 2 3 2 2" xfId="10150"/>
    <cellStyle name="Comma [0] 3 2 3 2 20" xfId="10151"/>
    <cellStyle name="Comma [0] 3 2 3 2 21" xfId="10152"/>
    <cellStyle name="Comma [0] 3 2 3 2 22" xfId="10153"/>
    <cellStyle name="Comma [0] 3 2 3 2 23" xfId="10154"/>
    <cellStyle name="Comma [0] 3 2 3 2 3" xfId="10155"/>
    <cellStyle name="Comma [0] 3 2 3 2 4" xfId="10156"/>
    <cellStyle name="Comma [0] 3 2 3 2 5" xfId="10157"/>
    <cellStyle name="Comma [0] 3 2 3 2 6" xfId="10158"/>
    <cellStyle name="Comma [0] 3 2 3 2 7" xfId="10159"/>
    <cellStyle name="Comma [0] 3 2 3 2 8" xfId="10160"/>
    <cellStyle name="Comma [0] 3 2 3 2 9" xfId="10161"/>
    <cellStyle name="Comma [0] 3 2 3 20" xfId="10162"/>
    <cellStyle name="Comma [0] 3 2 3 21" xfId="10163"/>
    <cellStyle name="Comma [0] 3 2 3 22" xfId="10164"/>
    <cellStyle name="Comma [0] 3 2 3 23" xfId="10165"/>
    <cellStyle name="Comma [0] 3 2 3 24" xfId="10166"/>
    <cellStyle name="Comma [0] 3 2 3 25" xfId="10167"/>
    <cellStyle name="Comma [0] 3 2 3 26" xfId="10168"/>
    <cellStyle name="Comma [0] 3 2 3 27" xfId="10169"/>
    <cellStyle name="Comma [0] 3 2 3 28" xfId="10170"/>
    <cellStyle name="Comma [0] 3 2 3 3" xfId="2012"/>
    <cellStyle name="Comma [0] 3 2 3 3 10" xfId="10171"/>
    <cellStyle name="Comma [0] 3 2 3 3 11" xfId="10172"/>
    <cellStyle name="Comma [0] 3 2 3 3 12" xfId="10173"/>
    <cellStyle name="Comma [0] 3 2 3 3 13" xfId="10174"/>
    <cellStyle name="Comma [0] 3 2 3 3 14" xfId="10175"/>
    <cellStyle name="Comma [0] 3 2 3 3 15" xfId="10176"/>
    <cellStyle name="Comma [0] 3 2 3 3 16" xfId="10177"/>
    <cellStyle name="Comma [0] 3 2 3 3 17" xfId="10178"/>
    <cellStyle name="Comma [0] 3 2 3 3 18" xfId="10179"/>
    <cellStyle name="Comma [0] 3 2 3 3 19" xfId="10180"/>
    <cellStyle name="Comma [0] 3 2 3 3 2" xfId="10181"/>
    <cellStyle name="Comma [0] 3 2 3 3 20" xfId="10182"/>
    <cellStyle name="Comma [0] 3 2 3 3 21" xfId="10183"/>
    <cellStyle name="Comma [0] 3 2 3 3 22" xfId="10184"/>
    <cellStyle name="Comma [0] 3 2 3 3 23" xfId="10185"/>
    <cellStyle name="Comma [0] 3 2 3 3 3" xfId="10186"/>
    <cellStyle name="Comma [0] 3 2 3 3 4" xfId="10187"/>
    <cellStyle name="Comma [0] 3 2 3 3 5" xfId="10188"/>
    <cellStyle name="Comma [0] 3 2 3 3 6" xfId="10189"/>
    <cellStyle name="Comma [0] 3 2 3 3 7" xfId="10190"/>
    <cellStyle name="Comma [0] 3 2 3 3 8" xfId="10191"/>
    <cellStyle name="Comma [0] 3 2 3 3 9" xfId="10192"/>
    <cellStyle name="Comma [0] 3 2 3 4" xfId="2013"/>
    <cellStyle name="Comma [0] 3 2 3 5" xfId="2014"/>
    <cellStyle name="Comma [0] 3 2 3 6" xfId="2015"/>
    <cellStyle name="Comma [0] 3 2 3 7" xfId="2016"/>
    <cellStyle name="Comma [0] 3 2 3 8" xfId="10193"/>
    <cellStyle name="Comma [0] 3 2 3 9" xfId="10194"/>
    <cellStyle name="Comma [0] 3 2 30" xfId="10195"/>
    <cellStyle name="Comma [0] 3 2 31" xfId="10196"/>
    <cellStyle name="Comma [0] 3 2 32" xfId="10197"/>
    <cellStyle name="Comma [0] 3 2 33" xfId="10198"/>
    <cellStyle name="Comma [0] 3 2 34" xfId="10199"/>
    <cellStyle name="Comma [0] 3 2 35" xfId="10200"/>
    <cellStyle name="Comma [0] 3 2 36" xfId="10201"/>
    <cellStyle name="Comma [0] 3 2 37" xfId="10202"/>
    <cellStyle name="Comma [0] 3 2 4" xfId="2017"/>
    <cellStyle name="Comma [0] 3 2 4 10" xfId="10203"/>
    <cellStyle name="Comma [0] 3 2 4 11" xfId="10204"/>
    <cellStyle name="Comma [0] 3 2 4 12" xfId="10205"/>
    <cellStyle name="Comma [0] 3 2 4 13" xfId="10206"/>
    <cellStyle name="Comma [0] 3 2 4 14" xfId="10207"/>
    <cellStyle name="Comma [0] 3 2 4 15" xfId="10208"/>
    <cellStyle name="Comma [0] 3 2 4 16" xfId="10209"/>
    <cellStyle name="Comma [0] 3 2 4 17" xfId="10210"/>
    <cellStyle name="Comma [0] 3 2 4 18" xfId="10211"/>
    <cellStyle name="Comma [0] 3 2 4 19" xfId="10212"/>
    <cellStyle name="Comma [0] 3 2 4 2" xfId="2018"/>
    <cellStyle name="Comma [0] 3 2 4 2 10" xfId="10213"/>
    <cellStyle name="Comma [0] 3 2 4 2 11" xfId="10214"/>
    <cellStyle name="Comma [0] 3 2 4 2 12" xfId="10215"/>
    <cellStyle name="Comma [0] 3 2 4 2 13" xfId="10216"/>
    <cellStyle name="Comma [0] 3 2 4 2 14" xfId="10217"/>
    <cellStyle name="Comma [0] 3 2 4 2 15" xfId="10218"/>
    <cellStyle name="Comma [0] 3 2 4 2 16" xfId="10219"/>
    <cellStyle name="Comma [0] 3 2 4 2 17" xfId="10220"/>
    <cellStyle name="Comma [0] 3 2 4 2 18" xfId="10221"/>
    <cellStyle name="Comma [0] 3 2 4 2 19" xfId="10222"/>
    <cellStyle name="Comma [0] 3 2 4 2 2" xfId="10223"/>
    <cellStyle name="Comma [0] 3 2 4 2 20" xfId="10224"/>
    <cellStyle name="Comma [0] 3 2 4 2 21" xfId="10225"/>
    <cellStyle name="Comma [0] 3 2 4 2 22" xfId="10226"/>
    <cellStyle name="Comma [0] 3 2 4 2 23" xfId="10227"/>
    <cellStyle name="Comma [0] 3 2 4 2 3" xfId="10228"/>
    <cellStyle name="Comma [0] 3 2 4 2 4" xfId="10229"/>
    <cellStyle name="Comma [0] 3 2 4 2 5" xfId="10230"/>
    <cellStyle name="Comma [0] 3 2 4 2 6" xfId="10231"/>
    <cellStyle name="Comma [0] 3 2 4 2 7" xfId="10232"/>
    <cellStyle name="Comma [0] 3 2 4 2 8" xfId="10233"/>
    <cellStyle name="Comma [0] 3 2 4 2 9" xfId="10234"/>
    <cellStyle name="Comma [0] 3 2 4 20" xfId="10235"/>
    <cellStyle name="Comma [0] 3 2 4 21" xfId="10236"/>
    <cellStyle name="Comma [0] 3 2 4 22" xfId="10237"/>
    <cellStyle name="Comma [0] 3 2 4 23" xfId="10238"/>
    <cellStyle name="Comma [0] 3 2 4 24" xfId="10239"/>
    <cellStyle name="Comma [0] 3 2 4 25" xfId="10240"/>
    <cellStyle name="Comma [0] 3 2 4 26" xfId="10241"/>
    <cellStyle name="Comma [0] 3 2 4 27" xfId="10242"/>
    <cellStyle name="Comma [0] 3 2 4 28" xfId="10243"/>
    <cellStyle name="Comma [0] 3 2 4 3" xfId="2019"/>
    <cellStyle name="Comma [0] 3 2 4 4" xfId="2020"/>
    <cellStyle name="Comma [0] 3 2 4 5" xfId="2021"/>
    <cellStyle name="Comma [0] 3 2 4 6" xfId="2022"/>
    <cellStyle name="Comma [0] 3 2 4 7" xfId="2023"/>
    <cellStyle name="Comma [0] 3 2 4 8" xfId="10244"/>
    <cellStyle name="Comma [0] 3 2 4 9" xfId="10245"/>
    <cellStyle name="Comma [0] 3 2 5" xfId="2024"/>
    <cellStyle name="Comma [0] 3 2 5 10" xfId="10246"/>
    <cellStyle name="Comma [0] 3 2 5 11" xfId="10247"/>
    <cellStyle name="Comma [0] 3 2 5 12" xfId="10248"/>
    <cellStyle name="Comma [0] 3 2 5 13" xfId="10249"/>
    <cellStyle name="Comma [0] 3 2 5 14" xfId="10250"/>
    <cellStyle name="Comma [0] 3 2 5 15" xfId="10251"/>
    <cellStyle name="Comma [0] 3 2 5 16" xfId="10252"/>
    <cellStyle name="Comma [0] 3 2 5 17" xfId="10253"/>
    <cellStyle name="Comma [0] 3 2 5 18" xfId="10254"/>
    <cellStyle name="Comma [0] 3 2 5 19" xfId="10255"/>
    <cellStyle name="Comma [0] 3 2 5 2" xfId="2025"/>
    <cellStyle name="Comma [0] 3 2 5 2 10" xfId="10256"/>
    <cellStyle name="Comma [0] 3 2 5 2 11" xfId="10257"/>
    <cellStyle name="Comma [0] 3 2 5 2 12" xfId="10258"/>
    <cellStyle name="Comma [0] 3 2 5 2 13" xfId="10259"/>
    <cellStyle name="Comma [0] 3 2 5 2 14" xfId="10260"/>
    <cellStyle name="Comma [0] 3 2 5 2 15" xfId="10261"/>
    <cellStyle name="Comma [0] 3 2 5 2 16" xfId="10262"/>
    <cellStyle name="Comma [0] 3 2 5 2 17" xfId="10263"/>
    <cellStyle name="Comma [0] 3 2 5 2 18" xfId="10264"/>
    <cellStyle name="Comma [0] 3 2 5 2 19" xfId="10265"/>
    <cellStyle name="Comma [0] 3 2 5 2 2" xfId="10266"/>
    <cellStyle name="Comma [0] 3 2 5 2 20" xfId="10267"/>
    <cellStyle name="Comma [0] 3 2 5 2 21" xfId="10268"/>
    <cellStyle name="Comma [0] 3 2 5 2 22" xfId="10269"/>
    <cellStyle name="Comma [0] 3 2 5 2 23" xfId="10270"/>
    <cellStyle name="Comma [0] 3 2 5 2 3" xfId="10271"/>
    <cellStyle name="Comma [0] 3 2 5 2 4" xfId="10272"/>
    <cellStyle name="Comma [0] 3 2 5 2 5" xfId="10273"/>
    <cellStyle name="Comma [0] 3 2 5 2 6" xfId="10274"/>
    <cellStyle name="Comma [0] 3 2 5 2 7" xfId="10275"/>
    <cellStyle name="Comma [0] 3 2 5 2 8" xfId="10276"/>
    <cellStyle name="Comma [0] 3 2 5 2 9" xfId="10277"/>
    <cellStyle name="Comma [0] 3 2 5 20" xfId="10278"/>
    <cellStyle name="Comma [0] 3 2 5 21" xfId="10279"/>
    <cellStyle name="Comma [0] 3 2 5 22" xfId="10280"/>
    <cellStyle name="Comma [0] 3 2 5 23" xfId="10281"/>
    <cellStyle name="Comma [0] 3 2 5 24" xfId="10282"/>
    <cellStyle name="Comma [0] 3 2 5 25" xfId="10283"/>
    <cellStyle name="Comma [0] 3 2 5 26" xfId="10284"/>
    <cellStyle name="Comma [0] 3 2 5 27" xfId="10285"/>
    <cellStyle name="Comma [0] 3 2 5 28" xfId="10286"/>
    <cellStyle name="Comma [0] 3 2 5 3" xfId="2026"/>
    <cellStyle name="Comma [0] 3 2 5 4" xfId="2027"/>
    <cellStyle name="Comma [0] 3 2 5 5" xfId="2028"/>
    <cellStyle name="Comma [0] 3 2 5 6" xfId="2029"/>
    <cellStyle name="Comma [0] 3 2 5 7" xfId="2030"/>
    <cellStyle name="Comma [0] 3 2 5 8" xfId="10287"/>
    <cellStyle name="Comma [0] 3 2 5 9" xfId="10288"/>
    <cellStyle name="Comma [0] 3 2 6" xfId="2031"/>
    <cellStyle name="Comma [0] 3 2 6 10" xfId="10289"/>
    <cellStyle name="Comma [0] 3 2 6 2" xfId="2032"/>
    <cellStyle name="Comma [0] 3 2 6 3" xfId="2033"/>
    <cellStyle name="Comma [0] 3 2 6 4" xfId="2034"/>
    <cellStyle name="Comma [0] 3 2 6 5" xfId="2035"/>
    <cellStyle name="Comma [0] 3 2 6 6" xfId="2036"/>
    <cellStyle name="Comma [0] 3 2 6 7" xfId="2037"/>
    <cellStyle name="Comma [0] 3 2 6 8" xfId="10290"/>
    <cellStyle name="Comma [0] 3 2 6 9" xfId="10291"/>
    <cellStyle name="Comma [0] 3 2 7" xfId="2038"/>
    <cellStyle name="Comma [0] 3 2 7 10" xfId="10292"/>
    <cellStyle name="Comma [0] 3 2 7 2" xfId="2039"/>
    <cellStyle name="Comma [0] 3 2 7 3" xfId="2040"/>
    <cellStyle name="Comma [0] 3 2 7 4" xfId="2041"/>
    <cellStyle name="Comma [0] 3 2 7 5" xfId="2042"/>
    <cellStyle name="Comma [0] 3 2 7 6" xfId="2043"/>
    <cellStyle name="Comma [0] 3 2 7 7" xfId="2044"/>
    <cellStyle name="Comma [0] 3 2 7 8" xfId="10293"/>
    <cellStyle name="Comma [0] 3 2 7 9" xfId="10294"/>
    <cellStyle name="Comma [0] 3 2 8" xfId="2045"/>
    <cellStyle name="Comma [0] 3 2 8 10" xfId="10295"/>
    <cellStyle name="Comma [0] 3 2 8 2" xfId="2046"/>
    <cellStyle name="Comma [0] 3 2 8 3" xfId="2047"/>
    <cellStyle name="Comma [0] 3 2 8 4" xfId="2048"/>
    <cellStyle name="Comma [0] 3 2 8 5" xfId="2049"/>
    <cellStyle name="Comma [0] 3 2 8 6" xfId="2050"/>
    <cellStyle name="Comma [0] 3 2 8 7" xfId="2051"/>
    <cellStyle name="Comma [0] 3 2 8 8" xfId="10296"/>
    <cellStyle name="Comma [0] 3 2 8 9" xfId="10297"/>
    <cellStyle name="Comma [0] 3 2 9" xfId="2052"/>
    <cellStyle name="Comma [0] 3 2 9 10" xfId="10298"/>
    <cellStyle name="Comma [0] 3 2 9 2" xfId="2053"/>
    <cellStyle name="Comma [0] 3 2 9 3" xfId="2054"/>
    <cellStyle name="Comma [0] 3 2 9 4" xfId="2055"/>
    <cellStyle name="Comma [0] 3 2 9 5" xfId="2056"/>
    <cellStyle name="Comma [0] 3 2 9 6" xfId="2057"/>
    <cellStyle name="Comma [0] 3 2 9 7" xfId="2058"/>
    <cellStyle name="Comma [0] 3 2 9 8" xfId="10299"/>
    <cellStyle name="Comma [0] 3 2 9 9" xfId="10300"/>
    <cellStyle name="Comma [0] 3 20" xfId="10301"/>
    <cellStyle name="Comma [0] 3 21" xfId="10302"/>
    <cellStyle name="Comma [0] 3 22" xfId="10303"/>
    <cellStyle name="Comma [0] 3 23" xfId="10304"/>
    <cellStyle name="Comma [0] 3 24" xfId="10305"/>
    <cellStyle name="Comma [0] 3 25" xfId="10306"/>
    <cellStyle name="Comma [0] 3 26" xfId="10307"/>
    <cellStyle name="Comma [0] 3 27" xfId="10308"/>
    <cellStyle name="Comma [0] 3 3" xfId="2059"/>
    <cellStyle name="Comma [0] 3 3 10" xfId="10309"/>
    <cellStyle name="Comma [0] 3 3 11" xfId="10310"/>
    <cellStyle name="Comma [0] 3 3 12" xfId="10311"/>
    <cellStyle name="Comma [0] 3 3 13" xfId="10312"/>
    <cellStyle name="Comma [0] 3 3 14" xfId="10313"/>
    <cellStyle name="Comma [0] 3 3 15" xfId="10314"/>
    <cellStyle name="Comma [0] 3 3 16" xfId="10315"/>
    <cellStyle name="Comma [0] 3 3 17" xfId="10316"/>
    <cellStyle name="Comma [0] 3 3 18" xfId="10317"/>
    <cellStyle name="Comma [0] 3 3 19" xfId="10318"/>
    <cellStyle name="Comma [0] 3 3 2" xfId="2060"/>
    <cellStyle name="Comma [0] 3 3 20" xfId="10319"/>
    <cellStyle name="Comma [0] 3 3 21" xfId="10320"/>
    <cellStyle name="Comma [0] 3 3 22" xfId="10321"/>
    <cellStyle name="Comma [0] 3 3 23" xfId="10322"/>
    <cellStyle name="Comma [0] 3 3 24" xfId="10323"/>
    <cellStyle name="Comma [0] 3 3 25" xfId="10324"/>
    <cellStyle name="Comma [0] 3 3 3" xfId="2061"/>
    <cellStyle name="Comma [0] 3 3 3 10" xfId="10325"/>
    <cellStyle name="Comma [0] 3 3 3 11" xfId="10326"/>
    <cellStyle name="Comma [0] 3 3 3 12" xfId="10327"/>
    <cellStyle name="Comma [0] 3 3 3 13" xfId="10328"/>
    <cellStyle name="Comma [0] 3 3 3 14" xfId="10329"/>
    <cellStyle name="Comma [0] 3 3 3 15" xfId="10330"/>
    <cellStyle name="Comma [0] 3 3 3 16" xfId="10331"/>
    <cellStyle name="Comma [0] 3 3 3 17" xfId="10332"/>
    <cellStyle name="Comma [0] 3 3 3 18" xfId="10333"/>
    <cellStyle name="Comma [0] 3 3 3 19" xfId="10334"/>
    <cellStyle name="Comma [0] 3 3 3 2" xfId="10335"/>
    <cellStyle name="Comma [0] 3 3 3 20" xfId="10336"/>
    <cellStyle name="Comma [0] 3 3 3 21" xfId="10337"/>
    <cellStyle name="Comma [0] 3 3 3 22" xfId="10338"/>
    <cellStyle name="Comma [0] 3 3 3 23" xfId="10339"/>
    <cellStyle name="Comma [0] 3 3 3 3" xfId="10340"/>
    <cellStyle name="Comma [0] 3 3 3 4" xfId="10341"/>
    <cellStyle name="Comma [0] 3 3 3 5" xfId="10342"/>
    <cellStyle name="Comma [0] 3 3 3 6" xfId="10343"/>
    <cellStyle name="Comma [0] 3 3 3 7" xfId="10344"/>
    <cellStyle name="Comma [0] 3 3 3 8" xfId="10345"/>
    <cellStyle name="Comma [0] 3 3 3 9" xfId="10346"/>
    <cellStyle name="Comma [0] 3 3 4" xfId="2062"/>
    <cellStyle name="Comma [0] 3 3 5" xfId="10347"/>
    <cellStyle name="Comma [0] 3 3 6" xfId="10348"/>
    <cellStyle name="Comma [0] 3 3 7" xfId="10349"/>
    <cellStyle name="Comma [0] 3 3 8" xfId="10350"/>
    <cellStyle name="Comma [0] 3 3 9" xfId="10351"/>
    <cellStyle name="Comma [0] 3 4" xfId="2063"/>
    <cellStyle name="Comma [0] 3 4 10" xfId="10352"/>
    <cellStyle name="Comma [0] 3 4 11" xfId="10353"/>
    <cellStyle name="Comma [0] 3 4 12" xfId="10354"/>
    <cellStyle name="Comma [0] 3 4 13" xfId="10355"/>
    <cellStyle name="Comma [0] 3 4 14" xfId="10356"/>
    <cellStyle name="Comma [0] 3 4 15" xfId="10357"/>
    <cellStyle name="Comma [0] 3 4 16" xfId="10358"/>
    <cellStyle name="Comma [0] 3 4 17" xfId="10359"/>
    <cellStyle name="Comma [0] 3 4 18" xfId="10360"/>
    <cellStyle name="Comma [0] 3 4 19" xfId="10361"/>
    <cellStyle name="Comma [0] 3 4 2" xfId="2064"/>
    <cellStyle name="Comma [0] 3 4 2 10" xfId="10362"/>
    <cellStyle name="Comma [0] 3 4 2 11" xfId="10363"/>
    <cellStyle name="Comma [0] 3 4 2 12" xfId="10364"/>
    <cellStyle name="Comma [0] 3 4 2 13" xfId="10365"/>
    <cellStyle name="Comma [0] 3 4 2 14" xfId="10366"/>
    <cellStyle name="Comma [0] 3 4 2 15" xfId="10367"/>
    <cellStyle name="Comma [0] 3 4 2 16" xfId="10368"/>
    <cellStyle name="Comma [0] 3 4 2 17" xfId="10369"/>
    <cellStyle name="Comma [0] 3 4 2 18" xfId="10370"/>
    <cellStyle name="Comma [0] 3 4 2 19" xfId="10371"/>
    <cellStyle name="Comma [0] 3 4 2 2" xfId="10372"/>
    <cellStyle name="Comma [0] 3 4 2 20" xfId="10373"/>
    <cellStyle name="Comma [0] 3 4 2 21" xfId="10374"/>
    <cellStyle name="Comma [0] 3 4 2 22" xfId="10375"/>
    <cellStyle name="Comma [0] 3 4 2 23" xfId="10376"/>
    <cellStyle name="Comma [0] 3 4 2 3" xfId="10377"/>
    <cellStyle name="Comma [0] 3 4 2 4" xfId="10378"/>
    <cellStyle name="Comma [0] 3 4 2 5" xfId="10379"/>
    <cellStyle name="Comma [0] 3 4 2 6" xfId="10380"/>
    <cellStyle name="Comma [0] 3 4 2 7" xfId="10381"/>
    <cellStyle name="Comma [0] 3 4 2 8" xfId="10382"/>
    <cellStyle name="Comma [0] 3 4 2 9" xfId="10383"/>
    <cellStyle name="Comma [0] 3 4 20" xfId="10384"/>
    <cellStyle name="Comma [0] 3 4 21" xfId="10385"/>
    <cellStyle name="Comma [0] 3 4 22" xfId="10386"/>
    <cellStyle name="Comma [0] 3 4 23" xfId="10387"/>
    <cellStyle name="Comma [0] 3 4 3" xfId="10388"/>
    <cellStyle name="Comma [0] 3 4 4" xfId="10389"/>
    <cellStyle name="Comma [0] 3 4 5" xfId="10390"/>
    <cellStyle name="Comma [0] 3 4 6" xfId="10391"/>
    <cellStyle name="Comma [0] 3 4 7" xfId="10392"/>
    <cellStyle name="Comma [0] 3 4 8" xfId="10393"/>
    <cellStyle name="Comma [0] 3 4 9" xfId="10394"/>
    <cellStyle name="Comma [0] 3 5" xfId="2065"/>
    <cellStyle name="Comma [0] 3 5 10" xfId="10395"/>
    <cellStyle name="Comma [0] 3 5 11" xfId="10396"/>
    <cellStyle name="Comma [0] 3 5 12" xfId="10397"/>
    <cellStyle name="Comma [0] 3 5 13" xfId="10398"/>
    <cellStyle name="Comma [0] 3 5 14" xfId="10399"/>
    <cellStyle name="Comma [0] 3 5 15" xfId="10400"/>
    <cellStyle name="Comma [0] 3 5 16" xfId="10401"/>
    <cellStyle name="Comma [0] 3 5 17" xfId="10402"/>
    <cellStyle name="Comma [0] 3 5 18" xfId="10403"/>
    <cellStyle name="Comma [0] 3 5 19" xfId="10404"/>
    <cellStyle name="Comma [0] 3 5 2" xfId="10405"/>
    <cellStyle name="Comma [0] 3 5 2 2" xfId="10406"/>
    <cellStyle name="Comma [0] 3 5 20" xfId="10407"/>
    <cellStyle name="Comma [0] 3 5 21" xfId="10408"/>
    <cellStyle name="Comma [0] 3 5 22" xfId="10409"/>
    <cellStyle name="Comma [0] 3 5 23" xfId="10410"/>
    <cellStyle name="Comma [0] 3 5 24" xfId="10411"/>
    <cellStyle name="Comma [0] 3 5 25" xfId="10412"/>
    <cellStyle name="Comma [0] 3 5 3" xfId="10413"/>
    <cellStyle name="Comma [0] 3 5 4" xfId="10414"/>
    <cellStyle name="Comma [0] 3 5 5" xfId="10415"/>
    <cellStyle name="Comma [0] 3 5 6" xfId="10416"/>
    <cellStyle name="Comma [0] 3 5 7" xfId="10417"/>
    <cellStyle name="Comma [0] 3 5 8" xfId="10418"/>
    <cellStyle name="Comma [0] 3 5 9" xfId="10419"/>
    <cellStyle name="Comma [0] 3 6" xfId="2066"/>
    <cellStyle name="Comma [0] 3 6 10" xfId="10420"/>
    <cellStyle name="Comma [0] 3 6 11" xfId="10421"/>
    <cellStyle name="Comma [0] 3 6 12" xfId="10422"/>
    <cellStyle name="Comma [0] 3 6 13" xfId="10423"/>
    <cellStyle name="Comma [0] 3 6 14" xfId="10424"/>
    <cellStyle name="Comma [0] 3 6 15" xfId="10425"/>
    <cellStyle name="Comma [0] 3 6 16" xfId="10426"/>
    <cellStyle name="Comma [0] 3 6 17" xfId="10427"/>
    <cellStyle name="Comma [0] 3 6 18" xfId="10428"/>
    <cellStyle name="Comma [0] 3 6 19" xfId="10429"/>
    <cellStyle name="Comma [0] 3 6 2" xfId="10430"/>
    <cellStyle name="Comma [0] 3 6 20" xfId="10431"/>
    <cellStyle name="Comma [0] 3 6 21" xfId="10432"/>
    <cellStyle name="Comma [0] 3 6 22" xfId="10433"/>
    <cellStyle name="Comma [0] 3 6 23" xfId="10434"/>
    <cellStyle name="Comma [0] 3 6 3" xfId="10435"/>
    <cellStyle name="Comma [0] 3 6 4" xfId="10436"/>
    <cellStyle name="Comma [0] 3 6 5" xfId="10437"/>
    <cellStyle name="Comma [0] 3 6 6" xfId="10438"/>
    <cellStyle name="Comma [0] 3 6 7" xfId="10439"/>
    <cellStyle name="Comma [0] 3 6 8" xfId="10440"/>
    <cellStyle name="Comma [0] 3 6 9" xfId="10441"/>
    <cellStyle name="Comma [0] 3 7" xfId="10442"/>
    <cellStyle name="Comma [0] 3 8" xfId="10443"/>
    <cellStyle name="Comma [0] 3 9" xfId="10444"/>
    <cellStyle name="Comma [0] 30" xfId="2067"/>
    <cellStyle name="Comma [0] 30 10" xfId="2068"/>
    <cellStyle name="Comma [0] 30 2" xfId="2069"/>
    <cellStyle name="Comma [0] 30 2 10" xfId="10445"/>
    <cellStyle name="Comma [0] 30 2 11" xfId="10446"/>
    <cellStyle name="Comma [0] 30 2 12" xfId="10447"/>
    <cellStyle name="Comma [0] 30 2 13" xfId="10448"/>
    <cellStyle name="Comma [0] 30 2 14" xfId="10449"/>
    <cellStyle name="Comma [0] 30 2 15" xfId="10450"/>
    <cellStyle name="Comma [0] 30 2 16" xfId="10451"/>
    <cellStyle name="Comma [0] 30 2 17" xfId="10452"/>
    <cellStyle name="Comma [0] 30 2 18" xfId="10453"/>
    <cellStyle name="Comma [0] 30 2 19" xfId="10454"/>
    <cellStyle name="Comma [0] 30 2 2" xfId="10455"/>
    <cellStyle name="Comma [0] 30 2 20" xfId="10456"/>
    <cellStyle name="Comma [0] 30 2 21" xfId="10457"/>
    <cellStyle name="Comma [0] 30 2 22" xfId="10458"/>
    <cellStyle name="Comma [0] 30 2 23" xfId="10459"/>
    <cellStyle name="Comma [0] 30 2 3" xfId="10460"/>
    <cellStyle name="Comma [0] 30 2 4" xfId="10461"/>
    <cellStyle name="Comma [0] 30 2 5" xfId="10462"/>
    <cellStyle name="Comma [0] 30 2 6" xfId="10463"/>
    <cellStyle name="Comma [0] 30 2 7" xfId="10464"/>
    <cellStyle name="Comma [0] 30 2 8" xfId="10465"/>
    <cellStyle name="Comma [0] 30 2 9" xfId="10466"/>
    <cellStyle name="Comma [0] 30 3" xfId="2070"/>
    <cellStyle name="Comma [0] 30 4" xfId="2071"/>
    <cellStyle name="Comma [0] 30 5" xfId="2072"/>
    <cellStyle name="Comma [0] 30 6" xfId="2073"/>
    <cellStyle name="Comma [0] 30 7" xfId="2074"/>
    <cellStyle name="Comma [0] 30 8" xfId="2075"/>
    <cellStyle name="Comma [0] 30 9" xfId="2076"/>
    <cellStyle name="Comma [0] 31" xfId="2077"/>
    <cellStyle name="Comma [0] 31 10" xfId="2078"/>
    <cellStyle name="Comma [0] 31 2" xfId="2079"/>
    <cellStyle name="Comma [0] 31 3" xfId="2080"/>
    <cellStyle name="Comma [0] 31 4" xfId="2081"/>
    <cellStyle name="Comma [0] 31 5" xfId="2082"/>
    <cellStyle name="Comma [0] 31 6" xfId="2083"/>
    <cellStyle name="Comma [0] 31 7" xfId="2084"/>
    <cellStyle name="Comma [0] 31 8" xfId="2085"/>
    <cellStyle name="Comma [0] 31 9" xfId="2086"/>
    <cellStyle name="Comma [0] 32" xfId="2087"/>
    <cellStyle name="Comma [0] 32 2" xfId="2088"/>
    <cellStyle name="Comma [0] 32 3" xfId="2089"/>
    <cellStyle name="Comma [0] 32 4" xfId="2090"/>
    <cellStyle name="Comma [0] 33" xfId="2091"/>
    <cellStyle name="Comma [0] 33 2" xfId="2092"/>
    <cellStyle name="Comma [0] 33 2 10" xfId="10467"/>
    <cellStyle name="Comma [0] 33 2 11" xfId="10468"/>
    <cellStyle name="Comma [0] 33 2 12" xfId="10469"/>
    <cellStyle name="Comma [0] 33 2 13" xfId="10470"/>
    <cellStyle name="Comma [0] 33 2 14" xfId="10471"/>
    <cellStyle name="Comma [0] 33 2 15" xfId="10472"/>
    <cellStyle name="Comma [0] 33 2 16" xfId="10473"/>
    <cellStyle name="Comma [0] 33 2 17" xfId="10474"/>
    <cellStyle name="Comma [0] 33 2 18" xfId="10475"/>
    <cellStyle name="Comma [0] 33 2 19" xfId="10476"/>
    <cellStyle name="Comma [0] 33 2 2" xfId="10477"/>
    <cellStyle name="Comma [0] 33 2 20" xfId="10478"/>
    <cellStyle name="Comma [0] 33 2 21" xfId="10479"/>
    <cellStyle name="Comma [0] 33 2 22" xfId="10480"/>
    <cellStyle name="Comma [0] 33 2 23" xfId="10481"/>
    <cellStyle name="Comma [0] 33 2 3" xfId="10482"/>
    <cellStyle name="Comma [0] 33 2 4" xfId="10483"/>
    <cellStyle name="Comma [0] 33 2 5" xfId="10484"/>
    <cellStyle name="Comma [0] 33 2 6" xfId="10485"/>
    <cellStyle name="Comma [0] 33 2 7" xfId="10486"/>
    <cellStyle name="Comma [0] 33 2 8" xfId="10487"/>
    <cellStyle name="Comma [0] 33 2 9" xfId="10488"/>
    <cellStyle name="Comma [0] 33 3" xfId="2093"/>
    <cellStyle name="Comma [0] 33 4" xfId="2094"/>
    <cellStyle name="Comma [0] 34" xfId="2095"/>
    <cellStyle name="Comma [0] 34 10" xfId="2096"/>
    <cellStyle name="Comma [0] 34 2" xfId="2097"/>
    <cellStyle name="Comma [0] 34 3" xfId="2098"/>
    <cellStyle name="Comma [0] 34 4" xfId="2099"/>
    <cellStyle name="Comma [0] 34 5" xfId="2100"/>
    <cellStyle name="Comma [0] 34 6" xfId="2101"/>
    <cellStyle name="Comma [0] 34 7" xfId="2102"/>
    <cellStyle name="Comma [0] 34 8" xfId="2103"/>
    <cellStyle name="Comma [0] 34 9" xfId="2104"/>
    <cellStyle name="Comma [0] 35" xfId="2105"/>
    <cellStyle name="Comma [0] 35 10" xfId="2106"/>
    <cellStyle name="Comma [0] 35 2" xfId="2107"/>
    <cellStyle name="Comma [0] 35 3" xfId="2108"/>
    <cellStyle name="Comma [0] 35 4" xfId="2109"/>
    <cellStyle name="Comma [0] 35 5" xfId="2110"/>
    <cellStyle name="Comma [0] 35 6" xfId="2111"/>
    <cellStyle name="Comma [0] 35 7" xfId="2112"/>
    <cellStyle name="Comma [0] 35 8" xfId="2113"/>
    <cellStyle name="Comma [0] 35 9" xfId="2114"/>
    <cellStyle name="Comma [0] 36" xfId="2115"/>
    <cellStyle name="Comma [0] 36 10" xfId="2116"/>
    <cellStyle name="Comma [0] 36 11" xfId="2117"/>
    <cellStyle name="Comma [0] 36 2" xfId="2118"/>
    <cellStyle name="Comma [0] 36 2 2" xfId="2119"/>
    <cellStyle name="Comma [0] 36 3" xfId="2120"/>
    <cellStyle name="Comma [0] 36 4" xfId="2121"/>
    <cellStyle name="Comma [0] 36 5" xfId="2122"/>
    <cellStyle name="Comma [0] 36 6" xfId="2123"/>
    <cellStyle name="Comma [0] 36 7" xfId="2124"/>
    <cellStyle name="Comma [0] 36 8" xfId="2125"/>
    <cellStyle name="Comma [0] 36 9" xfId="2126"/>
    <cellStyle name="Comma [0] 37" xfId="2127"/>
    <cellStyle name="Comma [0] 37 2" xfId="2128"/>
    <cellStyle name="Comma [0] 37 3" xfId="2129"/>
    <cellStyle name="Comma [0] 37 4" xfId="2130"/>
    <cellStyle name="Comma [0] 38" xfId="2131"/>
    <cellStyle name="Comma [0] 38 2" xfId="2132"/>
    <cellStyle name="Comma [0] 38 3" xfId="2133"/>
    <cellStyle name="Comma [0] 38 4" xfId="2134"/>
    <cellStyle name="Comma [0] 39" xfId="2135"/>
    <cellStyle name="Comma [0] 39 2" xfId="2136"/>
    <cellStyle name="Comma [0] 39 3" xfId="2137"/>
    <cellStyle name="Comma [0] 39 4" xfId="2138"/>
    <cellStyle name="Comma [0] 4" xfId="2139"/>
    <cellStyle name="Comma [0] 4 10" xfId="2140"/>
    <cellStyle name="Comma [0] 4 10 2" xfId="2141"/>
    <cellStyle name="Comma [0] 4 11" xfId="2142"/>
    <cellStyle name="Comma [0] 4 11 2" xfId="2143"/>
    <cellStyle name="Comma [0] 4 12" xfId="2144"/>
    <cellStyle name="Comma [0] 4 12 2" xfId="2145"/>
    <cellStyle name="Comma [0] 4 13" xfId="2146"/>
    <cellStyle name="Comma [0] 4 13 2" xfId="2147"/>
    <cellStyle name="Comma [0] 4 14" xfId="2148"/>
    <cellStyle name="Comma [0] 4 14 2" xfId="2149"/>
    <cellStyle name="Comma [0] 4 15" xfId="2150"/>
    <cellStyle name="Comma [0] 4 15 2" xfId="2151"/>
    <cellStyle name="Comma [0] 4 16" xfId="2152"/>
    <cellStyle name="Comma [0] 4 16 2" xfId="2153"/>
    <cellStyle name="Comma [0] 4 17" xfId="2154"/>
    <cellStyle name="Comma [0] 4 17 2" xfId="2155"/>
    <cellStyle name="Comma [0] 4 18" xfId="2156"/>
    <cellStyle name="Comma [0] 4 18 2" xfId="2157"/>
    <cellStyle name="Comma [0] 4 19" xfId="2158"/>
    <cellStyle name="Comma [0] 4 19 2" xfId="2159"/>
    <cellStyle name="Comma [0] 4 2" xfId="2160"/>
    <cellStyle name="Comma [0] 4 2 10" xfId="10489"/>
    <cellStyle name="Comma [0] 4 2 11" xfId="10490"/>
    <cellStyle name="Comma [0] 4 2 12" xfId="10491"/>
    <cellStyle name="Comma [0] 4 2 13" xfId="10492"/>
    <cellStyle name="Comma [0] 4 2 14" xfId="10493"/>
    <cellStyle name="Comma [0] 4 2 15" xfId="10494"/>
    <cellStyle name="Comma [0] 4 2 16" xfId="10495"/>
    <cellStyle name="Comma [0] 4 2 17" xfId="10496"/>
    <cellStyle name="Comma [0] 4 2 18" xfId="10497"/>
    <cellStyle name="Comma [0] 4 2 19" xfId="10498"/>
    <cellStyle name="Comma [0] 4 2 2" xfId="2161"/>
    <cellStyle name="Comma [0] 4 2 2 2" xfId="2162"/>
    <cellStyle name="Comma [0] 4 2 2 3" xfId="2163"/>
    <cellStyle name="Comma [0] 4 2 2 4" xfId="2164"/>
    <cellStyle name="Comma [0] 4 2 20" xfId="10499"/>
    <cellStyle name="Comma [0] 4 2 21" xfId="10500"/>
    <cellStyle name="Comma [0] 4 2 22" xfId="10501"/>
    <cellStyle name="Comma [0] 4 2 23" xfId="10502"/>
    <cellStyle name="Comma [0] 4 2 24" xfId="10503"/>
    <cellStyle name="Comma [0] 4 2 25" xfId="10504"/>
    <cellStyle name="Comma [0] 4 2 3" xfId="2165"/>
    <cellStyle name="Comma [0] 4 2 3 2" xfId="2166"/>
    <cellStyle name="Comma [0] 4 2 3 3" xfId="2167"/>
    <cellStyle name="Comma [0] 4 2 3 4" xfId="2168"/>
    <cellStyle name="Comma [0] 4 2 3 5" xfId="2169"/>
    <cellStyle name="Comma [0] 4 2 3 6" xfId="2170"/>
    <cellStyle name="Comma [0] 4 2 3 7" xfId="2171"/>
    <cellStyle name="Comma [0] 4 2 3 8" xfId="2172"/>
    <cellStyle name="Comma [0] 4 2 4" xfId="2173"/>
    <cellStyle name="Comma [0] 4 2 4 10" xfId="10505"/>
    <cellStyle name="Comma [0] 4 2 4 11" xfId="10506"/>
    <cellStyle name="Comma [0] 4 2 4 12" xfId="10507"/>
    <cellStyle name="Comma [0] 4 2 4 13" xfId="10508"/>
    <cellStyle name="Comma [0] 4 2 4 14" xfId="10509"/>
    <cellStyle name="Comma [0] 4 2 4 15" xfId="10510"/>
    <cellStyle name="Comma [0] 4 2 4 16" xfId="10511"/>
    <cellStyle name="Comma [0] 4 2 4 17" xfId="10512"/>
    <cellStyle name="Comma [0] 4 2 4 18" xfId="10513"/>
    <cellStyle name="Comma [0] 4 2 4 19" xfId="10514"/>
    <cellStyle name="Comma [0] 4 2 4 2" xfId="10515"/>
    <cellStyle name="Comma [0] 4 2 4 20" xfId="10516"/>
    <cellStyle name="Comma [0] 4 2 4 21" xfId="10517"/>
    <cellStyle name="Comma [0] 4 2 4 22" xfId="10518"/>
    <cellStyle name="Comma [0] 4 2 4 23" xfId="10519"/>
    <cellStyle name="Comma [0] 4 2 4 3" xfId="10520"/>
    <cellStyle name="Comma [0] 4 2 4 4" xfId="10521"/>
    <cellStyle name="Comma [0] 4 2 4 5" xfId="10522"/>
    <cellStyle name="Comma [0] 4 2 4 6" xfId="10523"/>
    <cellStyle name="Comma [0] 4 2 4 7" xfId="10524"/>
    <cellStyle name="Comma [0] 4 2 4 8" xfId="10525"/>
    <cellStyle name="Comma [0] 4 2 4 9" xfId="10526"/>
    <cellStyle name="Comma [0] 4 2 5" xfId="10527"/>
    <cellStyle name="Comma [0] 4 2 6" xfId="10528"/>
    <cellStyle name="Comma [0] 4 2 7" xfId="10529"/>
    <cellStyle name="Comma [0] 4 2 8" xfId="10530"/>
    <cellStyle name="Comma [0] 4 2 9" xfId="10531"/>
    <cellStyle name="Comma [0] 4 20" xfId="2174"/>
    <cellStyle name="Comma [0] 4 20 2" xfId="2175"/>
    <cellStyle name="Comma [0] 4 21" xfId="2176"/>
    <cellStyle name="Comma [0] 4 21 2" xfId="2177"/>
    <cellStyle name="Comma [0] 4 22" xfId="2178"/>
    <cellStyle name="Comma [0] 4 22 2" xfId="2179"/>
    <cellStyle name="Comma [0] 4 23" xfId="2180"/>
    <cellStyle name="Comma [0] 4 23 2" xfId="2181"/>
    <cellStyle name="Comma [0] 4 24" xfId="2182"/>
    <cellStyle name="Comma [0] 4 24 2" xfId="2183"/>
    <cellStyle name="Comma [0] 4 25" xfId="2184"/>
    <cellStyle name="Comma [0] 4 25 2" xfId="2185"/>
    <cellStyle name="Comma [0] 4 26" xfId="2186"/>
    <cellStyle name="Comma [0] 4 26 2" xfId="2187"/>
    <cellStyle name="Comma [0] 4 27" xfId="2188"/>
    <cellStyle name="Comma [0] 4 27 2" xfId="2189"/>
    <cellStyle name="Comma [0] 4 28" xfId="2190"/>
    <cellStyle name="Comma [0] 4 29" xfId="2191"/>
    <cellStyle name="Comma [0] 4 29 2" xfId="2192"/>
    <cellStyle name="Comma [0] 4 29 2 2" xfId="10532"/>
    <cellStyle name="Comma [0] 4 29 2 3" xfId="10533"/>
    <cellStyle name="Comma [0] 4 29 2 4" xfId="10534"/>
    <cellStyle name="Comma [0] 4 29 3" xfId="10535"/>
    <cellStyle name="Comma [0] 4 29 4" xfId="10536"/>
    <cellStyle name="Comma [0] 4 29 5" xfId="10537"/>
    <cellStyle name="Comma [0] 4 3" xfId="2193"/>
    <cellStyle name="Comma [0] 4 3 2" xfId="2194"/>
    <cellStyle name="Comma [0] 4 30" xfId="2195"/>
    <cellStyle name="Comma [0] 4 30 2" xfId="10538"/>
    <cellStyle name="Comma [0] 4 30 3" xfId="10539"/>
    <cellStyle name="Comma [0] 4 30 4" xfId="10540"/>
    <cellStyle name="Comma [0] 4 31" xfId="10541"/>
    <cellStyle name="Comma [0] 4 32" xfId="10542"/>
    <cellStyle name="Comma [0] 4 33" xfId="10543"/>
    <cellStyle name="Comma [0] 4 34" xfId="10544"/>
    <cellStyle name="Comma [0] 4 35" xfId="10545"/>
    <cellStyle name="Comma [0] 4 36" xfId="10546"/>
    <cellStyle name="Comma [0] 4 37" xfId="10547"/>
    <cellStyle name="Comma [0] 4 38" xfId="10548"/>
    <cellStyle name="Comma [0] 4 39" xfId="10549"/>
    <cellStyle name="Comma [0] 4 4" xfId="2196"/>
    <cellStyle name="Comma [0] 4 4 2" xfId="2197"/>
    <cellStyle name="Comma [0] 4 40" xfId="10550"/>
    <cellStyle name="Comma [0] 4 41" xfId="10551"/>
    <cellStyle name="Comma [0] 4 42" xfId="10552"/>
    <cellStyle name="Comma [0] 4 43" xfId="10553"/>
    <cellStyle name="Comma [0] 4 44" xfId="10554"/>
    <cellStyle name="Comma [0] 4 45" xfId="10555"/>
    <cellStyle name="Comma [0] 4 46" xfId="10556"/>
    <cellStyle name="Comma [0] 4 47" xfId="10557"/>
    <cellStyle name="Comma [0] 4 48" xfId="10558"/>
    <cellStyle name="Comma [0] 4 49" xfId="10559"/>
    <cellStyle name="Comma [0] 4 5" xfId="2198"/>
    <cellStyle name="Comma [0] 4 5 2" xfId="2199"/>
    <cellStyle name="Comma [0] 4 50" xfId="10560"/>
    <cellStyle name="Comma [0] 4 51" xfId="10561"/>
    <cellStyle name="Comma [0] 4 6" xfId="2200"/>
    <cellStyle name="Comma [0] 4 6 2" xfId="2201"/>
    <cellStyle name="Comma [0] 4 7" xfId="2202"/>
    <cellStyle name="Comma [0] 4 7 2" xfId="2203"/>
    <cellStyle name="Comma [0] 4 8" xfId="2204"/>
    <cellStyle name="Comma [0] 4 8 2" xfId="2205"/>
    <cellStyle name="Comma [0] 4 9" xfId="2206"/>
    <cellStyle name="Comma [0] 4 9 2" xfId="2207"/>
    <cellStyle name="Comma [0] 40" xfId="2208"/>
    <cellStyle name="Comma [0] 40 2" xfId="2209"/>
    <cellStyle name="Comma [0] 40 3" xfId="2210"/>
    <cellStyle name="Comma [0] 40 4" xfId="2211"/>
    <cellStyle name="Comma [0] 41" xfId="2212"/>
    <cellStyle name="Comma [0] 41 2" xfId="2213"/>
    <cellStyle name="Comma [0] 41 3" xfId="2214"/>
    <cellStyle name="Comma [0] 41 4" xfId="2215"/>
    <cellStyle name="Comma [0] 42" xfId="2216"/>
    <cellStyle name="Comma [0] 42 2" xfId="2217"/>
    <cellStyle name="Comma [0] 42 3" xfId="2218"/>
    <cellStyle name="Comma [0] 42 4" xfId="2219"/>
    <cellStyle name="Comma [0] 43" xfId="2220"/>
    <cellStyle name="Comma [0] 43 2" xfId="2221"/>
    <cellStyle name="Comma [0] 43 3" xfId="2222"/>
    <cellStyle name="Comma [0] 43 4" xfId="2223"/>
    <cellStyle name="Comma [0] 44" xfId="2224"/>
    <cellStyle name="Comma [0] 44 2" xfId="2225"/>
    <cellStyle name="Comma [0] 44 3" xfId="2226"/>
    <cellStyle name="Comma [0] 44 4" xfId="2227"/>
    <cellStyle name="Comma [0] 45" xfId="2228"/>
    <cellStyle name="Comma [0] 45 2" xfId="2229"/>
    <cellStyle name="Comma [0] 46" xfId="2230"/>
    <cellStyle name="Comma [0] 46 10" xfId="10562"/>
    <cellStyle name="Comma [0] 46 11" xfId="10563"/>
    <cellStyle name="Comma [0] 46 12" xfId="10564"/>
    <cellStyle name="Comma [0] 46 13" xfId="10565"/>
    <cellStyle name="Comma [0] 46 14" xfId="10566"/>
    <cellStyle name="Comma [0] 46 15" xfId="10567"/>
    <cellStyle name="Comma [0] 46 16" xfId="10568"/>
    <cellStyle name="Comma [0] 46 17" xfId="10569"/>
    <cellStyle name="Comma [0] 46 18" xfId="10570"/>
    <cellStyle name="Comma [0] 46 19" xfId="10571"/>
    <cellStyle name="Comma [0] 46 2" xfId="2231"/>
    <cellStyle name="Comma [0] 46 20" xfId="10572"/>
    <cellStyle name="Comma [0] 46 21" xfId="10573"/>
    <cellStyle name="Comma [0] 46 22" xfId="10574"/>
    <cellStyle name="Comma [0] 46 23" xfId="10575"/>
    <cellStyle name="Comma [0] 46 3" xfId="10576"/>
    <cellStyle name="Comma [0] 46 4" xfId="10577"/>
    <cellStyle name="Comma [0] 46 5" xfId="10578"/>
    <cellStyle name="Comma [0] 46 6" xfId="10579"/>
    <cellStyle name="Comma [0] 46 7" xfId="10580"/>
    <cellStyle name="Comma [0] 46 8" xfId="10581"/>
    <cellStyle name="Comma [0] 46 9" xfId="10582"/>
    <cellStyle name="Comma [0] 47" xfId="2232"/>
    <cellStyle name="Comma [0] 47 2" xfId="2233"/>
    <cellStyle name="Comma [0] 47 2 2" xfId="2234"/>
    <cellStyle name="Comma [0] 48" xfId="2235"/>
    <cellStyle name="Comma [0] 48 2" xfId="2236"/>
    <cellStyle name="Comma [0] 48 2 10" xfId="10583"/>
    <cellStyle name="Comma [0] 48 2 11" xfId="10584"/>
    <cellStyle name="Comma [0] 48 2 12" xfId="10585"/>
    <cellStyle name="Comma [0] 48 2 13" xfId="10586"/>
    <cellStyle name="Comma [0] 48 2 14" xfId="10587"/>
    <cellStyle name="Comma [0] 48 2 15" xfId="10588"/>
    <cellStyle name="Comma [0] 48 2 16" xfId="10589"/>
    <cellStyle name="Comma [0] 48 2 17" xfId="10590"/>
    <cellStyle name="Comma [0] 48 2 18" xfId="10591"/>
    <cellStyle name="Comma [0] 48 2 19" xfId="10592"/>
    <cellStyle name="Comma [0] 48 2 2" xfId="2237"/>
    <cellStyle name="Comma [0] 48 2 2 10" xfId="10593"/>
    <cellStyle name="Comma [0] 48 2 2 11" xfId="10594"/>
    <cellStyle name="Comma [0] 48 2 2 12" xfId="10595"/>
    <cellStyle name="Comma [0] 48 2 2 13" xfId="10596"/>
    <cellStyle name="Comma [0] 48 2 2 14" xfId="10597"/>
    <cellStyle name="Comma [0] 48 2 2 15" xfId="10598"/>
    <cellStyle name="Comma [0] 48 2 2 16" xfId="10599"/>
    <cellStyle name="Comma [0] 48 2 2 17" xfId="10600"/>
    <cellStyle name="Comma [0] 48 2 2 18" xfId="10601"/>
    <cellStyle name="Comma [0] 48 2 2 19" xfId="10602"/>
    <cellStyle name="Comma [0] 48 2 2 2" xfId="2238"/>
    <cellStyle name="Comma [0] 48 2 2 2 10" xfId="10603"/>
    <cellStyle name="Comma [0] 48 2 2 2 11" xfId="10604"/>
    <cellStyle name="Comma [0] 48 2 2 2 12" xfId="10605"/>
    <cellStyle name="Comma [0] 48 2 2 2 13" xfId="10606"/>
    <cellStyle name="Comma [0] 48 2 2 2 14" xfId="10607"/>
    <cellStyle name="Comma [0] 48 2 2 2 15" xfId="10608"/>
    <cellStyle name="Comma [0] 48 2 2 2 16" xfId="10609"/>
    <cellStyle name="Comma [0] 48 2 2 2 17" xfId="10610"/>
    <cellStyle name="Comma [0] 48 2 2 2 18" xfId="10611"/>
    <cellStyle name="Comma [0] 48 2 2 2 19" xfId="10612"/>
    <cellStyle name="Comma [0] 48 2 2 2 2" xfId="10613"/>
    <cellStyle name="Comma [0] 48 2 2 2 20" xfId="10614"/>
    <cellStyle name="Comma [0] 48 2 2 2 21" xfId="10615"/>
    <cellStyle name="Comma [0] 48 2 2 2 22" xfId="10616"/>
    <cellStyle name="Comma [0] 48 2 2 2 23" xfId="10617"/>
    <cellStyle name="Comma [0] 48 2 2 2 3" xfId="10618"/>
    <cellStyle name="Comma [0] 48 2 2 2 4" xfId="10619"/>
    <cellStyle name="Comma [0] 48 2 2 2 5" xfId="10620"/>
    <cellStyle name="Comma [0] 48 2 2 2 6" xfId="10621"/>
    <cellStyle name="Comma [0] 48 2 2 2 7" xfId="10622"/>
    <cellStyle name="Comma [0] 48 2 2 2 8" xfId="10623"/>
    <cellStyle name="Comma [0] 48 2 2 2 9" xfId="10624"/>
    <cellStyle name="Comma [0] 48 2 2 20" xfId="10625"/>
    <cellStyle name="Comma [0] 48 2 2 21" xfId="10626"/>
    <cellStyle name="Comma [0] 48 2 2 22" xfId="10627"/>
    <cellStyle name="Comma [0] 48 2 2 23" xfId="10628"/>
    <cellStyle name="Comma [0] 48 2 2 24" xfId="10629"/>
    <cellStyle name="Comma [0] 48 2 2 25" xfId="10630"/>
    <cellStyle name="Comma [0] 48 2 2 26" xfId="10631"/>
    <cellStyle name="Comma [0] 48 2 2 3" xfId="2239"/>
    <cellStyle name="Comma [0] 48 2 2 3 10" xfId="10632"/>
    <cellStyle name="Comma [0] 48 2 2 3 11" xfId="10633"/>
    <cellStyle name="Comma [0] 48 2 2 3 12" xfId="10634"/>
    <cellStyle name="Comma [0] 48 2 2 3 13" xfId="10635"/>
    <cellStyle name="Comma [0] 48 2 2 3 14" xfId="10636"/>
    <cellStyle name="Comma [0] 48 2 2 3 15" xfId="10637"/>
    <cellStyle name="Comma [0] 48 2 2 3 16" xfId="10638"/>
    <cellStyle name="Comma [0] 48 2 2 3 17" xfId="10639"/>
    <cellStyle name="Comma [0] 48 2 2 3 18" xfId="10640"/>
    <cellStyle name="Comma [0] 48 2 2 3 19" xfId="10641"/>
    <cellStyle name="Comma [0] 48 2 2 3 2" xfId="10642"/>
    <cellStyle name="Comma [0] 48 2 2 3 20" xfId="10643"/>
    <cellStyle name="Comma [0] 48 2 2 3 21" xfId="10644"/>
    <cellStyle name="Comma [0] 48 2 2 3 22" xfId="10645"/>
    <cellStyle name="Comma [0] 48 2 2 3 23" xfId="10646"/>
    <cellStyle name="Comma [0] 48 2 2 3 24" xfId="10647"/>
    <cellStyle name="Comma [0] 48 2 2 3 25" xfId="10648"/>
    <cellStyle name="Comma [0] 48 2 2 3 26" xfId="10649"/>
    <cellStyle name="Comma [0] 48 2 2 3 27" xfId="10650"/>
    <cellStyle name="Comma [0] 48 2 2 3 28" xfId="10651"/>
    <cellStyle name="Comma [0] 48 2 2 3 3" xfId="10652"/>
    <cellStyle name="Comma [0] 48 2 2 3 4" xfId="10653"/>
    <cellStyle name="Comma [0] 48 2 2 3 5" xfId="10654"/>
    <cellStyle name="Comma [0] 48 2 2 3 5 2" xfId="10655"/>
    <cellStyle name="Comma [0] 48 2 2 3 6" xfId="10656"/>
    <cellStyle name="Comma [0] 48 2 2 3 6 2" xfId="10657"/>
    <cellStyle name="Comma [0] 48 2 2 3 7" xfId="10658"/>
    <cellStyle name="Comma [0] 48 2 2 3 8" xfId="10659"/>
    <cellStyle name="Comma [0] 48 2 2 3 9" xfId="10660"/>
    <cellStyle name="Comma [0] 48 2 2 4" xfId="2240"/>
    <cellStyle name="Comma [0] 48 2 2 4 10" xfId="10661"/>
    <cellStyle name="Comma [0] 48 2 2 4 11" xfId="10662"/>
    <cellStyle name="Comma [0] 48 2 2 4 12" xfId="10663"/>
    <cellStyle name="Comma [0] 48 2 2 4 13" xfId="10664"/>
    <cellStyle name="Comma [0] 48 2 2 4 14" xfId="10665"/>
    <cellStyle name="Comma [0] 48 2 2 4 15" xfId="10666"/>
    <cellStyle name="Comma [0] 48 2 2 4 16" xfId="10667"/>
    <cellStyle name="Comma [0] 48 2 2 4 17" xfId="10668"/>
    <cellStyle name="Comma [0] 48 2 2 4 18" xfId="10669"/>
    <cellStyle name="Comma [0] 48 2 2 4 19" xfId="10670"/>
    <cellStyle name="Comma [0] 48 2 2 4 2" xfId="10671"/>
    <cellStyle name="Comma [0] 48 2 2 4 2 2" xfId="10672"/>
    <cellStyle name="Comma [0] 48 2 2 4 2 2 2" xfId="10673"/>
    <cellStyle name="Comma [0] 48 2 2 4 2 2 2 2" xfId="10674"/>
    <cellStyle name="Comma [0] 48 2 2 4 20" xfId="10675"/>
    <cellStyle name="Comma [0] 48 2 2 4 21" xfId="10676"/>
    <cellStyle name="Comma [0] 48 2 2 4 22" xfId="10677"/>
    <cellStyle name="Comma [0] 48 2 2 4 23" xfId="10678"/>
    <cellStyle name="Comma [0] 48 2 2 4 24" xfId="10679"/>
    <cellStyle name="Comma [0] 48 2 2 4 25" xfId="10680"/>
    <cellStyle name="Comma [0] 48 2 2 4 26" xfId="10681"/>
    <cellStyle name="Comma [0] 48 2 2 4 27" xfId="10682"/>
    <cellStyle name="Comma [0] 48 2 2 4 28" xfId="10683"/>
    <cellStyle name="Comma [0] 48 2 2 4 29" xfId="10684"/>
    <cellStyle name="Comma [0] 48 2 2 4 3" xfId="10685"/>
    <cellStyle name="Comma [0] 48 2 2 4 30" xfId="10686"/>
    <cellStyle name="Comma [0] 48 2 2 4 4" xfId="10687"/>
    <cellStyle name="Comma [0] 48 2 2 4 5" xfId="10688"/>
    <cellStyle name="Comma [0] 48 2 2 4 6" xfId="10689"/>
    <cellStyle name="Comma [0] 48 2 2 4 6 2" xfId="10690"/>
    <cellStyle name="Comma [0] 48 2 2 4 6 3" xfId="10691"/>
    <cellStyle name="Comma [0] 48 2 2 4 6 4" xfId="10692"/>
    <cellStyle name="Comma [0] 48 2 2 4 7" xfId="10693"/>
    <cellStyle name="Comma [0] 48 2 2 4 8" xfId="10694"/>
    <cellStyle name="Comma [0] 48 2 2 4 9" xfId="10695"/>
    <cellStyle name="Comma [0] 48 2 2 5" xfId="10696"/>
    <cellStyle name="Comma [0] 48 2 2 6" xfId="10697"/>
    <cellStyle name="Comma [0] 48 2 2 7" xfId="10698"/>
    <cellStyle name="Comma [0] 48 2 2 8" xfId="10699"/>
    <cellStyle name="Comma [0] 48 2 2 9" xfId="10700"/>
    <cellStyle name="Comma [0] 48 2 20" xfId="10701"/>
    <cellStyle name="Comma [0] 48 2 21" xfId="10702"/>
    <cellStyle name="Comma [0] 48 2 22" xfId="10703"/>
    <cellStyle name="Comma [0] 48 2 23" xfId="10704"/>
    <cellStyle name="Comma [0] 48 2 24" xfId="10705"/>
    <cellStyle name="Comma [0] 48 2 25" xfId="10706"/>
    <cellStyle name="Comma [0] 48 2 26" xfId="10707"/>
    <cellStyle name="Comma [0] 48 2 3" xfId="2241"/>
    <cellStyle name="Comma [0] 48 2 3 10" xfId="10708"/>
    <cellStyle name="Comma [0] 48 2 3 11" xfId="10709"/>
    <cellStyle name="Comma [0] 48 2 3 12" xfId="10710"/>
    <cellStyle name="Comma [0] 48 2 3 13" xfId="10711"/>
    <cellStyle name="Comma [0] 48 2 3 14" xfId="10712"/>
    <cellStyle name="Comma [0] 48 2 3 15" xfId="10713"/>
    <cellStyle name="Comma [0] 48 2 3 16" xfId="10714"/>
    <cellStyle name="Comma [0] 48 2 3 17" xfId="10715"/>
    <cellStyle name="Comma [0] 48 2 3 18" xfId="10716"/>
    <cellStyle name="Comma [0] 48 2 3 19" xfId="10717"/>
    <cellStyle name="Comma [0] 48 2 3 2" xfId="2242"/>
    <cellStyle name="Comma [0] 48 2 3 2 10" xfId="10718"/>
    <cellStyle name="Comma [0] 48 2 3 2 11" xfId="10719"/>
    <cellStyle name="Comma [0] 48 2 3 2 12" xfId="10720"/>
    <cellStyle name="Comma [0] 48 2 3 2 13" xfId="10721"/>
    <cellStyle name="Comma [0] 48 2 3 2 14" xfId="10722"/>
    <cellStyle name="Comma [0] 48 2 3 2 15" xfId="10723"/>
    <cellStyle name="Comma [0] 48 2 3 2 16" xfId="10724"/>
    <cellStyle name="Comma [0] 48 2 3 2 17" xfId="10725"/>
    <cellStyle name="Comma [0] 48 2 3 2 18" xfId="10726"/>
    <cellStyle name="Comma [0] 48 2 3 2 19" xfId="10727"/>
    <cellStyle name="Comma [0] 48 2 3 2 2" xfId="10728"/>
    <cellStyle name="Comma [0] 48 2 3 2 20" xfId="10729"/>
    <cellStyle name="Comma [0] 48 2 3 2 21" xfId="10730"/>
    <cellStyle name="Comma [0] 48 2 3 2 22" xfId="10731"/>
    <cellStyle name="Comma [0] 48 2 3 2 23" xfId="10732"/>
    <cellStyle name="Comma [0] 48 2 3 2 24" xfId="10733"/>
    <cellStyle name="Comma [0] 48 2 3 2 25" xfId="10734"/>
    <cellStyle name="Comma [0] 48 2 3 2 3" xfId="10735"/>
    <cellStyle name="Comma [0] 48 2 3 2 3 2" xfId="10736"/>
    <cellStyle name="Comma [0] 48 2 3 2 4" xfId="10737"/>
    <cellStyle name="Comma [0] 48 2 3 2 4 2" xfId="10738"/>
    <cellStyle name="Comma [0] 48 2 3 2 5" xfId="10739"/>
    <cellStyle name="Comma [0] 48 2 3 2 6" xfId="10740"/>
    <cellStyle name="Comma [0] 48 2 3 2 7" xfId="10741"/>
    <cellStyle name="Comma [0] 48 2 3 2 8" xfId="10742"/>
    <cellStyle name="Comma [0] 48 2 3 2 9" xfId="10743"/>
    <cellStyle name="Comma [0] 48 2 3 20" xfId="10744"/>
    <cellStyle name="Comma [0] 48 2 3 21" xfId="10745"/>
    <cellStyle name="Comma [0] 48 2 3 22" xfId="10746"/>
    <cellStyle name="Comma [0] 48 2 3 23" xfId="10747"/>
    <cellStyle name="Comma [0] 48 2 3 24" xfId="10748"/>
    <cellStyle name="Comma [0] 48 2 3 25" xfId="10749"/>
    <cellStyle name="Comma [0] 48 2 3 26" xfId="10750"/>
    <cellStyle name="Comma [0] 48 2 3 3" xfId="10751"/>
    <cellStyle name="Comma [0] 48 2 3 4" xfId="10752"/>
    <cellStyle name="Comma [0] 48 2 3 5" xfId="10753"/>
    <cellStyle name="Comma [0] 48 2 3 6" xfId="10754"/>
    <cellStyle name="Comma [0] 48 2 3 7" xfId="10755"/>
    <cellStyle name="Comma [0] 48 2 3 8" xfId="10756"/>
    <cellStyle name="Comma [0] 48 2 3 9" xfId="10757"/>
    <cellStyle name="Comma [0] 48 2 4" xfId="2243"/>
    <cellStyle name="Comma [0] 48 2 4 10" xfId="10758"/>
    <cellStyle name="Comma [0] 48 2 4 11" xfId="10759"/>
    <cellStyle name="Comma [0] 48 2 4 12" xfId="10760"/>
    <cellStyle name="Comma [0] 48 2 4 13" xfId="10761"/>
    <cellStyle name="Comma [0] 48 2 4 14" xfId="10762"/>
    <cellStyle name="Comma [0] 48 2 4 15" xfId="10763"/>
    <cellStyle name="Comma [0] 48 2 4 16" xfId="10764"/>
    <cellStyle name="Comma [0] 48 2 4 17" xfId="10765"/>
    <cellStyle name="Comma [0] 48 2 4 18" xfId="10766"/>
    <cellStyle name="Comma [0] 48 2 4 19" xfId="10767"/>
    <cellStyle name="Comma [0] 48 2 4 2" xfId="10768"/>
    <cellStyle name="Comma [0] 48 2 4 20" xfId="10769"/>
    <cellStyle name="Comma [0] 48 2 4 21" xfId="10770"/>
    <cellStyle name="Comma [0] 48 2 4 22" xfId="10771"/>
    <cellStyle name="Comma [0] 48 2 4 23" xfId="10772"/>
    <cellStyle name="Comma [0] 48 2 4 3" xfId="10773"/>
    <cellStyle name="Comma [0] 48 2 4 4" xfId="10774"/>
    <cellStyle name="Comma [0] 48 2 4 5" xfId="10775"/>
    <cellStyle name="Comma [0] 48 2 4 6" xfId="10776"/>
    <cellStyle name="Comma [0] 48 2 4 7" xfId="10777"/>
    <cellStyle name="Comma [0] 48 2 4 8" xfId="10778"/>
    <cellStyle name="Comma [0] 48 2 4 9" xfId="10779"/>
    <cellStyle name="Comma [0] 48 2 5" xfId="10780"/>
    <cellStyle name="Comma [0] 48 2 5 2" xfId="10781"/>
    <cellStyle name="Comma [0] 48 2 5 2 2" xfId="10782"/>
    <cellStyle name="Comma [0] 48 2 5 3" xfId="10783"/>
    <cellStyle name="Comma [0] 48 2 5 3 2" xfId="10784"/>
    <cellStyle name="Comma [0] 48 2 6" xfId="10785"/>
    <cellStyle name="Comma [0] 48 2 7" xfId="10786"/>
    <cellStyle name="Comma [0] 48 2 8" xfId="10787"/>
    <cellStyle name="Comma [0] 48 2 9" xfId="10788"/>
    <cellStyle name="Comma [0] 48 3" xfId="2244"/>
    <cellStyle name="Comma [0] 48 3 10" xfId="10789"/>
    <cellStyle name="Comma [0] 48 3 11" xfId="10790"/>
    <cellStyle name="Comma [0] 48 3 12" xfId="10791"/>
    <cellStyle name="Comma [0] 48 3 13" xfId="10792"/>
    <cellStyle name="Comma [0] 48 3 14" xfId="10793"/>
    <cellStyle name="Comma [0] 48 3 15" xfId="10794"/>
    <cellStyle name="Comma [0] 48 3 16" xfId="10795"/>
    <cellStyle name="Comma [0] 48 3 17" xfId="10796"/>
    <cellStyle name="Comma [0] 48 3 18" xfId="10797"/>
    <cellStyle name="Comma [0] 48 3 19" xfId="10798"/>
    <cellStyle name="Comma [0] 48 3 2" xfId="10799"/>
    <cellStyle name="Comma [0] 48 3 20" xfId="10800"/>
    <cellStyle name="Comma [0] 48 3 21" xfId="10801"/>
    <cellStyle name="Comma [0] 48 3 22" xfId="10802"/>
    <cellStyle name="Comma [0] 48 3 23" xfId="10803"/>
    <cellStyle name="Comma [0] 48 3 3" xfId="10804"/>
    <cellStyle name="Comma [0] 48 3 4" xfId="10805"/>
    <cellStyle name="Comma [0] 48 3 5" xfId="10806"/>
    <cellStyle name="Comma [0] 48 3 6" xfId="10807"/>
    <cellStyle name="Comma [0] 48 3 7" xfId="10808"/>
    <cellStyle name="Comma [0] 48 3 8" xfId="10809"/>
    <cellStyle name="Comma [0] 48 3 9" xfId="10810"/>
    <cellStyle name="Comma [0] 48 4" xfId="2245"/>
    <cellStyle name="Comma [0] 48 4 2" xfId="10811"/>
    <cellStyle name="Comma [0] 48 4 3" xfId="10812"/>
    <cellStyle name="Comma [0] 48 4 4" xfId="10813"/>
    <cellStyle name="Comma [0] 48 5" xfId="2246"/>
    <cellStyle name="Comma [0] 48 5 2" xfId="10814"/>
    <cellStyle name="Comma [0] 48 5 3" xfId="10815"/>
    <cellStyle name="Comma [0] 48 5 4" xfId="10816"/>
    <cellStyle name="Comma [0] 49" xfId="2247"/>
    <cellStyle name="Comma [0] 49 10" xfId="10817"/>
    <cellStyle name="Comma [0] 49 11" xfId="10818"/>
    <cellStyle name="Comma [0] 49 12" xfId="10819"/>
    <cellStyle name="Comma [0] 49 13" xfId="10820"/>
    <cellStyle name="Comma [0] 49 14" xfId="10821"/>
    <cellStyle name="Comma [0] 49 15" xfId="10822"/>
    <cellStyle name="Comma [0] 49 16" xfId="10823"/>
    <cellStyle name="Comma [0] 49 17" xfId="10824"/>
    <cellStyle name="Comma [0] 49 18" xfId="10825"/>
    <cellStyle name="Comma [0] 49 19" xfId="10826"/>
    <cellStyle name="Comma [0] 49 2" xfId="10827"/>
    <cellStyle name="Comma [0] 49 20" xfId="10828"/>
    <cellStyle name="Comma [0] 49 21" xfId="10829"/>
    <cellStyle name="Comma [0] 49 22" xfId="10830"/>
    <cellStyle name="Comma [0] 49 23" xfId="10831"/>
    <cellStyle name="Comma [0] 49 3" xfId="10832"/>
    <cellStyle name="Comma [0] 49 4" xfId="10833"/>
    <cellStyle name="Comma [0] 49 5" xfId="10834"/>
    <cellStyle name="Comma [0] 49 6" xfId="10835"/>
    <cellStyle name="Comma [0] 49 7" xfId="10836"/>
    <cellStyle name="Comma [0] 49 8" xfId="10837"/>
    <cellStyle name="Comma [0] 49 9" xfId="10838"/>
    <cellStyle name="Comma [0] 5" xfId="2248"/>
    <cellStyle name="Comma [0] 5 10" xfId="2249"/>
    <cellStyle name="Comma [0] 5 11" xfId="2250"/>
    <cellStyle name="Comma [0] 5 12" xfId="2251"/>
    <cellStyle name="Comma [0] 5 13" xfId="2252"/>
    <cellStyle name="Comma [0] 5 14" xfId="2253"/>
    <cellStyle name="Comma [0] 5 15" xfId="2254"/>
    <cellStyle name="Comma [0] 5 16" xfId="2255"/>
    <cellStyle name="Comma [0] 5 17" xfId="2256"/>
    <cellStyle name="Comma [0] 5 18" xfId="2257"/>
    <cellStyle name="Comma [0] 5 19" xfId="2258"/>
    <cellStyle name="Comma [0] 5 2" xfId="2259"/>
    <cellStyle name="Comma [0] 5 2 10" xfId="2260"/>
    <cellStyle name="Comma [0] 5 2 11" xfId="2261"/>
    <cellStyle name="Comma [0] 5 2 2" xfId="2262"/>
    <cellStyle name="Comma [0] 5 2 3" xfId="2263"/>
    <cellStyle name="Comma [0] 5 2 4" xfId="2264"/>
    <cellStyle name="Comma [0] 5 2 5" xfId="2265"/>
    <cellStyle name="Comma [0] 5 2 6" xfId="2266"/>
    <cellStyle name="Comma [0] 5 2 7" xfId="2267"/>
    <cellStyle name="Comma [0] 5 2 8" xfId="2268"/>
    <cellStyle name="Comma [0] 5 2 9" xfId="2269"/>
    <cellStyle name="Comma [0] 5 20" xfId="2270"/>
    <cellStyle name="Comma [0] 5 21" xfId="2271"/>
    <cellStyle name="Comma [0] 5 22" xfId="2272"/>
    <cellStyle name="Comma [0] 5 22 2" xfId="2273"/>
    <cellStyle name="Comma [0] 5 22 3" xfId="2274"/>
    <cellStyle name="Comma [0] 5 22 4" xfId="2275"/>
    <cellStyle name="Comma [0] 5 22 5" xfId="2276"/>
    <cellStyle name="Comma [0] 5 22 6" xfId="2277"/>
    <cellStyle name="Comma [0] 5 22 7" xfId="2278"/>
    <cellStyle name="Comma [0] 5 23" xfId="2279"/>
    <cellStyle name="Comma [0] 5 23 2" xfId="2280"/>
    <cellStyle name="Comma [0] 5 23 3" xfId="2281"/>
    <cellStyle name="Comma [0] 5 23 4" xfId="2282"/>
    <cellStyle name="Comma [0] 5 23 5" xfId="2283"/>
    <cellStyle name="Comma [0] 5 23 6" xfId="2284"/>
    <cellStyle name="Comma [0] 5 23 7" xfId="2285"/>
    <cellStyle name="Comma [0] 5 24" xfId="2286"/>
    <cellStyle name="Comma [0] 5 24 2" xfId="2287"/>
    <cellStyle name="Comma [0] 5 24 3" xfId="2288"/>
    <cellStyle name="Comma [0] 5 24 4" xfId="2289"/>
    <cellStyle name="Comma [0] 5 24 5" xfId="2290"/>
    <cellStyle name="Comma [0] 5 24 6" xfId="2291"/>
    <cellStyle name="Comma [0] 5 24 7" xfId="2292"/>
    <cellStyle name="Comma [0] 5 25" xfId="2293"/>
    <cellStyle name="Comma [0] 5 25 2" xfId="2294"/>
    <cellStyle name="Comma [0] 5 25 3" xfId="2295"/>
    <cellStyle name="Comma [0] 5 25 4" xfId="2296"/>
    <cellStyle name="Comma [0] 5 25 5" xfId="2297"/>
    <cellStyle name="Comma [0] 5 25 6" xfId="2298"/>
    <cellStyle name="Comma [0] 5 25 7" xfId="2299"/>
    <cellStyle name="Comma [0] 5 26" xfId="2300"/>
    <cellStyle name="Comma [0] 5 26 2" xfId="2301"/>
    <cellStyle name="Comma [0] 5 26 3" xfId="2302"/>
    <cellStyle name="Comma [0] 5 26 4" xfId="2303"/>
    <cellStyle name="Comma [0] 5 26 5" xfId="2304"/>
    <cellStyle name="Comma [0] 5 26 6" xfId="2305"/>
    <cellStyle name="Comma [0] 5 26 7" xfId="2306"/>
    <cellStyle name="Comma [0] 5 27" xfId="2307"/>
    <cellStyle name="Comma [0] 5 27 2" xfId="2308"/>
    <cellStyle name="Comma [0] 5 27 3" xfId="2309"/>
    <cellStyle name="Comma [0] 5 27 4" xfId="2310"/>
    <cellStyle name="Comma [0] 5 27 5" xfId="2311"/>
    <cellStyle name="Comma [0] 5 27 6" xfId="2312"/>
    <cellStyle name="Comma [0] 5 27 7" xfId="2313"/>
    <cellStyle name="Comma [0] 5 28" xfId="2314"/>
    <cellStyle name="Comma [0] 5 28 2" xfId="2315"/>
    <cellStyle name="Comma [0] 5 28 3" xfId="2316"/>
    <cellStyle name="Comma [0] 5 28 4" xfId="2317"/>
    <cellStyle name="Comma [0] 5 28 5" xfId="2318"/>
    <cellStyle name="Comma [0] 5 28 6" xfId="2319"/>
    <cellStyle name="Comma [0] 5 28 7" xfId="2320"/>
    <cellStyle name="Comma [0] 5 29" xfId="2321"/>
    <cellStyle name="Comma [0] 5 29 2" xfId="10839"/>
    <cellStyle name="Comma [0] 5 29 3" xfId="10840"/>
    <cellStyle name="Comma [0] 5 29 4" xfId="10841"/>
    <cellStyle name="Comma [0] 5 3" xfId="2322"/>
    <cellStyle name="Comma [0] 5 3 10" xfId="10842"/>
    <cellStyle name="Comma [0] 5 3 11" xfId="10843"/>
    <cellStyle name="Comma [0] 5 3 12" xfId="10844"/>
    <cellStyle name="Comma [0] 5 3 13" xfId="10845"/>
    <cellStyle name="Comma [0] 5 3 14" xfId="10846"/>
    <cellStyle name="Comma [0] 5 3 15" xfId="10847"/>
    <cellStyle name="Comma [0] 5 3 16" xfId="10848"/>
    <cellStyle name="Comma [0] 5 3 17" xfId="10849"/>
    <cellStyle name="Comma [0] 5 3 18" xfId="10850"/>
    <cellStyle name="Comma [0] 5 3 19" xfId="10851"/>
    <cellStyle name="Comma [0] 5 3 2" xfId="10852"/>
    <cellStyle name="Comma [0] 5 3 20" xfId="10853"/>
    <cellStyle name="Comma [0] 5 3 21" xfId="10854"/>
    <cellStyle name="Comma [0] 5 3 22" xfId="10855"/>
    <cellStyle name="Comma [0] 5 3 23" xfId="10856"/>
    <cellStyle name="Comma [0] 5 3 3" xfId="10857"/>
    <cellStyle name="Comma [0] 5 3 4" xfId="10858"/>
    <cellStyle name="Comma [0] 5 3 5" xfId="10859"/>
    <cellStyle name="Comma [0] 5 3 6" xfId="10860"/>
    <cellStyle name="Comma [0] 5 3 7" xfId="10861"/>
    <cellStyle name="Comma [0] 5 3 8" xfId="10862"/>
    <cellStyle name="Comma [0] 5 3 9" xfId="10863"/>
    <cellStyle name="Comma [0] 5 30" xfId="2323"/>
    <cellStyle name="Comma [0] 5 30 2" xfId="10864"/>
    <cellStyle name="Comma [0] 5 30 3" xfId="10865"/>
    <cellStyle name="Comma [0] 5 30 4" xfId="10866"/>
    <cellStyle name="Comma [0] 5 31" xfId="10867"/>
    <cellStyle name="Comma [0] 5 32" xfId="10868"/>
    <cellStyle name="Comma [0] 5 33" xfId="10869"/>
    <cellStyle name="Comma [0] 5 34" xfId="10870"/>
    <cellStyle name="Comma [0] 5 35" xfId="10871"/>
    <cellStyle name="Comma [0] 5 36" xfId="10872"/>
    <cellStyle name="Comma [0] 5 37" xfId="10873"/>
    <cellStyle name="Comma [0] 5 38" xfId="10874"/>
    <cellStyle name="Comma [0] 5 39" xfId="10875"/>
    <cellStyle name="Comma [0] 5 4" xfId="2324"/>
    <cellStyle name="Comma [0] 5 4 10" xfId="10876"/>
    <cellStyle name="Comma [0] 5 4 11" xfId="10877"/>
    <cellStyle name="Comma [0] 5 4 12" xfId="10878"/>
    <cellStyle name="Comma [0] 5 4 13" xfId="10879"/>
    <cellStyle name="Comma [0] 5 4 14" xfId="10880"/>
    <cellStyle name="Comma [0] 5 4 15" xfId="10881"/>
    <cellStyle name="Comma [0] 5 4 16" xfId="10882"/>
    <cellStyle name="Comma [0] 5 4 17" xfId="10883"/>
    <cellStyle name="Comma [0] 5 4 18" xfId="10884"/>
    <cellStyle name="Comma [0] 5 4 19" xfId="10885"/>
    <cellStyle name="Comma [0] 5 4 2" xfId="2325"/>
    <cellStyle name="Comma [0] 5 4 2 10" xfId="10886"/>
    <cellStyle name="Comma [0] 5 4 2 11" xfId="10887"/>
    <cellStyle name="Comma [0] 5 4 2 12" xfId="10888"/>
    <cellStyle name="Comma [0] 5 4 2 13" xfId="10889"/>
    <cellStyle name="Comma [0] 5 4 2 14" xfId="10890"/>
    <cellStyle name="Comma [0] 5 4 2 15" xfId="10891"/>
    <cellStyle name="Comma [0] 5 4 2 16" xfId="10892"/>
    <cellStyle name="Comma [0] 5 4 2 17" xfId="10893"/>
    <cellStyle name="Comma [0] 5 4 2 18" xfId="10894"/>
    <cellStyle name="Comma [0] 5 4 2 19" xfId="10895"/>
    <cellStyle name="Comma [0] 5 4 2 2" xfId="2326"/>
    <cellStyle name="Comma [0] 5 4 2 20" xfId="10896"/>
    <cellStyle name="Comma [0] 5 4 2 21" xfId="10897"/>
    <cellStyle name="Comma [0] 5 4 2 22" xfId="10898"/>
    <cellStyle name="Comma [0] 5 4 2 23" xfId="10899"/>
    <cellStyle name="Comma [0] 5 4 2 3" xfId="10900"/>
    <cellStyle name="Comma [0] 5 4 2 4" xfId="10901"/>
    <cellStyle name="Comma [0] 5 4 2 5" xfId="10902"/>
    <cellStyle name="Comma [0] 5 4 2 6" xfId="10903"/>
    <cellStyle name="Comma [0] 5 4 2 7" xfId="10904"/>
    <cellStyle name="Comma [0] 5 4 2 8" xfId="10905"/>
    <cellStyle name="Comma [0] 5 4 2 9" xfId="10906"/>
    <cellStyle name="Comma [0] 5 4 20" xfId="10907"/>
    <cellStyle name="Comma [0] 5 4 21" xfId="10908"/>
    <cellStyle name="Comma [0] 5 4 22" xfId="10909"/>
    <cellStyle name="Comma [0] 5 4 23" xfId="10910"/>
    <cellStyle name="Comma [0] 5 4 3" xfId="10911"/>
    <cellStyle name="Comma [0] 5 4 4" xfId="10912"/>
    <cellStyle name="Comma [0] 5 4 5" xfId="10913"/>
    <cellStyle name="Comma [0] 5 4 6" xfId="10914"/>
    <cellStyle name="Comma [0] 5 4 7" xfId="10915"/>
    <cellStyle name="Comma [0] 5 4 8" xfId="10916"/>
    <cellStyle name="Comma [0] 5 4 9" xfId="10917"/>
    <cellStyle name="Comma [0] 5 40" xfId="10918"/>
    <cellStyle name="Comma [0] 5 41" xfId="10919"/>
    <cellStyle name="Comma [0] 5 42" xfId="10920"/>
    <cellStyle name="Comma [0] 5 43" xfId="10921"/>
    <cellStyle name="Comma [0] 5 44" xfId="10922"/>
    <cellStyle name="Comma [0] 5 45" xfId="10923"/>
    <cellStyle name="Comma [0] 5 46" xfId="10924"/>
    <cellStyle name="Comma [0] 5 47" xfId="10925"/>
    <cellStyle name="Comma [0] 5 48" xfId="10926"/>
    <cellStyle name="Comma [0] 5 49" xfId="10927"/>
    <cellStyle name="Comma [0] 5 5" xfId="2327"/>
    <cellStyle name="Comma [0] 5 50" xfId="10928"/>
    <cellStyle name="Comma [0] 5 51" xfId="10929"/>
    <cellStyle name="Comma [0] 5 6" xfId="2328"/>
    <cellStyle name="Comma [0] 5 6 10" xfId="10930"/>
    <cellStyle name="Comma [0] 5 6 11" xfId="10931"/>
    <cellStyle name="Comma [0] 5 6 12" xfId="10932"/>
    <cellStyle name="Comma [0] 5 6 13" xfId="10933"/>
    <cellStyle name="Comma [0] 5 6 14" xfId="10934"/>
    <cellStyle name="Comma [0] 5 6 15" xfId="10935"/>
    <cellStyle name="Comma [0] 5 6 16" xfId="10936"/>
    <cellStyle name="Comma [0] 5 6 17" xfId="10937"/>
    <cellStyle name="Comma [0] 5 6 18" xfId="10938"/>
    <cellStyle name="Comma [0] 5 6 19" xfId="10939"/>
    <cellStyle name="Comma [0] 5 6 2" xfId="10940"/>
    <cellStyle name="Comma [0] 5 6 20" xfId="10941"/>
    <cellStyle name="Comma [0] 5 6 21" xfId="10942"/>
    <cellStyle name="Comma [0] 5 6 22" xfId="10943"/>
    <cellStyle name="Comma [0] 5 6 23" xfId="10944"/>
    <cellStyle name="Comma [0] 5 6 3" xfId="10945"/>
    <cellStyle name="Comma [0] 5 6 4" xfId="10946"/>
    <cellStyle name="Comma [0] 5 6 5" xfId="10947"/>
    <cellStyle name="Comma [0] 5 6 6" xfId="10948"/>
    <cellStyle name="Comma [0] 5 6 7" xfId="10949"/>
    <cellStyle name="Comma [0] 5 6 8" xfId="10950"/>
    <cellStyle name="Comma [0] 5 6 9" xfId="10951"/>
    <cellStyle name="Comma [0] 5 7" xfId="2329"/>
    <cellStyle name="Comma [0] 5 7 10" xfId="10952"/>
    <cellStyle name="Comma [0] 5 7 11" xfId="10953"/>
    <cellStyle name="Comma [0] 5 7 12" xfId="10954"/>
    <cellStyle name="Comma [0] 5 7 13" xfId="10955"/>
    <cellStyle name="Comma [0] 5 7 14" xfId="10956"/>
    <cellStyle name="Comma [0] 5 7 15" xfId="10957"/>
    <cellStyle name="Comma [0] 5 7 16" xfId="10958"/>
    <cellStyle name="Comma [0] 5 7 17" xfId="10959"/>
    <cellStyle name="Comma [0] 5 7 18" xfId="10960"/>
    <cellStyle name="Comma [0] 5 7 19" xfId="10961"/>
    <cellStyle name="Comma [0] 5 7 2" xfId="10962"/>
    <cellStyle name="Comma [0] 5 7 20" xfId="10963"/>
    <cellStyle name="Comma [0] 5 7 21" xfId="10964"/>
    <cellStyle name="Comma [0] 5 7 22" xfId="10965"/>
    <cellStyle name="Comma [0] 5 7 23" xfId="10966"/>
    <cellStyle name="Comma [0] 5 7 3" xfId="10967"/>
    <cellStyle name="Comma [0] 5 7 4" xfId="10968"/>
    <cellStyle name="Comma [0] 5 7 5" xfId="10969"/>
    <cellStyle name="Comma [0] 5 7 6" xfId="10970"/>
    <cellStyle name="Comma [0] 5 7 7" xfId="10971"/>
    <cellStyle name="Comma [0] 5 7 8" xfId="10972"/>
    <cellStyle name="Comma [0] 5 7 9" xfId="10973"/>
    <cellStyle name="Comma [0] 5 8" xfId="2330"/>
    <cellStyle name="Comma [0] 5 9" xfId="2331"/>
    <cellStyle name="Comma [0] 50" xfId="2332"/>
    <cellStyle name="Comma [0] 50 10" xfId="10974"/>
    <cellStyle name="Comma [0] 50 11" xfId="10975"/>
    <cellStyle name="Comma [0] 50 12" xfId="10976"/>
    <cellStyle name="Comma [0] 50 13" xfId="10977"/>
    <cellStyle name="Comma [0] 50 14" xfId="10978"/>
    <cellStyle name="Comma [0] 50 15" xfId="10979"/>
    <cellStyle name="Comma [0] 50 16" xfId="10980"/>
    <cellStyle name="Comma [0] 50 17" xfId="10981"/>
    <cellStyle name="Comma [0] 50 18" xfId="10982"/>
    <cellStyle name="Comma [0] 50 19" xfId="10983"/>
    <cellStyle name="Comma [0] 50 2" xfId="2333"/>
    <cellStyle name="Comma [0] 50 2 10" xfId="10984"/>
    <cellStyle name="Comma [0] 50 2 11" xfId="10985"/>
    <cellStyle name="Comma [0] 50 2 12" xfId="10986"/>
    <cellStyle name="Comma [0] 50 2 13" xfId="10987"/>
    <cellStyle name="Comma [0] 50 2 14" xfId="10988"/>
    <cellStyle name="Comma [0] 50 2 15" xfId="10989"/>
    <cellStyle name="Comma [0] 50 2 16" xfId="10990"/>
    <cellStyle name="Comma [0] 50 2 17" xfId="10991"/>
    <cellStyle name="Comma [0] 50 2 18" xfId="10992"/>
    <cellStyle name="Comma [0] 50 2 19" xfId="10993"/>
    <cellStyle name="Comma [0] 50 2 2" xfId="10994"/>
    <cellStyle name="Comma [0] 50 2 20" xfId="10995"/>
    <cellStyle name="Comma [0] 50 2 21" xfId="10996"/>
    <cellStyle name="Comma [0] 50 2 22" xfId="10997"/>
    <cellStyle name="Comma [0] 50 2 23" xfId="10998"/>
    <cellStyle name="Comma [0] 50 2 3" xfId="10999"/>
    <cellStyle name="Comma [0] 50 2 4" xfId="11000"/>
    <cellStyle name="Comma [0] 50 2 5" xfId="11001"/>
    <cellStyle name="Comma [0] 50 2 6" xfId="11002"/>
    <cellStyle name="Comma [0] 50 2 7" xfId="11003"/>
    <cellStyle name="Comma [0] 50 2 8" xfId="11004"/>
    <cellStyle name="Comma [0] 50 2 9" xfId="11005"/>
    <cellStyle name="Comma [0] 50 20" xfId="11006"/>
    <cellStyle name="Comma [0] 50 21" xfId="11007"/>
    <cellStyle name="Comma [0] 50 22" xfId="11008"/>
    <cellStyle name="Comma [0] 50 23" xfId="11009"/>
    <cellStyle name="Comma [0] 50 24" xfId="11010"/>
    <cellStyle name="Comma [0] 50 3" xfId="11011"/>
    <cellStyle name="Comma [0] 50 4" xfId="11012"/>
    <cellStyle name="Comma [0] 50 5" xfId="11013"/>
    <cellStyle name="Comma [0] 50 6" xfId="11014"/>
    <cellStyle name="Comma [0] 50 7" xfId="11015"/>
    <cellStyle name="Comma [0] 50 8" xfId="11016"/>
    <cellStyle name="Comma [0] 50 9" xfId="11017"/>
    <cellStyle name="Comma [0] 51" xfId="2334"/>
    <cellStyle name="Comma [0] 51 10" xfId="11018"/>
    <cellStyle name="Comma [0] 51 11" xfId="11019"/>
    <cellStyle name="Comma [0] 51 12" xfId="11020"/>
    <cellStyle name="Comma [0] 51 13" xfId="11021"/>
    <cellStyle name="Comma [0] 51 14" xfId="11022"/>
    <cellStyle name="Comma [0] 51 15" xfId="11023"/>
    <cellStyle name="Comma [0] 51 16" xfId="11024"/>
    <cellStyle name="Comma [0] 51 17" xfId="11025"/>
    <cellStyle name="Comma [0] 51 18" xfId="11026"/>
    <cellStyle name="Comma [0] 51 19" xfId="11027"/>
    <cellStyle name="Comma [0] 51 2" xfId="11028"/>
    <cellStyle name="Comma [0] 51 20" xfId="11029"/>
    <cellStyle name="Comma [0] 51 21" xfId="11030"/>
    <cellStyle name="Comma [0] 51 22" xfId="11031"/>
    <cellStyle name="Comma [0] 51 23" xfId="11032"/>
    <cellStyle name="Comma [0] 51 3" xfId="11033"/>
    <cellStyle name="Comma [0] 51 4" xfId="11034"/>
    <cellStyle name="Comma [0] 51 5" xfId="11035"/>
    <cellStyle name="Comma [0] 51 6" xfId="11036"/>
    <cellStyle name="Comma [0] 51 7" xfId="11037"/>
    <cellStyle name="Comma [0] 51 8" xfId="11038"/>
    <cellStyle name="Comma [0] 51 9" xfId="11039"/>
    <cellStyle name="Comma [0] 52" xfId="2335"/>
    <cellStyle name="Comma [0] 52 10" xfId="11040"/>
    <cellStyle name="Comma [0] 52 11" xfId="11041"/>
    <cellStyle name="Comma [0] 52 12" xfId="11042"/>
    <cellStyle name="Comma [0] 52 13" xfId="11043"/>
    <cellStyle name="Comma [0] 52 14" xfId="11044"/>
    <cellStyle name="Comma [0] 52 15" xfId="11045"/>
    <cellStyle name="Comma [0] 52 16" xfId="11046"/>
    <cellStyle name="Comma [0] 52 17" xfId="11047"/>
    <cellStyle name="Comma [0] 52 18" xfId="11048"/>
    <cellStyle name="Comma [0] 52 19" xfId="11049"/>
    <cellStyle name="Comma [0] 52 2" xfId="2336"/>
    <cellStyle name="Comma [0] 52 2 10" xfId="11050"/>
    <cellStyle name="Comma [0] 52 2 11" xfId="11051"/>
    <cellStyle name="Comma [0] 52 2 12" xfId="11052"/>
    <cellStyle name="Comma [0] 52 2 13" xfId="11053"/>
    <cellStyle name="Comma [0] 52 2 14" xfId="11054"/>
    <cellStyle name="Comma [0] 52 2 15" xfId="11055"/>
    <cellStyle name="Comma [0] 52 2 16" xfId="11056"/>
    <cellStyle name="Comma [0] 52 2 17" xfId="11057"/>
    <cellStyle name="Comma [0] 52 2 18" xfId="11058"/>
    <cellStyle name="Comma [0] 52 2 19" xfId="11059"/>
    <cellStyle name="Comma [0] 52 2 2" xfId="11060"/>
    <cellStyle name="Comma [0] 52 2 20" xfId="11061"/>
    <cellStyle name="Comma [0] 52 2 21" xfId="11062"/>
    <cellStyle name="Comma [0] 52 2 22" xfId="11063"/>
    <cellStyle name="Comma [0] 52 2 23" xfId="11064"/>
    <cellStyle name="Comma [0] 52 2 3" xfId="11065"/>
    <cellStyle name="Comma [0] 52 2 4" xfId="11066"/>
    <cellStyle name="Comma [0] 52 2 5" xfId="11067"/>
    <cellStyle name="Comma [0] 52 2 6" xfId="11068"/>
    <cellStyle name="Comma [0] 52 2 7" xfId="11069"/>
    <cellStyle name="Comma [0] 52 2 8" xfId="11070"/>
    <cellStyle name="Comma [0] 52 2 9" xfId="11071"/>
    <cellStyle name="Comma [0] 52 20" xfId="11072"/>
    <cellStyle name="Comma [0] 52 21" xfId="11073"/>
    <cellStyle name="Comma [0] 52 22" xfId="11074"/>
    <cellStyle name="Comma [0] 52 23" xfId="11075"/>
    <cellStyle name="Comma [0] 52 24" xfId="11076"/>
    <cellStyle name="Comma [0] 52 3" xfId="11077"/>
    <cellStyle name="Comma [0] 52 4" xfId="11078"/>
    <cellStyle name="Comma [0] 52 5" xfId="11079"/>
    <cellStyle name="Comma [0] 52 6" xfId="11080"/>
    <cellStyle name="Comma [0] 52 7" xfId="11081"/>
    <cellStyle name="Comma [0] 52 8" xfId="11082"/>
    <cellStyle name="Comma [0] 52 9" xfId="11083"/>
    <cellStyle name="Comma [0] 53" xfId="2337"/>
    <cellStyle name="Comma [0] 53 10" xfId="11084"/>
    <cellStyle name="Comma [0] 53 11" xfId="11085"/>
    <cellStyle name="Comma [0] 53 12" xfId="11086"/>
    <cellStyle name="Comma [0] 53 13" xfId="11087"/>
    <cellStyle name="Comma [0] 53 14" xfId="11088"/>
    <cellStyle name="Comma [0] 53 15" xfId="11089"/>
    <cellStyle name="Comma [0] 53 16" xfId="11090"/>
    <cellStyle name="Comma [0] 53 17" xfId="11091"/>
    <cellStyle name="Comma [0] 53 18" xfId="11092"/>
    <cellStyle name="Comma [0] 53 19" xfId="11093"/>
    <cellStyle name="Comma [0] 53 2" xfId="11094"/>
    <cellStyle name="Comma [0] 53 20" xfId="11095"/>
    <cellStyle name="Comma [0] 53 21" xfId="11096"/>
    <cellStyle name="Comma [0] 53 22" xfId="11097"/>
    <cellStyle name="Comma [0] 53 23" xfId="11098"/>
    <cellStyle name="Comma [0] 53 3" xfId="11099"/>
    <cellStyle name="Comma [0] 53 4" xfId="11100"/>
    <cellStyle name="Comma [0] 53 5" xfId="11101"/>
    <cellStyle name="Comma [0] 53 6" xfId="11102"/>
    <cellStyle name="Comma [0] 53 7" xfId="11103"/>
    <cellStyle name="Comma [0] 53 8" xfId="11104"/>
    <cellStyle name="Comma [0] 53 9" xfId="11105"/>
    <cellStyle name="Comma [0] 54" xfId="2338"/>
    <cellStyle name="Comma [0] 54 10" xfId="11106"/>
    <cellStyle name="Comma [0] 54 11" xfId="11107"/>
    <cellStyle name="Comma [0] 54 12" xfId="11108"/>
    <cellStyle name="Comma [0] 54 13" xfId="11109"/>
    <cellStyle name="Comma [0] 54 14" xfId="11110"/>
    <cellStyle name="Comma [0] 54 15" xfId="11111"/>
    <cellStyle name="Comma [0] 54 16" xfId="11112"/>
    <cellStyle name="Comma [0] 54 17" xfId="11113"/>
    <cellStyle name="Comma [0] 54 18" xfId="11114"/>
    <cellStyle name="Comma [0] 54 19" xfId="11115"/>
    <cellStyle name="Comma [0] 54 2" xfId="11116"/>
    <cellStyle name="Comma [0] 54 20" xfId="11117"/>
    <cellStyle name="Comma [0] 54 21" xfId="11118"/>
    <cellStyle name="Comma [0] 54 22" xfId="11119"/>
    <cellStyle name="Comma [0] 54 23" xfId="11120"/>
    <cellStyle name="Comma [0] 54 3" xfId="11121"/>
    <cellStyle name="Comma [0] 54 4" xfId="11122"/>
    <cellStyle name="Comma [0] 54 5" xfId="11123"/>
    <cellStyle name="Comma [0] 54 6" xfId="11124"/>
    <cellStyle name="Comma [0] 54 7" xfId="11125"/>
    <cellStyle name="Comma [0] 54 8" xfId="11126"/>
    <cellStyle name="Comma [0] 54 9" xfId="11127"/>
    <cellStyle name="Comma [0] 55" xfId="2339"/>
    <cellStyle name="Comma [0] 55 10" xfId="11128"/>
    <cellStyle name="Comma [0] 55 11" xfId="11129"/>
    <cellStyle name="Comma [0] 55 12" xfId="11130"/>
    <cellStyle name="Comma [0] 55 13" xfId="11131"/>
    <cellStyle name="Comma [0] 55 14" xfId="11132"/>
    <cellStyle name="Comma [0] 55 15" xfId="11133"/>
    <cellStyle name="Comma [0] 55 16" xfId="11134"/>
    <cellStyle name="Comma [0] 55 17" xfId="11135"/>
    <cellStyle name="Comma [0] 55 18" xfId="11136"/>
    <cellStyle name="Comma [0] 55 19" xfId="11137"/>
    <cellStyle name="Comma [0] 55 2" xfId="11138"/>
    <cellStyle name="Comma [0] 55 20" xfId="11139"/>
    <cellStyle name="Comma [0] 55 21" xfId="11140"/>
    <cellStyle name="Comma [0] 55 22" xfId="11141"/>
    <cellStyle name="Comma [0] 55 23" xfId="11142"/>
    <cellStyle name="Comma [0] 55 3" xfId="11143"/>
    <cellStyle name="Comma [0] 55 4" xfId="11144"/>
    <cellStyle name="Comma [0] 55 5" xfId="11145"/>
    <cellStyle name="Comma [0] 55 6" xfId="11146"/>
    <cellStyle name="Comma [0] 55 7" xfId="11147"/>
    <cellStyle name="Comma [0] 55 8" xfId="11148"/>
    <cellStyle name="Comma [0] 55 9" xfId="11149"/>
    <cellStyle name="Comma [0] 56" xfId="2340"/>
    <cellStyle name="Comma [0] 56 10" xfId="11150"/>
    <cellStyle name="Comma [0] 56 11" xfId="11151"/>
    <cellStyle name="Comma [0] 56 12" xfId="11152"/>
    <cellStyle name="Comma [0] 56 13" xfId="11153"/>
    <cellStyle name="Comma [0] 56 14" xfId="11154"/>
    <cellStyle name="Comma [0] 56 15" xfId="11155"/>
    <cellStyle name="Comma [0] 56 16" xfId="11156"/>
    <cellStyle name="Comma [0] 56 17" xfId="11157"/>
    <cellStyle name="Comma [0] 56 18" xfId="11158"/>
    <cellStyle name="Comma [0] 56 19" xfId="11159"/>
    <cellStyle name="Comma [0] 56 2" xfId="11160"/>
    <cellStyle name="Comma [0] 56 20" xfId="11161"/>
    <cellStyle name="Comma [0] 56 21" xfId="11162"/>
    <cellStyle name="Comma [0] 56 22" xfId="11163"/>
    <cellStyle name="Comma [0] 56 23" xfId="11164"/>
    <cellStyle name="Comma [0] 56 3" xfId="11165"/>
    <cellStyle name="Comma [0] 56 4" xfId="11166"/>
    <cellStyle name="Comma [0] 56 5" xfId="11167"/>
    <cellStyle name="Comma [0] 56 6" xfId="11168"/>
    <cellStyle name="Comma [0] 56 7" xfId="11169"/>
    <cellStyle name="Comma [0] 56 8" xfId="11170"/>
    <cellStyle name="Comma [0] 56 9" xfId="11171"/>
    <cellStyle name="Comma [0] 57" xfId="2341"/>
    <cellStyle name="Comma [0] 57 10" xfId="11172"/>
    <cellStyle name="Comma [0] 57 11" xfId="11173"/>
    <cellStyle name="Comma [0] 57 12" xfId="11174"/>
    <cellStyle name="Comma [0] 57 13" xfId="11175"/>
    <cellStyle name="Comma [0] 57 14" xfId="11176"/>
    <cellStyle name="Comma [0] 57 15" xfId="11177"/>
    <cellStyle name="Comma [0] 57 16" xfId="11178"/>
    <cellStyle name="Comma [0] 57 17" xfId="11179"/>
    <cellStyle name="Comma [0] 57 18" xfId="11180"/>
    <cellStyle name="Comma [0] 57 19" xfId="11181"/>
    <cellStyle name="Comma [0] 57 2" xfId="11182"/>
    <cellStyle name="Comma [0] 57 20" xfId="11183"/>
    <cellStyle name="Comma [0] 57 21" xfId="11184"/>
    <cellStyle name="Comma [0] 57 22" xfId="11185"/>
    <cellStyle name="Comma [0] 57 23" xfId="11186"/>
    <cellStyle name="Comma [0] 57 24" xfId="11187"/>
    <cellStyle name="Comma [0] 57 25" xfId="11188"/>
    <cellStyle name="Comma [0] 57 3" xfId="11189"/>
    <cellStyle name="Comma [0] 57 3 2" xfId="11190"/>
    <cellStyle name="Comma [0] 57 4" xfId="11191"/>
    <cellStyle name="Comma [0] 57 5" xfId="11192"/>
    <cellStyle name="Comma [0] 57 6" xfId="11193"/>
    <cellStyle name="Comma [0] 57 7" xfId="11194"/>
    <cellStyle name="Comma [0] 57 8" xfId="11195"/>
    <cellStyle name="Comma [0] 57 9" xfId="11196"/>
    <cellStyle name="Comma [0] 58" xfId="2342"/>
    <cellStyle name="Comma [0] 58 10" xfId="11197"/>
    <cellStyle name="Comma [0] 58 11" xfId="11198"/>
    <cellStyle name="Comma [0] 58 12" xfId="11199"/>
    <cellStyle name="Comma [0] 58 13" xfId="11200"/>
    <cellStyle name="Comma [0] 58 14" xfId="11201"/>
    <cellStyle name="Comma [0] 58 15" xfId="11202"/>
    <cellStyle name="Comma [0] 58 16" xfId="11203"/>
    <cellStyle name="Comma [0] 58 17" xfId="11204"/>
    <cellStyle name="Comma [0] 58 18" xfId="11205"/>
    <cellStyle name="Comma [0] 58 19" xfId="11206"/>
    <cellStyle name="Comma [0] 58 2" xfId="11207"/>
    <cellStyle name="Comma [0] 58 20" xfId="11208"/>
    <cellStyle name="Comma [0] 58 21" xfId="11209"/>
    <cellStyle name="Comma [0] 58 22" xfId="11210"/>
    <cellStyle name="Comma [0] 58 23" xfId="11211"/>
    <cellStyle name="Comma [0] 58 3" xfId="11212"/>
    <cellStyle name="Comma [0] 58 4" xfId="11213"/>
    <cellStyle name="Comma [0] 58 5" xfId="11214"/>
    <cellStyle name="Comma [0] 58 6" xfId="11215"/>
    <cellStyle name="Comma [0] 58 7" xfId="11216"/>
    <cellStyle name="Comma [0] 58 8" xfId="11217"/>
    <cellStyle name="Comma [0] 58 9" xfId="11218"/>
    <cellStyle name="Comma [0] 59" xfId="2343"/>
    <cellStyle name="Comma [0] 59 10" xfId="11219"/>
    <cellStyle name="Comma [0] 59 11" xfId="11220"/>
    <cellStyle name="Comma [0] 59 12" xfId="11221"/>
    <cellStyle name="Comma [0] 59 13" xfId="11222"/>
    <cellStyle name="Comma [0] 59 14" xfId="11223"/>
    <cellStyle name="Comma [0] 59 15" xfId="11224"/>
    <cellStyle name="Comma [0] 59 16" xfId="11225"/>
    <cellStyle name="Comma [0] 59 17" xfId="11226"/>
    <cellStyle name="Comma [0] 59 18" xfId="11227"/>
    <cellStyle name="Comma [0] 59 19" xfId="11228"/>
    <cellStyle name="Comma [0] 59 2" xfId="11229"/>
    <cellStyle name="Comma [0] 59 20" xfId="11230"/>
    <cellStyle name="Comma [0] 59 21" xfId="11231"/>
    <cellStyle name="Comma [0] 59 22" xfId="11232"/>
    <cellStyle name="Comma [0] 59 23" xfId="11233"/>
    <cellStyle name="Comma [0] 59 3" xfId="11234"/>
    <cellStyle name="Comma [0] 59 4" xfId="11235"/>
    <cellStyle name="Comma [0] 59 5" xfId="11236"/>
    <cellStyle name="Comma [0] 59 6" xfId="11237"/>
    <cellStyle name="Comma [0] 59 7" xfId="11238"/>
    <cellStyle name="Comma [0] 59 8" xfId="11239"/>
    <cellStyle name="Comma [0] 59 9" xfId="11240"/>
    <cellStyle name="Comma [0] 6" xfId="2344"/>
    <cellStyle name="Comma [0] 6 10" xfId="2345"/>
    <cellStyle name="Comma [0] 6 11" xfId="2346"/>
    <cellStyle name="Comma [0] 6 12" xfId="2347"/>
    <cellStyle name="Comma [0] 6 13" xfId="2348"/>
    <cellStyle name="Comma [0] 6 14" xfId="2349"/>
    <cellStyle name="Comma [0] 6 15" xfId="2350"/>
    <cellStyle name="Comma [0] 6 16" xfId="2351"/>
    <cellStyle name="Comma [0] 6 17" xfId="2352"/>
    <cellStyle name="Comma [0] 6 18" xfId="2353"/>
    <cellStyle name="Comma [0] 6 19" xfId="2354"/>
    <cellStyle name="Comma [0] 6 2" xfId="2355"/>
    <cellStyle name="Comma [0] 6 2 10" xfId="11241"/>
    <cellStyle name="Comma [0] 6 2 11" xfId="11242"/>
    <cellStyle name="Comma [0] 6 2 12" xfId="11243"/>
    <cellStyle name="Comma [0] 6 2 13" xfId="11244"/>
    <cellStyle name="Comma [0] 6 2 14" xfId="11245"/>
    <cellStyle name="Comma [0] 6 2 15" xfId="11246"/>
    <cellStyle name="Comma [0] 6 2 16" xfId="11247"/>
    <cellStyle name="Comma [0] 6 2 17" xfId="11248"/>
    <cellStyle name="Comma [0] 6 2 18" xfId="11249"/>
    <cellStyle name="Comma [0] 6 2 19" xfId="11250"/>
    <cellStyle name="Comma [0] 6 2 2" xfId="2356"/>
    <cellStyle name="Comma [0] 6 2 2 10" xfId="11251"/>
    <cellStyle name="Comma [0] 6 2 2 11" xfId="11252"/>
    <cellStyle name="Comma [0] 6 2 2 12" xfId="11253"/>
    <cellStyle name="Comma [0] 6 2 2 13" xfId="11254"/>
    <cellStyle name="Comma [0] 6 2 2 14" xfId="11255"/>
    <cellStyle name="Comma [0] 6 2 2 15" xfId="11256"/>
    <cellStyle name="Comma [0] 6 2 2 16" xfId="11257"/>
    <cellStyle name="Comma [0] 6 2 2 17" xfId="11258"/>
    <cellStyle name="Comma [0] 6 2 2 18" xfId="11259"/>
    <cellStyle name="Comma [0] 6 2 2 19" xfId="11260"/>
    <cellStyle name="Comma [0] 6 2 2 2" xfId="2357"/>
    <cellStyle name="Comma [0] 6 2 2 2 10" xfId="11261"/>
    <cellStyle name="Comma [0] 6 2 2 2 11" xfId="11262"/>
    <cellStyle name="Comma [0] 6 2 2 2 12" xfId="11263"/>
    <cellStyle name="Comma [0] 6 2 2 2 13" xfId="11264"/>
    <cellStyle name="Comma [0] 6 2 2 2 14" xfId="11265"/>
    <cellStyle name="Comma [0] 6 2 2 2 15" xfId="11266"/>
    <cellStyle name="Comma [0] 6 2 2 2 16" xfId="11267"/>
    <cellStyle name="Comma [0] 6 2 2 2 17" xfId="11268"/>
    <cellStyle name="Comma [0] 6 2 2 2 18" xfId="11269"/>
    <cellStyle name="Comma [0] 6 2 2 2 19" xfId="11270"/>
    <cellStyle name="Comma [0] 6 2 2 2 2" xfId="2358"/>
    <cellStyle name="Comma [0] 6 2 2 2 2 10" xfId="11271"/>
    <cellStyle name="Comma [0] 6 2 2 2 2 11" xfId="11272"/>
    <cellStyle name="Comma [0] 6 2 2 2 2 12" xfId="11273"/>
    <cellStyle name="Comma [0] 6 2 2 2 2 13" xfId="11274"/>
    <cellStyle name="Comma [0] 6 2 2 2 2 14" xfId="11275"/>
    <cellStyle name="Comma [0] 6 2 2 2 2 15" xfId="11276"/>
    <cellStyle name="Comma [0] 6 2 2 2 2 16" xfId="11277"/>
    <cellStyle name="Comma [0] 6 2 2 2 2 17" xfId="11278"/>
    <cellStyle name="Comma [0] 6 2 2 2 2 18" xfId="11279"/>
    <cellStyle name="Comma [0] 6 2 2 2 2 19" xfId="11280"/>
    <cellStyle name="Comma [0] 6 2 2 2 2 2" xfId="11281"/>
    <cellStyle name="Comma [0] 6 2 2 2 2 20" xfId="11282"/>
    <cellStyle name="Comma [0] 6 2 2 2 2 21" xfId="11283"/>
    <cellStyle name="Comma [0] 6 2 2 2 2 22" xfId="11284"/>
    <cellStyle name="Comma [0] 6 2 2 2 2 23" xfId="11285"/>
    <cellStyle name="Comma [0] 6 2 2 2 2 3" xfId="11286"/>
    <cellStyle name="Comma [0] 6 2 2 2 2 4" xfId="11287"/>
    <cellStyle name="Comma [0] 6 2 2 2 2 5" xfId="11288"/>
    <cellStyle name="Comma [0] 6 2 2 2 2 6" xfId="11289"/>
    <cellStyle name="Comma [0] 6 2 2 2 2 7" xfId="11290"/>
    <cellStyle name="Comma [0] 6 2 2 2 2 8" xfId="11291"/>
    <cellStyle name="Comma [0] 6 2 2 2 2 9" xfId="11292"/>
    <cellStyle name="Comma [0] 6 2 2 2 20" xfId="11293"/>
    <cellStyle name="Comma [0] 6 2 2 2 21" xfId="11294"/>
    <cellStyle name="Comma [0] 6 2 2 2 22" xfId="11295"/>
    <cellStyle name="Comma [0] 6 2 2 2 23" xfId="11296"/>
    <cellStyle name="Comma [0] 6 2 2 2 24" xfId="11297"/>
    <cellStyle name="Comma [0] 6 2 2 2 3" xfId="11298"/>
    <cellStyle name="Comma [0] 6 2 2 2 4" xfId="11299"/>
    <cellStyle name="Comma [0] 6 2 2 2 5" xfId="11300"/>
    <cellStyle name="Comma [0] 6 2 2 2 6" xfId="11301"/>
    <cellStyle name="Comma [0] 6 2 2 2 7" xfId="11302"/>
    <cellStyle name="Comma [0] 6 2 2 2 8" xfId="11303"/>
    <cellStyle name="Comma [0] 6 2 2 2 9" xfId="11304"/>
    <cellStyle name="Comma [0] 6 2 2 20" xfId="11305"/>
    <cellStyle name="Comma [0] 6 2 2 21" xfId="11306"/>
    <cellStyle name="Comma [0] 6 2 2 22" xfId="11307"/>
    <cellStyle name="Comma [0] 6 2 2 23" xfId="11308"/>
    <cellStyle name="Comma [0] 6 2 2 24" xfId="11309"/>
    <cellStyle name="Comma [0] 6 2 2 3" xfId="11310"/>
    <cellStyle name="Comma [0] 6 2 2 4" xfId="11311"/>
    <cellStyle name="Comma [0] 6 2 2 5" xfId="11312"/>
    <cellStyle name="Comma [0] 6 2 2 6" xfId="11313"/>
    <cellStyle name="Comma [0] 6 2 2 7" xfId="11314"/>
    <cellStyle name="Comma [0] 6 2 2 8" xfId="11315"/>
    <cellStyle name="Comma [0] 6 2 2 9" xfId="11316"/>
    <cellStyle name="Comma [0] 6 2 20" xfId="11317"/>
    <cellStyle name="Comma [0] 6 2 21" xfId="11318"/>
    <cellStyle name="Comma [0] 6 2 22" xfId="11319"/>
    <cellStyle name="Comma [0] 6 2 23" xfId="11320"/>
    <cellStyle name="Comma [0] 6 2 24" xfId="11321"/>
    <cellStyle name="Comma [0] 6 2 25" xfId="11322"/>
    <cellStyle name="Comma [0] 6 2 26" xfId="11323"/>
    <cellStyle name="Comma [0] 6 2 27" xfId="11324"/>
    <cellStyle name="Comma [0] 6 2 28" xfId="11325"/>
    <cellStyle name="Comma [0] 6 2 29" xfId="11326"/>
    <cellStyle name="Comma [0] 6 2 3" xfId="2359"/>
    <cellStyle name="Comma [0] 6 2 3 10" xfId="11327"/>
    <cellStyle name="Comma [0] 6 2 3 11" xfId="11328"/>
    <cellStyle name="Comma [0] 6 2 3 12" xfId="11329"/>
    <cellStyle name="Comma [0] 6 2 3 13" xfId="11330"/>
    <cellStyle name="Comma [0] 6 2 3 14" xfId="11331"/>
    <cellStyle name="Comma [0] 6 2 3 15" xfId="11332"/>
    <cellStyle name="Comma [0] 6 2 3 16" xfId="11333"/>
    <cellStyle name="Comma [0] 6 2 3 17" xfId="11334"/>
    <cellStyle name="Comma [0] 6 2 3 18" xfId="11335"/>
    <cellStyle name="Comma [0] 6 2 3 19" xfId="11336"/>
    <cellStyle name="Comma [0] 6 2 3 2" xfId="11337"/>
    <cellStyle name="Comma [0] 6 2 3 20" xfId="11338"/>
    <cellStyle name="Comma [0] 6 2 3 21" xfId="11339"/>
    <cellStyle name="Comma [0] 6 2 3 22" xfId="11340"/>
    <cellStyle name="Comma [0] 6 2 3 23" xfId="11341"/>
    <cellStyle name="Comma [0] 6 2 3 3" xfId="11342"/>
    <cellStyle name="Comma [0] 6 2 3 4" xfId="11343"/>
    <cellStyle name="Comma [0] 6 2 3 5" xfId="11344"/>
    <cellStyle name="Comma [0] 6 2 3 6" xfId="11345"/>
    <cellStyle name="Comma [0] 6 2 3 7" xfId="11346"/>
    <cellStyle name="Comma [0] 6 2 3 8" xfId="11347"/>
    <cellStyle name="Comma [0] 6 2 3 9" xfId="11348"/>
    <cellStyle name="Comma [0] 6 2 30" xfId="11349"/>
    <cellStyle name="Comma [0] 6 2 4" xfId="2360"/>
    <cellStyle name="Comma [0] 6 2 5" xfId="2361"/>
    <cellStyle name="Comma [0] 6 2 6" xfId="2362"/>
    <cellStyle name="Comma [0] 6 2 7" xfId="2363"/>
    <cellStyle name="Comma [0] 6 2 8" xfId="2364"/>
    <cellStyle name="Comma [0] 6 2 9" xfId="2365"/>
    <cellStyle name="Comma [0] 6 2 9 2" xfId="11350"/>
    <cellStyle name="Comma [0] 6 2 9 3" xfId="11351"/>
    <cellStyle name="Comma [0] 6 2 9 4" xfId="11352"/>
    <cellStyle name="Comma [0] 6 20" xfId="2366"/>
    <cellStyle name="Comma [0] 6 21" xfId="2367"/>
    <cellStyle name="Comma [0] 6 22" xfId="2368"/>
    <cellStyle name="Comma [0] 6 23" xfId="2369"/>
    <cellStyle name="Comma [0] 6 24" xfId="2370"/>
    <cellStyle name="Comma [0] 6 25" xfId="2371"/>
    <cellStyle name="Comma [0] 6 26" xfId="2372"/>
    <cellStyle name="Comma [0] 6 27" xfId="2373"/>
    <cellStyle name="Comma [0] 6 28" xfId="2374"/>
    <cellStyle name="Comma [0] 6 29" xfId="2375"/>
    <cellStyle name="Comma [0] 6 29 2" xfId="11353"/>
    <cellStyle name="Comma [0] 6 29 3" xfId="11354"/>
    <cellStyle name="Comma [0] 6 29 4" xfId="11355"/>
    <cellStyle name="Comma [0] 6 3" xfId="2376"/>
    <cellStyle name="Comma [0] 6 3 10" xfId="11356"/>
    <cellStyle name="Comma [0] 6 3 11" xfId="11357"/>
    <cellStyle name="Comma [0] 6 3 12" xfId="11358"/>
    <cellStyle name="Comma [0] 6 3 13" xfId="11359"/>
    <cellStyle name="Comma [0] 6 3 14" xfId="11360"/>
    <cellStyle name="Comma [0] 6 3 15" xfId="11361"/>
    <cellStyle name="Comma [0] 6 3 16" xfId="11362"/>
    <cellStyle name="Comma [0] 6 3 17" xfId="11363"/>
    <cellStyle name="Comma [0] 6 3 18" xfId="11364"/>
    <cellStyle name="Comma [0] 6 3 19" xfId="11365"/>
    <cellStyle name="Comma [0] 6 3 2" xfId="2377"/>
    <cellStyle name="Comma [0] 6 3 2 10" xfId="11366"/>
    <cellStyle name="Comma [0] 6 3 2 11" xfId="11367"/>
    <cellStyle name="Comma [0] 6 3 2 12" xfId="11368"/>
    <cellStyle name="Comma [0] 6 3 2 13" xfId="11369"/>
    <cellStyle name="Comma [0] 6 3 2 14" xfId="11370"/>
    <cellStyle name="Comma [0] 6 3 2 15" xfId="11371"/>
    <cellStyle name="Comma [0] 6 3 2 16" xfId="11372"/>
    <cellStyle name="Comma [0] 6 3 2 17" xfId="11373"/>
    <cellStyle name="Comma [0] 6 3 2 18" xfId="11374"/>
    <cellStyle name="Comma [0] 6 3 2 19" xfId="11375"/>
    <cellStyle name="Comma [0] 6 3 2 2" xfId="11376"/>
    <cellStyle name="Comma [0] 6 3 2 20" xfId="11377"/>
    <cellStyle name="Comma [0] 6 3 2 21" xfId="11378"/>
    <cellStyle name="Comma [0] 6 3 2 22" xfId="11379"/>
    <cellStyle name="Comma [0] 6 3 2 23" xfId="11380"/>
    <cellStyle name="Comma [0] 6 3 2 3" xfId="11381"/>
    <cellStyle name="Comma [0] 6 3 2 4" xfId="11382"/>
    <cellStyle name="Comma [0] 6 3 2 5" xfId="11383"/>
    <cellStyle name="Comma [0] 6 3 2 6" xfId="11384"/>
    <cellStyle name="Comma [0] 6 3 2 7" xfId="11385"/>
    <cellStyle name="Comma [0] 6 3 2 8" xfId="11386"/>
    <cellStyle name="Comma [0] 6 3 2 9" xfId="11387"/>
    <cellStyle name="Comma [0] 6 3 20" xfId="11388"/>
    <cellStyle name="Comma [0] 6 3 21" xfId="11389"/>
    <cellStyle name="Comma [0] 6 3 22" xfId="11390"/>
    <cellStyle name="Comma [0] 6 3 23" xfId="11391"/>
    <cellStyle name="Comma [0] 6 3 24" xfId="11392"/>
    <cellStyle name="Comma [0] 6 3 3" xfId="11393"/>
    <cellStyle name="Comma [0] 6 3 4" xfId="11394"/>
    <cellStyle name="Comma [0] 6 3 5" xfId="11395"/>
    <cellStyle name="Comma [0] 6 3 6" xfId="11396"/>
    <cellStyle name="Comma [0] 6 3 7" xfId="11397"/>
    <cellStyle name="Comma [0] 6 3 8" xfId="11398"/>
    <cellStyle name="Comma [0] 6 3 9" xfId="11399"/>
    <cellStyle name="Comma [0] 6 30" xfId="11400"/>
    <cellStyle name="Comma [0] 6 31" xfId="11401"/>
    <cellStyle name="Comma [0] 6 32" xfId="11402"/>
    <cellStyle name="Comma [0] 6 33" xfId="11403"/>
    <cellStyle name="Comma [0] 6 34" xfId="11404"/>
    <cellStyle name="Comma [0] 6 35" xfId="11405"/>
    <cellStyle name="Comma [0] 6 36" xfId="11406"/>
    <cellStyle name="Comma [0] 6 37" xfId="11407"/>
    <cellStyle name="Comma [0] 6 38" xfId="11408"/>
    <cellStyle name="Comma [0] 6 39" xfId="11409"/>
    <cellStyle name="Comma [0] 6 4" xfId="2378"/>
    <cellStyle name="Comma [0] 6 4 10" xfId="11410"/>
    <cellStyle name="Comma [0] 6 4 11" xfId="11411"/>
    <cellStyle name="Comma [0] 6 4 12" xfId="11412"/>
    <cellStyle name="Comma [0] 6 4 13" xfId="11413"/>
    <cellStyle name="Comma [0] 6 4 14" xfId="11414"/>
    <cellStyle name="Comma [0] 6 4 15" xfId="11415"/>
    <cellStyle name="Comma [0] 6 4 16" xfId="11416"/>
    <cellStyle name="Comma [0] 6 4 17" xfId="11417"/>
    <cellStyle name="Comma [0] 6 4 18" xfId="11418"/>
    <cellStyle name="Comma [0] 6 4 19" xfId="11419"/>
    <cellStyle name="Comma [0] 6 4 2" xfId="2379"/>
    <cellStyle name="Comma [0] 6 4 2 10" xfId="11420"/>
    <cellStyle name="Comma [0] 6 4 2 11" xfId="11421"/>
    <cellStyle name="Comma [0] 6 4 2 12" xfId="11422"/>
    <cellStyle name="Comma [0] 6 4 2 13" xfId="11423"/>
    <cellStyle name="Comma [0] 6 4 2 14" xfId="11424"/>
    <cellStyle name="Comma [0] 6 4 2 15" xfId="11425"/>
    <cellStyle name="Comma [0] 6 4 2 16" xfId="11426"/>
    <cellStyle name="Comma [0] 6 4 2 17" xfId="11427"/>
    <cellStyle name="Comma [0] 6 4 2 18" xfId="11428"/>
    <cellStyle name="Comma [0] 6 4 2 19" xfId="11429"/>
    <cellStyle name="Comma [0] 6 4 2 2" xfId="11430"/>
    <cellStyle name="Comma [0] 6 4 2 20" xfId="11431"/>
    <cellStyle name="Comma [0] 6 4 2 21" xfId="11432"/>
    <cellStyle name="Comma [0] 6 4 2 22" xfId="11433"/>
    <cellStyle name="Comma [0] 6 4 2 23" xfId="11434"/>
    <cellStyle name="Comma [0] 6 4 2 3" xfId="11435"/>
    <cellStyle name="Comma [0] 6 4 2 4" xfId="11436"/>
    <cellStyle name="Comma [0] 6 4 2 5" xfId="11437"/>
    <cellStyle name="Comma [0] 6 4 2 6" xfId="11438"/>
    <cellStyle name="Comma [0] 6 4 2 7" xfId="11439"/>
    <cellStyle name="Comma [0] 6 4 2 8" xfId="11440"/>
    <cellStyle name="Comma [0] 6 4 2 9" xfId="11441"/>
    <cellStyle name="Comma [0] 6 4 20" xfId="11442"/>
    <cellStyle name="Comma [0] 6 4 21" xfId="11443"/>
    <cellStyle name="Comma [0] 6 4 22" xfId="11444"/>
    <cellStyle name="Comma [0] 6 4 23" xfId="11445"/>
    <cellStyle name="Comma [0] 6 4 24" xfId="11446"/>
    <cellStyle name="Comma [0] 6 4 25" xfId="11447"/>
    <cellStyle name="Comma [0] 6 4 3" xfId="2380"/>
    <cellStyle name="Comma [0] 6 4 3 10" xfId="11448"/>
    <cellStyle name="Comma [0] 6 4 3 11" xfId="11449"/>
    <cellStyle name="Comma [0] 6 4 3 12" xfId="11450"/>
    <cellStyle name="Comma [0] 6 4 3 13" xfId="11451"/>
    <cellStyle name="Comma [0] 6 4 3 14" xfId="11452"/>
    <cellStyle name="Comma [0] 6 4 3 15" xfId="11453"/>
    <cellStyle name="Comma [0] 6 4 3 16" xfId="11454"/>
    <cellStyle name="Comma [0] 6 4 3 17" xfId="11455"/>
    <cellStyle name="Comma [0] 6 4 3 18" xfId="11456"/>
    <cellStyle name="Comma [0] 6 4 3 19" xfId="11457"/>
    <cellStyle name="Comma [0] 6 4 3 2" xfId="11458"/>
    <cellStyle name="Comma [0] 6 4 3 20" xfId="11459"/>
    <cellStyle name="Comma [0] 6 4 3 21" xfId="11460"/>
    <cellStyle name="Comma [0] 6 4 3 22" xfId="11461"/>
    <cellStyle name="Comma [0] 6 4 3 23" xfId="11462"/>
    <cellStyle name="Comma [0] 6 4 3 3" xfId="11463"/>
    <cellStyle name="Comma [0] 6 4 3 4" xfId="11464"/>
    <cellStyle name="Comma [0] 6 4 3 5" xfId="11465"/>
    <cellStyle name="Comma [0] 6 4 3 6" xfId="11466"/>
    <cellStyle name="Comma [0] 6 4 3 7" xfId="11467"/>
    <cellStyle name="Comma [0] 6 4 3 8" xfId="11468"/>
    <cellStyle name="Comma [0] 6 4 3 9" xfId="11469"/>
    <cellStyle name="Comma [0] 6 4 4" xfId="11470"/>
    <cellStyle name="Comma [0] 6 4 5" xfId="11471"/>
    <cellStyle name="Comma [0] 6 4 6" xfId="11472"/>
    <cellStyle name="Comma [0] 6 4 7" xfId="11473"/>
    <cellStyle name="Comma [0] 6 4 8" xfId="11474"/>
    <cellStyle name="Comma [0] 6 4 9" xfId="11475"/>
    <cellStyle name="Comma [0] 6 40" xfId="11476"/>
    <cellStyle name="Comma [0] 6 41" xfId="11477"/>
    <cellStyle name="Comma [0] 6 42" xfId="11478"/>
    <cellStyle name="Comma [0] 6 43" xfId="11479"/>
    <cellStyle name="Comma [0] 6 44" xfId="11480"/>
    <cellStyle name="Comma [0] 6 45" xfId="11481"/>
    <cellStyle name="Comma [0] 6 46" xfId="11482"/>
    <cellStyle name="Comma [0] 6 47" xfId="11483"/>
    <cellStyle name="Comma [0] 6 48" xfId="11484"/>
    <cellStyle name="Comma [0] 6 49" xfId="11485"/>
    <cellStyle name="Comma [0] 6 5" xfId="2381"/>
    <cellStyle name="Comma [0] 6 5 10" xfId="11486"/>
    <cellStyle name="Comma [0] 6 5 11" xfId="11487"/>
    <cellStyle name="Comma [0] 6 5 12" xfId="11488"/>
    <cellStyle name="Comma [0] 6 5 13" xfId="11489"/>
    <cellStyle name="Comma [0] 6 5 14" xfId="11490"/>
    <cellStyle name="Comma [0] 6 5 15" xfId="11491"/>
    <cellStyle name="Comma [0] 6 5 16" xfId="11492"/>
    <cellStyle name="Comma [0] 6 5 17" xfId="11493"/>
    <cellStyle name="Comma [0] 6 5 18" xfId="11494"/>
    <cellStyle name="Comma [0] 6 5 19" xfId="11495"/>
    <cellStyle name="Comma [0] 6 5 2" xfId="11496"/>
    <cellStyle name="Comma [0] 6 5 20" xfId="11497"/>
    <cellStyle name="Comma [0] 6 5 21" xfId="11498"/>
    <cellStyle name="Comma [0] 6 5 22" xfId="11499"/>
    <cellStyle name="Comma [0] 6 5 23" xfId="11500"/>
    <cellStyle name="Comma [0] 6 5 3" xfId="11501"/>
    <cellStyle name="Comma [0] 6 5 4" xfId="11502"/>
    <cellStyle name="Comma [0] 6 5 5" xfId="11503"/>
    <cellStyle name="Comma [0] 6 5 6" xfId="11504"/>
    <cellStyle name="Comma [0] 6 5 7" xfId="11505"/>
    <cellStyle name="Comma [0] 6 5 8" xfId="11506"/>
    <cellStyle name="Comma [0] 6 5 9" xfId="11507"/>
    <cellStyle name="Comma [0] 6 50" xfId="11508"/>
    <cellStyle name="Comma [0] 6 51" xfId="28339"/>
    <cellStyle name="Comma [0] 6 6" xfId="2382"/>
    <cellStyle name="Comma [0] 6 7" xfId="2383"/>
    <cellStyle name="Comma [0] 6 8" xfId="2384"/>
    <cellStyle name="Comma [0] 6 9" xfId="2385"/>
    <cellStyle name="Comma [0] 60" xfId="2386"/>
    <cellStyle name="Comma [0] 61" xfId="2387"/>
    <cellStyle name="Comma [0] 62" xfId="2388"/>
    <cellStyle name="Comma [0] 63" xfId="2389"/>
    <cellStyle name="Comma [0] 63 2" xfId="2390"/>
    <cellStyle name="Comma [0] 64" xfId="2391"/>
    <cellStyle name="Comma [0] 65" xfId="2392"/>
    <cellStyle name="Comma [0] 66" xfId="2393"/>
    <cellStyle name="Comma [0] 67" xfId="2394"/>
    <cellStyle name="Comma [0] 68" xfId="2395"/>
    <cellStyle name="Comma [0] 69" xfId="2396"/>
    <cellStyle name="Comma [0] 7" xfId="2397"/>
    <cellStyle name="Comma [0] 7 10" xfId="2398"/>
    <cellStyle name="Comma [0] 7 11" xfId="2399"/>
    <cellStyle name="Comma [0] 7 12" xfId="2400"/>
    <cellStyle name="Comma [0] 7 13" xfId="2401"/>
    <cellStyle name="Comma [0] 7 14" xfId="2402"/>
    <cellStyle name="Comma [0] 7 15" xfId="2403"/>
    <cellStyle name="Comma [0] 7 16" xfId="2404"/>
    <cellStyle name="Comma [0] 7 17" xfId="2405"/>
    <cellStyle name="Comma [0] 7 18" xfId="11509"/>
    <cellStyle name="Comma [0] 7 19" xfId="11510"/>
    <cellStyle name="Comma [0] 7 2" xfId="2406"/>
    <cellStyle name="Comma [0] 7 2 10" xfId="2407"/>
    <cellStyle name="Comma [0] 7 2 2" xfId="2408"/>
    <cellStyle name="Comma [0] 7 2 2 10" xfId="11511"/>
    <cellStyle name="Comma [0] 7 2 2 11" xfId="11512"/>
    <cellStyle name="Comma [0] 7 2 2 12" xfId="11513"/>
    <cellStyle name="Comma [0] 7 2 2 13" xfId="11514"/>
    <cellStyle name="Comma [0] 7 2 2 14" xfId="11515"/>
    <cellStyle name="Comma [0] 7 2 2 15" xfId="11516"/>
    <cellStyle name="Comma [0] 7 2 2 16" xfId="11517"/>
    <cellStyle name="Comma [0] 7 2 2 17" xfId="11518"/>
    <cellStyle name="Comma [0] 7 2 2 18" xfId="11519"/>
    <cellStyle name="Comma [0] 7 2 2 19" xfId="11520"/>
    <cellStyle name="Comma [0] 7 2 2 2" xfId="2409"/>
    <cellStyle name="Comma [0] 7 2 2 2 10" xfId="11521"/>
    <cellStyle name="Comma [0] 7 2 2 2 11" xfId="11522"/>
    <cellStyle name="Comma [0] 7 2 2 2 12" xfId="11523"/>
    <cellStyle name="Comma [0] 7 2 2 2 13" xfId="11524"/>
    <cellStyle name="Comma [0] 7 2 2 2 14" xfId="11525"/>
    <cellStyle name="Comma [0] 7 2 2 2 15" xfId="11526"/>
    <cellStyle name="Comma [0] 7 2 2 2 16" xfId="11527"/>
    <cellStyle name="Comma [0] 7 2 2 2 17" xfId="11528"/>
    <cellStyle name="Comma [0] 7 2 2 2 18" xfId="11529"/>
    <cellStyle name="Comma [0] 7 2 2 2 19" xfId="11530"/>
    <cellStyle name="Comma [0] 7 2 2 2 2" xfId="11531"/>
    <cellStyle name="Comma [0] 7 2 2 2 20" xfId="11532"/>
    <cellStyle name="Comma [0] 7 2 2 2 21" xfId="11533"/>
    <cellStyle name="Comma [0] 7 2 2 2 22" xfId="11534"/>
    <cellStyle name="Comma [0] 7 2 2 2 23" xfId="11535"/>
    <cellStyle name="Comma [0] 7 2 2 2 3" xfId="11536"/>
    <cellStyle name="Comma [0] 7 2 2 2 4" xfId="11537"/>
    <cellStyle name="Comma [0] 7 2 2 2 5" xfId="11538"/>
    <cellStyle name="Comma [0] 7 2 2 2 6" xfId="11539"/>
    <cellStyle name="Comma [0] 7 2 2 2 7" xfId="11540"/>
    <cellStyle name="Comma [0] 7 2 2 2 8" xfId="11541"/>
    <cellStyle name="Comma [0] 7 2 2 2 9" xfId="11542"/>
    <cellStyle name="Comma [0] 7 2 2 20" xfId="11543"/>
    <cellStyle name="Comma [0] 7 2 2 21" xfId="11544"/>
    <cellStyle name="Comma [0] 7 2 2 22" xfId="11545"/>
    <cellStyle name="Comma [0] 7 2 2 23" xfId="11546"/>
    <cellStyle name="Comma [0] 7 2 2 24" xfId="11547"/>
    <cellStyle name="Comma [0] 7 2 2 25" xfId="11548"/>
    <cellStyle name="Comma [0] 7 2 2 26" xfId="11549"/>
    <cellStyle name="Comma [0] 7 2 2 27" xfId="11550"/>
    <cellStyle name="Comma [0] 7 2 2 28" xfId="11551"/>
    <cellStyle name="Comma [0] 7 2 2 3" xfId="2410"/>
    <cellStyle name="Comma [0] 7 2 2 4" xfId="2411"/>
    <cellStyle name="Comma [0] 7 2 2 5" xfId="2412"/>
    <cellStyle name="Comma [0] 7 2 2 6" xfId="2413"/>
    <cellStyle name="Comma [0] 7 2 2 7" xfId="2414"/>
    <cellStyle name="Comma [0] 7 2 2 8" xfId="11552"/>
    <cellStyle name="Comma [0] 7 2 2 9" xfId="11553"/>
    <cellStyle name="Comma [0] 7 2 3" xfId="2415"/>
    <cellStyle name="Comma [0] 7 2 3 10" xfId="11554"/>
    <cellStyle name="Comma [0] 7 2 3 11" xfId="11555"/>
    <cellStyle name="Comma [0] 7 2 3 12" xfId="11556"/>
    <cellStyle name="Comma [0] 7 2 3 13" xfId="11557"/>
    <cellStyle name="Comma [0] 7 2 3 14" xfId="11558"/>
    <cellStyle name="Comma [0] 7 2 3 15" xfId="11559"/>
    <cellStyle name="Comma [0] 7 2 3 16" xfId="11560"/>
    <cellStyle name="Comma [0] 7 2 3 17" xfId="11561"/>
    <cellStyle name="Comma [0] 7 2 3 18" xfId="11562"/>
    <cellStyle name="Comma [0] 7 2 3 19" xfId="11563"/>
    <cellStyle name="Comma [0] 7 2 3 2" xfId="2416"/>
    <cellStyle name="Comma [0] 7 2 3 20" xfId="11564"/>
    <cellStyle name="Comma [0] 7 2 3 21" xfId="11565"/>
    <cellStyle name="Comma [0] 7 2 3 22" xfId="11566"/>
    <cellStyle name="Comma [0] 7 2 3 23" xfId="11567"/>
    <cellStyle name="Comma [0] 7 2 3 24" xfId="11568"/>
    <cellStyle name="Comma [0] 7 2 3 25" xfId="11569"/>
    <cellStyle name="Comma [0] 7 2 3 26" xfId="11570"/>
    <cellStyle name="Comma [0] 7 2 3 27" xfId="11571"/>
    <cellStyle name="Comma [0] 7 2 3 28" xfId="11572"/>
    <cellStyle name="Comma [0] 7 2 3 3" xfId="2417"/>
    <cellStyle name="Comma [0] 7 2 3 3 10" xfId="11573"/>
    <cellStyle name="Comma [0] 7 2 3 3 11" xfId="11574"/>
    <cellStyle name="Comma [0] 7 2 3 3 12" xfId="11575"/>
    <cellStyle name="Comma [0] 7 2 3 3 13" xfId="11576"/>
    <cellStyle name="Comma [0] 7 2 3 3 14" xfId="11577"/>
    <cellStyle name="Comma [0] 7 2 3 3 15" xfId="11578"/>
    <cellStyle name="Comma [0] 7 2 3 3 16" xfId="11579"/>
    <cellStyle name="Comma [0] 7 2 3 3 17" xfId="11580"/>
    <cellStyle name="Comma [0] 7 2 3 3 18" xfId="11581"/>
    <cellStyle name="Comma [0] 7 2 3 3 19" xfId="11582"/>
    <cellStyle name="Comma [0] 7 2 3 3 2" xfId="11583"/>
    <cellStyle name="Comma [0] 7 2 3 3 20" xfId="11584"/>
    <cellStyle name="Comma [0] 7 2 3 3 21" xfId="11585"/>
    <cellStyle name="Comma [0] 7 2 3 3 22" xfId="11586"/>
    <cellStyle name="Comma [0] 7 2 3 3 23" xfId="11587"/>
    <cellStyle name="Comma [0] 7 2 3 3 3" xfId="11588"/>
    <cellStyle name="Comma [0] 7 2 3 3 4" xfId="11589"/>
    <cellStyle name="Comma [0] 7 2 3 3 5" xfId="11590"/>
    <cellStyle name="Comma [0] 7 2 3 3 6" xfId="11591"/>
    <cellStyle name="Comma [0] 7 2 3 3 7" xfId="11592"/>
    <cellStyle name="Comma [0] 7 2 3 3 8" xfId="11593"/>
    <cellStyle name="Comma [0] 7 2 3 3 9" xfId="11594"/>
    <cellStyle name="Comma [0] 7 2 3 4" xfId="2418"/>
    <cellStyle name="Comma [0] 7 2 3 5" xfId="2419"/>
    <cellStyle name="Comma [0] 7 2 3 6" xfId="2420"/>
    <cellStyle name="Comma [0] 7 2 3 7" xfId="2421"/>
    <cellStyle name="Comma [0] 7 2 3 8" xfId="11595"/>
    <cellStyle name="Comma [0] 7 2 3 9" xfId="11596"/>
    <cellStyle name="Comma [0] 7 2 4" xfId="2422"/>
    <cellStyle name="Comma [0] 7 2 4 10" xfId="11597"/>
    <cellStyle name="Comma [0] 7 2 4 2" xfId="2423"/>
    <cellStyle name="Comma [0] 7 2 4 3" xfId="2424"/>
    <cellStyle name="Comma [0] 7 2 4 4" xfId="2425"/>
    <cellStyle name="Comma [0] 7 2 4 5" xfId="2426"/>
    <cellStyle name="Comma [0] 7 2 4 6" xfId="2427"/>
    <cellStyle name="Comma [0] 7 2 4 7" xfId="2428"/>
    <cellStyle name="Comma [0] 7 2 4 8" xfId="11598"/>
    <cellStyle name="Comma [0] 7 2 4 9" xfId="11599"/>
    <cellStyle name="Comma [0] 7 2 5" xfId="2429"/>
    <cellStyle name="Comma [0] 7 2 5 10" xfId="11600"/>
    <cellStyle name="Comma [0] 7 2 5 2" xfId="2430"/>
    <cellStyle name="Comma [0] 7 2 5 3" xfId="2431"/>
    <cellStyle name="Comma [0] 7 2 5 4" xfId="2432"/>
    <cellStyle name="Comma [0] 7 2 5 5" xfId="2433"/>
    <cellStyle name="Comma [0] 7 2 5 6" xfId="2434"/>
    <cellStyle name="Comma [0] 7 2 5 7" xfId="2435"/>
    <cellStyle name="Comma [0] 7 2 5 8" xfId="11601"/>
    <cellStyle name="Comma [0] 7 2 5 9" xfId="11602"/>
    <cellStyle name="Comma [0] 7 2 6" xfId="2436"/>
    <cellStyle name="Comma [0] 7 2 6 10" xfId="11603"/>
    <cellStyle name="Comma [0] 7 2 6 2" xfId="2437"/>
    <cellStyle name="Comma [0] 7 2 6 3" xfId="2438"/>
    <cellStyle name="Comma [0] 7 2 6 4" xfId="2439"/>
    <cellStyle name="Comma [0] 7 2 6 5" xfId="2440"/>
    <cellStyle name="Comma [0] 7 2 6 6" xfId="2441"/>
    <cellStyle name="Comma [0] 7 2 6 7" xfId="2442"/>
    <cellStyle name="Comma [0] 7 2 6 8" xfId="11604"/>
    <cellStyle name="Comma [0] 7 2 6 9" xfId="11605"/>
    <cellStyle name="Comma [0] 7 2 7" xfId="2443"/>
    <cellStyle name="Comma [0] 7 2 7 10" xfId="11606"/>
    <cellStyle name="Comma [0] 7 2 7 2" xfId="2444"/>
    <cellStyle name="Comma [0] 7 2 7 3" xfId="2445"/>
    <cellStyle name="Comma [0] 7 2 7 4" xfId="2446"/>
    <cellStyle name="Comma [0] 7 2 7 5" xfId="2447"/>
    <cellStyle name="Comma [0] 7 2 7 6" xfId="2448"/>
    <cellStyle name="Comma [0] 7 2 7 7" xfId="2449"/>
    <cellStyle name="Comma [0] 7 2 7 8" xfId="11607"/>
    <cellStyle name="Comma [0] 7 2 7 9" xfId="11608"/>
    <cellStyle name="Comma [0] 7 2 8" xfId="2450"/>
    <cellStyle name="Comma [0] 7 2 8 10" xfId="11609"/>
    <cellStyle name="Comma [0] 7 2 8 2" xfId="2451"/>
    <cellStyle name="Comma [0] 7 2 8 3" xfId="2452"/>
    <cellStyle name="Comma [0] 7 2 8 4" xfId="2453"/>
    <cellStyle name="Comma [0] 7 2 8 5" xfId="2454"/>
    <cellStyle name="Comma [0] 7 2 8 6" xfId="2455"/>
    <cellStyle name="Comma [0] 7 2 8 7" xfId="2456"/>
    <cellStyle name="Comma [0] 7 2 8 8" xfId="11610"/>
    <cellStyle name="Comma [0] 7 2 8 9" xfId="11611"/>
    <cellStyle name="Comma [0] 7 2 9" xfId="2457"/>
    <cellStyle name="Comma [0] 7 2 9 10" xfId="11612"/>
    <cellStyle name="Comma [0] 7 2 9 2" xfId="2458"/>
    <cellStyle name="Comma [0] 7 2 9 3" xfId="2459"/>
    <cellStyle name="Comma [0] 7 2 9 4" xfId="2460"/>
    <cellStyle name="Comma [0] 7 2 9 5" xfId="2461"/>
    <cellStyle name="Comma [0] 7 2 9 6" xfId="2462"/>
    <cellStyle name="Comma [0] 7 2 9 7" xfId="2463"/>
    <cellStyle name="Comma [0] 7 2 9 8" xfId="11613"/>
    <cellStyle name="Comma [0] 7 2 9 9" xfId="11614"/>
    <cellStyle name="Comma [0] 7 20" xfId="11615"/>
    <cellStyle name="Comma [0] 7 21" xfId="11616"/>
    <cellStyle name="Comma [0] 7 22" xfId="11617"/>
    <cellStyle name="Comma [0] 7 23" xfId="11618"/>
    <cellStyle name="Comma [0] 7 24" xfId="11619"/>
    <cellStyle name="Comma [0] 7 25" xfId="11620"/>
    <cellStyle name="Comma [0] 7 26" xfId="11621"/>
    <cellStyle name="Comma [0] 7 27" xfId="11622"/>
    <cellStyle name="Comma [0] 7 28" xfId="11623"/>
    <cellStyle name="Comma [0] 7 29" xfId="11624"/>
    <cellStyle name="Comma [0] 7 3" xfId="2464"/>
    <cellStyle name="Comma [0] 7 3 10" xfId="11625"/>
    <cellStyle name="Comma [0] 7 3 11" xfId="11626"/>
    <cellStyle name="Comma [0] 7 3 12" xfId="11627"/>
    <cellStyle name="Comma [0] 7 3 13" xfId="11628"/>
    <cellStyle name="Comma [0] 7 3 14" xfId="11629"/>
    <cellStyle name="Comma [0] 7 3 15" xfId="11630"/>
    <cellStyle name="Comma [0] 7 3 16" xfId="11631"/>
    <cellStyle name="Comma [0] 7 3 17" xfId="11632"/>
    <cellStyle name="Comma [0] 7 3 18" xfId="11633"/>
    <cellStyle name="Comma [0] 7 3 19" xfId="11634"/>
    <cellStyle name="Comma [0] 7 3 2" xfId="2465"/>
    <cellStyle name="Comma [0] 7 3 2 10" xfId="11635"/>
    <cellStyle name="Comma [0] 7 3 2 11" xfId="11636"/>
    <cellStyle name="Comma [0] 7 3 2 12" xfId="11637"/>
    <cellStyle name="Comma [0] 7 3 2 13" xfId="11638"/>
    <cellStyle name="Comma [0] 7 3 2 14" xfId="11639"/>
    <cellStyle name="Comma [0] 7 3 2 15" xfId="11640"/>
    <cellStyle name="Comma [0] 7 3 2 16" xfId="11641"/>
    <cellStyle name="Comma [0] 7 3 2 17" xfId="11642"/>
    <cellStyle name="Comma [0] 7 3 2 18" xfId="11643"/>
    <cellStyle name="Comma [0] 7 3 2 19" xfId="11644"/>
    <cellStyle name="Comma [0] 7 3 2 2" xfId="11645"/>
    <cellStyle name="Comma [0] 7 3 2 20" xfId="11646"/>
    <cellStyle name="Comma [0] 7 3 2 21" xfId="11647"/>
    <cellStyle name="Comma [0] 7 3 2 22" xfId="11648"/>
    <cellStyle name="Comma [0] 7 3 2 23" xfId="11649"/>
    <cellStyle name="Comma [0] 7 3 2 3" xfId="11650"/>
    <cellStyle name="Comma [0] 7 3 2 4" xfId="11651"/>
    <cellStyle name="Comma [0] 7 3 2 5" xfId="11652"/>
    <cellStyle name="Comma [0] 7 3 2 6" xfId="11653"/>
    <cellStyle name="Comma [0] 7 3 2 7" xfId="11654"/>
    <cellStyle name="Comma [0] 7 3 2 8" xfId="11655"/>
    <cellStyle name="Comma [0] 7 3 2 9" xfId="11656"/>
    <cellStyle name="Comma [0] 7 3 20" xfId="11657"/>
    <cellStyle name="Comma [0] 7 3 21" xfId="11658"/>
    <cellStyle name="Comma [0] 7 3 22" xfId="11659"/>
    <cellStyle name="Comma [0] 7 3 23" xfId="11660"/>
    <cellStyle name="Comma [0] 7 3 24" xfId="11661"/>
    <cellStyle name="Comma [0] 7 3 3" xfId="11662"/>
    <cellStyle name="Comma [0] 7 3 4" xfId="11663"/>
    <cellStyle name="Comma [0] 7 3 5" xfId="11664"/>
    <cellStyle name="Comma [0] 7 3 6" xfId="11665"/>
    <cellStyle name="Comma [0] 7 3 7" xfId="11666"/>
    <cellStyle name="Comma [0] 7 3 8" xfId="11667"/>
    <cellStyle name="Comma [0] 7 3 9" xfId="11668"/>
    <cellStyle name="Comma [0] 7 30" xfId="11669"/>
    <cellStyle name="Comma [0] 7 31" xfId="11670"/>
    <cellStyle name="Comma [0] 7 32" xfId="11671"/>
    <cellStyle name="Comma [0] 7 33" xfId="11672"/>
    <cellStyle name="Comma [0] 7 34" xfId="11673"/>
    <cellStyle name="Comma [0] 7 35" xfId="11674"/>
    <cellStyle name="Comma [0] 7 36" xfId="11675"/>
    <cellStyle name="Comma [0] 7 37" xfId="11676"/>
    <cellStyle name="Comma [0] 7 38" xfId="11677"/>
    <cellStyle name="Comma [0] 7 4" xfId="2466"/>
    <cellStyle name="Comma [0] 7 4 10" xfId="11678"/>
    <cellStyle name="Comma [0] 7 4 11" xfId="11679"/>
    <cellStyle name="Comma [0] 7 4 12" xfId="11680"/>
    <cellStyle name="Comma [0] 7 4 13" xfId="11681"/>
    <cellStyle name="Comma [0] 7 4 14" xfId="11682"/>
    <cellStyle name="Comma [0] 7 4 15" xfId="11683"/>
    <cellStyle name="Comma [0] 7 4 16" xfId="11684"/>
    <cellStyle name="Comma [0] 7 4 17" xfId="11685"/>
    <cellStyle name="Comma [0] 7 4 18" xfId="11686"/>
    <cellStyle name="Comma [0] 7 4 19" xfId="11687"/>
    <cellStyle name="Comma [0] 7 4 2" xfId="11688"/>
    <cellStyle name="Comma [0] 7 4 20" xfId="11689"/>
    <cellStyle name="Comma [0] 7 4 21" xfId="11690"/>
    <cellStyle name="Comma [0] 7 4 22" xfId="11691"/>
    <cellStyle name="Comma [0] 7 4 23" xfId="11692"/>
    <cellStyle name="Comma [0] 7 4 3" xfId="11693"/>
    <cellStyle name="Comma [0] 7 4 4" xfId="11694"/>
    <cellStyle name="Comma [0] 7 4 5" xfId="11695"/>
    <cellStyle name="Comma [0] 7 4 6" xfId="11696"/>
    <cellStyle name="Comma [0] 7 4 7" xfId="11697"/>
    <cellStyle name="Comma [0] 7 4 8" xfId="11698"/>
    <cellStyle name="Comma [0] 7 4 9" xfId="11699"/>
    <cellStyle name="Comma [0] 7 5" xfId="2467"/>
    <cellStyle name="Comma [0] 7 5 10" xfId="11700"/>
    <cellStyle name="Comma [0] 7 5 11" xfId="11701"/>
    <cellStyle name="Comma [0] 7 5 12" xfId="11702"/>
    <cellStyle name="Comma [0] 7 5 13" xfId="11703"/>
    <cellStyle name="Comma [0] 7 5 14" xfId="11704"/>
    <cellStyle name="Comma [0] 7 5 15" xfId="11705"/>
    <cellStyle name="Comma [0] 7 5 16" xfId="11706"/>
    <cellStyle name="Comma [0] 7 5 17" xfId="11707"/>
    <cellStyle name="Comma [0] 7 5 18" xfId="11708"/>
    <cellStyle name="Comma [0] 7 5 19" xfId="11709"/>
    <cellStyle name="Comma [0] 7 5 2" xfId="11710"/>
    <cellStyle name="Comma [0] 7 5 20" xfId="11711"/>
    <cellStyle name="Comma [0] 7 5 21" xfId="11712"/>
    <cellStyle name="Comma [0] 7 5 22" xfId="11713"/>
    <cellStyle name="Comma [0] 7 5 23" xfId="11714"/>
    <cellStyle name="Comma [0] 7 5 3" xfId="11715"/>
    <cellStyle name="Comma [0] 7 5 4" xfId="11716"/>
    <cellStyle name="Comma [0] 7 5 5" xfId="11717"/>
    <cellStyle name="Comma [0] 7 5 6" xfId="11718"/>
    <cellStyle name="Comma [0] 7 5 7" xfId="11719"/>
    <cellStyle name="Comma [0] 7 5 8" xfId="11720"/>
    <cellStyle name="Comma [0] 7 5 9" xfId="11721"/>
    <cellStyle name="Comma [0] 7 6" xfId="2468"/>
    <cellStyle name="Comma [0] 7 7" xfId="2469"/>
    <cellStyle name="Comma [0] 7 8" xfId="2470"/>
    <cellStyle name="Comma [0] 7 9" xfId="2471"/>
    <cellStyle name="Comma [0] 70" xfId="2472"/>
    <cellStyle name="Comma [0] 71" xfId="2473"/>
    <cellStyle name="Comma [0] 71 2" xfId="2474"/>
    <cellStyle name="Comma [0] 71 2 2" xfId="2475"/>
    <cellStyle name="Comma [0] 72" xfId="2476"/>
    <cellStyle name="Comma [0] 72 2" xfId="2477"/>
    <cellStyle name="Comma [0] 72 2 2" xfId="2478"/>
    <cellStyle name="Comma [0] 72 2 2 2" xfId="2479"/>
    <cellStyle name="Comma [0] 72 3" xfId="2480"/>
    <cellStyle name="Comma [0] 72 3 2" xfId="2481"/>
    <cellStyle name="Comma [0] 73" xfId="2482"/>
    <cellStyle name="Comma [0] 73 2" xfId="2483"/>
    <cellStyle name="Comma [0] 73 2 2" xfId="2484"/>
    <cellStyle name="Comma [0] 73 2 2 2" xfId="2485"/>
    <cellStyle name="Comma [0] 73 2 2 3" xfId="2486"/>
    <cellStyle name="Comma [0] 74" xfId="2487"/>
    <cellStyle name="Comma [0] 74 2" xfId="2488"/>
    <cellStyle name="Comma [0] 74 2 2" xfId="2489"/>
    <cellStyle name="Comma [0] 74 2 2 2" xfId="2490"/>
    <cellStyle name="Comma [0] 75" xfId="2491"/>
    <cellStyle name="Comma [0] 75 2" xfId="2492"/>
    <cellStyle name="Comma [0] 75 2 2" xfId="2493"/>
    <cellStyle name="Comma [0] 76" xfId="2494"/>
    <cellStyle name="Comma [0] 76 2" xfId="2495"/>
    <cellStyle name="Comma [0] 76 2 2" xfId="2496"/>
    <cellStyle name="Comma [0] 76 2 2 2" xfId="2497"/>
    <cellStyle name="Comma [0] 77" xfId="2498"/>
    <cellStyle name="Comma [0] 78" xfId="2499"/>
    <cellStyle name="Comma [0] 79" xfId="2500"/>
    <cellStyle name="Comma [0] 8" xfId="2501"/>
    <cellStyle name="Comma [0] 8 10" xfId="2502"/>
    <cellStyle name="Comma [0] 8 11" xfId="2503"/>
    <cellStyle name="Comma [0] 8 12" xfId="2504"/>
    <cellStyle name="Comma [0] 8 13" xfId="2505"/>
    <cellStyle name="Comma [0] 8 14" xfId="2506"/>
    <cellStyle name="Comma [0] 8 15" xfId="2507"/>
    <cellStyle name="Comma [0] 8 15 2" xfId="11722"/>
    <cellStyle name="Comma [0] 8 15 3" xfId="11723"/>
    <cellStyle name="Comma [0] 8 15 4" xfId="11724"/>
    <cellStyle name="Comma [0] 8 16" xfId="2508"/>
    <cellStyle name="Comma [0] 8 16 2" xfId="11725"/>
    <cellStyle name="Comma [0] 8 16 3" xfId="11726"/>
    <cellStyle name="Comma [0] 8 16 4" xfId="11727"/>
    <cellStyle name="Comma [0] 8 17" xfId="11728"/>
    <cellStyle name="Comma [0] 8 18" xfId="11729"/>
    <cellStyle name="Comma [0] 8 19" xfId="11730"/>
    <cellStyle name="Comma [0] 8 2" xfId="2509"/>
    <cellStyle name="Comma [0] 8 2 10" xfId="11731"/>
    <cellStyle name="Comma [0] 8 2 11" xfId="11732"/>
    <cellStyle name="Comma [0] 8 2 12" xfId="11733"/>
    <cellStyle name="Comma [0] 8 2 13" xfId="11734"/>
    <cellStyle name="Comma [0] 8 2 14" xfId="11735"/>
    <cellStyle name="Comma [0] 8 2 15" xfId="11736"/>
    <cellStyle name="Comma [0] 8 2 16" xfId="11737"/>
    <cellStyle name="Comma [0] 8 2 17" xfId="11738"/>
    <cellStyle name="Comma [0] 8 2 18" xfId="11739"/>
    <cellStyle name="Comma [0] 8 2 19" xfId="11740"/>
    <cellStyle name="Comma [0] 8 2 2" xfId="2510"/>
    <cellStyle name="Comma [0] 8 2 2 10" xfId="11741"/>
    <cellStyle name="Comma [0] 8 2 2 11" xfId="11742"/>
    <cellStyle name="Comma [0] 8 2 2 12" xfId="11743"/>
    <cellStyle name="Comma [0] 8 2 2 13" xfId="11744"/>
    <cellStyle name="Comma [0] 8 2 2 14" xfId="11745"/>
    <cellStyle name="Comma [0] 8 2 2 15" xfId="11746"/>
    <cellStyle name="Comma [0] 8 2 2 16" xfId="11747"/>
    <cellStyle name="Comma [0] 8 2 2 17" xfId="11748"/>
    <cellStyle name="Comma [0] 8 2 2 18" xfId="11749"/>
    <cellStyle name="Comma [0] 8 2 2 19" xfId="11750"/>
    <cellStyle name="Comma [0] 8 2 2 2" xfId="11751"/>
    <cellStyle name="Comma [0] 8 2 2 20" xfId="11752"/>
    <cellStyle name="Comma [0] 8 2 2 21" xfId="11753"/>
    <cellStyle name="Comma [0] 8 2 2 22" xfId="11754"/>
    <cellStyle name="Comma [0] 8 2 2 23" xfId="11755"/>
    <cellStyle name="Comma [0] 8 2 2 3" xfId="11756"/>
    <cellStyle name="Comma [0] 8 2 2 4" xfId="11757"/>
    <cellStyle name="Comma [0] 8 2 2 5" xfId="11758"/>
    <cellStyle name="Comma [0] 8 2 2 6" xfId="11759"/>
    <cellStyle name="Comma [0] 8 2 2 7" xfId="11760"/>
    <cellStyle name="Comma [0] 8 2 2 8" xfId="11761"/>
    <cellStyle name="Comma [0] 8 2 2 9" xfId="11762"/>
    <cellStyle name="Comma [0] 8 2 20" xfId="11763"/>
    <cellStyle name="Comma [0] 8 2 21" xfId="11764"/>
    <cellStyle name="Comma [0] 8 2 22" xfId="11765"/>
    <cellStyle name="Comma [0] 8 2 23" xfId="11766"/>
    <cellStyle name="Comma [0] 8 2 24" xfId="11767"/>
    <cellStyle name="Comma [0] 8 2 25" xfId="11768"/>
    <cellStyle name="Comma [0] 8 2 3" xfId="2511"/>
    <cellStyle name="Comma [0] 8 2 3 2" xfId="11769"/>
    <cellStyle name="Comma [0] 8 2 3 3" xfId="11770"/>
    <cellStyle name="Comma [0] 8 2 3 4" xfId="11771"/>
    <cellStyle name="Comma [0] 8 2 4" xfId="2512"/>
    <cellStyle name="Comma [0] 8 2 5" xfId="11772"/>
    <cellStyle name="Comma [0] 8 2 6" xfId="11773"/>
    <cellStyle name="Comma [0] 8 2 7" xfId="11774"/>
    <cellStyle name="Comma [0] 8 2 8" xfId="11775"/>
    <cellStyle name="Comma [0] 8 2 9" xfId="11776"/>
    <cellStyle name="Comma [0] 8 20" xfId="11777"/>
    <cellStyle name="Comma [0] 8 21" xfId="11778"/>
    <cellStyle name="Comma [0] 8 22" xfId="11779"/>
    <cellStyle name="Comma [0] 8 23" xfId="11780"/>
    <cellStyle name="Comma [0] 8 24" xfId="11781"/>
    <cellStyle name="Comma [0] 8 25" xfId="11782"/>
    <cellStyle name="Comma [0] 8 26" xfId="11783"/>
    <cellStyle name="Comma [0] 8 27" xfId="11784"/>
    <cellStyle name="Comma [0] 8 28" xfId="11785"/>
    <cellStyle name="Comma [0] 8 29" xfId="11786"/>
    <cellStyle name="Comma [0] 8 3" xfId="2513"/>
    <cellStyle name="Comma [0] 8 30" xfId="11787"/>
    <cellStyle name="Comma [0] 8 31" xfId="11788"/>
    <cellStyle name="Comma [0] 8 32" xfId="11789"/>
    <cellStyle name="Comma [0] 8 33" xfId="11790"/>
    <cellStyle name="Comma [0] 8 34" xfId="11791"/>
    <cellStyle name="Comma [0] 8 35" xfId="11792"/>
    <cellStyle name="Comma [0] 8 36" xfId="11793"/>
    <cellStyle name="Comma [0] 8 37" xfId="11794"/>
    <cellStyle name="Comma [0] 8 4" xfId="2514"/>
    <cellStyle name="Comma [0] 8 4 10" xfId="11795"/>
    <cellStyle name="Comma [0] 8 4 11" xfId="11796"/>
    <cellStyle name="Comma [0] 8 4 12" xfId="11797"/>
    <cellStyle name="Comma [0] 8 4 13" xfId="11798"/>
    <cellStyle name="Comma [0] 8 4 14" xfId="11799"/>
    <cellStyle name="Comma [0] 8 4 15" xfId="11800"/>
    <cellStyle name="Comma [0] 8 4 16" xfId="11801"/>
    <cellStyle name="Comma [0] 8 4 17" xfId="11802"/>
    <cellStyle name="Comma [0] 8 4 18" xfId="11803"/>
    <cellStyle name="Comma [0] 8 4 19" xfId="11804"/>
    <cellStyle name="Comma [0] 8 4 2" xfId="11805"/>
    <cellStyle name="Comma [0] 8 4 20" xfId="11806"/>
    <cellStyle name="Comma [0] 8 4 21" xfId="11807"/>
    <cellStyle name="Comma [0] 8 4 22" xfId="11808"/>
    <cellStyle name="Comma [0] 8 4 23" xfId="11809"/>
    <cellStyle name="Comma [0] 8 4 3" xfId="11810"/>
    <cellStyle name="Comma [0] 8 4 4" xfId="11811"/>
    <cellStyle name="Comma [0] 8 4 5" xfId="11812"/>
    <cellStyle name="Comma [0] 8 4 6" xfId="11813"/>
    <cellStyle name="Comma [0] 8 4 7" xfId="11814"/>
    <cellStyle name="Comma [0] 8 4 8" xfId="11815"/>
    <cellStyle name="Comma [0] 8 4 9" xfId="11816"/>
    <cellStyle name="Comma [0] 8 5" xfId="2515"/>
    <cellStyle name="Comma [0] 8 6" xfId="2516"/>
    <cellStyle name="Comma [0] 8 7" xfId="2517"/>
    <cellStyle name="Comma [0] 8 8" xfId="2518"/>
    <cellStyle name="Comma [0] 8 9" xfId="2519"/>
    <cellStyle name="Comma [0] 80" xfId="2520"/>
    <cellStyle name="Comma [0] 81" xfId="2521"/>
    <cellStyle name="Comma [0] 82" xfId="2522"/>
    <cellStyle name="Comma [0] 83" xfId="2523"/>
    <cellStyle name="Comma [0] 84" xfId="2524"/>
    <cellStyle name="Comma [0] 85" xfId="2525"/>
    <cellStyle name="Comma [0] 86" xfId="2526"/>
    <cellStyle name="Comma [0] 87" xfId="2527"/>
    <cellStyle name="Comma [0] 88" xfId="2528"/>
    <cellStyle name="Comma [0] 89" xfId="2529"/>
    <cellStyle name="Comma [0] 9" xfId="2530"/>
    <cellStyle name="Comma [0] 9 10" xfId="2531"/>
    <cellStyle name="Comma [0] 9 11" xfId="11817"/>
    <cellStyle name="Comma [0] 9 12" xfId="11818"/>
    <cellStyle name="Comma [0] 9 13" xfId="11819"/>
    <cellStyle name="Comma [0] 9 14" xfId="11820"/>
    <cellStyle name="Comma [0] 9 15" xfId="11821"/>
    <cellStyle name="Comma [0] 9 16" xfId="11822"/>
    <cellStyle name="Comma [0] 9 17" xfId="11823"/>
    <cellStyle name="Comma [0] 9 18" xfId="11824"/>
    <cellStyle name="Comma [0] 9 19" xfId="11825"/>
    <cellStyle name="Comma [0] 9 2" xfId="2532"/>
    <cellStyle name="Comma [0] 9 2 10" xfId="11826"/>
    <cellStyle name="Comma [0] 9 2 11" xfId="11827"/>
    <cellStyle name="Comma [0] 9 2 12" xfId="11828"/>
    <cellStyle name="Comma [0] 9 2 13" xfId="11829"/>
    <cellStyle name="Comma [0] 9 2 14" xfId="11830"/>
    <cellStyle name="Comma [0] 9 2 15" xfId="11831"/>
    <cellStyle name="Comma [0] 9 2 16" xfId="11832"/>
    <cellStyle name="Comma [0] 9 2 17" xfId="11833"/>
    <cellStyle name="Comma [0] 9 2 18" xfId="11834"/>
    <cellStyle name="Comma [0] 9 2 19" xfId="11835"/>
    <cellStyle name="Comma [0] 9 2 2" xfId="2533"/>
    <cellStyle name="Comma [0] 9 2 2 10" xfId="11836"/>
    <cellStyle name="Comma [0] 9 2 2 11" xfId="11837"/>
    <cellStyle name="Comma [0] 9 2 2 12" xfId="11838"/>
    <cellStyle name="Comma [0] 9 2 2 13" xfId="11839"/>
    <cellStyle name="Comma [0] 9 2 2 14" xfId="11840"/>
    <cellStyle name="Comma [0] 9 2 2 15" xfId="11841"/>
    <cellStyle name="Comma [0] 9 2 2 16" xfId="11842"/>
    <cellStyle name="Comma [0] 9 2 2 17" xfId="11843"/>
    <cellStyle name="Comma [0] 9 2 2 18" xfId="11844"/>
    <cellStyle name="Comma [0] 9 2 2 19" xfId="11845"/>
    <cellStyle name="Comma [0] 9 2 2 2" xfId="11846"/>
    <cellStyle name="Comma [0] 9 2 2 20" xfId="11847"/>
    <cellStyle name="Comma [0] 9 2 2 21" xfId="11848"/>
    <cellStyle name="Comma [0] 9 2 2 22" xfId="11849"/>
    <cellStyle name="Comma [0] 9 2 2 23" xfId="11850"/>
    <cellStyle name="Comma [0] 9 2 2 3" xfId="11851"/>
    <cellStyle name="Comma [0] 9 2 2 4" xfId="11852"/>
    <cellStyle name="Comma [0] 9 2 2 5" xfId="11853"/>
    <cellStyle name="Comma [0] 9 2 2 6" xfId="11854"/>
    <cellStyle name="Comma [0] 9 2 2 7" xfId="11855"/>
    <cellStyle name="Comma [0] 9 2 2 8" xfId="11856"/>
    <cellStyle name="Comma [0] 9 2 2 9" xfId="11857"/>
    <cellStyle name="Comma [0] 9 2 20" xfId="11858"/>
    <cellStyle name="Comma [0] 9 2 21" xfId="11859"/>
    <cellStyle name="Comma [0] 9 2 22" xfId="11860"/>
    <cellStyle name="Comma [0] 9 2 23" xfId="11861"/>
    <cellStyle name="Comma [0] 9 2 24" xfId="11862"/>
    <cellStyle name="Comma [0] 9 2 25" xfId="11863"/>
    <cellStyle name="Comma [0] 9 2 26" xfId="11864"/>
    <cellStyle name="Comma [0] 9 2 27" xfId="11865"/>
    <cellStyle name="Comma [0] 9 2 28" xfId="11866"/>
    <cellStyle name="Comma [0] 9 2 3" xfId="2534"/>
    <cellStyle name="Comma [0] 9 2 4" xfId="2535"/>
    <cellStyle name="Comma [0] 9 2 5" xfId="2536"/>
    <cellStyle name="Comma [0] 9 2 6" xfId="2537"/>
    <cellStyle name="Comma [0] 9 2 7" xfId="2538"/>
    <cellStyle name="Comma [0] 9 2 8" xfId="11867"/>
    <cellStyle name="Comma [0] 9 2 9" xfId="11868"/>
    <cellStyle name="Comma [0] 9 20" xfId="11869"/>
    <cellStyle name="Comma [0] 9 21" xfId="11870"/>
    <cellStyle name="Comma [0] 9 22" xfId="11871"/>
    <cellStyle name="Comma [0] 9 23" xfId="11872"/>
    <cellStyle name="Comma [0] 9 24" xfId="11873"/>
    <cellStyle name="Comma [0] 9 25" xfId="11874"/>
    <cellStyle name="Comma [0] 9 26" xfId="11875"/>
    <cellStyle name="Comma [0] 9 27" xfId="11876"/>
    <cellStyle name="Comma [0] 9 28" xfId="11877"/>
    <cellStyle name="Comma [0] 9 29" xfId="11878"/>
    <cellStyle name="Comma [0] 9 3" xfId="2539"/>
    <cellStyle name="Comma [0] 9 3 10" xfId="11879"/>
    <cellStyle name="Comma [0] 9 3 11" xfId="11880"/>
    <cellStyle name="Comma [0] 9 3 12" xfId="11881"/>
    <cellStyle name="Comma [0] 9 3 13" xfId="11882"/>
    <cellStyle name="Comma [0] 9 3 14" xfId="11883"/>
    <cellStyle name="Comma [0] 9 3 15" xfId="11884"/>
    <cellStyle name="Comma [0] 9 3 16" xfId="11885"/>
    <cellStyle name="Comma [0] 9 3 17" xfId="11886"/>
    <cellStyle name="Comma [0] 9 3 18" xfId="11887"/>
    <cellStyle name="Comma [0] 9 3 19" xfId="11888"/>
    <cellStyle name="Comma [0] 9 3 2" xfId="2540"/>
    <cellStyle name="Comma [0] 9 3 2 10" xfId="11889"/>
    <cellStyle name="Comma [0] 9 3 2 11" xfId="11890"/>
    <cellStyle name="Comma [0] 9 3 2 12" xfId="11891"/>
    <cellStyle name="Comma [0] 9 3 2 13" xfId="11892"/>
    <cellStyle name="Comma [0] 9 3 2 14" xfId="11893"/>
    <cellStyle name="Comma [0] 9 3 2 15" xfId="11894"/>
    <cellStyle name="Comma [0] 9 3 2 16" xfId="11895"/>
    <cellStyle name="Comma [0] 9 3 2 17" xfId="11896"/>
    <cellStyle name="Comma [0] 9 3 2 18" xfId="11897"/>
    <cellStyle name="Comma [0] 9 3 2 19" xfId="11898"/>
    <cellStyle name="Comma [0] 9 3 2 2" xfId="11899"/>
    <cellStyle name="Comma [0] 9 3 2 20" xfId="11900"/>
    <cellStyle name="Comma [0] 9 3 2 21" xfId="11901"/>
    <cellStyle name="Comma [0] 9 3 2 22" xfId="11902"/>
    <cellStyle name="Comma [0] 9 3 2 23" xfId="11903"/>
    <cellStyle name="Comma [0] 9 3 2 3" xfId="11904"/>
    <cellStyle name="Comma [0] 9 3 2 4" xfId="11905"/>
    <cellStyle name="Comma [0] 9 3 2 5" xfId="11906"/>
    <cellStyle name="Comma [0] 9 3 2 6" xfId="11907"/>
    <cellStyle name="Comma [0] 9 3 2 7" xfId="11908"/>
    <cellStyle name="Comma [0] 9 3 2 8" xfId="11909"/>
    <cellStyle name="Comma [0] 9 3 2 9" xfId="11910"/>
    <cellStyle name="Comma [0] 9 3 20" xfId="11911"/>
    <cellStyle name="Comma [0] 9 3 21" xfId="11912"/>
    <cellStyle name="Comma [0] 9 3 22" xfId="11913"/>
    <cellStyle name="Comma [0] 9 3 23" xfId="11914"/>
    <cellStyle name="Comma [0] 9 3 24" xfId="11915"/>
    <cellStyle name="Comma [0] 9 3 25" xfId="11916"/>
    <cellStyle name="Comma [0] 9 3 26" xfId="11917"/>
    <cellStyle name="Comma [0] 9 3 27" xfId="11918"/>
    <cellStyle name="Comma [0] 9 3 28" xfId="11919"/>
    <cellStyle name="Comma [0] 9 3 3" xfId="2541"/>
    <cellStyle name="Comma [0] 9 3 4" xfId="2542"/>
    <cellStyle name="Comma [0] 9 3 5" xfId="2543"/>
    <cellStyle name="Comma [0] 9 3 6" xfId="2544"/>
    <cellStyle name="Comma [0] 9 3 7" xfId="2545"/>
    <cellStyle name="Comma [0] 9 3 8" xfId="11920"/>
    <cellStyle name="Comma [0] 9 3 9" xfId="11921"/>
    <cellStyle name="Comma [0] 9 30" xfId="11922"/>
    <cellStyle name="Comma [0] 9 31" xfId="11923"/>
    <cellStyle name="Comma [0] 9 4" xfId="2546"/>
    <cellStyle name="Comma [0] 9 4 10" xfId="11924"/>
    <cellStyle name="Comma [0] 9 4 11" xfId="11925"/>
    <cellStyle name="Comma [0] 9 4 12" xfId="11926"/>
    <cellStyle name="Comma [0] 9 4 13" xfId="11927"/>
    <cellStyle name="Comma [0] 9 4 14" xfId="11928"/>
    <cellStyle name="Comma [0] 9 4 15" xfId="11929"/>
    <cellStyle name="Comma [0] 9 4 16" xfId="11930"/>
    <cellStyle name="Comma [0] 9 4 17" xfId="11931"/>
    <cellStyle name="Comma [0] 9 4 18" xfId="11932"/>
    <cellStyle name="Comma [0] 9 4 19" xfId="11933"/>
    <cellStyle name="Comma [0] 9 4 2" xfId="2547"/>
    <cellStyle name="Comma [0] 9 4 2 10" xfId="11934"/>
    <cellStyle name="Comma [0] 9 4 2 11" xfId="11935"/>
    <cellStyle name="Comma [0] 9 4 2 12" xfId="11936"/>
    <cellStyle name="Comma [0] 9 4 2 13" xfId="11937"/>
    <cellStyle name="Comma [0] 9 4 2 14" xfId="11938"/>
    <cellStyle name="Comma [0] 9 4 2 15" xfId="11939"/>
    <cellStyle name="Comma [0] 9 4 2 16" xfId="11940"/>
    <cellStyle name="Comma [0] 9 4 2 17" xfId="11941"/>
    <cellStyle name="Comma [0] 9 4 2 18" xfId="11942"/>
    <cellStyle name="Comma [0] 9 4 2 19" xfId="11943"/>
    <cellStyle name="Comma [0] 9 4 2 2" xfId="2548"/>
    <cellStyle name="Comma [0] 9 4 2 2 10" xfId="11944"/>
    <cellStyle name="Comma [0] 9 4 2 2 11" xfId="11945"/>
    <cellStyle name="Comma [0] 9 4 2 2 12" xfId="11946"/>
    <cellStyle name="Comma [0] 9 4 2 2 13" xfId="11947"/>
    <cellStyle name="Comma [0] 9 4 2 2 14" xfId="11948"/>
    <cellStyle name="Comma [0] 9 4 2 2 15" xfId="11949"/>
    <cellStyle name="Comma [0] 9 4 2 2 16" xfId="11950"/>
    <cellStyle name="Comma [0] 9 4 2 2 17" xfId="11951"/>
    <cellStyle name="Comma [0] 9 4 2 2 18" xfId="11952"/>
    <cellStyle name="Comma [0] 9 4 2 2 19" xfId="11953"/>
    <cellStyle name="Comma [0] 9 4 2 2 2" xfId="11954"/>
    <cellStyle name="Comma [0] 9 4 2 2 20" xfId="11955"/>
    <cellStyle name="Comma [0] 9 4 2 2 21" xfId="11956"/>
    <cellStyle name="Comma [0] 9 4 2 2 22" xfId="11957"/>
    <cellStyle name="Comma [0] 9 4 2 2 23" xfId="11958"/>
    <cellStyle name="Comma [0] 9 4 2 2 3" xfId="11959"/>
    <cellStyle name="Comma [0] 9 4 2 2 4" xfId="11960"/>
    <cellStyle name="Comma [0] 9 4 2 2 5" xfId="11961"/>
    <cellStyle name="Comma [0] 9 4 2 2 6" xfId="11962"/>
    <cellStyle name="Comma [0] 9 4 2 2 7" xfId="11963"/>
    <cellStyle name="Comma [0] 9 4 2 2 8" xfId="11964"/>
    <cellStyle name="Comma [0] 9 4 2 2 9" xfId="11965"/>
    <cellStyle name="Comma [0] 9 4 2 20" xfId="11966"/>
    <cellStyle name="Comma [0] 9 4 2 21" xfId="11967"/>
    <cellStyle name="Comma [0] 9 4 2 22" xfId="11968"/>
    <cellStyle name="Comma [0] 9 4 2 23" xfId="11969"/>
    <cellStyle name="Comma [0] 9 4 2 24" xfId="11970"/>
    <cellStyle name="Comma [0] 9 4 2 25" xfId="11971"/>
    <cellStyle name="Comma [0] 9 4 2 26" xfId="11972"/>
    <cellStyle name="Comma [0] 9 4 2 27" xfId="11973"/>
    <cellStyle name="Comma [0] 9 4 2 28" xfId="11974"/>
    <cellStyle name="Comma [0] 9 4 2 3" xfId="2549"/>
    <cellStyle name="Comma [0] 9 4 2 3 10" xfId="11975"/>
    <cellStyle name="Comma [0] 9 4 2 3 11" xfId="11976"/>
    <cellStyle name="Comma [0] 9 4 2 3 12" xfId="11977"/>
    <cellStyle name="Comma [0] 9 4 2 3 13" xfId="11978"/>
    <cellStyle name="Comma [0] 9 4 2 3 14" xfId="11979"/>
    <cellStyle name="Comma [0] 9 4 2 3 15" xfId="11980"/>
    <cellStyle name="Comma [0] 9 4 2 3 16" xfId="11981"/>
    <cellStyle name="Comma [0] 9 4 2 3 17" xfId="11982"/>
    <cellStyle name="Comma [0] 9 4 2 3 18" xfId="11983"/>
    <cellStyle name="Comma [0] 9 4 2 3 19" xfId="11984"/>
    <cellStyle name="Comma [0] 9 4 2 3 2" xfId="11985"/>
    <cellStyle name="Comma [0] 9 4 2 3 20" xfId="11986"/>
    <cellStyle name="Comma [0] 9 4 2 3 21" xfId="11987"/>
    <cellStyle name="Comma [0] 9 4 2 3 22" xfId="11988"/>
    <cellStyle name="Comma [0] 9 4 2 3 23" xfId="11989"/>
    <cellStyle name="Comma [0] 9 4 2 3 3" xfId="11990"/>
    <cellStyle name="Comma [0] 9 4 2 3 4" xfId="11991"/>
    <cellStyle name="Comma [0] 9 4 2 3 5" xfId="11992"/>
    <cellStyle name="Comma [0] 9 4 2 3 6" xfId="11993"/>
    <cellStyle name="Comma [0] 9 4 2 3 7" xfId="11994"/>
    <cellStyle name="Comma [0] 9 4 2 3 8" xfId="11995"/>
    <cellStyle name="Comma [0] 9 4 2 3 9" xfId="11996"/>
    <cellStyle name="Comma [0] 9 4 2 4" xfId="2550"/>
    <cellStyle name="Comma [0] 9 4 2 4 10" xfId="11997"/>
    <cellStyle name="Comma [0] 9 4 2 4 11" xfId="11998"/>
    <cellStyle name="Comma [0] 9 4 2 4 12" xfId="11999"/>
    <cellStyle name="Comma [0] 9 4 2 4 13" xfId="12000"/>
    <cellStyle name="Comma [0] 9 4 2 4 14" xfId="12001"/>
    <cellStyle name="Comma [0] 9 4 2 4 15" xfId="12002"/>
    <cellStyle name="Comma [0] 9 4 2 4 16" xfId="12003"/>
    <cellStyle name="Comma [0] 9 4 2 4 17" xfId="12004"/>
    <cellStyle name="Comma [0] 9 4 2 4 18" xfId="12005"/>
    <cellStyle name="Comma [0] 9 4 2 4 19" xfId="12006"/>
    <cellStyle name="Comma [0] 9 4 2 4 2" xfId="12007"/>
    <cellStyle name="Comma [0] 9 4 2 4 20" xfId="12008"/>
    <cellStyle name="Comma [0] 9 4 2 4 21" xfId="12009"/>
    <cellStyle name="Comma [0] 9 4 2 4 22" xfId="12010"/>
    <cellStyle name="Comma [0] 9 4 2 4 23" xfId="12011"/>
    <cellStyle name="Comma [0] 9 4 2 4 3" xfId="12012"/>
    <cellStyle name="Comma [0] 9 4 2 4 4" xfId="12013"/>
    <cellStyle name="Comma [0] 9 4 2 4 5" xfId="12014"/>
    <cellStyle name="Comma [0] 9 4 2 4 6" xfId="12015"/>
    <cellStyle name="Comma [0] 9 4 2 4 7" xfId="12016"/>
    <cellStyle name="Comma [0] 9 4 2 4 8" xfId="12017"/>
    <cellStyle name="Comma [0] 9 4 2 4 9" xfId="12018"/>
    <cellStyle name="Comma [0] 9 4 2 5" xfId="2551"/>
    <cellStyle name="Comma [0] 9 4 2 5 10" xfId="12019"/>
    <cellStyle name="Comma [0] 9 4 2 5 11" xfId="12020"/>
    <cellStyle name="Comma [0] 9 4 2 5 12" xfId="12021"/>
    <cellStyle name="Comma [0] 9 4 2 5 13" xfId="12022"/>
    <cellStyle name="Comma [0] 9 4 2 5 14" xfId="12023"/>
    <cellStyle name="Comma [0] 9 4 2 5 15" xfId="12024"/>
    <cellStyle name="Comma [0] 9 4 2 5 16" xfId="12025"/>
    <cellStyle name="Comma [0] 9 4 2 5 17" xfId="12026"/>
    <cellStyle name="Comma [0] 9 4 2 5 18" xfId="12027"/>
    <cellStyle name="Comma [0] 9 4 2 5 19" xfId="12028"/>
    <cellStyle name="Comma [0] 9 4 2 5 2" xfId="12029"/>
    <cellStyle name="Comma [0] 9 4 2 5 20" xfId="12030"/>
    <cellStyle name="Comma [0] 9 4 2 5 21" xfId="12031"/>
    <cellStyle name="Comma [0] 9 4 2 5 22" xfId="12032"/>
    <cellStyle name="Comma [0] 9 4 2 5 23" xfId="12033"/>
    <cellStyle name="Comma [0] 9 4 2 5 3" xfId="12034"/>
    <cellStyle name="Comma [0] 9 4 2 5 4" xfId="12035"/>
    <cellStyle name="Comma [0] 9 4 2 5 5" xfId="12036"/>
    <cellStyle name="Comma [0] 9 4 2 5 6" xfId="12037"/>
    <cellStyle name="Comma [0] 9 4 2 5 7" xfId="12038"/>
    <cellStyle name="Comma [0] 9 4 2 5 8" xfId="12039"/>
    <cellStyle name="Comma [0] 9 4 2 5 9" xfId="12040"/>
    <cellStyle name="Comma [0] 9 4 2 6" xfId="2552"/>
    <cellStyle name="Comma [0] 9 4 2 6 10" xfId="12041"/>
    <cellStyle name="Comma [0] 9 4 2 6 11" xfId="12042"/>
    <cellStyle name="Comma [0] 9 4 2 6 12" xfId="12043"/>
    <cellStyle name="Comma [0] 9 4 2 6 13" xfId="12044"/>
    <cellStyle name="Comma [0] 9 4 2 6 14" xfId="12045"/>
    <cellStyle name="Comma [0] 9 4 2 6 15" xfId="12046"/>
    <cellStyle name="Comma [0] 9 4 2 6 16" xfId="12047"/>
    <cellStyle name="Comma [0] 9 4 2 6 17" xfId="12048"/>
    <cellStyle name="Comma [0] 9 4 2 6 18" xfId="12049"/>
    <cellStyle name="Comma [0] 9 4 2 6 19" xfId="12050"/>
    <cellStyle name="Comma [0] 9 4 2 6 2" xfId="12051"/>
    <cellStyle name="Comma [0] 9 4 2 6 20" xfId="12052"/>
    <cellStyle name="Comma [0] 9 4 2 6 21" xfId="12053"/>
    <cellStyle name="Comma [0] 9 4 2 6 22" xfId="12054"/>
    <cellStyle name="Comma [0] 9 4 2 6 23" xfId="12055"/>
    <cellStyle name="Comma [0] 9 4 2 6 3" xfId="12056"/>
    <cellStyle name="Comma [0] 9 4 2 6 4" xfId="12057"/>
    <cellStyle name="Comma [0] 9 4 2 6 5" xfId="12058"/>
    <cellStyle name="Comma [0] 9 4 2 6 6" xfId="12059"/>
    <cellStyle name="Comma [0] 9 4 2 6 7" xfId="12060"/>
    <cellStyle name="Comma [0] 9 4 2 6 8" xfId="12061"/>
    <cellStyle name="Comma [0] 9 4 2 6 9" xfId="12062"/>
    <cellStyle name="Comma [0] 9 4 2 7" xfId="2553"/>
    <cellStyle name="Comma [0] 9 4 2 8" xfId="12063"/>
    <cellStyle name="Comma [0] 9 4 2 9" xfId="12064"/>
    <cellStyle name="Comma [0] 9 4 20" xfId="12065"/>
    <cellStyle name="Comma [0] 9 4 21" xfId="12066"/>
    <cellStyle name="Comma [0] 9 4 22" xfId="12067"/>
    <cellStyle name="Comma [0] 9 4 23" xfId="12068"/>
    <cellStyle name="Comma [0] 9 4 24" xfId="12069"/>
    <cellStyle name="Comma [0] 9 4 25" xfId="12070"/>
    <cellStyle name="Comma [0] 9 4 26" xfId="12071"/>
    <cellStyle name="Comma [0] 9 4 27" xfId="12072"/>
    <cellStyle name="Comma [0] 9 4 28" xfId="12073"/>
    <cellStyle name="Comma [0] 9 4 29" xfId="12074"/>
    <cellStyle name="Comma [0] 9 4 3" xfId="2554"/>
    <cellStyle name="Comma [0] 9 4 3 10" xfId="12075"/>
    <cellStyle name="Comma [0] 9 4 3 11" xfId="12076"/>
    <cellStyle name="Comma [0] 9 4 3 12" xfId="12077"/>
    <cellStyle name="Comma [0] 9 4 3 13" xfId="12078"/>
    <cellStyle name="Comma [0] 9 4 3 14" xfId="12079"/>
    <cellStyle name="Comma [0] 9 4 3 15" xfId="12080"/>
    <cellStyle name="Comma [0] 9 4 3 16" xfId="12081"/>
    <cellStyle name="Comma [0] 9 4 3 17" xfId="12082"/>
    <cellStyle name="Comma [0] 9 4 3 18" xfId="12083"/>
    <cellStyle name="Comma [0] 9 4 3 19" xfId="12084"/>
    <cellStyle name="Comma [0] 9 4 3 2" xfId="12085"/>
    <cellStyle name="Comma [0] 9 4 3 20" xfId="12086"/>
    <cellStyle name="Comma [0] 9 4 3 21" xfId="12087"/>
    <cellStyle name="Comma [0] 9 4 3 22" xfId="12088"/>
    <cellStyle name="Comma [0] 9 4 3 23" xfId="12089"/>
    <cellStyle name="Comma [0] 9 4 3 3" xfId="12090"/>
    <cellStyle name="Comma [0] 9 4 3 4" xfId="12091"/>
    <cellStyle name="Comma [0] 9 4 3 5" xfId="12092"/>
    <cellStyle name="Comma [0] 9 4 3 6" xfId="12093"/>
    <cellStyle name="Comma [0] 9 4 3 7" xfId="12094"/>
    <cellStyle name="Comma [0] 9 4 3 8" xfId="12095"/>
    <cellStyle name="Comma [0] 9 4 3 9" xfId="12096"/>
    <cellStyle name="Comma [0] 9 4 4" xfId="2555"/>
    <cellStyle name="Comma [0] 9 4 5" xfId="2556"/>
    <cellStyle name="Comma [0] 9 4 6" xfId="2557"/>
    <cellStyle name="Comma [0] 9 4 7" xfId="2558"/>
    <cellStyle name="Comma [0] 9 4 8" xfId="2559"/>
    <cellStyle name="Comma [0] 9 4 9" xfId="12097"/>
    <cellStyle name="Comma [0] 9 5" xfId="2560"/>
    <cellStyle name="Comma [0] 9 5 10" xfId="12098"/>
    <cellStyle name="Comma [0] 9 5 11" xfId="12099"/>
    <cellStyle name="Comma [0] 9 5 12" xfId="12100"/>
    <cellStyle name="Comma [0] 9 5 13" xfId="12101"/>
    <cellStyle name="Comma [0] 9 5 14" xfId="12102"/>
    <cellStyle name="Comma [0] 9 5 15" xfId="12103"/>
    <cellStyle name="Comma [0] 9 5 16" xfId="12104"/>
    <cellStyle name="Comma [0] 9 5 17" xfId="12105"/>
    <cellStyle name="Comma [0] 9 5 18" xfId="12106"/>
    <cellStyle name="Comma [0] 9 5 19" xfId="12107"/>
    <cellStyle name="Comma [0] 9 5 2" xfId="12108"/>
    <cellStyle name="Comma [0] 9 5 20" xfId="12109"/>
    <cellStyle name="Comma [0] 9 5 21" xfId="12110"/>
    <cellStyle name="Comma [0] 9 5 22" xfId="12111"/>
    <cellStyle name="Comma [0] 9 5 23" xfId="12112"/>
    <cellStyle name="Comma [0] 9 5 3" xfId="12113"/>
    <cellStyle name="Comma [0] 9 5 4" xfId="12114"/>
    <cellStyle name="Comma [0] 9 5 5" xfId="12115"/>
    <cellStyle name="Comma [0] 9 5 6" xfId="12116"/>
    <cellStyle name="Comma [0] 9 5 7" xfId="12117"/>
    <cellStyle name="Comma [0] 9 5 8" xfId="12118"/>
    <cellStyle name="Comma [0] 9 5 9" xfId="12119"/>
    <cellStyle name="Comma [0] 9 6" xfId="2561"/>
    <cellStyle name="Comma [0] 9 7" xfId="2562"/>
    <cellStyle name="Comma [0] 9 8" xfId="2563"/>
    <cellStyle name="Comma [0] 9 9" xfId="2564"/>
    <cellStyle name="Comma [0] 90" xfId="2565"/>
    <cellStyle name="Comma [0] 91" xfId="2566"/>
    <cellStyle name="Comma [0] 92" xfId="2567"/>
    <cellStyle name="Comma [0] 93" xfId="2568"/>
    <cellStyle name="Comma [0] 94" xfId="2569"/>
    <cellStyle name="Comma [0] 95" xfId="2570"/>
    <cellStyle name="Comma [0] 96" xfId="2571"/>
    <cellStyle name="Comma [0] 97" xfId="2572"/>
    <cellStyle name="Comma [0] 98" xfId="2573"/>
    <cellStyle name="Comma [0] 99" xfId="2574"/>
    <cellStyle name="Comma 10" xfId="2575"/>
    <cellStyle name="Comma 10 10" xfId="12120"/>
    <cellStyle name="Comma 10 11" xfId="12121"/>
    <cellStyle name="Comma 10 12" xfId="12122"/>
    <cellStyle name="Comma 10 13" xfId="12123"/>
    <cellStyle name="Comma 10 14" xfId="12124"/>
    <cellStyle name="Comma 10 15" xfId="12125"/>
    <cellStyle name="Comma 10 16" xfId="12126"/>
    <cellStyle name="Comma 10 17" xfId="12127"/>
    <cellStyle name="Comma 10 18" xfId="12128"/>
    <cellStyle name="Comma 10 19" xfId="12129"/>
    <cellStyle name="Comma 10 2" xfId="2576"/>
    <cellStyle name="Comma 10 2 10" xfId="12130"/>
    <cellStyle name="Comma 10 2 11" xfId="12131"/>
    <cellStyle name="Comma 10 2 12" xfId="12132"/>
    <cellStyle name="Comma 10 2 13" xfId="12133"/>
    <cellStyle name="Comma 10 2 14" xfId="12134"/>
    <cellStyle name="Comma 10 2 15" xfId="12135"/>
    <cellStyle name="Comma 10 2 16" xfId="12136"/>
    <cellStyle name="Comma 10 2 17" xfId="12137"/>
    <cellStyle name="Comma 10 2 18" xfId="12138"/>
    <cellStyle name="Comma 10 2 19" xfId="12139"/>
    <cellStyle name="Comma 10 2 2" xfId="12140"/>
    <cellStyle name="Comma 10 2 20" xfId="12141"/>
    <cellStyle name="Comma 10 2 21" xfId="12142"/>
    <cellStyle name="Comma 10 2 22" xfId="12143"/>
    <cellStyle name="Comma 10 2 23" xfId="12144"/>
    <cellStyle name="Comma 10 2 3" xfId="12145"/>
    <cellStyle name="Comma 10 2 4" xfId="12146"/>
    <cellStyle name="Comma 10 2 5" xfId="12147"/>
    <cellStyle name="Comma 10 2 6" xfId="12148"/>
    <cellStyle name="Comma 10 2 7" xfId="12149"/>
    <cellStyle name="Comma 10 2 8" xfId="12150"/>
    <cellStyle name="Comma 10 2 9" xfId="12151"/>
    <cellStyle name="Comma 10 20" xfId="12152"/>
    <cellStyle name="Comma 10 21" xfId="12153"/>
    <cellStyle name="Comma 10 22" xfId="12154"/>
    <cellStyle name="Comma 10 23" xfId="12155"/>
    <cellStyle name="Comma 10 24" xfId="12156"/>
    <cellStyle name="Comma 10 25" xfId="12157"/>
    <cellStyle name="Comma 10 26" xfId="12158"/>
    <cellStyle name="Comma 10 3" xfId="2577"/>
    <cellStyle name="Comma 10 3 10" xfId="12159"/>
    <cellStyle name="Comma 10 3 11" xfId="12160"/>
    <cellStyle name="Comma 10 3 12" xfId="12161"/>
    <cellStyle name="Comma 10 3 13" xfId="12162"/>
    <cellStyle name="Comma 10 3 14" xfId="12163"/>
    <cellStyle name="Comma 10 3 15" xfId="12164"/>
    <cellStyle name="Comma 10 3 16" xfId="12165"/>
    <cellStyle name="Comma 10 3 17" xfId="12166"/>
    <cellStyle name="Comma 10 3 18" xfId="12167"/>
    <cellStyle name="Comma 10 3 19" xfId="12168"/>
    <cellStyle name="Comma 10 3 2" xfId="12169"/>
    <cellStyle name="Comma 10 3 20" xfId="12170"/>
    <cellStyle name="Comma 10 3 21" xfId="12171"/>
    <cellStyle name="Comma 10 3 22" xfId="12172"/>
    <cellStyle name="Comma 10 3 23" xfId="12173"/>
    <cellStyle name="Comma 10 3 3" xfId="12174"/>
    <cellStyle name="Comma 10 3 4" xfId="12175"/>
    <cellStyle name="Comma 10 3 5" xfId="12176"/>
    <cellStyle name="Comma 10 3 6" xfId="12177"/>
    <cellStyle name="Comma 10 3 7" xfId="12178"/>
    <cellStyle name="Comma 10 3 8" xfId="12179"/>
    <cellStyle name="Comma 10 3 9" xfId="12180"/>
    <cellStyle name="Comma 10 4" xfId="2578"/>
    <cellStyle name="Comma 10 4 10" xfId="12181"/>
    <cellStyle name="Comma 10 4 11" xfId="12182"/>
    <cellStyle name="Comma 10 4 12" xfId="12183"/>
    <cellStyle name="Comma 10 4 13" xfId="12184"/>
    <cellStyle name="Comma 10 4 14" xfId="12185"/>
    <cellStyle name="Comma 10 4 15" xfId="12186"/>
    <cellStyle name="Comma 10 4 16" xfId="12187"/>
    <cellStyle name="Comma 10 4 17" xfId="12188"/>
    <cellStyle name="Comma 10 4 18" xfId="12189"/>
    <cellStyle name="Comma 10 4 19" xfId="12190"/>
    <cellStyle name="Comma 10 4 2" xfId="12191"/>
    <cellStyle name="Comma 10 4 20" xfId="12192"/>
    <cellStyle name="Comma 10 4 21" xfId="12193"/>
    <cellStyle name="Comma 10 4 22" xfId="12194"/>
    <cellStyle name="Comma 10 4 23" xfId="12195"/>
    <cellStyle name="Comma 10 4 3" xfId="12196"/>
    <cellStyle name="Comma 10 4 4" xfId="12197"/>
    <cellStyle name="Comma 10 4 5" xfId="12198"/>
    <cellStyle name="Comma 10 4 6" xfId="12199"/>
    <cellStyle name="Comma 10 4 7" xfId="12200"/>
    <cellStyle name="Comma 10 4 8" xfId="12201"/>
    <cellStyle name="Comma 10 4 9" xfId="12202"/>
    <cellStyle name="Comma 10 5" xfId="12203"/>
    <cellStyle name="Comma 10 6" xfId="12204"/>
    <cellStyle name="Comma 10 7" xfId="12205"/>
    <cellStyle name="Comma 10 8" xfId="12206"/>
    <cellStyle name="Comma 10 9" xfId="12207"/>
    <cellStyle name="Comma 11" xfId="2579"/>
    <cellStyle name="Comma 11 10" xfId="12208"/>
    <cellStyle name="Comma 11 11" xfId="12209"/>
    <cellStyle name="Comma 11 12" xfId="12210"/>
    <cellStyle name="Comma 11 13" xfId="12211"/>
    <cellStyle name="Comma 11 14" xfId="12212"/>
    <cellStyle name="Comma 11 15" xfId="12213"/>
    <cellStyle name="Comma 11 16" xfId="12214"/>
    <cellStyle name="Comma 11 17" xfId="12215"/>
    <cellStyle name="Comma 11 18" xfId="12216"/>
    <cellStyle name="Comma 11 19" xfId="12217"/>
    <cellStyle name="Comma 11 2" xfId="2580"/>
    <cellStyle name="Comma 11 2 10" xfId="12218"/>
    <cellStyle name="Comma 11 2 11" xfId="12219"/>
    <cellStyle name="Comma 11 2 12" xfId="12220"/>
    <cellStyle name="Comma 11 2 13" xfId="12221"/>
    <cellStyle name="Comma 11 2 14" xfId="12222"/>
    <cellStyle name="Comma 11 2 15" xfId="12223"/>
    <cellStyle name="Comma 11 2 16" xfId="12224"/>
    <cellStyle name="Comma 11 2 17" xfId="12225"/>
    <cellStyle name="Comma 11 2 18" xfId="12226"/>
    <cellStyle name="Comma 11 2 19" xfId="12227"/>
    <cellStyle name="Comma 11 2 2" xfId="2581"/>
    <cellStyle name="Comma 11 2 2 10" xfId="12228"/>
    <cellStyle name="Comma 11 2 2 11" xfId="12229"/>
    <cellStyle name="Comma 11 2 2 12" xfId="12230"/>
    <cellStyle name="Comma 11 2 2 13" xfId="12231"/>
    <cellStyle name="Comma 11 2 2 2" xfId="2582"/>
    <cellStyle name="Comma 11 2 2 2 10" xfId="12232"/>
    <cellStyle name="Comma 11 2 2 2 11" xfId="12233"/>
    <cellStyle name="Comma 11 2 2 2 12" xfId="12234"/>
    <cellStyle name="Comma 11 2 2 2 13" xfId="12235"/>
    <cellStyle name="Comma 11 2 2 2 14" xfId="12236"/>
    <cellStyle name="Comma 11 2 2 2 15" xfId="12237"/>
    <cellStyle name="Comma 11 2 2 2 16" xfId="12238"/>
    <cellStyle name="Comma 11 2 2 2 17" xfId="12239"/>
    <cellStyle name="Comma 11 2 2 2 18" xfId="12240"/>
    <cellStyle name="Comma 11 2 2 2 19" xfId="12241"/>
    <cellStyle name="Comma 11 2 2 2 2" xfId="2583"/>
    <cellStyle name="Comma 11 2 2 2 2 10" xfId="12242"/>
    <cellStyle name="Comma 11 2 2 2 2 11" xfId="12243"/>
    <cellStyle name="Comma 11 2 2 2 2 12" xfId="12244"/>
    <cellStyle name="Comma 11 2 2 2 2 13" xfId="12245"/>
    <cellStyle name="Comma 11 2 2 2 2 14" xfId="12246"/>
    <cellStyle name="Comma 11 2 2 2 2 15" xfId="12247"/>
    <cellStyle name="Comma 11 2 2 2 2 16" xfId="12248"/>
    <cellStyle name="Comma 11 2 2 2 2 17" xfId="12249"/>
    <cellStyle name="Comma 11 2 2 2 2 18" xfId="12250"/>
    <cellStyle name="Comma 11 2 2 2 2 19" xfId="12251"/>
    <cellStyle name="Comma 11 2 2 2 2 2" xfId="12252"/>
    <cellStyle name="Comma 11 2 2 2 2 20" xfId="12253"/>
    <cellStyle name="Comma 11 2 2 2 2 21" xfId="12254"/>
    <cellStyle name="Comma 11 2 2 2 2 22" xfId="12255"/>
    <cellStyle name="Comma 11 2 2 2 2 23" xfId="12256"/>
    <cellStyle name="Comma 11 2 2 2 2 3" xfId="12257"/>
    <cellStyle name="Comma 11 2 2 2 2 4" xfId="12258"/>
    <cellStyle name="Comma 11 2 2 2 2 5" xfId="12259"/>
    <cellStyle name="Comma 11 2 2 2 2 6" xfId="12260"/>
    <cellStyle name="Comma 11 2 2 2 2 7" xfId="12261"/>
    <cellStyle name="Comma 11 2 2 2 2 8" xfId="12262"/>
    <cellStyle name="Comma 11 2 2 2 2 9" xfId="12263"/>
    <cellStyle name="Comma 11 2 2 2 20" xfId="12264"/>
    <cellStyle name="Comma 11 2 2 2 21" xfId="12265"/>
    <cellStyle name="Comma 11 2 2 2 22" xfId="12266"/>
    <cellStyle name="Comma 11 2 2 2 23" xfId="12267"/>
    <cellStyle name="Comma 11 2 2 2 24" xfId="12268"/>
    <cellStyle name="Comma 11 2 2 2 3" xfId="12269"/>
    <cellStyle name="Comma 11 2 2 2 4" xfId="12270"/>
    <cellStyle name="Comma 11 2 2 2 5" xfId="12271"/>
    <cellStyle name="Comma 11 2 2 2 6" xfId="12272"/>
    <cellStyle name="Comma 11 2 2 2 7" xfId="12273"/>
    <cellStyle name="Comma 11 2 2 2 8" xfId="12274"/>
    <cellStyle name="Comma 11 2 2 2 9" xfId="12275"/>
    <cellStyle name="Comma 11 2 2 3" xfId="12276"/>
    <cellStyle name="Comma 11 2 2 4" xfId="12277"/>
    <cellStyle name="Comma 11 2 2 5" xfId="12278"/>
    <cellStyle name="Comma 11 2 2 6" xfId="12279"/>
    <cellStyle name="Comma 11 2 2 7" xfId="12280"/>
    <cellStyle name="Comma 11 2 2 8" xfId="12281"/>
    <cellStyle name="Comma 11 2 2 9" xfId="12282"/>
    <cellStyle name="Comma 11 2 20" xfId="12283"/>
    <cellStyle name="Comma 11 2 21" xfId="12284"/>
    <cellStyle name="Comma 11 2 22" xfId="12285"/>
    <cellStyle name="Comma 11 2 23" xfId="12286"/>
    <cellStyle name="Comma 11 2 24" xfId="12287"/>
    <cellStyle name="Comma 11 2 25" xfId="12288"/>
    <cellStyle name="Comma 11 2 26" xfId="12289"/>
    <cellStyle name="Comma 11 2 27" xfId="12290"/>
    <cellStyle name="Comma 11 2 28" xfId="12291"/>
    <cellStyle name="Comma 11 2 29" xfId="12292"/>
    <cellStyle name="Comma 11 2 3" xfId="12293"/>
    <cellStyle name="Comma 11 2 30" xfId="12294"/>
    <cellStyle name="Comma 11 2 31" xfId="12295"/>
    <cellStyle name="Comma 11 2 32" xfId="12296"/>
    <cellStyle name="Comma 11 2 33" xfId="12297"/>
    <cellStyle name="Comma 11 2 34" xfId="12298"/>
    <cellStyle name="Comma 11 2 35" xfId="12299"/>
    <cellStyle name="Comma 11 2 4" xfId="12300"/>
    <cellStyle name="Comma 11 2 5" xfId="12301"/>
    <cellStyle name="Comma 11 2 6" xfId="12302"/>
    <cellStyle name="Comma 11 2 7" xfId="12303"/>
    <cellStyle name="Comma 11 2 8" xfId="12304"/>
    <cellStyle name="Comma 11 2 9" xfId="12305"/>
    <cellStyle name="Comma 11 20" xfId="12306"/>
    <cellStyle name="Comma 11 21" xfId="12307"/>
    <cellStyle name="Comma 11 22" xfId="12308"/>
    <cellStyle name="Comma 11 23" xfId="12309"/>
    <cellStyle name="Comma 11 24" xfId="12310"/>
    <cellStyle name="Comma 11 25" xfId="12311"/>
    <cellStyle name="Comma 11 26" xfId="12312"/>
    <cellStyle name="Comma 11 27" xfId="12313"/>
    <cellStyle name="Comma 11 28" xfId="12314"/>
    <cellStyle name="Comma 11 29" xfId="12315"/>
    <cellStyle name="Comma 11 3" xfId="2584"/>
    <cellStyle name="Comma 11 3 10" xfId="12316"/>
    <cellStyle name="Comma 11 3 11" xfId="12317"/>
    <cellStyle name="Comma 11 3 12" xfId="12318"/>
    <cellStyle name="Comma 11 3 13" xfId="12319"/>
    <cellStyle name="Comma 11 3 14" xfId="12320"/>
    <cellStyle name="Comma 11 3 15" xfId="12321"/>
    <cellStyle name="Comma 11 3 16" xfId="12322"/>
    <cellStyle name="Comma 11 3 17" xfId="12323"/>
    <cellStyle name="Comma 11 3 18" xfId="12324"/>
    <cellStyle name="Comma 11 3 19" xfId="12325"/>
    <cellStyle name="Comma 11 3 2" xfId="12326"/>
    <cellStyle name="Comma 11 3 20" xfId="12327"/>
    <cellStyle name="Comma 11 3 21" xfId="12328"/>
    <cellStyle name="Comma 11 3 22" xfId="12329"/>
    <cellStyle name="Comma 11 3 23" xfId="12330"/>
    <cellStyle name="Comma 11 3 3" xfId="12331"/>
    <cellStyle name="Comma 11 3 4" xfId="12332"/>
    <cellStyle name="Comma 11 3 5" xfId="12333"/>
    <cellStyle name="Comma 11 3 6" xfId="12334"/>
    <cellStyle name="Comma 11 3 7" xfId="12335"/>
    <cellStyle name="Comma 11 3 8" xfId="12336"/>
    <cellStyle name="Comma 11 3 9" xfId="12337"/>
    <cellStyle name="Comma 11 4" xfId="2585"/>
    <cellStyle name="Comma 11 4 10" xfId="12338"/>
    <cellStyle name="Comma 11 4 11" xfId="12339"/>
    <cellStyle name="Comma 11 4 12" xfId="12340"/>
    <cellStyle name="Comma 11 4 13" xfId="12341"/>
    <cellStyle name="Comma 11 4 14" xfId="12342"/>
    <cellStyle name="Comma 11 4 15" xfId="12343"/>
    <cellStyle name="Comma 11 4 16" xfId="12344"/>
    <cellStyle name="Comma 11 4 17" xfId="12345"/>
    <cellStyle name="Comma 11 4 18" xfId="12346"/>
    <cellStyle name="Comma 11 4 19" xfId="12347"/>
    <cellStyle name="Comma 11 4 2" xfId="12348"/>
    <cellStyle name="Comma 11 4 20" xfId="12349"/>
    <cellStyle name="Comma 11 4 21" xfId="12350"/>
    <cellStyle name="Comma 11 4 22" xfId="12351"/>
    <cellStyle name="Comma 11 4 23" xfId="12352"/>
    <cellStyle name="Comma 11 4 3" xfId="12353"/>
    <cellStyle name="Comma 11 4 4" xfId="12354"/>
    <cellStyle name="Comma 11 4 5" xfId="12355"/>
    <cellStyle name="Comma 11 4 6" xfId="12356"/>
    <cellStyle name="Comma 11 4 7" xfId="12357"/>
    <cellStyle name="Comma 11 4 8" xfId="12358"/>
    <cellStyle name="Comma 11 4 9" xfId="12359"/>
    <cellStyle name="Comma 11 5" xfId="2586"/>
    <cellStyle name="Comma 11 6" xfId="2587"/>
    <cellStyle name="Comma 11 7" xfId="2588"/>
    <cellStyle name="Comma 11 8" xfId="2589"/>
    <cellStyle name="Comma 11 9" xfId="12360"/>
    <cellStyle name="Comma 12" xfId="2590"/>
    <cellStyle name="Comma 12 10" xfId="12361"/>
    <cellStyle name="Comma 12 11" xfId="12362"/>
    <cellStyle name="Comma 12 12" xfId="12363"/>
    <cellStyle name="Comma 12 13" xfId="12364"/>
    <cellStyle name="Comma 12 14" xfId="12365"/>
    <cellStyle name="Comma 12 15" xfId="12366"/>
    <cellStyle name="Comma 12 16" xfId="12367"/>
    <cellStyle name="Comma 12 17" xfId="12368"/>
    <cellStyle name="Comma 12 18" xfId="12369"/>
    <cellStyle name="Comma 12 19" xfId="12370"/>
    <cellStyle name="Comma 12 2" xfId="12371"/>
    <cellStyle name="Comma 12 20" xfId="12372"/>
    <cellStyle name="Comma 12 21" xfId="12373"/>
    <cellStyle name="Comma 12 22" xfId="12374"/>
    <cellStyle name="Comma 12 23" xfId="12375"/>
    <cellStyle name="Comma 12 3" xfId="12376"/>
    <cellStyle name="Comma 12 4" xfId="12377"/>
    <cellStyle name="Comma 12 5" xfId="12378"/>
    <cellStyle name="Comma 12 6" xfId="12379"/>
    <cellStyle name="Comma 12 7" xfId="12380"/>
    <cellStyle name="Comma 12 8" xfId="12381"/>
    <cellStyle name="Comma 12 9" xfId="12382"/>
    <cellStyle name="Comma 13" xfId="2591"/>
    <cellStyle name="Comma 13 2" xfId="12383"/>
    <cellStyle name="Comma 13 2 10" xfId="12384"/>
    <cellStyle name="Comma 13 2 11" xfId="12385"/>
    <cellStyle name="Comma 13 2 12" xfId="12386"/>
    <cellStyle name="Comma 13 2 2" xfId="12387"/>
    <cellStyle name="Comma 13 2 3" xfId="12388"/>
    <cellStyle name="Comma 13 2 4" xfId="12389"/>
    <cellStyle name="Comma 13 2 5" xfId="12390"/>
    <cellStyle name="Comma 13 2 6" xfId="12391"/>
    <cellStyle name="Comma 13 2 7" xfId="12392"/>
    <cellStyle name="Comma 13 2 8" xfId="12393"/>
    <cellStyle name="Comma 13 2 9" xfId="12394"/>
    <cellStyle name="Comma 14" xfId="2592"/>
    <cellStyle name="Comma 15" xfId="2593"/>
    <cellStyle name="Comma 15 2" xfId="2594"/>
    <cellStyle name="Comma 15 2 10" xfId="12395"/>
    <cellStyle name="Comma 15 2 11" xfId="12396"/>
    <cellStyle name="Comma 15 2 12" xfId="12397"/>
    <cellStyle name="Comma 15 2 13" xfId="12398"/>
    <cellStyle name="Comma 15 2 14" xfId="12399"/>
    <cellStyle name="Comma 15 2 15" xfId="12400"/>
    <cellStyle name="Comma 15 2 16" xfId="12401"/>
    <cellStyle name="Comma 15 2 17" xfId="12402"/>
    <cellStyle name="Comma 15 2 18" xfId="12403"/>
    <cellStyle name="Comma 15 2 19" xfId="12404"/>
    <cellStyle name="Comma 15 2 2" xfId="12405"/>
    <cellStyle name="Comma 15 2 2 2" xfId="12406"/>
    <cellStyle name="Comma 15 2 2 3" xfId="12407"/>
    <cellStyle name="Comma 15 2 2 4" xfId="12408"/>
    <cellStyle name="Comma 15 2 2 5" xfId="12409"/>
    <cellStyle name="Comma 15 2 20" xfId="12410"/>
    <cellStyle name="Comma 15 2 21" xfId="12411"/>
    <cellStyle name="Comma 15 2 22" xfId="12412"/>
    <cellStyle name="Comma 15 2 23" xfId="12413"/>
    <cellStyle name="Comma 15 2 24" xfId="12414"/>
    <cellStyle name="Comma 15 2 3" xfId="12415"/>
    <cellStyle name="Comma 15 2 4" xfId="12416"/>
    <cellStyle name="Comma 15 2 5" xfId="12417"/>
    <cellStyle name="Comma 15 2 6" xfId="12418"/>
    <cellStyle name="Comma 15 2 7" xfId="12419"/>
    <cellStyle name="Comma 15 2 8" xfId="12420"/>
    <cellStyle name="Comma 15 2 9" xfId="12421"/>
    <cellStyle name="Comma 16" xfId="2595"/>
    <cellStyle name="Comma 16 10" xfId="12422"/>
    <cellStyle name="Comma 16 11" xfId="12423"/>
    <cellStyle name="Comma 16 12" xfId="12424"/>
    <cellStyle name="Comma 16 13" xfId="12425"/>
    <cellStyle name="Comma 16 14" xfId="12426"/>
    <cellStyle name="Comma 16 15" xfId="12427"/>
    <cellStyle name="Comma 16 16" xfId="12428"/>
    <cellStyle name="Comma 16 17" xfId="12429"/>
    <cellStyle name="Comma 16 18" xfId="12430"/>
    <cellStyle name="Comma 16 19" xfId="12431"/>
    <cellStyle name="Comma 16 2" xfId="12432"/>
    <cellStyle name="Comma 16 20" xfId="12433"/>
    <cellStyle name="Comma 16 21" xfId="12434"/>
    <cellStyle name="Comma 16 22" xfId="12435"/>
    <cellStyle name="Comma 16 23" xfId="12436"/>
    <cellStyle name="Comma 16 3" xfId="12437"/>
    <cellStyle name="Comma 16 4" xfId="12438"/>
    <cellStyle name="Comma 16 5" xfId="12439"/>
    <cellStyle name="Comma 16 6" xfId="12440"/>
    <cellStyle name="Comma 16 7" xfId="12441"/>
    <cellStyle name="Comma 16 8" xfId="12442"/>
    <cellStyle name="Comma 16 9" xfId="12443"/>
    <cellStyle name="Comma 17" xfId="2596"/>
    <cellStyle name="Comma 18" xfId="2597"/>
    <cellStyle name="Comma 19" xfId="2598"/>
    <cellStyle name="Comma 19 10" xfId="12444"/>
    <cellStyle name="Comma 19 11" xfId="12445"/>
    <cellStyle name="Comma 19 12" xfId="12446"/>
    <cellStyle name="Comma 19 13" xfId="12447"/>
    <cellStyle name="Comma 19 14" xfId="12448"/>
    <cellStyle name="Comma 19 15" xfId="12449"/>
    <cellStyle name="Comma 19 2" xfId="2599"/>
    <cellStyle name="Comma 19 2 10" xfId="12450"/>
    <cellStyle name="Comma 19 2 11" xfId="12451"/>
    <cellStyle name="Comma 19 2 12" xfId="12452"/>
    <cellStyle name="Comma 19 2 2" xfId="12453"/>
    <cellStyle name="Comma 19 2 3" xfId="12454"/>
    <cellStyle name="Comma 19 2 4" xfId="12455"/>
    <cellStyle name="Comma 19 2 5" xfId="12456"/>
    <cellStyle name="Comma 19 2 6" xfId="12457"/>
    <cellStyle name="Comma 19 2 7" xfId="12458"/>
    <cellStyle name="Comma 19 2 8" xfId="12459"/>
    <cellStyle name="Comma 19 2 9" xfId="12460"/>
    <cellStyle name="Comma 19 3" xfId="12461"/>
    <cellStyle name="Comma 19 3 10" xfId="12462"/>
    <cellStyle name="Comma 19 3 11" xfId="12463"/>
    <cellStyle name="Comma 19 3 12" xfId="12464"/>
    <cellStyle name="Comma 19 3 2" xfId="12465"/>
    <cellStyle name="Comma 19 3 3" xfId="12466"/>
    <cellStyle name="Comma 19 3 4" xfId="12467"/>
    <cellStyle name="Comma 19 3 5" xfId="12468"/>
    <cellStyle name="Comma 19 3 6" xfId="12469"/>
    <cellStyle name="Comma 19 3 7" xfId="12470"/>
    <cellStyle name="Comma 19 3 8" xfId="12471"/>
    <cellStyle name="Comma 19 3 9" xfId="12472"/>
    <cellStyle name="Comma 19 4" xfId="12473"/>
    <cellStyle name="Comma 19 4 10" xfId="12474"/>
    <cellStyle name="Comma 19 4 11" xfId="12475"/>
    <cellStyle name="Comma 19 4 12" xfId="12476"/>
    <cellStyle name="Comma 19 4 2" xfId="12477"/>
    <cellStyle name="Comma 19 4 3" xfId="12478"/>
    <cellStyle name="Comma 19 4 4" xfId="12479"/>
    <cellStyle name="Comma 19 4 5" xfId="12480"/>
    <cellStyle name="Comma 19 4 6" xfId="12481"/>
    <cellStyle name="Comma 19 4 7" xfId="12482"/>
    <cellStyle name="Comma 19 4 8" xfId="12483"/>
    <cellStyle name="Comma 19 4 9" xfId="12484"/>
    <cellStyle name="Comma 19 5" xfId="12485"/>
    <cellStyle name="Comma 19 6" xfId="12486"/>
    <cellStyle name="Comma 19 7" xfId="12487"/>
    <cellStyle name="Comma 19 8" xfId="12488"/>
    <cellStyle name="Comma 19 9" xfId="12489"/>
    <cellStyle name="Comma 2" xfId="3"/>
    <cellStyle name="Comma 2 10" xfId="2600"/>
    <cellStyle name="Comma 2 11" xfId="2601"/>
    <cellStyle name="Comma 2 12" xfId="2602"/>
    <cellStyle name="Comma 2 13" xfId="2603"/>
    <cellStyle name="Comma 2 14" xfId="2604"/>
    <cellStyle name="Comma 2 15" xfId="2605"/>
    <cellStyle name="Comma 2 16" xfId="2606"/>
    <cellStyle name="Comma 2 17" xfId="2607"/>
    <cellStyle name="Comma 2 18" xfId="2608"/>
    <cellStyle name="Comma 2 19" xfId="2609"/>
    <cellStyle name="Comma 2 2" xfId="2610"/>
    <cellStyle name="Comma 2 2 10" xfId="2611"/>
    <cellStyle name="Comma 2 2 11" xfId="2612"/>
    <cellStyle name="Comma 2 2 12" xfId="2613"/>
    <cellStyle name="Comma 2 2 13" xfId="2614"/>
    <cellStyle name="Comma 2 2 14" xfId="2615"/>
    <cellStyle name="Comma 2 2 15" xfId="2616"/>
    <cellStyle name="Comma 2 2 16" xfId="2617"/>
    <cellStyle name="Comma 2 2 17" xfId="2618"/>
    <cellStyle name="Comma 2 2 18" xfId="2619"/>
    <cellStyle name="Comma 2 2 19" xfId="2620"/>
    <cellStyle name="Comma 2 2 2" xfId="2621"/>
    <cellStyle name="Comma 2 2 2 2" xfId="2622"/>
    <cellStyle name="Comma 2 2 2 2 2" xfId="2623"/>
    <cellStyle name="Comma 2 2 20" xfId="2624"/>
    <cellStyle name="Comma 2 2 21" xfId="2625"/>
    <cellStyle name="Comma 2 2 22" xfId="2626"/>
    <cellStyle name="Comma 2 2 3" xfId="2627"/>
    <cellStyle name="Comma 2 2 3 2" xfId="2628"/>
    <cellStyle name="Comma 2 2 3 3" xfId="2629"/>
    <cellStyle name="Comma 2 2 4" xfId="2630"/>
    <cellStyle name="Comma 2 2 4 10" xfId="12490"/>
    <cellStyle name="Comma 2 2 4 11" xfId="12491"/>
    <cellStyle name="Comma 2 2 4 12" xfId="12492"/>
    <cellStyle name="Comma 2 2 4 13" xfId="12493"/>
    <cellStyle name="Comma 2 2 4 14" xfId="12494"/>
    <cellStyle name="Comma 2 2 4 15" xfId="12495"/>
    <cellStyle name="Comma 2 2 4 16" xfId="12496"/>
    <cellStyle name="Comma 2 2 4 17" xfId="12497"/>
    <cellStyle name="Comma 2 2 4 18" xfId="12498"/>
    <cellStyle name="Comma 2 2 4 19" xfId="12499"/>
    <cellStyle name="Comma 2 2 4 2" xfId="12500"/>
    <cellStyle name="Comma 2 2 4 20" xfId="12501"/>
    <cellStyle name="Comma 2 2 4 21" xfId="12502"/>
    <cellStyle name="Comma 2 2 4 22" xfId="12503"/>
    <cellStyle name="Comma 2 2 4 23" xfId="12504"/>
    <cellStyle name="Comma 2 2 4 3" xfId="12505"/>
    <cellStyle name="Comma 2 2 4 4" xfId="12506"/>
    <cellStyle name="Comma 2 2 4 5" xfId="12507"/>
    <cellStyle name="Comma 2 2 4 6" xfId="12508"/>
    <cellStyle name="Comma 2 2 4 7" xfId="12509"/>
    <cellStyle name="Comma 2 2 4 8" xfId="12510"/>
    <cellStyle name="Comma 2 2 4 9" xfId="12511"/>
    <cellStyle name="Comma 2 2 5" xfId="2631"/>
    <cellStyle name="Comma 2 2 6" xfId="2632"/>
    <cellStyle name="Comma 2 2 7" xfId="2633"/>
    <cellStyle name="Comma 2 2 8" xfId="2634"/>
    <cellStyle name="Comma 2 2 9" xfId="2635"/>
    <cellStyle name="Comma 2 20" xfId="2636"/>
    <cellStyle name="Comma 2 21" xfId="2637"/>
    <cellStyle name="Comma 2 22" xfId="2638"/>
    <cellStyle name="Comma 2 23" xfId="2639"/>
    <cellStyle name="Comma 2 24" xfId="2640"/>
    <cellStyle name="Comma 2 25" xfId="2641"/>
    <cellStyle name="Comma 2 26" xfId="2642"/>
    <cellStyle name="Comma 2 27" xfId="2643"/>
    <cellStyle name="Comma 2 28" xfId="2644"/>
    <cellStyle name="Comma 2 28 10" xfId="12512"/>
    <cellStyle name="Comma 2 28 11" xfId="12513"/>
    <cellStyle name="Comma 2 28 12" xfId="12514"/>
    <cellStyle name="Comma 2 28 13" xfId="12515"/>
    <cellStyle name="Comma 2 28 14" xfId="12516"/>
    <cellStyle name="Comma 2 28 15" xfId="12517"/>
    <cellStyle name="Comma 2 28 16" xfId="12518"/>
    <cellStyle name="Comma 2 28 17" xfId="12519"/>
    <cellStyle name="Comma 2 28 18" xfId="12520"/>
    <cellStyle name="Comma 2 28 19" xfId="12521"/>
    <cellStyle name="Comma 2 28 2" xfId="2645"/>
    <cellStyle name="Comma 2 28 20" xfId="12522"/>
    <cellStyle name="Comma 2 28 21" xfId="12523"/>
    <cellStyle name="Comma 2 28 22" xfId="12524"/>
    <cellStyle name="Comma 2 28 23" xfId="12525"/>
    <cellStyle name="Comma 2 28 24" xfId="12526"/>
    <cellStyle name="Comma 2 28 3" xfId="12527"/>
    <cellStyle name="Comma 2 28 4" xfId="12528"/>
    <cellStyle name="Comma 2 28 5" xfId="12529"/>
    <cellStyle name="Comma 2 28 6" xfId="12530"/>
    <cellStyle name="Comma 2 28 7" xfId="12531"/>
    <cellStyle name="Comma 2 28 8" xfId="12532"/>
    <cellStyle name="Comma 2 28 9" xfId="12533"/>
    <cellStyle name="Comma 2 29" xfId="2646"/>
    <cellStyle name="Comma 2 29 10" xfId="12534"/>
    <cellStyle name="Comma 2 29 11" xfId="12535"/>
    <cellStyle name="Comma 2 29 12" xfId="12536"/>
    <cellStyle name="Comma 2 29 13" xfId="12537"/>
    <cellStyle name="Comma 2 29 14" xfId="12538"/>
    <cellStyle name="Comma 2 29 15" xfId="12539"/>
    <cellStyle name="Comma 2 29 16" xfId="12540"/>
    <cellStyle name="Comma 2 29 17" xfId="12541"/>
    <cellStyle name="Comma 2 29 18" xfId="12542"/>
    <cellStyle name="Comma 2 29 19" xfId="12543"/>
    <cellStyle name="Comma 2 29 2" xfId="12544"/>
    <cellStyle name="Comma 2 29 20" xfId="12545"/>
    <cellStyle name="Comma 2 29 21" xfId="12546"/>
    <cellStyle name="Comma 2 29 22" xfId="12547"/>
    <cellStyle name="Comma 2 29 23" xfId="12548"/>
    <cellStyle name="Comma 2 29 3" xfId="12549"/>
    <cellStyle name="Comma 2 29 4" xfId="12550"/>
    <cellStyle name="Comma 2 29 5" xfId="12551"/>
    <cellStyle name="Comma 2 29 6" xfId="12552"/>
    <cellStyle name="Comma 2 29 7" xfId="12553"/>
    <cellStyle name="Comma 2 29 8" xfId="12554"/>
    <cellStyle name="Comma 2 29 9" xfId="12555"/>
    <cellStyle name="Comma 2 3" xfId="2647"/>
    <cellStyle name="Comma 2 3 2" xfId="2648"/>
    <cellStyle name="Comma 2 3 2 10" xfId="12556"/>
    <cellStyle name="Comma 2 3 2 11" xfId="12557"/>
    <cellStyle name="Comma 2 3 2 12" xfId="12558"/>
    <cellStyle name="Comma 2 3 2 13" xfId="12559"/>
    <cellStyle name="Comma 2 3 2 14" xfId="12560"/>
    <cellStyle name="Comma 2 3 2 15" xfId="12561"/>
    <cellStyle name="Comma 2 3 2 16" xfId="12562"/>
    <cellStyle name="Comma 2 3 2 17" xfId="12563"/>
    <cellStyle name="Comma 2 3 2 18" xfId="12564"/>
    <cellStyle name="Comma 2 3 2 19" xfId="12565"/>
    <cellStyle name="Comma 2 3 2 2" xfId="2649"/>
    <cellStyle name="Comma 2 3 2 2 10" xfId="12566"/>
    <cellStyle name="Comma 2 3 2 2 11" xfId="12567"/>
    <cellStyle name="Comma 2 3 2 2 12" xfId="12568"/>
    <cellStyle name="Comma 2 3 2 2 13" xfId="12569"/>
    <cellStyle name="Comma 2 3 2 2 14" xfId="12570"/>
    <cellStyle name="Comma 2 3 2 2 15" xfId="12571"/>
    <cellStyle name="Comma 2 3 2 2 16" xfId="12572"/>
    <cellStyle name="Comma 2 3 2 2 17" xfId="12573"/>
    <cellStyle name="Comma 2 3 2 2 18" xfId="12574"/>
    <cellStyle name="Comma 2 3 2 2 19" xfId="12575"/>
    <cellStyle name="Comma 2 3 2 2 2" xfId="2650"/>
    <cellStyle name="Comma 2 3 2 2 2 10" xfId="12576"/>
    <cellStyle name="Comma 2 3 2 2 2 11" xfId="12577"/>
    <cellStyle name="Comma 2 3 2 2 2 12" xfId="12578"/>
    <cellStyle name="Comma 2 3 2 2 2 13" xfId="12579"/>
    <cellStyle name="Comma 2 3 2 2 2 14" xfId="12580"/>
    <cellStyle name="Comma 2 3 2 2 2 15" xfId="12581"/>
    <cellStyle name="Comma 2 3 2 2 2 16" xfId="12582"/>
    <cellStyle name="Comma 2 3 2 2 2 17" xfId="12583"/>
    <cellStyle name="Comma 2 3 2 2 2 18" xfId="12584"/>
    <cellStyle name="Comma 2 3 2 2 2 19" xfId="12585"/>
    <cellStyle name="Comma 2 3 2 2 2 2" xfId="12586"/>
    <cellStyle name="Comma 2 3 2 2 2 20" xfId="12587"/>
    <cellStyle name="Comma 2 3 2 2 2 21" xfId="12588"/>
    <cellStyle name="Comma 2 3 2 2 2 22" xfId="12589"/>
    <cellStyle name="Comma 2 3 2 2 2 23" xfId="12590"/>
    <cellStyle name="Comma 2 3 2 2 2 3" xfId="12591"/>
    <cellStyle name="Comma 2 3 2 2 2 4" xfId="12592"/>
    <cellStyle name="Comma 2 3 2 2 2 5" xfId="12593"/>
    <cellStyle name="Comma 2 3 2 2 2 6" xfId="12594"/>
    <cellStyle name="Comma 2 3 2 2 2 7" xfId="12595"/>
    <cellStyle name="Comma 2 3 2 2 2 8" xfId="12596"/>
    <cellStyle name="Comma 2 3 2 2 2 9" xfId="12597"/>
    <cellStyle name="Comma 2 3 2 2 20" xfId="12598"/>
    <cellStyle name="Comma 2 3 2 2 21" xfId="12599"/>
    <cellStyle name="Comma 2 3 2 2 22" xfId="12600"/>
    <cellStyle name="Comma 2 3 2 2 23" xfId="12601"/>
    <cellStyle name="Comma 2 3 2 2 24" xfId="12602"/>
    <cellStyle name="Comma 2 3 2 2 25" xfId="12603"/>
    <cellStyle name="Comma 2 3 2 2 26" xfId="12604"/>
    <cellStyle name="Comma 2 3 2 2 27" xfId="12605"/>
    <cellStyle name="Comma 2 3 2 2 28" xfId="12606"/>
    <cellStyle name="Comma 2 3 2 2 3" xfId="2651"/>
    <cellStyle name="Comma 2 3 2 2 3 10" xfId="12607"/>
    <cellStyle name="Comma 2 3 2 2 3 11" xfId="12608"/>
    <cellStyle name="Comma 2 3 2 2 3 12" xfId="12609"/>
    <cellStyle name="Comma 2 3 2 2 3 13" xfId="12610"/>
    <cellStyle name="Comma 2 3 2 2 3 14" xfId="12611"/>
    <cellStyle name="Comma 2 3 2 2 3 15" xfId="12612"/>
    <cellStyle name="Comma 2 3 2 2 3 16" xfId="12613"/>
    <cellStyle name="Comma 2 3 2 2 3 17" xfId="12614"/>
    <cellStyle name="Comma 2 3 2 2 3 18" xfId="12615"/>
    <cellStyle name="Comma 2 3 2 2 3 19" xfId="12616"/>
    <cellStyle name="Comma 2 3 2 2 3 2" xfId="12617"/>
    <cellStyle name="Comma 2 3 2 2 3 20" xfId="12618"/>
    <cellStyle name="Comma 2 3 2 2 3 21" xfId="12619"/>
    <cellStyle name="Comma 2 3 2 2 3 22" xfId="12620"/>
    <cellStyle name="Comma 2 3 2 2 3 23" xfId="12621"/>
    <cellStyle name="Comma 2 3 2 2 3 3" xfId="12622"/>
    <cellStyle name="Comma 2 3 2 2 3 4" xfId="12623"/>
    <cellStyle name="Comma 2 3 2 2 3 5" xfId="12624"/>
    <cellStyle name="Comma 2 3 2 2 3 6" xfId="12625"/>
    <cellStyle name="Comma 2 3 2 2 3 7" xfId="12626"/>
    <cellStyle name="Comma 2 3 2 2 3 8" xfId="12627"/>
    <cellStyle name="Comma 2 3 2 2 3 9" xfId="12628"/>
    <cellStyle name="Comma 2 3 2 2 4" xfId="2652"/>
    <cellStyle name="Comma 2 3 2 2 5" xfId="2653"/>
    <cellStyle name="Comma 2 3 2 2 6" xfId="2654"/>
    <cellStyle name="Comma 2 3 2 2 7" xfId="2655"/>
    <cellStyle name="Comma 2 3 2 2 8" xfId="12629"/>
    <cellStyle name="Comma 2 3 2 2 9" xfId="12630"/>
    <cellStyle name="Comma 2 3 2 20" xfId="12631"/>
    <cellStyle name="Comma 2 3 2 21" xfId="12632"/>
    <cellStyle name="Comma 2 3 2 22" xfId="12633"/>
    <cellStyle name="Comma 2 3 2 23" xfId="12634"/>
    <cellStyle name="Comma 2 3 2 24" xfId="12635"/>
    <cellStyle name="Comma 2 3 2 25" xfId="12636"/>
    <cellStyle name="Comma 2 3 2 26" xfId="12637"/>
    <cellStyle name="Comma 2 3 2 27" xfId="12638"/>
    <cellStyle name="Comma 2 3 2 28" xfId="12639"/>
    <cellStyle name="Comma 2 3 2 29" xfId="12640"/>
    <cellStyle name="Comma 2 3 2 3" xfId="2656"/>
    <cellStyle name="Comma 2 3 2 3 10" xfId="12641"/>
    <cellStyle name="Comma 2 3 2 3 2" xfId="2657"/>
    <cellStyle name="Comma 2 3 2 3 3" xfId="2658"/>
    <cellStyle name="Comma 2 3 2 3 4" xfId="2659"/>
    <cellStyle name="Comma 2 3 2 3 5" xfId="2660"/>
    <cellStyle name="Comma 2 3 2 3 6" xfId="2661"/>
    <cellStyle name="Comma 2 3 2 3 7" xfId="2662"/>
    <cellStyle name="Comma 2 3 2 3 8" xfId="12642"/>
    <cellStyle name="Comma 2 3 2 3 9" xfId="12643"/>
    <cellStyle name="Comma 2 3 2 4" xfId="2663"/>
    <cellStyle name="Comma 2 3 2 4 10" xfId="12644"/>
    <cellStyle name="Comma 2 3 2 4 2" xfId="2664"/>
    <cellStyle name="Comma 2 3 2 4 3" xfId="2665"/>
    <cellStyle name="Comma 2 3 2 4 4" xfId="2666"/>
    <cellStyle name="Comma 2 3 2 4 5" xfId="2667"/>
    <cellStyle name="Comma 2 3 2 4 6" xfId="2668"/>
    <cellStyle name="Comma 2 3 2 4 7" xfId="2669"/>
    <cellStyle name="Comma 2 3 2 4 8" xfId="12645"/>
    <cellStyle name="Comma 2 3 2 4 9" xfId="12646"/>
    <cellStyle name="Comma 2 3 2 5" xfId="2670"/>
    <cellStyle name="Comma 2 3 2 5 10" xfId="12647"/>
    <cellStyle name="Comma 2 3 2 5 2" xfId="2671"/>
    <cellStyle name="Comma 2 3 2 5 3" xfId="2672"/>
    <cellStyle name="Comma 2 3 2 5 4" xfId="2673"/>
    <cellStyle name="Comma 2 3 2 5 5" xfId="2674"/>
    <cellStyle name="Comma 2 3 2 5 6" xfId="2675"/>
    <cellStyle name="Comma 2 3 2 5 7" xfId="2676"/>
    <cellStyle name="Comma 2 3 2 5 8" xfId="12648"/>
    <cellStyle name="Comma 2 3 2 5 9" xfId="12649"/>
    <cellStyle name="Comma 2 3 2 6" xfId="2677"/>
    <cellStyle name="Comma 2 3 2 6 10" xfId="12650"/>
    <cellStyle name="Comma 2 3 2 6 2" xfId="2678"/>
    <cellStyle name="Comma 2 3 2 6 3" xfId="2679"/>
    <cellStyle name="Comma 2 3 2 6 4" xfId="2680"/>
    <cellStyle name="Comma 2 3 2 6 5" xfId="2681"/>
    <cellStyle name="Comma 2 3 2 6 6" xfId="2682"/>
    <cellStyle name="Comma 2 3 2 6 7" xfId="2683"/>
    <cellStyle name="Comma 2 3 2 6 8" xfId="12651"/>
    <cellStyle name="Comma 2 3 2 6 9" xfId="12652"/>
    <cellStyle name="Comma 2 3 2 7" xfId="2684"/>
    <cellStyle name="Comma 2 3 2 7 10" xfId="12653"/>
    <cellStyle name="Comma 2 3 2 7 2" xfId="2685"/>
    <cellStyle name="Comma 2 3 2 7 3" xfId="2686"/>
    <cellStyle name="Comma 2 3 2 7 4" xfId="2687"/>
    <cellStyle name="Comma 2 3 2 7 5" xfId="2688"/>
    <cellStyle name="Comma 2 3 2 7 6" xfId="2689"/>
    <cellStyle name="Comma 2 3 2 7 7" xfId="2690"/>
    <cellStyle name="Comma 2 3 2 7 8" xfId="12654"/>
    <cellStyle name="Comma 2 3 2 7 9" xfId="12655"/>
    <cellStyle name="Comma 2 3 2 8" xfId="2691"/>
    <cellStyle name="Comma 2 3 2 8 10" xfId="12656"/>
    <cellStyle name="Comma 2 3 2 8 2" xfId="2692"/>
    <cellStyle name="Comma 2 3 2 8 3" xfId="2693"/>
    <cellStyle name="Comma 2 3 2 8 4" xfId="2694"/>
    <cellStyle name="Comma 2 3 2 8 5" xfId="2695"/>
    <cellStyle name="Comma 2 3 2 8 6" xfId="2696"/>
    <cellStyle name="Comma 2 3 2 8 7" xfId="2697"/>
    <cellStyle name="Comma 2 3 2 8 8" xfId="12657"/>
    <cellStyle name="Comma 2 3 2 8 9" xfId="12658"/>
    <cellStyle name="Comma 2 3 2 9" xfId="12659"/>
    <cellStyle name="Comma 2 3 3" xfId="2698"/>
    <cellStyle name="Comma 2 3 4" xfId="2699"/>
    <cellStyle name="Comma 2 3 4 2" xfId="2700"/>
    <cellStyle name="Comma 2 3 5" xfId="2701"/>
    <cellStyle name="Comma 2 3 5 10" xfId="12660"/>
    <cellStyle name="Comma 2 3 5 11" xfId="12661"/>
    <cellStyle name="Comma 2 3 5 12" xfId="12662"/>
    <cellStyle name="Comma 2 3 5 13" xfId="12663"/>
    <cellStyle name="Comma 2 3 5 14" xfId="12664"/>
    <cellStyle name="Comma 2 3 5 15" xfId="12665"/>
    <cellStyle name="Comma 2 3 5 16" xfId="12666"/>
    <cellStyle name="Comma 2 3 5 17" xfId="12667"/>
    <cellStyle name="Comma 2 3 5 18" xfId="12668"/>
    <cellStyle name="Comma 2 3 5 19" xfId="12669"/>
    <cellStyle name="Comma 2 3 5 2" xfId="12670"/>
    <cellStyle name="Comma 2 3 5 20" xfId="12671"/>
    <cellStyle name="Comma 2 3 5 21" xfId="12672"/>
    <cellStyle name="Comma 2 3 5 22" xfId="12673"/>
    <cellStyle name="Comma 2 3 5 23" xfId="12674"/>
    <cellStyle name="Comma 2 3 5 3" xfId="12675"/>
    <cellStyle name="Comma 2 3 5 4" xfId="12676"/>
    <cellStyle name="Comma 2 3 5 5" xfId="12677"/>
    <cellStyle name="Comma 2 3 5 6" xfId="12678"/>
    <cellStyle name="Comma 2 3 5 7" xfId="12679"/>
    <cellStyle name="Comma 2 3 5 8" xfId="12680"/>
    <cellStyle name="Comma 2 3 5 9" xfId="12681"/>
    <cellStyle name="Comma 2 3 6" xfId="2702"/>
    <cellStyle name="Comma 2 3 7" xfId="2703"/>
    <cellStyle name="Comma 2 3 8" xfId="2704"/>
    <cellStyle name="Comma 2 3 9" xfId="2705"/>
    <cellStyle name="Comma 2 30" xfId="2706"/>
    <cellStyle name="Comma 2 30 10" xfId="12682"/>
    <cellStyle name="Comma 2 30 11" xfId="12683"/>
    <cellStyle name="Comma 2 30 12" xfId="12684"/>
    <cellStyle name="Comma 2 30 13" xfId="12685"/>
    <cellStyle name="Comma 2 30 14" xfId="12686"/>
    <cellStyle name="Comma 2 30 15" xfId="12687"/>
    <cellStyle name="Comma 2 30 16" xfId="12688"/>
    <cellStyle name="Comma 2 30 17" xfId="12689"/>
    <cellStyle name="Comma 2 30 18" xfId="12690"/>
    <cellStyle name="Comma 2 30 19" xfId="12691"/>
    <cellStyle name="Comma 2 30 2" xfId="2707"/>
    <cellStyle name="Comma 2 30 2 10" xfId="12692"/>
    <cellStyle name="Comma 2 30 2 11" xfId="12693"/>
    <cellStyle name="Comma 2 30 2 12" xfId="12694"/>
    <cellStyle name="Comma 2 30 2 13" xfId="12695"/>
    <cellStyle name="Comma 2 30 2 14" xfId="12696"/>
    <cellStyle name="Comma 2 30 2 15" xfId="12697"/>
    <cellStyle name="Comma 2 30 2 16" xfId="12698"/>
    <cellStyle name="Comma 2 30 2 17" xfId="12699"/>
    <cellStyle name="Comma 2 30 2 18" xfId="12700"/>
    <cellStyle name="Comma 2 30 2 19" xfId="12701"/>
    <cellStyle name="Comma 2 30 2 2" xfId="12702"/>
    <cellStyle name="Comma 2 30 2 20" xfId="12703"/>
    <cellStyle name="Comma 2 30 2 21" xfId="12704"/>
    <cellStyle name="Comma 2 30 2 22" xfId="12705"/>
    <cellStyle name="Comma 2 30 2 23" xfId="12706"/>
    <cellStyle name="Comma 2 30 2 3" xfId="12707"/>
    <cellStyle name="Comma 2 30 2 4" xfId="12708"/>
    <cellStyle name="Comma 2 30 2 5" xfId="12709"/>
    <cellStyle name="Comma 2 30 2 6" xfId="12710"/>
    <cellStyle name="Comma 2 30 2 7" xfId="12711"/>
    <cellStyle name="Comma 2 30 2 8" xfId="12712"/>
    <cellStyle name="Comma 2 30 2 9" xfId="12713"/>
    <cellStyle name="Comma 2 30 20" xfId="12714"/>
    <cellStyle name="Comma 2 30 21" xfId="12715"/>
    <cellStyle name="Comma 2 30 22" xfId="12716"/>
    <cellStyle name="Comma 2 30 23" xfId="12717"/>
    <cellStyle name="Comma 2 30 24" xfId="12718"/>
    <cellStyle name="Comma 2 30 3" xfId="2708"/>
    <cellStyle name="Comma 2 30 3 2" xfId="12719"/>
    <cellStyle name="Comma 2 30 3 3" xfId="12720"/>
    <cellStyle name="Comma 2 30 3 4" xfId="12721"/>
    <cellStyle name="Comma 2 30 4" xfId="12722"/>
    <cellStyle name="Comma 2 30 5" xfId="12723"/>
    <cellStyle name="Comma 2 30 6" xfId="12724"/>
    <cellStyle name="Comma 2 30 7" xfId="12725"/>
    <cellStyle name="Comma 2 30 8" xfId="12726"/>
    <cellStyle name="Comma 2 30 9" xfId="12727"/>
    <cellStyle name="Comma 2 31" xfId="2709"/>
    <cellStyle name="Comma 2 31 10" xfId="12728"/>
    <cellStyle name="Comma 2 31 11" xfId="12729"/>
    <cellStyle name="Comma 2 31 12" xfId="12730"/>
    <cellStyle name="Comma 2 31 13" xfId="12731"/>
    <cellStyle name="Comma 2 31 14" xfId="12732"/>
    <cellStyle name="Comma 2 31 15" xfId="12733"/>
    <cellStyle name="Comma 2 31 16" xfId="12734"/>
    <cellStyle name="Comma 2 31 17" xfId="12735"/>
    <cellStyle name="Comma 2 31 18" xfId="12736"/>
    <cellStyle name="Comma 2 31 19" xfId="12737"/>
    <cellStyle name="Comma 2 31 2" xfId="2710"/>
    <cellStyle name="Comma 2 31 2 10" xfId="12738"/>
    <cellStyle name="Comma 2 31 2 10 2" xfId="12739"/>
    <cellStyle name="Comma 2 31 2 11" xfId="12740"/>
    <cellStyle name="Comma 2 31 2 11 2" xfId="12741"/>
    <cellStyle name="Comma 2 31 2 12" xfId="12742"/>
    <cellStyle name="Comma 2 31 2 13" xfId="12743"/>
    <cellStyle name="Comma 2 31 2 14" xfId="12744"/>
    <cellStyle name="Comma 2 31 2 15" xfId="12745"/>
    <cellStyle name="Comma 2 31 2 16" xfId="12746"/>
    <cellStyle name="Comma 2 31 2 17" xfId="12747"/>
    <cellStyle name="Comma 2 31 2 18" xfId="12748"/>
    <cellStyle name="Comma 2 31 2 19" xfId="12749"/>
    <cellStyle name="Comma 2 31 2 2" xfId="12750"/>
    <cellStyle name="Comma 2 31 2 2 2" xfId="12751"/>
    <cellStyle name="Comma 2 31 2 20" xfId="12752"/>
    <cellStyle name="Comma 2 31 2 21" xfId="12753"/>
    <cellStyle name="Comma 2 31 2 22" xfId="12754"/>
    <cellStyle name="Comma 2 31 2 23" xfId="12755"/>
    <cellStyle name="Comma 2 31 2 24" xfId="12756"/>
    <cellStyle name="Comma 2 31 2 25" xfId="12757"/>
    <cellStyle name="Comma 2 31 2 26" xfId="12758"/>
    <cellStyle name="Comma 2 31 2 27" xfId="12759"/>
    <cellStyle name="Comma 2 31 2 28" xfId="12760"/>
    <cellStyle name="Comma 2 31 2 29" xfId="12761"/>
    <cellStyle name="Comma 2 31 2 3" xfId="12762"/>
    <cellStyle name="Comma 2 31 2 30" xfId="12763"/>
    <cellStyle name="Comma 2 31 2 31" xfId="12764"/>
    <cellStyle name="Comma 2 31 2 32" xfId="12765"/>
    <cellStyle name="Comma 2 31 2 33" xfId="12766"/>
    <cellStyle name="Comma 2 31 2 4" xfId="12767"/>
    <cellStyle name="Comma 2 31 2 5" xfId="12768"/>
    <cellStyle name="Comma 2 31 2 6" xfId="12769"/>
    <cellStyle name="Comma 2 31 2 6 2" xfId="12770"/>
    <cellStyle name="Comma 2 31 2 7" xfId="12771"/>
    <cellStyle name="Comma 2 31 2 7 2" xfId="12772"/>
    <cellStyle name="Comma 2 31 2 8" xfId="12773"/>
    <cellStyle name="Comma 2 31 2 8 2" xfId="12774"/>
    <cellStyle name="Comma 2 31 2 9" xfId="12775"/>
    <cellStyle name="Comma 2 31 2 9 2" xfId="12776"/>
    <cellStyle name="Comma 2 31 2 9 2 2" xfId="12777"/>
    <cellStyle name="Comma 2 31 2 9 3" xfId="12778"/>
    <cellStyle name="Comma 2 31 20" xfId="12779"/>
    <cellStyle name="Comma 2 31 21" xfId="12780"/>
    <cellStyle name="Comma 2 31 22" xfId="12781"/>
    <cellStyle name="Comma 2 31 23" xfId="12782"/>
    <cellStyle name="Comma 2 31 24" xfId="12783"/>
    <cellStyle name="Comma 2 31 25" xfId="12784"/>
    <cellStyle name="Comma 2 31 3" xfId="12785"/>
    <cellStyle name="Comma 2 31 4" xfId="12786"/>
    <cellStyle name="Comma 2 31 5" xfId="12787"/>
    <cellStyle name="Comma 2 31 6" xfId="12788"/>
    <cellStyle name="Comma 2 31 7" xfId="12789"/>
    <cellStyle name="Comma 2 31 8" xfId="12790"/>
    <cellStyle name="Comma 2 31 9" xfId="12791"/>
    <cellStyle name="Comma 2 32" xfId="12792"/>
    <cellStyle name="Comma 2 32 2" xfId="12793"/>
    <cellStyle name="Comma 2 33" xfId="12794"/>
    <cellStyle name="Comma 2 34" xfId="12795"/>
    <cellStyle name="Comma 2 35" xfId="12796"/>
    <cellStyle name="Comma 2 36" xfId="12797"/>
    <cellStyle name="Comma 2 37" xfId="12798"/>
    <cellStyle name="Comma 2 38" xfId="12799"/>
    <cellStyle name="Comma 2 39" xfId="12800"/>
    <cellStyle name="Comma 2 4" xfId="2711"/>
    <cellStyle name="Comma 2 4 10" xfId="12801"/>
    <cellStyle name="Comma 2 4 11" xfId="12802"/>
    <cellStyle name="Comma 2 4 12" xfId="12803"/>
    <cellStyle name="Comma 2 4 13" xfId="12804"/>
    <cellStyle name="Comma 2 4 14" xfId="12805"/>
    <cellStyle name="Comma 2 4 15" xfId="12806"/>
    <cellStyle name="Comma 2 4 16" xfId="12807"/>
    <cellStyle name="Comma 2 4 17" xfId="12808"/>
    <cellStyle name="Comma 2 4 18" xfId="12809"/>
    <cellStyle name="Comma 2 4 19" xfId="12810"/>
    <cellStyle name="Comma 2 4 2" xfId="2712"/>
    <cellStyle name="Comma 2 4 2 10" xfId="12811"/>
    <cellStyle name="Comma 2 4 2 11" xfId="12812"/>
    <cellStyle name="Comma 2 4 2 12" xfId="12813"/>
    <cellStyle name="Comma 2 4 2 13" xfId="12814"/>
    <cellStyle name="Comma 2 4 2 14" xfId="12815"/>
    <cellStyle name="Comma 2 4 2 15" xfId="12816"/>
    <cellStyle name="Comma 2 4 2 16" xfId="12817"/>
    <cellStyle name="Comma 2 4 2 17" xfId="12818"/>
    <cellStyle name="Comma 2 4 2 18" xfId="12819"/>
    <cellStyle name="Comma 2 4 2 19" xfId="12820"/>
    <cellStyle name="Comma 2 4 2 2" xfId="12821"/>
    <cellStyle name="Comma 2 4 2 20" xfId="12822"/>
    <cellStyle name="Comma 2 4 2 21" xfId="12823"/>
    <cellStyle name="Comma 2 4 2 22" xfId="12824"/>
    <cellStyle name="Comma 2 4 2 23" xfId="12825"/>
    <cellStyle name="Comma 2 4 2 3" xfId="12826"/>
    <cellStyle name="Comma 2 4 2 4" xfId="12827"/>
    <cellStyle name="Comma 2 4 2 5" xfId="12828"/>
    <cellStyle name="Comma 2 4 2 6" xfId="12829"/>
    <cellStyle name="Comma 2 4 2 7" xfId="12830"/>
    <cellStyle name="Comma 2 4 2 8" xfId="12831"/>
    <cellStyle name="Comma 2 4 2 9" xfId="12832"/>
    <cellStyle name="Comma 2 4 20" xfId="12833"/>
    <cellStyle name="Comma 2 4 21" xfId="12834"/>
    <cellStyle name="Comma 2 4 22" xfId="12835"/>
    <cellStyle name="Comma 2 4 23" xfId="12836"/>
    <cellStyle name="Comma 2 4 24" xfId="12837"/>
    <cellStyle name="Comma 2 4 25" xfId="12838"/>
    <cellStyle name="Comma 2 4 26" xfId="12839"/>
    <cellStyle name="Comma 2 4 27" xfId="12840"/>
    <cellStyle name="Comma 2 4 28" xfId="12841"/>
    <cellStyle name="Comma 2 4 29" xfId="12842"/>
    <cellStyle name="Comma 2 4 3" xfId="2713"/>
    <cellStyle name="Comma 2 4 30" xfId="12843"/>
    <cellStyle name="Comma 2 4 4" xfId="2714"/>
    <cellStyle name="Comma 2 4 5" xfId="2715"/>
    <cellStyle name="Comma 2 4 6" xfId="2716"/>
    <cellStyle name="Comma 2 4 7" xfId="2717"/>
    <cellStyle name="Comma 2 4 8" xfId="2718"/>
    <cellStyle name="Comma 2 4 9" xfId="2719"/>
    <cellStyle name="Comma 2 40" xfId="12844"/>
    <cellStyle name="Comma 2 41" xfId="12845"/>
    <cellStyle name="Comma 2 42" xfId="12846"/>
    <cellStyle name="Comma 2 43" xfId="12847"/>
    <cellStyle name="Comma 2 44" xfId="12848"/>
    <cellStyle name="Comma 2 45" xfId="12849"/>
    <cellStyle name="Comma 2 46" xfId="12850"/>
    <cellStyle name="Comma 2 47" xfId="12851"/>
    <cellStyle name="Comma 2 48" xfId="12852"/>
    <cellStyle name="Comma 2 49" xfId="12853"/>
    <cellStyle name="Comma 2 5" xfId="2720"/>
    <cellStyle name="Comma 2 5 10" xfId="12854"/>
    <cellStyle name="Comma 2 5 11" xfId="12855"/>
    <cellStyle name="Comma 2 5 12" xfId="12856"/>
    <cellStyle name="Comma 2 5 13" xfId="12857"/>
    <cellStyle name="Comma 2 5 14" xfId="12858"/>
    <cellStyle name="Comma 2 5 15" xfId="12859"/>
    <cellStyle name="Comma 2 5 16" xfId="12860"/>
    <cellStyle name="Comma 2 5 17" xfId="12861"/>
    <cellStyle name="Comma 2 5 18" xfId="12862"/>
    <cellStyle name="Comma 2 5 19" xfId="12863"/>
    <cellStyle name="Comma 2 5 2" xfId="2721"/>
    <cellStyle name="Comma 2 5 2 10" xfId="12864"/>
    <cellStyle name="Comma 2 5 2 11" xfId="12865"/>
    <cellStyle name="Comma 2 5 2 12" xfId="12866"/>
    <cellStyle name="Comma 2 5 2 13" xfId="12867"/>
    <cellStyle name="Comma 2 5 2 14" xfId="12868"/>
    <cellStyle name="Comma 2 5 2 15" xfId="12869"/>
    <cellStyle name="Comma 2 5 2 16" xfId="12870"/>
    <cellStyle name="Comma 2 5 2 17" xfId="12871"/>
    <cellStyle name="Comma 2 5 2 18" xfId="12872"/>
    <cellStyle name="Comma 2 5 2 19" xfId="12873"/>
    <cellStyle name="Comma 2 5 2 2" xfId="12874"/>
    <cellStyle name="Comma 2 5 2 20" xfId="12875"/>
    <cellStyle name="Comma 2 5 2 21" xfId="12876"/>
    <cellStyle name="Comma 2 5 2 22" xfId="12877"/>
    <cellStyle name="Comma 2 5 2 23" xfId="12878"/>
    <cellStyle name="Comma 2 5 2 3" xfId="12879"/>
    <cellStyle name="Comma 2 5 2 4" xfId="12880"/>
    <cellStyle name="Comma 2 5 2 5" xfId="12881"/>
    <cellStyle name="Comma 2 5 2 6" xfId="12882"/>
    <cellStyle name="Comma 2 5 2 7" xfId="12883"/>
    <cellStyle name="Comma 2 5 2 8" xfId="12884"/>
    <cellStyle name="Comma 2 5 2 9" xfId="12885"/>
    <cellStyle name="Comma 2 5 20" xfId="12886"/>
    <cellStyle name="Comma 2 5 21" xfId="12887"/>
    <cellStyle name="Comma 2 5 22" xfId="12888"/>
    <cellStyle name="Comma 2 5 23" xfId="12889"/>
    <cellStyle name="Comma 2 5 24" xfId="12890"/>
    <cellStyle name="Comma 2 5 25" xfId="12891"/>
    <cellStyle name="Comma 2 5 26" xfId="12892"/>
    <cellStyle name="Comma 2 5 27" xfId="12893"/>
    <cellStyle name="Comma 2 5 28" xfId="12894"/>
    <cellStyle name="Comma 2 5 29" xfId="12895"/>
    <cellStyle name="Comma 2 5 3" xfId="2722"/>
    <cellStyle name="Comma 2 5 30" xfId="12896"/>
    <cellStyle name="Comma 2 5 4" xfId="2723"/>
    <cellStyle name="Comma 2 5 5" xfId="2724"/>
    <cellStyle name="Comma 2 5 6" xfId="2725"/>
    <cellStyle name="Comma 2 5 7" xfId="2726"/>
    <cellStyle name="Comma 2 5 8" xfId="2727"/>
    <cellStyle name="Comma 2 5 9" xfId="2728"/>
    <cellStyle name="Comma 2 50" xfId="12897"/>
    <cellStyle name="Comma 2 51" xfId="12898"/>
    <cellStyle name="Comma 2 52" xfId="12899"/>
    <cellStyle name="Comma 2 53" xfId="12900"/>
    <cellStyle name="Comma 2 54" xfId="28327"/>
    <cellStyle name="Comma 2 6" xfId="2729"/>
    <cellStyle name="Comma 2 6 10" xfId="12901"/>
    <cellStyle name="Comma 2 6 11" xfId="12902"/>
    <cellStyle name="Comma 2 6 12" xfId="12903"/>
    <cellStyle name="Comma 2 6 13" xfId="12904"/>
    <cellStyle name="Comma 2 6 14" xfId="12905"/>
    <cellStyle name="Comma 2 6 15" xfId="12906"/>
    <cellStyle name="Comma 2 6 16" xfId="12907"/>
    <cellStyle name="Comma 2 6 17" xfId="12908"/>
    <cellStyle name="Comma 2 6 18" xfId="12909"/>
    <cellStyle name="Comma 2 6 19" xfId="12910"/>
    <cellStyle name="Comma 2 6 2" xfId="2730"/>
    <cellStyle name="Comma 2 6 2 10" xfId="12911"/>
    <cellStyle name="Comma 2 6 2 11" xfId="12912"/>
    <cellStyle name="Comma 2 6 2 12" xfId="12913"/>
    <cellStyle name="Comma 2 6 2 13" xfId="12914"/>
    <cellStyle name="Comma 2 6 2 14" xfId="12915"/>
    <cellStyle name="Comma 2 6 2 15" xfId="12916"/>
    <cellStyle name="Comma 2 6 2 16" xfId="12917"/>
    <cellStyle name="Comma 2 6 2 17" xfId="12918"/>
    <cellStyle name="Comma 2 6 2 18" xfId="12919"/>
    <cellStyle name="Comma 2 6 2 19" xfId="12920"/>
    <cellStyle name="Comma 2 6 2 2" xfId="12921"/>
    <cellStyle name="Comma 2 6 2 20" xfId="12922"/>
    <cellStyle name="Comma 2 6 2 21" xfId="12923"/>
    <cellStyle name="Comma 2 6 2 22" xfId="12924"/>
    <cellStyle name="Comma 2 6 2 23" xfId="12925"/>
    <cellStyle name="Comma 2 6 2 3" xfId="12926"/>
    <cellStyle name="Comma 2 6 2 4" xfId="12927"/>
    <cellStyle name="Comma 2 6 2 5" xfId="12928"/>
    <cellStyle name="Comma 2 6 2 6" xfId="12929"/>
    <cellStyle name="Comma 2 6 2 7" xfId="12930"/>
    <cellStyle name="Comma 2 6 2 8" xfId="12931"/>
    <cellStyle name="Comma 2 6 2 9" xfId="12932"/>
    <cellStyle name="Comma 2 6 20" xfId="12933"/>
    <cellStyle name="Comma 2 6 21" xfId="12934"/>
    <cellStyle name="Comma 2 6 22" xfId="12935"/>
    <cellStyle name="Comma 2 6 23" xfId="12936"/>
    <cellStyle name="Comma 2 6 24" xfId="12937"/>
    <cellStyle name="Comma 2 6 25" xfId="12938"/>
    <cellStyle name="Comma 2 6 26" xfId="12939"/>
    <cellStyle name="Comma 2 6 27" xfId="12940"/>
    <cellStyle name="Comma 2 6 28" xfId="12941"/>
    <cellStyle name="Comma 2 6 29" xfId="12942"/>
    <cellStyle name="Comma 2 6 3" xfId="2731"/>
    <cellStyle name="Comma 2 6 30" xfId="12943"/>
    <cellStyle name="Comma 2 6 4" xfId="2732"/>
    <cellStyle name="Comma 2 6 5" xfId="2733"/>
    <cellStyle name="Comma 2 6 6" xfId="2734"/>
    <cellStyle name="Comma 2 6 7" xfId="2735"/>
    <cellStyle name="Comma 2 6 8" xfId="2736"/>
    <cellStyle name="Comma 2 6 9" xfId="2737"/>
    <cellStyle name="Comma 2 7" xfId="2738"/>
    <cellStyle name="Comma 2 7 10" xfId="12944"/>
    <cellStyle name="Comma 2 7 11" xfId="12945"/>
    <cellStyle name="Comma 2 7 12" xfId="12946"/>
    <cellStyle name="Comma 2 7 13" xfId="12947"/>
    <cellStyle name="Comma 2 7 14" xfId="12948"/>
    <cellStyle name="Comma 2 7 15" xfId="12949"/>
    <cellStyle name="Comma 2 7 16" xfId="12950"/>
    <cellStyle name="Comma 2 7 17" xfId="12951"/>
    <cellStyle name="Comma 2 7 18" xfId="12952"/>
    <cellStyle name="Comma 2 7 19" xfId="12953"/>
    <cellStyle name="Comma 2 7 2" xfId="2739"/>
    <cellStyle name="Comma 2 7 20" xfId="12954"/>
    <cellStyle name="Comma 2 7 21" xfId="12955"/>
    <cellStyle name="Comma 2 7 22" xfId="12956"/>
    <cellStyle name="Comma 2 7 23" xfId="12957"/>
    <cellStyle name="Comma 2 7 24" xfId="12958"/>
    <cellStyle name="Comma 2 7 25" xfId="12959"/>
    <cellStyle name="Comma 2 7 26" xfId="12960"/>
    <cellStyle name="Comma 2 7 27" xfId="12961"/>
    <cellStyle name="Comma 2 7 28" xfId="12962"/>
    <cellStyle name="Comma 2 7 29" xfId="12963"/>
    <cellStyle name="Comma 2 7 3" xfId="2740"/>
    <cellStyle name="Comma 2 7 30" xfId="12964"/>
    <cellStyle name="Comma 2 7 4" xfId="2741"/>
    <cellStyle name="Comma 2 7 5" xfId="2742"/>
    <cellStyle name="Comma 2 7 6" xfId="2743"/>
    <cellStyle name="Comma 2 7 7" xfId="2744"/>
    <cellStyle name="Comma 2 7 8" xfId="2745"/>
    <cellStyle name="Comma 2 7 9" xfId="2746"/>
    <cellStyle name="Comma 2 8" xfId="2747"/>
    <cellStyle name="Comma 2 8 10" xfId="12965"/>
    <cellStyle name="Comma 2 8 11" xfId="12966"/>
    <cellStyle name="Comma 2 8 12" xfId="12967"/>
    <cellStyle name="Comma 2 8 13" xfId="12968"/>
    <cellStyle name="Comma 2 8 14" xfId="12969"/>
    <cellStyle name="Comma 2 8 15" xfId="12970"/>
    <cellStyle name="Comma 2 8 16" xfId="12971"/>
    <cellStyle name="Comma 2 8 17" xfId="12972"/>
    <cellStyle name="Comma 2 8 18" xfId="12973"/>
    <cellStyle name="Comma 2 8 19" xfId="12974"/>
    <cellStyle name="Comma 2 8 2" xfId="2748"/>
    <cellStyle name="Comma 2 8 2 10" xfId="12975"/>
    <cellStyle name="Comma 2 8 2 11" xfId="12976"/>
    <cellStyle name="Comma 2 8 2 12" xfId="12977"/>
    <cellStyle name="Comma 2 8 2 13" xfId="12978"/>
    <cellStyle name="Comma 2 8 2 14" xfId="12979"/>
    <cellStyle name="Comma 2 8 2 15" xfId="12980"/>
    <cellStyle name="Comma 2 8 2 16" xfId="12981"/>
    <cellStyle name="Comma 2 8 2 17" xfId="12982"/>
    <cellStyle name="Comma 2 8 2 18" xfId="12983"/>
    <cellStyle name="Comma 2 8 2 19" xfId="12984"/>
    <cellStyle name="Comma 2 8 2 2" xfId="12985"/>
    <cellStyle name="Comma 2 8 2 20" xfId="12986"/>
    <cellStyle name="Comma 2 8 2 21" xfId="12987"/>
    <cellStyle name="Comma 2 8 2 22" xfId="12988"/>
    <cellStyle name="Comma 2 8 2 23" xfId="12989"/>
    <cellStyle name="Comma 2 8 2 3" xfId="12990"/>
    <cellStyle name="Comma 2 8 2 4" xfId="12991"/>
    <cellStyle name="Comma 2 8 2 5" xfId="12992"/>
    <cellStyle name="Comma 2 8 2 6" xfId="12993"/>
    <cellStyle name="Comma 2 8 2 7" xfId="12994"/>
    <cellStyle name="Comma 2 8 2 8" xfId="12995"/>
    <cellStyle name="Comma 2 8 2 9" xfId="12996"/>
    <cellStyle name="Comma 2 8 20" xfId="12997"/>
    <cellStyle name="Comma 2 8 21" xfId="12998"/>
    <cellStyle name="Comma 2 8 22" xfId="12999"/>
    <cellStyle name="Comma 2 8 23" xfId="13000"/>
    <cellStyle name="Comma 2 8 24" xfId="13001"/>
    <cellStyle name="Comma 2 8 25" xfId="13002"/>
    <cellStyle name="Comma 2 8 26" xfId="13003"/>
    <cellStyle name="Comma 2 8 27" xfId="13004"/>
    <cellStyle name="Comma 2 8 28" xfId="13005"/>
    <cellStyle name="Comma 2 8 29" xfId="13006"/>
    <cellStyle name="Comma 2 8 3" xfId="2749"/>
    <cellStyle name="Comma 2 8 30" xfId="13007"/>
    <cellStyle name="Comma 2 8 4" xfId="2750"/>
    <cellStyle name="Comma 2 8 5" xfId="2751"/>
    <cellStyle name="Comma 2 8 6" xfId="2752"/>
    <cellStyle name="Comma 2 8 7" xfId="2753"/>
    <cellStyle name="Comma 2 8 8" xfId="2754"/>
    <cellStyle name="Comma 2 8 9" xfId="2755"/>
    <cellStyle name="Comma 2 9" xfId="2756"/>
    <cellStyle name="Comma 2 9 2" xfId="2757"/>
    <cellStyle name="Comma 2 9 2 2" xfId="2758"/>
    <cellStyle name="Comma 2 9 3" xfId="2759"/>
    <cellStyle name="Comma 2 9 4" xfId="2760"/>
    <cellStyle name="Comma 2 9 5" xfId="2761"/>
    <cellStyle name="Comma 2 9 6" xfId="2762"/>
    <cellStyle name="Comma 2 9 7" xfId="2763"/>
    <cellStyle name="Comma 2 9 8" xfId="2764"/>
    <cellStyle name="Comma 20" xfId="2765"/>
    <cellStyle name="Comma 20 10" xfId="13008"/>
    <cellStyle name="Comma 20 11" xfId="13009"/>
    <cellStyle name="Comma 20 12" xfId="13010"/>
    <cellStyle name="Comma 20 2" xfId="13011"/>
    <cellStyle name="Comma 20 3" xfId="13012"/>
    <cellStyle name="Comma 20 4" xfId="13013"/>
    <cellStyle name="Comma 20 5" xfId="13014"/>
    <cellStyle name="Comma 20 6" xfId="13015"/>
    <cellStyle name="Comma 20 7" xfId="13016"/>
    <cellStyle name="Comma 20 8" xfId="13017"/>
    <cellStyle name="Comma 20 9" xfId="13018"/>
    <cellStyle name="Comma 21" xfId="2766"/>
    <cellStyle name="Comma 21 10" xfId="13019"/>
    <cellStyle name="Comma 21 11" xfId="13020"/>
    <cellStyle name="Comma 21 12" xfId="13021"/>
    <cellStyle name="Comma 21 13" xfId="13022"/>
    <cellStyle name="Comma 21 14" xfId="13023"/>
    <cellStyle name="Comma 21 15" xfId="13024"/>
    <cellStyle name="Comma 21 16" xfId="13025"/>
    <cellStyle name="Comma 21 17" xfId="13026"/>
    <cellStyle name="Comma 21 18" xfId="13027"/>
    <cellStyle name="Comma 21 19" xfId="13028"/>
    <cellStyle name="Comma 21 2" xfId="13029"/>
    <cellStyle name="Comma 21 20" xfId="13030"/>
    <cellStyle name="Comma 21 21" xfId="13031"/>
    <cellStyle name="Comma 21 22" xfId="13032"/>
    <cellStyle name="Comma 21 23" xfId="13033"/>
    <cellStyle name="Comma 21 24" xfId="13034"/>
    <cellStyle name="Comma 21 3" xfId="13035"/>
    <cellStyle name="Comma 21 4" xfId="13036"/>
    <cellStyle name="Comma 21 5" xfId="13037"/>
    <cellStyle name="Comma 21 6" xfId="13038"/>
    <cellStyle name="Comma 21 7" xfId="13039"/>
    <cellStyle name="Comma 21 8" xfId="13040"/>
    <cellStyle name="Comma 21 9" xfId="13041"/>
    <cellStyle name="Comma 22" xfId="2767"/>
    <cellStyle name="Comma 22 10" xfId="13042"/>
    <cellStyle name="Comma 22 11" xfId="13043"/>
    <cellStyle name="Comma 22 12" xfId="13044"/>
    <cellStyle name="Comma 22 13" xfId="13045"/>
    <cellStyle name="Comma 22 14" xfId="13046"/>
    <cellStyle name="Comma 22 15" xfId="13047"/>
    <cellStyle name="Comma 22 16" xfId="13048"/>
    <cellStyle name="Comma 22 17" xfId="13049"/>
    <cellStyle name="Comma 22 18" xfId="13050"/>
    <cellStyle name="Comma 22 19" xfId="13051"/>
    <cellStyle name="Comma 22 2" xfId="13052"/>
    <cellStyle name="Comma 22 20" xfId="13053"/>
    <cellStyle name="Comma 22 21" xfId="13054"/>
    <cellStyle name="Comma 22 22" xfId="13055"/>
    <cellStyle name="Comma 22 23" xfId="13056"/>
    <cellStyle name="Comma 22 3" xfId="13057"/>
    <cellStyle name="Comma 22 4" xfId="13058"/>
    <cellStyle name="Comma 22 5" xfId="13059"/>
    <cellStyle name="Comma 22 6" xfId="13060"/>
    <cellStyle name="Comma 22 7" xfId="13061"/>
    <cellStyle name="Comma 22 8" xfId="13062"/>
    <cellStyle name="Comma 22 9" xfId="13063"/>
    <cellStyle name="Comma 23" xfId="2768"/>
    <cellStyle name="Comma 24" xfId="2769"/>
    <cellStyle name="Comma 25" xfId="2770"/>
    <cellStyle name="Comma 26" xfId="2771"/>
    <cellStyle name="Comma 26 2" xfId="13064"/>
    <cellStyle name="Comma 26 3" xfId="13065"/>
    <cellStyle name="Comma 26 4" xfId="13066"/>
    <cellStyle name="Comma 27" xfId="2772"/>
    <cellStyle name="Comma 28" xfId="2773"/>
    <cellStyle name="Comma 29" xfId="2774"/>
    <cellStyle name="Comma 29 2" xfId="2775"/>
    <cellStyle name="Comma 29 2 2" xfId="2776"/>
    <cellStyle name="Comma 29 2 2 2" xfId="2777"/>
    <cellStyle name="Comma 3" xfId="5"/>
    <cellStyle name="Comma 3 10" xfId="2778"/>
    <cellStyle name="Comma 3 11" xfId="2779"/>
    <cellStyle name="Comma 3 12" xfId="2780"/>
    <cellStyle name="Comma 3 13" xfId="2781"/>
    <cellStyle name="Comma 3 14" xfId="2782"/>
    <cellStyle name="Comma 3 15" xfId="13067"/>
    <cellStyle name="Comma 3 16" xfId="13068"/>
    <cellStyle name="Comma 3 17" xfId="13069"/>
    <cellStyle name="Comma 3 18" xfId="13070"/>
    <cellStyle name="Comma 3 19" xfId="13071"/>
    <cellStyle name="Comma 3 2" xfId="13"/>
    <cellStyle name="Comma 3 2 2" xfId="2783"/>
    <cellStyle name="Comma 3 2 2 2" xfId="2784"/>
    <cellStyle name="Comma 3 20" xfId="13072"/>
    <cellStyle name="Comma 3 21" xfId="13073"/>
    <cellStyle name="Comma 3 22" xfId="13074"/>
    <cellStyle name="Comma 3 23" xfId="13075"/>
    <cellStyle name="Comma 3 24" xfId="13076"/>
    <cellStyle name="Comma 3 25" xfId="13077"/>
    <cellStyle name="Comma 3 26" xfId="13078"/>
    <cellStyle name="Comma 3 27" xfId="13079"/>
    <cellStyle name="Comma 3 28" xfId="13080"/>
    <cellStyle name="Comma 3 29" xfId="13081"/>
    <cellStyle name="Comma 3 3" xfId="2785"/>
    <cellStyle name="Comma 3 3 2" xfId="2786"/>
    <cellStyle name="Comma 3 3 2 2" xfId="2787"/>
    <cellStyle name="Comma 3 3 2 3" xfId="2788"/>
    <cellStyle name="Comma 3 3 2 4" xfId="2789"/>
    <cellStyle name="Comma 3 3 3" xfId="2790"/>
    <cellStyle name="Comma 3 3 4" xfId="2791"/>
    <cellStyle name="Comma 3 3 5" xfId="2792"/>
    <cellStyle name="Comma 3 3 6" xfId="2793"/>
    <cellStyle name="Comma 3 3 7" xfId="2794"/>
    <cellStyle name="Comma 3 3 8" xfId="2795"/>
    <cellStyle name="Comma 3 3 9" xfId="2796"/>
    <cellStyle name="Comma 3 30" xfId="13082"/>
    <cellStyle name="Comma 3 31" xfId="13083"/>
    <cellStyle name="Comma 3 32" xfId="13084"/>
    <cellStyle name="Comma 3 33" xfId="13085"/>
    <cellStyle name="Comma 3 34" xfId="13086"/>
    <cellStyle name="Comma 3 35" xfId="13087"/>
    <cellStyle name="Comma 3 4" xfId="2797"/>
    <cellStyle name="Comma 3 5" xfId="2798"/>
    <cellStyle name="Comma 3 5 10" xfId="13088"/>
    <cellStyle name="Comma 3 5 11" xfId="13089"/>
    <cellStyle name="Comma 3 5 12" xfId="13090"/>
    <cellStyle name="Comma 3 5 13" xfId="13091"/>
    <cellStyle name="Comma 3 5 14" xfId="13092"/>
    <cellStyle name="Comma 3 5 15" xfId="13093"/>
    <cellStyle name="Comma 3 5 16" xfId="13094"/>
    <cellStyle name="Comma 3 5 17" xfId="13095"/>
    <cellStyle name="Comma 3 5 18" xfId="13096"/>
    <cellStyle name="Comma 3 5 19" xfId="13097"/>
    <cellStyle name="Comma 3 5 2" xfId="13098"/>
    <cellStyle name="Comma 3 5 20" xfId="13099"/>
    <cellStyle name="Comma 3 5 21" xfId="13100"/>
    <cellStyle name="Comma 3 5 22" xfId="13101"/>
    <cellStyle name="Comma 3 5 23" xfId="13102"/>
    <cellStyle name="Comma 3 5 3" xfId="13103"/>
    <cellStyle name="Comma 3 5 4" xfId="13104"/>
    <cellStyle name="Comma 3 5 5" xfId="13105"/>
    <cellStyle name="Comma 3 5 6" xfId="13106"/>
    <cellStyle name="Comma 3 5 7" xfId="13107"/>
    <cellStyle name="Comma 3 5 8" xfId="13108"/>
    <cellStyle name="Comma 3 5 9" xfId="13109"/>
    <cellStyle name="Comma 3 6" xfId="2799"/>
    <cellStyle name="Comma 3 6 10" xfId="13110"/>
    <cellStyle name="Comma 3 6 11" xfId="13111"/>
    <cellStyle name="Comma 3 6 12" xfId="13112"/>
    <cellStyle name="Comma 3 6 13" xfId="13113"/>
    <cellStyle name="Comma 3 6 14" xfId="13114"/>
    <cellStyle name="Comma 3 6 15" xfId="13115"/>
    <cellStyle name="Comma 3 6 16" xfId="13116"/>
    <cellStyle name="Comma 3 6 17" xfId="13117"/>
    <cellStyle name="Comma 3 6 18" xfId="13118"/>
    <cellStyle name="Comma 3 6 19" xfId="13119"/>
    <cellStyle name="Comma 3 6 2" xfId="13120"/>
    <cellStyle name="Comma 3 6 20" xfId="13121"/>
    <cellStyle name="Comma 3 6 21" xfId="13122"/>
    <cellStyle name="Comma 3 6 22" xfId="13123"/>
    <cellStyle name="Comma 3 6 23" xfId="13124"/>
    <cellStyle name="Comma 3 6 3" xfId="13125"/>
    <cellStyle name="Comma 3 6 4" xfId="13126"/>
    <cellStyle name="Comma 3 6 5" xfId="13127"/>
    <cellStyle name="Comma 3 6 6" xfId="13128"/>
    <cellStyle name="Comma 3 6 7" xfId="13129"/>
    <cellStyle name="Comma 3 6 8" xfId="13130"/>
    <cellStyle name="Comma 3 6 9" xfId="13131"/>
    <cellStyle name="Comma 3 7" xfId="2800"/>
    <cellStyle name="Comma 3 8" xfId="2801"/>
    <cellStyle name="Comma 3 9" xfId="2802"/>
    <cellStyle name="Comma 3_JULI" xfId="2803"/>
    <cellStyle name="Comma 30" xfId="2804"/>
    <cellStyle name="Comma 31" xfId="2805"/>
    <cellStyle name="Comma 31 2" xfId="2806"/>
    <cellStyle name="Comma 31 2 2" xfId="2807"/>
    <cellStyle name="Comma 31 2 2 2" xfId="2808"/>
    <cellStyle name="Comma 31 2 3" xfId="2809"/>
    <cellStyle name="Comma 32" xfId="2810"/>
    <cellStyle name="Comma 33" xfId="2811"/>
    <cellStyle name="Comma 34" xfId="2812"/>
    <cellStyle name="Comma 35" xfId="2813"/>
    <cellStyle name="Comma 36" xfId="2814"/>
    <cellStyle name="Comma 37" xfId="2815"/>
    <cellStyle name="Comma 38" xfId="2816"/>
    <cellStyle name="Comma 39" xfId="2817"/>
    <cellStyle name="Comma 4" xfId="17"/>
    <cellStyle name="Comma 4 10" xfId="2818"/>
    <cellStyle name="Comma 4 10 2" xfId="2819"/>
    <cellStyle name="Comma 4 10 3" xfId="2820"/>
    <cellStyle name="Comma 4 10 4" xfId="2821"/>
    <cellStyle name="Comma 4 10 5" xfId="2822"/>
    <cellStyle name="Comma 4 10 6" xfId="2823"/>
    <cellStyle name="Comma 4 10 7" xfId="2824"/>
    <cellStyle name="Comma 4 11" xfId="13132"/>
    <cellStyle name="Comma 4 12" xfId="13133"/>
    <cellStyle name="Comma 4 13" xfId="13134"/>
    <cellStyle name="Comma 4 14" xfId="13135"/>
    <cellStyle name="Comma 4 15" xfId="13136"/>
    <cellStyle name="Comma 4 16" xfId="13137"/>
    <cellStyle name="Comma 4 17" xfId="13138"/>
    <cellStyle name="Comma 4 18" xfId="13139"/>
    <cellStyle name="Comma 4 19" xfId="13140"/>
    <cellStyle name="Comma 4 2" xfId="2825"/>
    <cellStyle name="Comma 4 2 2" xfId="2826"/>
    <cellStyle name="Comma 4 2 3" xfId="2827"/>
    <cellStyle name="Comma 4 2 4" xfId="2828"/>
    <cellStyle name="Comma 4 20" xfId="13141"/>
    <cellStyle name="Comma 4 21" xfId="13142"/>
    <cellStyle name="Comma 4 22" xfId="13143"/>
    <cellStyle name="Comma 4 23" xfId="13144"/>
    <cellStyle name="Comma 4 24" xfId="13145"/>
    <cellStyle name="Comma 4 25" xfId="13146"/>
    <cellStyle name="Comma 4 26" xfId="13147"/>
    <cellStyle name="Comma 4 27" xfId="13148"/>
    <cellStyle name="Comma 4 28" xfId="13149"/>
    <cellStyle name="Comma 4 29" xfId="13150"/>
    <cellStyle name="Comma 4 3" xfId="2829"/>
    <cellStyle name="Comma 4 30" xfId="13151"/>
    <cellStyle name="Comma 4 31" xfId="13152"/>
    <cellStyle name="Comma 4 4" xfId="2830"/>
    <cellStyle name="Comma 4 4 2" xfId="2831"/>
    <cellStyle name="Comma 4 4 3" xfId="2832"/>
    <cellStyle name="Comma 4 4 4" xfId="2833"/>
    <cellStyle name="Comma 4 4 5" xfId="2834"/>
    <cellStyle name="Comma 4 4 6" xfId="2835"/>
    <cellStyle name="Comma 4 4 7" xfId="2836"/>
    <cellStyle name="Comma 4 5" xfId="2837"/>
    <cellStyle name="Comma 4 5 10" xfId="13153"/>
    <cellStyle name="Comma 4 5 11" xfId="13154"/>
    <cellStyle name="Comma 4 5 12" xfId="13155"/>
    <cellStyle name="Comma 4 5 13" xfId="13156"/>
    <cellStyle name="Comma 4 5 14" xfId="13157"/>
    <cellStyle name="Comma 4 5 15" xfId="13158"/>
    <cellStyle name="Comma 4 5 16" xfId="13159"/>
    <cellStyle name="Comma 4 5 17" xfId="13160"/>
    <cellStyle name="Comma 4 5 18" xfId="13161"/>
    <cellStyle name="Comma 4 5 19" xfId="13162"/>
    <cellStyle name="Comma 4 5 2" xfId="2838"/>
    <cellStyle name="Comma 4 5 2 10" xfId="13163"/>
    <cellStyle name="Comma 4 5 2 11" xfId="13164"/>
    <cellStyle name="Comma 4 5 2 12" xfId="13165"/>
    <cellStyle name="Comma 4 5 2 13" xfId="13166"/>
    <cellStyle name="Comma 4 5 2 14" xfId="13167"/>
    <cellStyle name="Comma 4 5 2 15" xfId="13168"/>
    <cellStyle name="Comma 4 5 2 16" xfId="13169"/>
    <cellStyle name="Comma 4 5 2 17" xfId="13170"/>
    <cellStyle name="Comma 4 5 2 18" xfId="13171"/>
    <cellStyle name="Comma 4 5 2 19" xfId="13172"/>
    <cellStyle name="Comma 4 5 2 2" xfId="13173"/>
    <cellStyle name="Comma 4 5 2 20" xfId="13174"/>
    <cellStyle name="Comma 4 5 2 21" xfId="13175"/>
    <cellStyle name="Comma 4 5 2 22" xfId="13176"/>
    <cellStyle name="Comma 4 5 2 23" xfId="13177"/>
    <cellStyle name="Comma 4 5 2 3" xfId="13178"/>
    <cellStyle name="Comma 4 5 2 4" xfId="13179"/>
    <cellStyle name="Comma 4 5 2 5" xfId="13180"/>
    <cellStyle name="Comma 4 5 2 6" xfId="13181"/>
    <cellStyle name="Comma 4 5 2 7" xfId="13182"/>
    <cellStyle name="Comma 4 5 2 8" xfId="13183"/>
    <cellStyle name="Comma 4 5 2 9" xfId="13184"/>
    <cellStyle name="Comma 4 5 20" xfId="13185"/>
    <cellStyle name="Comma 4 5 21" xfId="13186"/>
    <cellStyle name="Comma 4 5 22" xfId="13187"/>
    <cellStyle name="Comma 4 5 23" xfId="13188"/>
    <cellStyle name="Comma 4 5 24" xfId="13189"/>
    <cellStyle name="Comma 4 5 25" xfId="13190"/>
    <cellStyle name="Comma 4 5 26" xfId="13191"/>
    <cellStyle name="Comma 4 5 27" xfId="13192"/>
    <cellStyle name="Comma 4 5 28" xfId="13193"/>
    <cellStyle name="Comma 4 5 3" xfId="2839"/>
    <cellStyle name="Comma 4 5 4" xfId="2840"/>
    <cellStyle name="Comma 4 5 5" xfId="2841"/>
    <cellStyle name="Comma 4 5 6" xfId="2842"/>
    <cellStyle name="Comma 4 5 7" xfId="2843"/>
    <cellStyle name="Comma 4 5 8" xfId="13194"/>
    <cellStyle name="Comma 4 5 9" xfId="13195"/>
    <cellStyle name="Comma 4 6" xfId="2844"/>
    <cellStyle name="Comma 4 6 2" xfId="2845"/>
    <cellStyle name="Comma 4 6 3" xfId="2846"/>
    <cellStyle name="Comma 4 6 4" xfId="2847"/>
    <cellStyle name="Comma 4 6 5" xfId="2848"/>
    <cellStyle name="Comma 4 6 6" xfId="2849"/>
    <cellStyle name="Comma 4 6 7" xfId="2850"/>
    <cellStyle name="Comma 4 7" xfId="2851"/>
    <cellStyle name="Comma 4 7 2" xfId="2852"/>
    <cellStyle name="Comma 4 7 3" xfId="2853"/>
    <cellStyle name="Comma 4 7 4" xfId="2854"/>
    <cellStyle name="Comma 4 7 5" xfId="2855"/>
    <cellStyle name="Comma 4 7 6" xfId="2856"/>
    <cellStyle name="Comma 4 7 7" xfId="2857"/>
    <cellStyle name="Comma 4 8" xfId="2858"/>
    <cellStyle name="Comma 4 8 2" xfId="2859"/>
    <cellStyle name="Comma 4 8 3" xfId="2860"/>
    <cellStyle name="Comma 4 8 4" xfId="2861"/>
    <cellStyle name="Comma 4 8 5" xfId="2862"/>
    <cellStyle name="Comma 4 8 6" xfId="2863"/>
    <cellStyle name="Comma 4 8 7" xfId="2864"/>
    <cellStyle name="Comma 4 9" xfId="2865"/>
    <cellStyle name="Comma 4 9 2" xfId="2866"/>
    <cellStyle name="Comma 4 9 3" xfId="2867"/>
    <cellStyle name="Comma 4 9 4" xfId="2868"/>
    <cellStyle name="Comma 4 9 5" xfId="2869"/>
    <cellStyle name="Comma 4 9 6" xfId="2870"/>
    <cellStyle name="Comma 4 9 7" xfId="2871"/>
    <cellStyle name="Comma 4_JULI" xfId="2872"/>
    <cellStyle name="Comma 40" xfId="2873"/>
    <cellStyle name="Comma 41" xfId="2874"/>
    <cellStyle name="Comma 42" xfId="2875"/>
    <cellStyle name="Comma 43" xfId="2876"/>
    <cellStyle name="Comma 44" xfId="2877"/>
    <cellStyle name="Comma 45" xfId="2878"/>
    <cellStyle name="Comma 46" xfId="2879"/>
    <cellStyle name="Comma 47" xfId="2880"/>
    <cellStyle name="Comma 48" xfId="2881"/>
    <cellStyle name="Comma 49" xfId="2882"/>
    <cellStyle name="Comma 5" xfId="2883"/>
    <cellStyle name="Comma 5 10" xfId="2884"/>
    <cellStyle name="Comma 5 10 10" xfId="13196"/>
    <cellStyle name="Comma 5 10 2" xfId="2885"/>
    <cellStyle name="Comma 5 10 3" xfId="2886"/>
    <cellStyle name="Comma 5 10 4" xfId="2887"/>
    <cellStyle name="Comma 5 10 5" xfId="2888"/>
    <cellStyle name="Comma 5 10 6" xfId="2889"/>
    <cellStyle name="Comma 5 10 7" xfId="2890"/>
    <cellStyle name="Comma 5 10 8" xfId="13197"/>
    <cellStyle name="Comma 5 10 9" xfId="13198"/>
    <cellStyle name="Comma 5 11" xfId="2891"/>
    <cellStyle name="Comma 5 11 10" xfId="13199"/>
    <cellStyle name="Comma 5 11 2" xfId="2892"/>
    <cellStyle name="Comma 5 11 3" xfId="2893"/>
    <cellStyle name="Comma 5 11 4" xfId="2894"/>
    <cellStyle name="Comma 5 11 5" xfId="2895"/>
    <cellStyle name="Comma 5 11 6" xfId="2896"/>
    <cellStyle name="Comma 5 11 7" xfId="2897"/>
    <cellStyle name="Comma 5 11 8" xfId="13200"/>
    <cellStyle name="Comma 5 11 9" xfId="13201"/>
    <cellStyle name="Comma 5 12" xfId="2898"/>
    <cellStyle name="Comma 5 13" xfId="2899"/>
    <cellStyle name="Comma 5 14" xfId="2900"/>
    <cellStyle name="Comma 5 15" xfId="13202"/>
    <cellStyle name="Comma 5 16" xfId="13203"/>
    <cellStyle name="Comma 5 17" xfId="13204"/>
    <cellStyle name="Comma 5 18" xfId="13205"/>
    <cellStyle name="Comma 5 19" xfId="13206"/>
    <cellStyle name="Comma 5 2" xfId="2901"/>
    <cellStyle name="Comma 5 2 2" xfId="2902"/>
    <cellStyle name="Comma 5 2 3" xfId="2903"/>
    <cellStyle name="Comma 5 2 3 2" xfId="2904"/>
    <cellStyle name="Comma 5 20" xfId="13207"/>
    <cellStyle name="Comma 5 21" xfId="13208"/>
    <cellStyle name="Comma 5 22" xfId="13209"/>
    <cellStyle name="Comma 5 23" xfId="13210"/>
    <cellStyle name="Comma 5 24" xfId="13211"/>
    <cellStyle name="Comma 5 25" xfId="13212"/>
    <cellStyle name="Comma 5 26" xfId="13213"/>
    <cellStyle name="Comma 5 27" xfId="13214"/>
    <cellStyle name="Comma 5 28" xfId="13215"/>
    <cellStyle name="Comma 5 29" xfId="13216"/>
    <cellStyle name="Comma 5 3" xfId="2905"/>
    <cellStyle name="Comma 5 3 10" xfId="13217"/>
    <cellStyle name="Comma 5 3 11" xfId="13218"/>
    <cellStyle name="Comma 5 3 12" xfId="13219"/>
    <cellStyle name="Comma 5 3 13" xfId="13220"/>
    <cellStyle name="Comma 5 3 14" xfId="13221"/>
    <cellStyle name="Comma 5 3 15" xfId="13222"/>
    <cellStyle name="Comma 5 3 16" xfId="13223"/>
    <cellStyle name="Comma 5 3 17" xfId="13224"/>
    <cellStyle name="Comma 5 3 18" xfId="13225"/>
    <cellStyle name="Comma 5 3 19" xfId="13226"/>
    <cellStyle name="Comma 5 3 2" xfId="2906"/>
    <cellStyle name="Comma 5 3 20" xfId="13227"/>
    <cellStyle name="Comma 5 3 21" xfId="13228"/>
    <cellStyle name="Comma 5 3 22" xfId="13229"/>
    <cellStyle name="Comma 5 3 23" xfId="13230"/>
    <cellStyle name="Comma 5 3 24" xfId="13231"/>
    <cellStyle name="Comma 5 3 3" xfId="2907"/>
    <cellStyle name="Comma 5 3 4" xfId="13232"/>
    <cellStyle name="Comma 5 3 5" xfId="13233"/>
    <cellStyle name="Comma 5 3 6" xfId="13234"/>
    <cellStyle name="Comma 5 3 7" xfId="13235"/>
    <cellStyle name="Comma 5 3 8" xfId="13236"/>
    <cellStyle name="Comma 5 3 9" xfId="13237"/>
    <cellStyle name="Comma 5 30" xfId="13238"/>
    <cellStyle name="Comma 5 31" xfId="13239"/>
    <cellStyle name="Comma 5 32" xfId="13240"/>
    <cellStyle name="Comma 5 33" xfId="13241"/>
    <cellStyle name="Comma 5 34" xfId="13242"/>
    <cellStyle name="Comma 5 35" xfId="13243"/>
    <cellStyle name="Comma 5 4" xfId="2908"/>
    <cellStyle name="Comma 5 4 10" xfId="13244"/>
    <cellStyle name="Comma 5 4 11" xfId="13245"/>
    <cellStyle name="Comma 5 4 12" xfId="13246"/>
    <cellStyle name="Comma 5 4 13" xfId="13247"/>
    <cellStyle name="Comma 5 4 14" xfId="13248"/>
    <cellStyle name="Comma 5 4 15" xfId="13249"/>
    <cellStyle name="Comma 5 4 16" xfId="13250"/>
    <cellStyle name="Comma 5 4 17" xfId="13251"/>
    <cellStyle name="Comma 5 4 18" xfId="13252"/>
    <cellStyle name="Comma 5 4 19" xfId="13253"/>
    <cellStyle name="Comma 5 4 2" xfId="13254"/>
    <cellStyle name="Comma 5 4 20" xfId="13255"/>
    <cellStyle name="Comma 5 4 21" xfId="13256"/>
    <cellStyle name="Comma 5 4 22" xfId="13257"/>
    <cellStyle name="Comma 5 4 23" xfId="13258"/>
    <cellStyle name="Comma 5 4 3" xfId="13259"/>
    <cellStyle name="Comma 5 4 4" xfId="13260"/>
    <cellStyle name="Comma 5 4 5" xfId="13261"/>
    <cellStyle name="Comma 5 4 6" xfId="13262"/>
    <cellStyle name="Comma 5 4 7" xfId="13263"/>
    <cellStyle name="Comma 5 4 8" xfId="13264"/>
    <cellStyle name="Comma 5 4 9" xfId="13265"/>
    <cellStyle name="Comma 5 5" xfId="2909"/>
    <cellStyle name="Comma 5 5 10" xfId="13266"/>
    <cellStyle name="Comma 5 5 11" xfId="13267"/>
    <cellStyle name="Comma 5 5 12" xfId="13268"/>
    <cellStyle name="Comma 5 5 13" xfId="13269"/>
    <cellStyle name="Comma 5 5 14" xfId="13270"/>
    <cellStyle name="Comma 5 5 15" xfId="13271"/>
    <cellStyle name="Comma 5 5 16" xfId="13272"/>
    <cellStyle name="Comma 5 5 17" xfId="13273"/>
    <cellStyle name="Comma 5 5 18" xfId="13274"/>
    <cellStyle name="Comma 5 5 19" xfId="13275"/>
    <cellStyle name="Comma 5 5 2" xfId="2910"/>
    <cellStyle name="Comma 5 5 2 10" xfId="13276"/>
    <cellStyle name="Comma 5 5 2 11" xfId="13277"/>
    <cellStyle name="Comma 5 5 2 12" xfId="13278"/>
    <cellStyle name="Comma 5 5 2 13" xfId="13279"/>
    <cellStyle name="Comma 5 5 2 14" xfId="13280"/>
    <cellStyle name="Comma 5 5 2 15" xfId="13281"/>
    <cellStyle name="Comma 5 5 2 16" xfId="13282"/>
    <cellStyle name="Comma 5 5 2 17" xfId="13283"/>
    <cellStyle name="Comma 5 5 2 18" xfId="13284"/>
    <cellStyle name="Comma 5 5 2 19" xfId="13285"/>
    <cellStyle name="Comma 5 5 2 2" xfId="13286"/>
    <cellStyle name="Comma 5 5 2 20" xfId="13287"/>
    <cellStyle name="Comma 5 5 2 21" xfId="13288"/>
    <cellStyle name="Comma 5 5 2 22" xfId="13289"/>
    <cellStyle name="Comma 5 5 2 23" xfId="13290"/>
    <cellStyle name="Comma 5 5 2 3" xfId="13291"/>
    <cellStyle name="Comma 5 5 2 4" xfId="13292"/>
    <cellStyle name="Comma 5 5 2 5" xfId="13293"/>
    <cellStyle name="Comma 5 5 2 6" xfId="13294"/>
    <cellStyle name="Comma 5 5 2 7" xfId="13295"/>
    <cellStyle name="Comma 5 5 2 8" xfId="13296"/>
    <cellStyle name="Comma 5 5 2 9" xfId="13297"/>
    <cellStyle name="Comma 5 5 20" xfId="13298"/>
    <cellStyle name="Comma 5 5 21" xfId="13299"/>
    <cellStyle name="Comma 5 5 22" xfId="13300"/>
    <cellStyle name="Comma 5 5 23" xfId="13301"/>
    <cellStyle name="Comma 5 5 24" xfId="13302"/>
    <cellStyle name="Comma 5 5 25" xfId="13303"/>
    <cellStyle name="Comma 5 5 26" xfId="13304"/>
    <cellStyle name="Comma 5 5 27" xfId="13305"/>
    <cellStyle name="Comma 5 5 28" xfId="13306"/>
    <cellStyle name="Comma 5 5 29" xfId="13307"/>
    <cellStyle name="Comma 5 5 3" xfId="2911"/>
    <cellStyle name="Comma 5 5 4" xfId="2912"/>
    <cellStyle name="Comma 5 5 5" xfId="2913"/>
    <cellStyle name="Comma 5 5 6" xfId="2914"/>
    <cellStyle name="Comma 5 5 7" xfId="2915"/>
    <cellStyle name="Comma 5 5 8" xfId="2916"/>
    <cellStyle name="Comma 5 5 9" xfId="13308"/>
    <cellStyle name="Comma 5 6" xfId="2917"/>
    <cellStyle name="Comma 5 6 10" xfId="13309"/>
    <cellStyle name="Comma 5 6 2" xfId="2918"/>
    <cellStyle name="Comma 5 6 3" xfId="2919"/>
    <cellStyle name="Comma 5 6 4" xfId="2920"/>
    <cellStyle name="Comma 5 6 5" xfId="2921"/>
    <cellStyle name="Comma 5 6 6" xfId="2922"/>
    <cellStyle name="Comma 5 6 7" xfId="2923"/>
    <cellStyle name="Comma 5 6 8" xfId="13310"/>
    <cellStyle name="Comma 5 6 9" xfId="13311"/>
    <cellStyle name="Comma 5 7" xfId="2924"/>
    <cellStyle name="Comma 5 7 10" xfId="13312"/>
    <cellStyle name="Comma 5 7 2" xfId="2925"/>
    <cellStyle name="Comma 5 7 3" xfId="2926"/>
    <cellStyle name="Comma 5 7 4" xfId="2927"/>
    <cellStyle name="Comma 5 7 5" xfId="2928"/>
    <cellStyle name="Comma 5 7 6" xfId="2929"/>
    <cellStyle name="Comma 5 7 7" xfId="2930"/>
    <cellStyle name="Comma 5 7 8" xfId="13313"/>
    <cellStyle name="Comma 5 7 9" xfId="13314"/>
    <cellStyle name="Comma 5 8" xfId="2931"/>
    <cellStyle name="Comma 5 8 10" xfId="13315"/>
    <cellStyle name="Comma 5 8 2" xfId="2932"/>
    <cellStyle name="Comma 5 8 3" xfId="2933"/>
    <cellStyle name="Comma 5 8 4" xfId="2934"/>
    <cellStyle name="Comma 5 8 5" xfId="2935"/>
    <cellStyle name="Comma 5 8 6" xfId="2936"/>
    <cellStyle name="Comma 5 8 7" xfId="2937"/>
    <cellStyle name="Comma 5 8 8" xfId="13316"/>
    <cellStyle name="Comma 5 8 9" xfId="13317"/>
    <cellStyle name="Comma 5 9" xfId="2938"/>
    <cellStyle name="Comma 5 9 10" xfId="13318"/>
    <cellStyle name="Comma 5 9 2" xfId="2939"/>
    <cellStyle name="Comma 5 9 3" xfId="2940"/>
    <cellStyle name="Comma 5 9 4" xfId="2941"/>
    <cellStyle name="Comma 5 9 5" xfId="2942"/>
    <cellStyle name="Comma 5 9 6" xfId="2943"/>
    <cellStyle name="Comma 5 9 7" xfId="2944"/>
    <cellStyle name="Comma 5 9 8" xfId="13319"/>
    <cellStyle name="Comma 5 9 9" xfId="13320"/>
    <cellStyle name="Comma 50" xfId="2945"/>
    <cellStyle name="Comma 50 2" xfId="2946"/>
    <cellStyle name="Comma 50 3" xfId="2947"/>
    <cellStyle name="Comma 51" xfId="2948"/>
    <cellStyle name="Comma 52" xfId="2949"/>
    <cellStyle name="Comma 53" xfId="2950"/>
    <cellStyle name="Comma 54" xfId="2951"/>
    <cellStyle name="Comma 55" xfId="2952"/>
    <cellStyle name="Comma 56" xfId="2953"/>
    <cellStyle name="Comma 56 2" xfId="2954"/>
    <cellStyle name="Comma 57" xfId="2955"/>
    <cellStyle name="Comma 58" xfId="2956"/>
    <cellStyle name="Comma 59" xfId="7213"/>
    <cellStyle name="Comma 6" xfId="2957"/>
    <cellStyle name="Comma 6 10" xfId="2958"/>
    <cellStyle name="Comma 6 11" xfId="2959"/>
    <cellStyle name="Comma 6 12" xfId="2960"/>
    <cellStyle name="Comma 6 13" xfId="13321"/>
    <cellStyle name="Comma 6 14" xfId="13322"/>
    <cellStyle name="Comma 6 15" xfId="13323"/>
    <cellStyle name="Comma 6 16" xfId="13324"/>
    <cellStyle name="Comma 6 17" xfId="13325"/>
    <cellStyle name="Comma 6 18" xfId="13326"/>
    <cellStyle name="Comma 6 19" xfId="13327"/>
    <cellStyle name="Comma 6 2" xfId="2961"/>
    <cellStyle name="Comma 6 2 10" xfId="13328"/>
    <cellStyle name="Comma 6 2 11" xfId="13329"/>
    <cellStyle name="Comma 6 2 12" xfId="13330"/>
    <cellStyle name="Comma 6 2 13" xfId="13331"/>
    <cellStyle name="Comma 6 2 14" xfId="13332"/>
    <cellStyle name="Comma 6 2 15" xfId="13333"/>
    <cellStyle name="Comma 6 2 16" xfId="13334"/>
    <cellStyle name="Comma 6 2 17" xfId="13335"/>
    <cellStyle name="Comma 6 2 18" xfId="13336"/>
    <cellStyle name="Comma 6 2 19" xfId="13337"/>
    <cellStyle name="Comma 6 2 2" xfId="2962"/>
    <cellStyle name="Comma 6 2 2 10" xfId="13338"/>
    <cellStyle name="Comma 6 2 2 11" xfId="13339"/>
    <cellStyle name="Comma 6 2 2 12" xfId="13340"/>
    <cellStyle name="Comma 6 2 2 13" xfId="13341"/>
    <cellStyle name="Comma 6 2 2 14" xfId="13342"/>
    <cellStyle name="Comma 6 2 2 15" xfId="13343"/>
    <cellStyle name="Comma 6 2 2 16" xfId="13344"/>
    <cellStyle name="Comma 6 2 2 17" xfId="13345"/>
    <cellStyle name="Comma 6 2 2 18" xfId="13346"/>
    <cellStyle name="Comma 6 2 2 19" xfId="13347"/>
    <cellStyle name="Comma 6 2 2 2" xfId="13348"/>
    <cellStyle name="Comma 6 2 2 20" xfId="13349"/>
    <cellStyle name="Comma 6 2 2 21" xfId="13350"/>
    <cellStyle name="Comma 6 2 2 22" xfId="13351"/>
    <cellStyle name="Comma 6 2 2 23" xfId="13352"/>
    <cellStyle name="Comma 6 2 2 3" xfId="13353"/>
    <cellStyle name="Comma 6 2 2 4" xfId="13354"/>
    <cellStyle name="Comma 6 2 2 5" xfId="13355"/>
    <cellStyle name="Comma 6 2 2 6" xfId="13356"/>
    <cellStyle name="Comma 6 2 2 7" xfId="13357"/>
    <cellStyle name="Comma 6 2 2 8" xfId="13358"/>
    <cellStyle name="Comma 6 2 2 9" xfId="13359"/>
    <cellStyle name="Comma 6 2 20" xfId="13360"/>
    <cellStyle name="Comma 6 2 21" xfId="13361"/>
    <cellStyle name="Comma 6 2 22" xfId="13362"/>
    <cellStyle name="Comma 6 2 23" xfId="13363"/>
    <cellStyle name="Comma 6 2 24" xfId="13364"/>
    <cellStyle name="Comma 6 2 25" xfId="13365"/>
    <cellStyle name="Comma 6 2 26" xfId="13366"/>
    <cellStyle name="Comma 6 2 27" xfId="13367"/>
    <cellStyle name="Comma 6 2 28" xfId="13368"/>
    <cellStyle name="Comma 6 2 3" xfId="2963"/>
    <cellStyle name="Comma 6 2 4" xfId="2964"/>
    <cellStyle name="Comma 6 2 5" xfId="2965"/>
    <cellStyle name="Comma 6 2 6" xfId="2966"/>
    <cellStyle name="Comma 6 2 7" xfId="2967"/>
    <cellStyle name="Comma 6 2 8" xfId="13369"/>
    <cellStyle name="Comma 6 2 9" xfId="13370"/>
    <cellStyle name="Comma 6 20" xfId="13371"/>
    <cellStyle name="Comma 6 21" xfId="13372"/>
    <cellStyle name="Comma 6 22" xfId="13373"/>
    <cellStyle name="Comma 6 23" xfId="13374"/>
    <cellStyle name="Comma 6 24" xfId="13375"/>
    <cellStyle name="Comma 6 25" xfId="13376"/>
    <cellStyle name="Comma 6 26" xfId="13377"/>
    <cellStyle name="Comma 6 27" xfId="13378"/>
    <cellStyle name="Comma 6 28" xfId="13379"/>
    <cellStyle name="Comma 6 29" xfId="13380"/>
    <cellStyle name="Comma 6 3" xfId="2968"/>
    <cellStyle name="Comma 6 3 10" xfId="13381"/>
    <cellStyle name="Comma 6 3 11" xfId="13382"/>
    <cellStyle name="Comma 6 3 12" xfId="13383"/>
    <cellStyle name="Comma 6 3 13" xfId="13384"/>
    <cellStyle name="Comma 6 3 14" xfId="13385"/>
    <cellStyle name="Comma 6 3 15" xfId="13386"/>
    <cellStyle name="Comma 6 3 16" xfId="13387"/>
    <cellStyle name="Comma 6 3 17" xfId="13388"/>
    <cellStyle name="Comma 6 3 18" xfId="13389"/>
    <cellStyle name="Comma 6 3 19" xfId="13390"/>
    <cellStyle name="Comma 6 3 2" xfId="2969"/>
    <cellStyle name="Comma 6 3 2 10" xfId="13391"/>
    <cellStyle name="Comma 6 3 2 11" xfId="13392"/>
    <cellStyle name="Comma 6 3 2 12" xfId="13393"/>
    <cellStyle name="Comma 6 3 2 13" xfId="13394"/>
    <cellStyle name="Comma 6 3 2 14" xfId="13395"/>
    <cellStyle name="Comma 6 3 2 15" xfId="13396"/>
    <cellStyle name="Comma 6 3 2 16" xfId="13397"/>
    <cellStyle name="Comma 6 3 2 17" xfId="13398"/>
    <cellStyle name="Comma 6 3 2 18" xfId="13399"/>
    <cellStyle name="Comma 6 3 2 19" xfId="13400"/>
    <cellStyle name="Comma 6 3 2 2" xfId="13401"/>
    <cellStyle name="Comma 6 3 2 20" xfId="13402"/>
    <cellStyle name="Comma 6 3 2 21" xfId="13403"/>
    <cellStyle name="Comma 6 3 2 22" xfId="13404"/>
    <cellStyle name="Comma 6 3 2 23" xfId="13405"/>
    <cellStyle name="Comma 6 3 2 3" xfId="13406"/>
    <cellStyle name="Comma 6 3 2 4" xfId="13407"/>
    <cellStyle name="Comma 6 3 2 5" xfId="13408"/>
    <cellStyle name="Comma 6 3 2 6" xfId="13409"/>
    <cellStyle name="Comma 6 3 2 7" xfId="13410"/>
    <cellStyle name="Comma 6 3 2 8" xfId="13411"/>
    <cellStyle name="Comma 6 3 2 9" xfId="13412"/>
    <cellStyle name="Comma 6 3 20" xfId="13413"/>
    <cellStyle name="Comma 6 3 21" xfId="13414"/>
    <cellStyle name="Comma 6 3 22" xfId="13415"/>
    <cellStyle name="Comma 6 3 23" xfId="13416"/>
    <cellStyle name="Comma 6 3 24" xfId="13417"/>
    <cellStyle name="Comma 6 3 25" xfId="13418"/>
    <cellStyle name="Comma 6 3 26" xfId="13419"/>
    <cellStyle name="Comma 6 3 27" xfId="13420"/>
    <cellStyle name="Comma 6 3 28" xfId="13421"/>
    <cellStyle name="Comma 6 3 3" xfId="2970"/>
    <cellStyle name="Comma 6 3 4" xfId="2971"/>
    <cellStyle name="Comma 6 3 5" xfId="2972"/>
    <cellStyle name="Comma 6 3 6" xfId="2973"/>
    <cellStyle name="Comma 6 3 7" xfId="2974"/>
    <cellStyle name="Comma 6 3 8" xfId="13422"/>
    <cellStyle name="Comma 6 3 9" xfId="13423"/>
    <cellStyle name="Comma 6 30" xfId="13424"/>
    <cellStyle name="Comma 6 31" xfId="13425"/>
    <cellStyle name="Comma 6 32" xfId="13426"/>
    <cellStyle name="Comma 6 33" xfId="13427"/>
    <cellStyle name="Comma 6 4" xfId="2975"/>
    <cellStyle name="Comma 6 4 10" xfId="13428"/>
    <cellStyle name="Comma 6 4 11" xfId="13429"/>
    <cellStyle name="Comma 6 4 12" xfId="13430"/>
    <cellStyle name="Comma 6 4 13" xfId="13431"/>
    <cellStyle name="Comma 6 4 14" xfId="13432"/>
    <cellStyle name="Comma 6 4 15" xfId="13433"/>
    <cellStyle name="Comma 6 4 16" xfId="13434"/>
    <cellStyle name="Comma 6 4 17" xfId="13435"/>
    <cellStyle name="Comma 6 4 18" xfId="13436"/>
    <cellStyle name="Comma 6 4 19" xfId="13437"/>
    <cellStyle name="Comma 6 4 2" xfId="2976"/>
    <cellStyle name="Comma 6 4 2 10" xfId="13438"/>
    <cellStyle name="Comma 6 4 2 11" xfId="13439"/>
    <cellStyle name="Comma 6 4 2 12" xfId="13440"/>
    <cellStyle name="Comma 6 4 2 13" xfId="13441"/>
    <cellStyle name="Comma 6 4 2 14" xfId="13442"/>
    <cellStyle name="Comma 6 4 2 15" xfId="13443"/>
    <cellStyle name="Comma 6 4 2 16" xfId="13444"/>
    <cellStyle name="Comma 6 4 2 17" xfId="13445"/>
    <cellStyle name="Comma 6 4 2 18" xfId="13446"/>
    <cellStyle name="Comma 6 4 2 19" xfId="13447"/>
    <cellStyle name="Comma 6 4 2 2" xfId="13448"/>
    <cellStyle name="Comma 6 4 2 20" xfId="13449"/>
    <cellStyle name="Comma 6 4 2 21" xfId="13450"/>
    <cellStyle name="Comma 6 4 2 22" xfId="13451"/>
    <cellStyle name="Comma 6 4 2 23" xfId="13452"/>
    <cellStyle name="Comma 6 4 2 3" xfId="13453"/>
    <cellStyle name="Comma 6 4 2 4" xfId="13454"/>
    <cellStyle name="Comma 6 4 2 5" xfId="13455"/>
    <cellStyle name="Comma 6 4 2 6" xfId="13456"/>
    <cellStyle name="Comma 6 4 2 7" xfId="13457"/>
    <cellStyle name="Comma 6 4 2 8" xfId="13458"/>
    <cellStyle name="Comma 6 4 2 9" xfId="13459"/>
    <cellStyle name="Comma 6 4 20" xfId="13460"/>
    <cellStyle name="Comma 6 4 21" xfId="13461"/>
    <cellStyle name="Comma 6 4 22" xfId="13462"/>
    <cellStyle name="Comma 6 4 23" xfId="13463"/>
    <cellStyle name="Comma 6 4 24" xfId="13464"/>
    <cellStyle name="Comma 6 4 25" xfId="13465"/>
    <cellStyle name="Comma 6 4 26" xfId="13466"/>
    <cellStyle name="Comma 6 4 27" xfId="13467"/>
    <cellStyle name="Comma 6 4 28" xfId="13468"/>
    <cellStyle name="Comma 6 4 3" xfId="2977"/>
    <cellStyle name="Comma 6 4 4" xfId="2978"/>
    <cellStyle name="Comma 6 4 5" xfId="2979"/>
    <cellStyle name="Comma 6 4 6" xfId="2980"/>
    <cellStyle name="Comma 6 4 7" xfId="2981"/>
    <cellStyle name="Comma 6 4 8" xfId="13469"/>
    <cellStyle name="Comma 6 4 9" xfId="13470"/>
    <cellStyle name="Comma 6 5" xfId="2982"/>
    <cellStyle name="Comma 6 5 10" xfId="13471"/>
    <cellStyle name="Comma 6 5 11" xfId="13472"/>
    <cellStyle name="Comma 6 5 12" xfId="13473"/>
    <cellStyle name="Comma 6 5 13" xfId="13474"/>
    <cellStyle name="Comma 6 5 14" xfId="13475"/>
    <cellStyle name="Comma 6 5 15" xfId="13476"/>
    <cellStyle name="Comma 6 5 16" xfId="13477"/>
    <cellStyle name="Comma 6 5 17" xfId="13478"/>
    <cellStyle name="Comma 6 5 18" xfId="13479"/>
    <cellStyle name="Comma 6 5 19" xfId="13480"/>
    <cellStyle name="Comma 6 5 2" xfId="2983"/>
    <cellStyle name="Comma 6 5 2 10" xfId="13481"/>
    <cellStyle name="Comma 6 5 2 11" xfId="13482"/>
    <cellStyle name="Comma 6 5 2 12" xfId="13483"/>
    <cellStyle name="Comma 6 5 2 13" xfId="13484"/>
    <cellStyle name="Comma 6 5 2 14" xfId="13485"/>
    <cellStyle name="Comma 6 5 2 15" xfId="13486"/>
    <cellStyle name="Comma 6 5 2 16" xfId="13487"/>
    <cellStyle name="Comma 6 5 2 17" xfId="13488"/>
    <cellStyle name="Comma 6 5 2 18" xfId="13489"/>
    <cellStyle name="Comma 6 5 2 19" xfId="13490"/>
    <cellStyle name="Comma 6 5 2 2" xfId="13491"/>
    <cellStyle name="Comma 6 5 2 20" xfId="13492"/>
    <cellStyle name="Comma 6 5 2 21" xfId="13493"/>
    <cellStyle name="Comma 6 5 2 22" xfId="13494"/>
    <cellStyle name="Comma 6 5 2 23" xfId="13495"/>
    <cellStyle name="Comma 6 5 2 3" xfId="13496"/>
    <cellStyle name="Comma 6 5 2 4" xfId="13497"/>
    <cellStyle name="Comma 6 5 2 5" xfId="13498"/>
    <cellStyle name="Comma 6 5 2 6" xfId="13499"/>
    <cellStyle name="Comma 6 5 2 7" xfId="13500"/>
    <cellStyle name="Comma 6 5 2 8" xfId="13501"/>
    <cellStyle name="Comma 6 5 2 9" xfId="13502"/>
    <cellStyle name="Comma 6 5 20" xfId="13503"/>
    <cellStyle name="Comma 6 5 21" xfId="13504"/>
    <cellStyle name="Comma 6 5 22" xfId="13505"/>
    <cellStyle name="Comma 6 5 23" xfId="13506"/>
    <cellStyle name="Comma 6 5 24" xfId="13507"/>
    <cellStyle name="Comma 6 5 25" xfId="13508"/>
    <cellStyle name="Comma 6 5 26" xfId="13509"/>
    <cellStyle name="Comma 6 5 27" xfId="13510"/>
    <cellStyle name="Comma 6 5 28" xfId="13511"/>
    <cellStyle name="Comma 6 5 3" xfId="2984"/>
    <cellStyle name="Comma 6 5 4" xfId="2985"/>
    <cellStyle name="Comma 6 5 5" xfId="2986"/>
    <cellStyle name="Comma 6 5 6" xfId="2987"/>
    <cellStyle name="Comma 6 5 7" xfId="2988"/>
    <cellStyle name="Comma 6 5 8" xfId="13512"/>
    <cellStyle name="Comma 6 5 9" xfId="13513"/>
    <cellStyle name="Comma 6 6" xfId="2989"/>
    <cellStyle name="Comma 6 6 10" xfId="13514"/>
    <cellStyle name="Comma 6 6 2" xfId="2990"/>
    <cellStyle name="Comma 6 6 3" xfId="2991"/>
    <cellStyle name="Comma 6 6 4" xfId="2992"/>
    <cellStyle name="Comma 6 6 5" xfId="2993"/>
    <cellStyle name="Comma 6 6 6" xfId="2994"/>
    <cellStyle name="Comma 6 6 7" xfId="2995"/>
    <cellStyle name="Comma 6 6 8" xfId="13515"/>
    <cellStyle name="Comma 6 6 9" xfId="13516"/>
    <cellStyle name="Comma 6 7" xfId="2996"/>
    <cellStyle name="Comma 6 7 10" xfId="13517"/>
    <cellStyle name="Comma 6 7 2" xfId="2997"/>
    <cellStyle name="Comma 6 7 3" xfId="2998"/>
    <cellStyle name="Comma 6 7 4" xfId="2999"/>
    <cellStyle name="Comma 6 7 5" xfId="3000"/>
    <cellStyle name="Comma 6 7 6" xfId="3001"/>
    <cellStyle name="Comma 6 7 7" xfId="3002"/>
    <cellStyle name="Comma 6 7 8" xfId="13518"/>
    <cellStyle name="Comma 6 7 9" xfId="13519"/>
    <cellStyle name="Comma 6 8" xfId="3003"/>
    <cellStyle name="Comma 6 8 10" xfId="13520"/>
    <cellStyle name="Comma 6 8 2" xfId="3004"/>
    <cellStyle name="Comma 6 8 3" xfId="3005"/>
    <cellStyle name="Comma 6 8 4" xfId="3006"/>
    <cellStyle name="Comma 6 8 5" xfId="3007"/>
    <cellStyle name="Comma 6 8 6" xfId="3008"/>
    <cellStyle name="Comma 6 8 7" xfId="3009"/>
    <cellStyle name="Comma 6 8 8" xfId="13521"/>
    <cellStyle name="Comma 6 8 9" xfId="13522"/>
    <cellStyle name="Comma 6 9" xfId="3010"/>
    <cellStyle name="Comma 60" xfId="28331"/>
    <cellStyle name="Comma 60 2" xfId="30350"/>
    <cellStyle name="Comma 61" xfId="30351"/>
    <cellStyle name="Comma 7" xfId="3011"/>
    <cellStyle name="Comma 7 10" xfId="3012"/>
    <cellStyle name="Comma 7 11" xfId="3013"/>
    <cellStyle name="Comma 7 12" xfId="3014"/>
    <cellStyle name="Comma 7 13" xfId="3015"/>
    <cellStyle name="Comma 7 14" xfId="3016"/>
    <cellStyle name="Comma 7 15" xfId="13523"/>
    <cellStyle name="Comma 7 16" xfId="13524"/>
    <cellStyle name="Comma 7 17" xfId="13525"/>
    <cellStyle name="Comma 7 18" xfId="13526"/>
    <cellStyle name="Comma 7 19" xfId="13527"/>
    <cellStyle name="Comma 7 2" xfId="3017"/>
    <cellStyle name="Comma 7 2 2" xfId="3018"/>
    <cellStyle name="Comma 7 2 2 2" xfId="3019"/>
    <cellStyle name="Comma 7 2 2 3" xfId="3020"/>
    <cellStyle name="Comma 7 2 3" xfId="3021"/>
    <cellStyle name="Comma 7 2 4" xfId="3022"/>
    <cellStyle name="Comma 7 2 5" xfId="3023"/>
    <cellStyle name="Comma 7 2 6" xfId="3024"/>
    <cellStyle name="Comma 7 2 7" xfId="3025"/>
    <cellStyle name="Comma 7 2 8" xfId="3026"/>
    <cellStyle name="Comma 7 2 9" xfId="3027"/>
    <cellStyle name="Comma 7 20" xfId="13528"/>
    <cellStyle name="Comma 7 21" xfId="13529"/>
    <cellStyle name="Comma 7 22" xfId="13530"/>
    <cellStyle name="Comma 7 23" xfId="13531"/>
    <cellStyle name="Comma 7 24" xfId="13532"/>
    <cellStyle name="Comma 7 25" xfId="13533"/>
    <cellStyle name="Comma 7 26" xfId="13534"/>
    <cellStyle name="Comma 7 27" xfId="13535"/>
    <cellStyle name="Comma 7 28" xfId="13536"/>
    <cellStyle name="Comma 7 29" xfId="13537"/>
    <cellStyle name="Comma 7 3" xfId="3028"/>
    <cellStyle name="Comma 7 3 10" xfId="13538"/>
    <cellStyle name="Comma 7 3 11" xfId="13539"/>
    <cellStyle name="Comma 7 3 12" xfId="13540"/>
    <cellStyle name="Comma 7 3 13" xfId="13541"/>
    <cellStyle name="Comma 7 3 14" xfId="13542"/>
    <cellStyle name="Comma 7 3 15" xfId="13543"/>
    <cellStyle name="Comma 7 3 16" xfId="13544"/>
    <cellStyle name="Comma 7 3 17" xfId="13545"/>
    <cellStyle name="Comma 7 3 18" xfId="13546"/>
    <cellStyle name="Comma 7 3 19" xfId="13547"/>
    <cellStyle name="Comma 7 3 2" xfId="3029"/>
    <cellStyle name="Comma 7 3 2 10" xfId="13548"/>
    <cellStyle name="Comma 7 3 2 11" xfId="13549"/>
    <cellStyle name="Comma 7 3 2 12" xfId="13550"/>
    <cellStyle name="Comma 7 3 2 13" xfId="13551"/>
    <cellStyle name="Comma 7 3 2 14" xfId="13552"/>
    <cellStyle name="Comma 7 3 2 15" xfId="13553"/>
    <cellStyle name="Comma 7 3 2 16" xfId="13554"/>
    <cellStyle name="Comma 7 3 2 17" xfId="13555"/>
    <cellStyle name="Comma 7 3 2 18" xfId="13556"/>
    <cellStyle name="Comma 7 3 2 19" xfId="13557"/>
    <cellStyle name="Comma 7 3 2 2" xfId="13558"/>
    <cellStyle name="Comma 7 3 2 20" xfId="13559"/>
    <cellStyle name="Comma 7 3 2 21" xfId="13560"/>
    <cellStyle name="Comma 7 3 2 22" xfId="13561"/>
    <cellStyle name="Comma 7 3 2 23" xfId="13562"/>
    <cellStyle name="Comma 7 3 2 3" xfId="13563"/>
    <cellStyle name="Comma 7 3 2 4" xfId="13564"/>
    <cellStyle name="Comma 7 3 2 5" xfId="13565"/>
    <cellStyle name="Comma 7 3 2 6" xfId="13566"/>
    <cellStyle name="Comma 7 3 2 7" xfId="13567"/>
    <cellStyle name="Comma 7 3 2 8" xfId="13568"/>
    <cellStyle name="Comma 7 3 2 9" xfId="13569"/>
    <cellStyle name="Comma 7 3 20" xfId="13570"/>
    <cellStyle name="Comma 7 3 21" xfId="13571"/>
    <cellStyle name="Comma 7 3 22" xfId="13572"/>
    <cellStyle name="Comma 7 3 23" xfId="13573"/>
    <cellStyle name="Comma 7 3 24" xfId="13574"/>
    <cellStyle name="Comma 7 3 25" xfId="13575"/>
    <cellStyle name="Comma 7 3 26" xfId="13576"/>
    <cellStyle name="Comma 7 3 27" xfId="13577"/>
    <cellStyle name="Comma 7 3 28" xfId="13578"/>
    <cellStyle name="Comma 7 3 3" xfId="3030"/>
    <cellStyle name="Comma 7 3 3 10" xfId="13579"/>
    <cellStyle name="Comma 7 3 3 11" xfId="13580"/>
    <cellStyle name="Comma 7 3 3 12" xfId="13581"/>
    <cellStyle name="Comma 7 3 3 13" xfId="13582"/>
    <cellStyle name="Comma 7 3 3 14" xfId="13583"/>
    <cellStyle name="Comma 7 3 3 15" xfId="13584"/>
    <cellStyle name="Comma 7 3 3 16" xfId="13585"/>
    <cellStyle name="Comma 7 3 3 17" xfId="13586"/>
    <cellStyle name="Comma 7 3 3 18" xfId="13587"/>
    <cellStyle name="Comma 7 3 3 19" xfId="13588"/>
    <cellStyle name="Comma 7 3 3 2" xfId="13589"/>
    <cellStyle name="Comma 7 3 3 20" xfId="13590"/>
    <cellStyle name="Comma 7 3 3 21" xfId="13591"/>
    <cellStyle name="Comma 7 3 3 22" xfId="13592"/>
    <cellStyle name="Comma 7 3 3 23" xfId="13593"/>
    <cellStyle name="Comma 7 3 3 3" xfId="13594"/>
    <cellStyle name="Comma 7 3 3 4" xfId="13595"/>
    <cellStyle name="Comma 7 3 3 5" xfId="13596"/>
    <cellStyle name="Comma 7 3 3 6" xfId="13597"/>
    <cellStyle name="Comma 7 3 3 7" xfId="13598"/>
    <cellStyle name="Comma 7 3 3 8" xfId="13599"/>
    <cellStyle name="Comma 7 3 3 9" xfId="13600"/>
    <cellStyle name="Comma 7 3 4" xfId="3031"/>
    <cellStyle name="Comma 7 3 5" xfId="3032"/>
    <cellStyle name="Comma 7 3 6" xfId="3033"/>
    <cellStyle name="Comma 7 3 7" xfId="3034"/>
    <cellStyle name="Comma 7 3 8" xfId="13601"/>
    <cellStyle name="Comma 7 3 9" xfId="13602"/>
    <cellStyle name="Comma 7 30" xfId="13603"/>
    <cellStyle name="Comma 7 31" xfId="13604"/>
    <cellStyle name="Comma 7 32" xfId="13605"/>
    <cellStyle name="Comma 7 33" xfId="13606"/>
    <cellStyle name="Comma 7 34" xfId="13607"/>
    <cellStyle name="Comma 7 35" xfId="13608"/>
    <cellStyle name="Comma 7 36" xfId="30352"/>
    <cellStyle name="Comma 7 4" xfId="3035"/>
    <cellStyle name="Comma 7 4 10" xfId="13609"/>
    <cellStyle name="Comma 7 4 11" xfId="13610"/>
    <cellStyle name="Comma 7 4 12" xfId="13611"/>
    <cellStyle name="Comma 7 4 13" xfId="13612"/>
    <cellStyle name="Comma 7 4 14" xfId="13613"/>
    <cellStyle name="Comma 7 4 15" xfId="13614"/>
    <cellStyle name="Comma 7 4 16" xfId="13615"/>
    <cellStyle name="Comma 7 4 17" xfId="13616"/>
    <cellStyle name="Comma 7 4 18" xfId="13617"/>
    <cellStyle name="Comma 7 4 19" xfId="13618"/>
    <cellStyle name="Comma 7 4 2" xfId="3036"/>
    <cellStyle name="Comma 7 4 2 10" xfId="13619"/>
    <cellStyle name="Comma 7 4 2 11" xfId="13620"/>
    <cellStyle name="Comma 7 4 2 12" xfId="13621"/>
    <cellStyle name="Comma 7 4 2 13" xfId="13622"/>
    <cellStyle name="Comma 7 4 2 14" xfId="13623"/>
    <cellStyle name="Comma 7 4 2 15" xfId="13624"/>
    <cellStyle name="Comma 7 4 2 16" xfId="13625"/>
    <cellStyle name="Comma 7 4 2 17" xfId="13626"/>
    <cellStyle name="Comma 7 4 2 18" xfId="13627"/>
    <cellStyle name="Comma 7 4 2 19" xfId="13628"/>
    <cellStyle name="Comma 7 4 2 2" xfId="13629"/>
    <cellStyle name="Comma 7 4 2 20" xfId="13630"/>
    <cellStyle name="Comma 7 4 2 21" xfId="13631"/>
    <cellStyle name="Comma 7 4 2 22" xfId="13632"/>
    <cellStyle name="Comma 7 4 2 23" xfId="13633"/>
    <cellStyle name="Comma 7 4 2 3" xfId="13634"/>
    <cellStyle name="Comma 7 4 2 4" xfId="13635"/>
    <cellStyle name="Comma 7 4 2 5" xfId="13636"/>
    <cellStyle name="Comma 7 4 2 6" xfId="13637"/>
    <cellStyle name="Comma 7 4 2 7" xfId="13638"/>
    <cellStyle name="Comma 7 4 2 8" xfId="13639"/>
    <cellStyle name="Comma 7 4 2 9" xfId="13640"/>
    <cellStyle name="Comma 7 4 20" xfId="13641"/>
    <cellStyle name="Comma 7 4 21" xfId="13642"/>
    <cellStyle name="Comma 7 4 22" xfId="13643"/>
    <cellStyle name="Comma 7 4 23" xfId="13644"/>
    <cellStyle name="Comma 7 4 24" xfId="13645"/>
    <cellStyle name="Comma 7 4 25" xfId="13646"/>
    <cellStyle name="Comma 7 4 26" xfId="13647"/>
    <cellStyle name="Comma 7 4 27" xfId="13648"/>
    <cellStyle name="Comma 7 4 28" xfId="13649"/>
    <cellStyle name="Comma 7 4 3" xfId="3037"/>
    <cellStyle name="Comma 7 4 4" xfId="3038"/>
    <cellStyle name="Comma 7 4 5" xfId="3039"/>
    <cellStyle name="Comma 7 4 6" xfId="3040"/>
    <cellStyle name="Comma 7 4 7" xfId="3041"/>
    <cellStyle name="Comma 7 4 8" xfId="13650"/>
    <cellStyle name="Comma 7 4 9" xfId="13651"/>
    <cellStyle name="Comma 7 5" xfId="3042"/>
    <cellStyle name="Comma 7 5 2" xfId="3043"/>
    <cellStyle name="Comma 7 5 3" xfId="3044"/>
    <cellStyle name="Comma 7 5 4" xfId="3045"/>
    <cellStyle name="Comma 7 5 5" xfId="3046"/>
    <cellStyle name="Comma 7 5 6" xfId="3047"/>
    <cellStyle name="Comma 7 5 7" xfId="3048"/>
    <cellStyle name="Comma 7 6" xfId="3049"/>
    <cellStyle name="Comma 7 6 2" xfId="3050"/>
    <cellStyle name="Comma 7 6 3" xfId="3051"/>
    <cellStyle name="Comma 7 6 4" xfId="3052"/>
    <cellStyle name="Comma 7 6 5" xfId="3053"/>
    <cellStyle name="Comma 7 6 6" xfId="3054"/>
    <cellStyle name="Comma 7 6 7" xfId="3055"/>
    <cellStyle name="Comma 7 7" xfId="3056"/>
    <cellStyle name="Comma 7 7 2" xfId="3057"/>
    <cellStyle name="Comma 7 7 3" xfId="3058"/>
    <cellStyle name="Comma 7 7 4" xfId="3059"/>
    <cellStyle name="Comma 7 7 5" xfId="3060"/>
    <cellStyle name="Comma 7 7 6" xfId="3061"/>
    <cellStyle name="Comma 7 7 7" xfId="3062"/>
    <cellStyle name="Comma 7 8" xfId="3063"/>
    <cellStyle name="Comma 7 8 2" xfId="3064"/>
    <cellStyle name="Comma 7 8 3" xfId="3065"/>
    <cellStyle name="Comma 7 8 4" xfId="3066"/>
    <cellStyle name="Comma 7 8 5" xfId="3067"/>
    <cellStyle name="Comma 7 8 6" xfId="3068"/>
    <cellStyle name="Comma 7 8 7" xfId="3069"/>
    <cellStyle name="Comma 7 9" xfId="3070"/>
    <cellStyle name="Comma 8" xfId="3071"/>
    <cellStyle name="Comma 8 10" xfId="3072"/>
    <cellStyle name="Comma 8 11" xfId="3073"/>
    <cellStyle name="Comma 8 12" xfId="3074"/>
    <cellStyle name="Comma 8 13" xfId="13652"/>
    <cellStyle name="Comma 8 14" xfId="13653"/>
    <cellStyle name="Comma 8 15" xfId="13654"/>
    <cellStyle name="Comma 8 16" xfId="13655"/>
    <cellStyle name="Comma 8 17" xfId="13656"/>
    <cellStyle name="Comma 8 18" xfId="13657"/>
    <cellStyle name="Comma 8 19" xfId="13658"/>
    <cellStyle name="Comma 8 2" xfId="3075"/>
    <cellStyle name="Comma 8 2 10" xfId="13659"/>
    <cellStyle name="Comma 8 2 11" xfId="13660"/>
    <cellStyle name="Comma 8 2 12" xfId="13661"/>
    <cellStyle name="Comma 8 2 13" xfId="13662"/>
    <cellStyle name="Comma 8 2 14" xfId="13663"/>
    <cellStyle name="Comma 8 2 15" xfId="13664"/>
    <cellStyle name="Comma 8 2 16" xfId="13665"/>
    <cellStyle name="Comma 8 2 17" xfId="13666"/>
    <cellStyle name="Comma 8 2 18" xfId="13667"/>
    <cellStyle name="Comma 8 2 19" xfId="13668"/>
    <cellStyle name="Comma 8 2 2" xfId="3076"/>
    <cellStyle name="Comma 8 2 2 10" xfId="13669"/>
    <cellStyle name="Comma 8 2 2 11" xfId="13670"/>
    <cellStyle name="Comma 8 2 2 12" xfId="13671"/>
    <cellStyle name="Comma 8 2 2 13" xfId="13672"/>
    <cellStyle name="Comma 8 2 2 14" xfId="13673"/>
    <cellStyle name="Comma 8 2 2 15" xfId="13674"/>
    <cellStyle name="Comma 8 2 2 16" xfId="13675"/>
    <cellStyle name="Comma 8 2 2 17" xfId="13676"/>
    <cellStyle name="Comma 8 2 2 18" xfId="13677"/>
    <cellStyle name="Comma 8 2 2 19" xfId="13678"/>
    <cellStyle name="Comma 8 2 2 2" xfId="3077"/>
    <cellStyle name="Comma 8 2 2 2 10" xfId="13679"/>
    <cellStyle name="Comma 8 2 2 2 11" xfId="13680"/>
    <cellStyle name="Comma 8 2 2 2 12" xfId="13681"/>
    <cellStyle name="Comma 8 2 2 2 13" xfId="13682"/>
    <cellStyle name="Comma 8 2 2 2 14" xfId="13683"/>
    <cellStyle name="Comma 8 2 2 2 15" xfId="13684"/>
    <cellStyle name="Comma 8 2 2 2 16" xfId="13685"/>
    <cellStyle name="Comma 8 2 2 2 17" xfId="13686"/>
    <cellStyle name="Comma 8 2 2 2 18" xfId="13687"/>
    <cellStyle name="Comma 8 2 2 2 19" xfId="13688"/>
    <cellStyle name="Comma 8 2 2 2 2" xfId="13689"/>
    <cellStyle name="Comma 8 2 2 2 20" xfId="13690"/>
    <cellStyle name="Comma 8 2 2 2 21" xfId="13691"/>
    <cellStyle name="Comma 8 2 2 2 22" xfId="13692"/>
    <cellStyle name="Comma 8 2 2 2 23" xfId="13693"/>
    <cellStyle name="Comma 8 2 2 2 3" xfId="13694"/>
    <cellStyle name="Comma 8 2 2 2 4" xfId="13695"/>
    <cellStyle name="Comma 8 2 2 2 5" xfId="13696"/>
    <cellStyle name="Comma 8 2 2 2 6" xfId="13697"/>
    <cellStyle name="Comma 8 2 2 2 7" xfId="13698"/>
    <cellStyle name="Comma 8 2 2 2 8" xfId="13699"/>
    <cellStyle name="Comma 8 2 2 2 9" xfId="13700"/>
    <cellStyle name="Comma 8 2 2 20" xfId="13701"/>
    <cellStyle name="Comma 8 2 2 21" xfId="13702"/>
    <cellStyle name="Comma 8 2 2 22" xfId="13703"/>
    <cellStyle name="Comma 8 2 2 23" xfId="13704"/>
    <cellStyle name="Comma 8 2 2 3" xfId="13705"/>
    <cellStyle name="Comma 8 2 2 4" xfId="13706"/>
    <cellStyle name="Comma 8 2 2 5" xfId="13707"/>
    <cellStyle name="Comma 8 2 2 6" xfId="13708"/>
    <cellStyle name="Comma 8 2 2 7" xfId="13709"/>
    <cellStyle name="Comma 8 2 2 8" xfId="13710"/>
    <cellStyle name="Comma 8 2 2 9" xfId="13711"/>
    <cellStyle name="Comma 8 2 20" xfId="13712"/>
    <cellStyle name="Comma 8 2 21" xfId="13713"/>
    <cellStyle name="Comma 8 2 22" xfId="13714"/>
    <cellStyle name="Comma 8 2 23" xfId="13715"/>
    <cellStyle name="Comma 8 2 24" xfId="13716"/>
    <cellStyle name="Comma 8 2 25" xfId="13717"/>
    <cellStyle name="Comma 8 2 26" xfId="13718"/>
    <cellStyle name="Comma 8 2 27" xfId="13719"/>
    <cellStyle name="Comma 8 2 28" xfId="13720"/>
    <cellStyle name="Comma 8 2 29" xfId="13721"/>
    <cellStyle name="Comma 8 2 3" xfId="3078"/>
    <cellStyle name="Comma 8 2 3 10" xfId="13722"/>
    <cellStyle name="Comma 8 2 3 11" xfId="13723"/>
    <cellStyle name="Comma 8 2 3 12" xfId="13724"/>
    <cellStyle name="Comma 8 2 3 13" xfId="13725"/>
    <cellStyle name="Comma 8 2 3 14" xfId="13726"/>
    <cellStyle name="Comma 8 2 3 15" xfId="13727"/>
    <cellStyle name="Comma 8 2 3 16" xfId="13728"/>
    <cellStyle name="Comma 8 2 3 17" xfId="13729"/>
    <cellStyle name="Comma 8 2 3 18" xfId="13730"/>
    <cellStyle name="Comma 8 2 3 19" xfId="13731"/>
    <cellStyle name="Comma 8 2 3 2" xfId="13732"/>
    <cellStyle name="Comma 8 2 3 20" xfId="13733"/>
    <cellStyle name="Comma 8 2 3 21" xfId="13734"/>
    <cellStyle name="Comma 8 2 3 22" xfId="13735"/>
    <cellStyle name="Comma 8 2 3 23" xfId="13736"/>
    <cellStyle name="Comma 8 2 3 3" xfId="13737"/>
    <cellStyle name="Comma 8 2 3 4" xfId="13738"/>
    <cellStyle name="Comma 8 2 3 5" xfId="13739"/>
    <cellStyle name="Comma 8 2 3 6" xfId="13740"/>
    <cellStyle name="Comma 8 2 3 7" xfId="13741"/>
    <cellStyle name="Comma 8 2 3 8" xfId="13742"/>
    <cellStyle name="Comma 8 2 3 9" xfId="13743"/>
    <cellStyle name="Comma 8 2 4" xfId="3079"/>
    <cellStyle name="Comma 8 2 5" xfId="3080"/>
    <cellStyle name="Comma 8 2 6" xfId="3081"/>
    <cellStyle name="Comma 8 2 7" xfId="3082"/>
    <cellStyle name="Comma 8 2 8" xfId="3083"/>
    <cellStyle name="Comma 8 2 9" xfId="13744"/>
    <cellStyle name="Comma 8 20" xfId="13745"/>
    <cellStyle name="Comma 8 21" xfId="13746"/>
    <cellStyle name="Comma 8 22" xfId="13747"/>
    <cellStyle name="Comma 8 23" xfId="13748"/>
    <cellStyle name="Comma 8 24" xfId="13749"/>
    <cellStyle name="Comma 8 25" xfId="13750"/>
    <cellStyle name="Comma 8 26" xfId="13751"/>
    <cellStyle name="Comma 8 27" xfId="13752"/>
    <cellStyle name="Comma 8 28" xfId="13753"/>
    <cellStyle name="Comma 8 29" xfId="13754"/>
    <cellStyle name="Comma 8 3" xfId="3084"/>
    <cellStyle name="Comma 8 3 10" xfId="13755"/>
    <cellStyle name="Comma 8 3 11" xfId="13756"/>
    <cellStyle name="Comma 8 3 12" xfId="13757"/>
    <cellStyle name="Comma 8 3 13" xfId="13758"/>
    <cellStyle name="Comma 8 3 14" xfId="13759"/>
    <cellStyle name="Comma 8 3 15" xfId="13760"/>
    <cellStyle name="Comma 8 3 16" xfId="13761"/>
    <cellStyle name="Comma 8 3 17" xfId="13762"/>
    <cellStyle name="Comma 8 3 18" xfId="13763"/>
    <cellStyle name="Comma 8 3 19" xfId="13764"/>
    <cellStyle name="Comma 8 3 2" xfId="3085"/>
    <cellStyle name="Comma 8 3 2 10" xfId="13765"/>
    <cellStyle name="Comma 8 3 2 11" xfId="13766"/>
    <cellStyle name="Comma 8 3 2 12" xfId="13767"/>
    <cellStyle name="Comma 8 3 2 13" xfId="13768"/>
    <cellStyle name="Comma 8 3 2 14" xfId="13769"/>
    <cellStyle name="Comma 8 3 2 15" xfId="13770"/>
    <cellStyle name="Comma 8 3 2 16" xfId="13771"/>
    <cellStyle name="Comma 8 3 2 17" xfId="13772"/>
    <cellStyle name="Comma 8 3 2 18" xfId="13773"/>
    <cellStyle name="Comma 8 3 2 19" xfId="13774"/>
    <cellStyle name="Comma 8 3 2 2" xfId="13775"/>
    <cellStyle name="Comma 8 3 2 20" xfId="13776"/>
    <cellStyle name="Comma 8 3 2 21" xfId="13777"/>
    <cellStyle name="Comma 8 3 2 22" xfId="13778"/>
    <cellStyle name="Comma 8 3 2 23" xfId="13779"/>
    <cellStyle name="Comma 8 3 2 3" xfId="13780"/>
    <cellStyle name="Comma 8 3 2 4" xfId="13781"/>
    <cellStyle name="Comma 8 3 2 5" xfId="13782"/>
    <cellStyle name="Comma 8 3 2 6" xfId="13783"/>
    <cellStyle name="Comma 8 3 2 7" xfId="13784"/>
    <cellStyle name="Comma 8 3 2 8" xfId="13785"/>
    <cellStyle name="Comma 8 3 2 9" xfId="13786"/>
    <cellStyle name="Comma 8 3 20" xfId="13787"/>
    <cellStyle name="Comma 8 3 21" xfId="13788"/>
    <cellStyle name="Comma 8 3 22" xfId="13789"/>
    <cellStyle name="Comma 8 3 23" xfId="13790"/>
    <cellStyle name="Comma 8 3 24" xfId="13791"/>
    <cellStyle name="Comma 8 3 25" xfId="13792"/>
    <cellStyle name="Comma 8 3 26" xfId="13793"/>
    <cellStyle name="Comma 8 3 27" xfId="13794"/>
    <cellStyle name="Comma 8 3 28" xfId="13795"/>
    <cellStyle name="Comma 8 3 29" xfId="13796"/>
    <cellStyle name="Comma 8 3 3" xfId="3086"/>
    <cellStyle name="Comma 8 3 3 10" xfId="13797"/>
    <cellStyle name="Comma 8 3 3 11" xfId="13798"/>
    <cellStyle name="Comma 8 3 3 12" xfId="13799"/>
    <cellStyle name="Comma 8 3 3 13" xfId="13800"/>
    <cellStyle name="Comma 8 3 3 14" xfId="13801"/>
    <cellStyle name="Comma 8 3 3 15" xfId="13802"/>
    <cellStyle name="Comma 8 3 3 16" xfId="13803"/>
    <cellStyle name="Comma 8 3 3 17" xfId="13804"/>
    <cellStyle name="Comma 8 3 3 18" xfId="13805"/>
    <cellStyle name="Comma 8 3 3 19" xfId="13806"/>
    <cellStyle name="Comma 8 3 3 2" xfId="13807"/>
    <cellStyle name="Comma 8 3 3 20" xfId="13808"/>
    <cellStyle name="Comma 8 3 3 21" xfId="13809"/>
    <cellStyle name="Comma 8 3 3 22" xfId="13810"/>
    <cellStyle name="Comma 8 3 3 23" xfId="13811"/>
    <cellStyle name="Comma 8 3 3 3" xfId="13812"/>
    <cellStyle name="Comma 8 3 3 4" xfId="13813"/>
    <cellStyle name="Comma 8 3 3 5" xfId="13814"/>
    <cellStyle name="Comma 8 3 3 6" xfId="13815"/>
    <cellStyle name="Comma 8 3 3 7" xfId="13816"/>
    <cellStyle name="Comma 8 3 3 8" xfId="13817"/>
    <cellStyle name="Comma 8 3 3 9" xfId="13818"/>
    <cellStyle name="Comma 8 3 30" xfId="13819"/>
    <cellStyle name="Comma 8 3 4" xfId="3087"/>
    <cellStyle name="Comma 8 3 4 10" xfId="13820"/>
    <cellStyle name="Comma 8 3 4 11" xfId="13821"/>
    <cellStyle name="Comma 8 3 4 12" xfId="13822"/>
    <cellStyle name="Comma 8 3 4 13" xfId="13823"/>
    <cellStyle name="Comma 8 3 4 14" xfId="13824"/>
    <cellStyle name="Comma 8 3 4 15" xfId="13825"/>
    <cellStyle name="Comma 8 3 4 16" xfId="13826"/>
    <cellStyle name="Comma 8 3 4 17" xfId="13827"/>
    <cellStyle name="Comma 8 3 4 18" xfId="13828"/>
    <cellStyle name="Comma 8 3 4 19" xfId="13829"/>
    <cellStyle name="Comma 8 3 4 2" xfId="13830"/>
    <cellStyle name="Comma 8 3 4 20" xfId="13831"/>
    <cellStyle name="Comma 8 3 4 21" xfId="13832"/>
    <cellStyle name="Comma 8 3 4 22" xfId="13833"/>
    <cellStyle name="Comma 8 3 4 23" xfId="13834"/>
    <cellStyle name="Comma 8 3 4 24" xfId="13835"/>
    <cellStyle name="Comma 8 3 4 3" xfId="13836"/>
    <cellStyle name="Comma 8 3 4 4" xfId="13837"/>
    <cellStyle name="Comma 8 3 4 5" xfId="13838"/>
    <cellStyle name="Comma 8 3 4 6" xfId="13839"/>
    <cellStyle name="Comma 8 3 4 7" xfId="13840"/>
    <cellStyle name="Comma 8 3 4 8" xfId="13841"/>
    <cellStyle name="Comma 8 3 4 9" xfId="13842"/>
    <cellStyle name="Comma 8 3 5" xfId="3088"/>
    <cellStyle name="Comma 8 3 5 10" xfId="13843"/>
    <cellStyle name="Comma 8 3 5 11" xfId="13844"/>
    <cellStyle name="Comma 8 3 5 12" xfId="13845"/>
    <cellStyle name="Comma 8 3 5 13" xfId="13846"/>
    <cellStyle name="Comma 8 3 5 14" xfId="13847"/>
    <cellStyle name="Comma 8 3 5 15" xfId="13848"/>
    <cellStyle name="Comma 8 3 5 16" xfId="13849"/>
    <cellStyle name="Comma 8 3 5 17" xfId="13850"/>
    <cellStyle name="Comma 8 3 5 18" xfId="13851"/>
    <cellStyle name="Comma 8 3 5 19" xfId="13852"/>
    <cellStyle name="Comma 8 3 5 2" xfId="13853"/>
    <cellStyle name="Comma 8 3 5 20" xfId="13854"/>
    <cellStyle name="Comma 8 3 5 21" xfId="13855"/>
    <cellStyle name="Comma 8 3 5 22" xfId="13856"/>
    <cellStyle name="Comma 8 3 5 23" xfId="13857"/>
    <cellStyle name="Comma 8 3 5 3" xfId="13858"/>
    <cellStyle name="Comma 8 3 5 4" xfId="13859"/>
    <cellStyle name="Comma 8 3 5 5" xfId="13860"/>
    <cellStyle name="Comma 8 3 5 6" xfId="13861"/>
    <cellStyle name="Comma 8 3 5 7" xfId="13862"/>
    <cellStyle name="Comma 8 3 5 8" xfId="13863"/>
    <cellStyle name="Comma 8 3 5 9" xfId="13864"/>
    <cellStyle name="Comma 8 3 6" xfId="3089"/>
    <cellStyle name="Comma 8 3 7" xfId="3090"/>
    <cellStyle name="Comma 8 3 8" xfId="3091"/>
    <cellStyle name="Comma 8 3 9" xfId="13865"/>
    <cellStyle name="Comma 8 30" xfId="13866"/>
    <cellStyle name="Comma 8 31" xfId="13867"/>
    <cellStyle name="Comma 8 32" xfId="13868"/>
    <cellStyle name="Comma 8 33" xfId="13869"/>
    <cellStyle name="Comma 8 4" xfId="3092"/>
    <cellStyle name="Comma 8 4 10" xfId="13870"/>
    <cellStyle name="Comma 8 4 11" xfId="13871"/>
    <cellStyle name="Comma 8 4 12" xfId="13872"/>
    <cellStyle name="Comma 8 4 13" xfId="13873"/>
    <cellStyle name="Comma 8 4 14" xfId="13874"/>
    <cellStyle name="Comma 8 4 15" xfId="13875"/>
    <cellStyle name="Comma 8 4 16" xfId="13876"/>
    <cellStyle name="Comma 8 4 17" xfId="13877"/>
    <cellStyle name="Comma 8 4 18" xfId="13878"/>
    <cellStyle name="Comma 8 4 19" xfId="13879"/>
    <cellStyle name="Comma 8 4 2" xfId="3093"/>
    <cellStyle name="Comma 8 4 2 10" xfId="13880"/>
    <cellStyle name="Comma 8 4 2 11" xfId="13881"/>
    <cellStyle name="Comma 8 4 2 12" xfId="13882"/>
    <cellStyle name="Comma 8 4 2 13" xfId="13883"/>
    <cellStyle name="Comma 8 4 2 14" xfId="13884"/>
    <cellStyle name="Comma 8 4 2 15" xfId="13885"/>
    <cellStyle name="Comma 8 4 2 16" xfId="13886"/>
    <cellStyle name="Comma 8 4 2 17" xfId="13887"/>
    <cellStyle name="Comma 8 4 2 18" xfId="13888"/>
    <cellStyle name="Comma 8 4 2 19" xfId="13889"/>
    <cellStyle name="Comma 8 4 2 2" xfId="13890"/>
    <cellStyle name="Comma 8 4 2 20" xfId="13891"/>
    <cellStyle name="Comma 8 4 2 21" xfId="13892"/>
    <cellStyle name="Comma 8 4 2 22" xfId="13893"/>
    <cellStyle name="Comma 8 4 2 23" xfId="13894"/>
    <cellStyle name="Comma 8 4 2 3" xfId="13895"/>
    <cellStyle name="Comma 8 4 2 4" xfId="13896"/>
    <cellStyle name="Comma 8 4 2 5" xfId="13897"/>
    <cellStyle name="Comma 8 4 2 6" xfId="13898"/>
    <cellStyle name="Comma 8 4 2 7" xfId="13899"/>
    <cellStyle name="Comma 8 4 2 8" xfId="13900"/>
    <cellStyle name="Comma 8 4 2 9" xfId="13901"/>
    <cellStyle name="Comma 8 4 20" xfId="13902"/>
    <cellStyle name="Comma 8 4 21" xfId="13903"/>
    <cellStyle name="Comma 8 4 22" xfId="13904"/>
    <cellStyle name="Comma 8 4 23" xfId="13905"/>
    <cellStyle name="Comma 8 4 24" xfId="13906"/>
    <cellStyle name="Comma 8 4 25" xfId="13907"/>
    <cellStyle name="Comma 8 4 26" xfId="13908"/>
    <cellStyle name="Comma 8 4 27" xfId="13909"/>
    <cellStyle name="Comma 8 4 28" xfId="13910"/>
    <cellStyle name="Comma 8 4 29" xfId="13911"/>
    <cellStyle name="Comma 8 4 3" xfId="3094"/>
    <cellStyle name="Comma 8 4 4" xfId="3095"/>
    <cellStyle name="Comma 8 4 5" xfId="3096"/>
    <cellStyle name="Comma 8 4 6" xfId="3097"/>
    <cellStyle name="Comma 8 4 7" xfId="3098"/>
    <cellStyle name="Comma 8 4 8" xfId="3099"/>
    <cellStyle name="Comma 8 4 9" xfId="13912"/>
    <cellStyle name="Comma 8 5" xfId="3100"/>
    <cellStyle name="Comma 8 5 2" xfId="3101"/>
    <cellStyle name="Comma 8 5 3" xfId="3102"/>
    <cellStyle name="Comma 8 5 4" xfId="3103"/>
    <cellStyle name="Comma 8 5 5" xfId="3104"/>
    <cellStyle name="Comma 8 5 6" xfId="3105"/>
    <cellStyle name="Comma 8 5 7" xfId="3106"/>
    <cellStyle name="Comma 8 6" xfId="3107"/>
    <cellStyle name="Comma 8 6 2" xfId="3108"/>
    <cellStyle name="Comma 8 6 3" xfId="3109"/>
    <cellStyle name="Comma 8 6 4" xfId="3110"/>
    <cellStyle name="Comma 8 6 5" xfId="3111"/>
    <cellStyle name="Comma 8 6 6" xfId="3112"/>
    <cellStyle name="Comma 8 6 7" xfId="3113"/>
    <cellStyle name="Comma 8 7" xfId="3114"/>
    <cellStyle name="Comma 8 7 2" xfId="3115"/>
    <cellStyle name="Comma 8 7 3" xfId="3116"/>
    <cellStyle name="Comma 8 7 4" xfId="3117"/>
    <cellStyle name="Comma 8 7 5" xfId="3118"/>
    <cellStyle name="Comma 8 7 6" xfId="3119"/>
    <cellStyle name="Comma 8 7 7" xfId="3120"/>
    <cellStyle name="Comma 8 8" xfId="3121"/>
    <cellStyle name="Comma 8 8 2" xfId="3122"/>
    <cellStyle name="Comma 8 8 3" xfId="3123"/>
    <cellStyle name="Comma 8 8 4" xfId="3124"/>
    <cellStyle name="Comma 8 8 5" xfId="3125"/>
    <cellStyle name="Comma 8 8 6" xfId="3126"/>
    <cellStyle name="Comma 8 8 7" xfId="3127"/>
    <cellStyle name="Comma 8 9" xfId="3128"/>
    <cellStyle name="Comma 9" xfId="3129"/>
    <cellStyle name="Comma 9 10" xfId="13913"/>
    <cellStyle name="Comma 9 11" xfId="13914"/>
    <cellStyle name="Comma 9 12" xfId="13915"/>
    <cellStyle name="Comma 9 13" xfId="13916"/>
    <cellStyle name="Comma 9 14" xfId="13917"/>
    <cellStyle name="Comma 9 15" xfId="13918"/>
    <cellStyle name="Comma 9 16" xfId="13919"/>
    <cellStyle name="Comma 9 17" xfId="13920"/>
    <cellStyle name="Comma 9 18" xfId="13921"/>
    <cellStyle name="Comma 9 19" xfId="13922"/>
    <cellStyle name="Comma 9 2" xfId="3130"/>
    <cellStyle name="Comma 9 20" xfId="13923"/>
    <cellStyle name="Comma 9 21" xfId="13924"/>
    <cellStyle name="Comma 9 22" xfId="13925"/>
    <cellStyle name="Comma 9 23" xfId="13926"/>
    <cellStyle name="Comma 9 24" xfId="13927"/>
    <cellStyle name="Comma 9 25" xfId="13928"/>
    <cellStyle name="Comma 9 26" xfId="13929"/>
    <cellStyle name="Comma 9 27" xfId="13930"/>
    <cellStyle name="Comma 9 3" xfId="3131"/>
    <cellStyle name="Comma 9 3 10" xfId="13931"/>
    <cellStyle name="Comma 9 3 11" xfId="13932"/>
    <cellStyle name="Comma 9 3 12" xfId="13933"/>
    <cellStyle name="Comma 9 3 13" xfId="13934"/>
    <cellStyle name="Comma 9 3 2" xfId="3132"/>
    <cellStyle name="Comma 9 3 2 10" xfId="13935"/>
    <cellStyle name="Comma 9 3 2 11" xfId="13936"/>
    <cellStyle name="Comma 9 3 2 12" xfId="13937"/>
    <cellStyle name="Comma 9 3 2 2" xfId="13938"/>
    <cellStyle name="Comma 9 3 2 3" xfId="13939"/>
    <cellStyle name="Comma 9 3 2 4" xfId="13940"/>
    <cellStyle name="Comma 9 3 2 5" xfId="13941"/>
    <cellStyle name="Comma 9 3 2 6" xfId="13942"/>
    <cellStyle name="Comma 9 3 2 7" xfId="13943"/>
    <cellStyle name="Comma 9 3 2 8" xfId="13944"/>
    <cellStyle name="Comma 9 3 2 9" xfId="13945"/>
    <cellStyle name="Comma 9 3 3" xfId="13946"/>
    <cellStyle name="Comma 9 3 4" xfId="13947"/>
    <cellStyle name="Comma 9 3 5" xfId="13948"/>
    <cellStyle name="Comma 9 3 6" xfId="13949"/>
    <cellStyle name="Comma 9 3 7" xfId="13950"/>
    <cellStyle name="Comma 9 3 8" xfId="13951"/>
    <cellStyle name="Comma 9 3 9" xfId="13952"/>
    <cellStyle name="Comma 9 4" xfId="3133"/>
    <cellStyle name="Comma 9 4 10" xfId="13953"/>
    <cellStyle name="Comma 9 4 11" xfId="13954"/>
    <cellStyle name="Comma 9 4 12" xfId="13955"/>
    <cellStyle name="Comma 9 4 13" xfId="13956"/>
    <cellStyle name="Comma 9 4 14" xfId="13957"/>
    <cellStyle name="Comma 9 4 15" xfId="13958"/>
    <cellStyle name="Comma 9 4 16" xfId="13959"/>
    <cellStyle name="Comma 9 4 17" xfId="13960"/>
    <cellStyle name="Comma 9 4 18" xfId="13961"/>
    <cellStyle name="Comma 9 4 19" xfId="13962"/>
    <cellStyle name="Comma 9 4 2" xfId="3134"/>
    <cellStyle name="Comma 9 4 2 10" xfId="13963"/>
    <cellStyle name="Comma 9 4 2 11" xfId="13964"/>
    <cellStyle name="Comma 9 4 2 12" xfId="13965"/>
    <cellStyle name="Comma 9 4 2 13" xfId="13966"/>
    <cellStyle name="Comma 9 4 2 14" xfId="13967"/>
    <cellStyle name="Comma 9 4 2 15" xfId="13968"/>
    <cellStyle name="Comma 9 4 2 16" xfId="13969"/>
    <cellStyle name="Comma 9 4 2 17" xfId="13970"/>
    <cellStyle name="Comma 9 4 2 18" xfId="13971"/>
    <cellStyle name="Comma 9 4 2 19" xfId="13972"/>
    <cellStyle name="Comma 9 4 2 2" xfId="13973"/>
    <cellStyle name="Comma 9 4 2 20" xfId="13974"/>
    <cellStyle name="Comma 9 4 2 21" xfId="13975"/>
    <cellStyle name="Comma 9 4 2 22" xfId="13976"/>
    <cellStyle name="Comma 9 4 2 23" xfId="13977"/>
    <cellStyle name="Comma 9 4 2 3" xfId="13978"/>
    <cellStyle name="Comma 9 4 2 4" xfId="13979"/>
    <cellStyle name="Comma 9 4 2 5" xfId="13980"/>
    <cellStyle name="Comma 9 4 2 6" xfId="13981"/>
    <cellStyle name="Comma 9 4 2 7" xfId="13982"/>
    <cellStyle name="Comma 9 4 2 8" xfId="13983"/>
    <cellStyle name="Comma 9 4 2 9" xfId="13984"/>
    <cellStyle name="Comma 9 4 20" xfId="13985"/>
    <cellStyle name="Comma 9 4 21" xfId="13986"/>
    <cellStyle name="Comma 9 4 22" xfId="13987"/>
    <cellStyle name="Comma 9 4 23" xfId="13988"/>
    <cellStyle name="Comma 9 4 3" xfId="13989"/>
    <cellStyle name="Comma 9 4 4" xfId="13990"/>
    <cellStyle name="Comma 9 4 5" xfId="13991"/>
    <cellStyle name="Comma 9 4 6" xfId="13992"/>
    <cellStyle name="Comma 9 4 7" xfId="13993"/>
    <cellStyle name="Comma 9 4 8" xfId="13994"/>
    <cellStyle name="Comma 9 4 9" xfId="13995"/>
    <cellStyle name="Comma 9 5" xfId="3135"/>
    <cellStyle name="Comma 9 5 2" xfId="13996"/>
    <cellStyle name="Comma 9 5 3" xfId="13997"/>
    <cellStyle name="Comma 9 5 4" xfId="13998"/>
    <cellStyle name="Comma 9 6" xfId="3136"/>
    <cellStyle name="Comma 9 7" xfId="13999"/>
    <cellStyle name="Comma 9 8" xfId="14000"/>
    <cellStyle name="Comma 9 9" xfId="14001"/>
    <cellStyle name="Comma0" xfId="3137"/>
    <cellStyle name="Currency [0] 10" xfId="3138"/>
    <cellStyle name="Currency [0] 11" xfId="3139"/>
    <cellStyle name="Currency [0] 12" xfId="3140"/>
    <cellStyle name="Currency [0] 13" xfId="3141"/>
    <cellStyle name="Currency [0] 14" xfId="3142"/>
    <cellStyle name="Currency [0] 15" xfId="3143"/>
    <cellStyle name="Currency [0] 16" xfId="3144"/>
    <cellStyle name="Currency [0] 17" xfId="14002"/>
    <cellStyle name="Currency [0] 2" xfId="3145"/>
    <cellStyle name="Currency [0] 2 10" xfId="3146"/>
    <cellStyle name="Currency [0] 2 11" xfId="14003"/>
    <cellStyle name="Currency [0] 2 12" xfId="14004"/>
    <cellStyle name="Currency [0] 2 13" xfId="14005"/>
    <cellStyle name="Currency [0] 2 14" xfId="14006"/>
    <cellStyle name="Currency [0] 2 15" xfId="14007"/>
    <cellStyle name="Currency [0] 2 16" xfId="14008"/>
    <cellStyle name="Currency [0] 2 17" xfId="14009"/>
    <cellStyle name="Currency [0] 2 18" xfId="14010"/>
    <cellStyle name="Currency [0] 2 19" xfId="14011"/>
    <cellStyle name="Currency [0] 2 2" xfId="3147"/>
    <cellStyle name="Currency [0] 2 2 10" xfId="14012"/>
    <cellStyle name="Currency [0] 2 2 11" xfId="14013"/>
    <cellStyle name="Currency [0] 2 2 12" xfId="14014"/>
    <cellStyle name="Currency [0] 2 2 13" xfId="14015"/>
    <cellStyle name="Currency [0] 2 2 14" xfId="14016"/>
    <cellStyle name="Currency [0] 2 2 15" xfId="14017"/>
    <cellStyle name="Currency [0] 2 2 16" xfId="14018"/>
    <cellStyle name="Currency [0] 2 2 17" xfId="14019"/>
    <cellStyle name="Currency [0] 2 2 18" xfId="14020"/>
    <cellStyle name="Currency [0] 2 2 19" xfId="14021"/>
    <cellStyle name="Currency [0] 2 2 2" xfId="14022"/>
    <cellStyle name="Currency [0] 2 2 20" xfId="14023"/>
    <cellStyle name="Currency [0] 2 2 21" xfId="14024"/>
    <cellStyle name="Currency [0] 2 2 22" xfId="14025"/>
    <cellStyle name="Currency [0] 2 2 23" xfId="14026"/>
    <cellStyle name="Currency [0] 2 2 3" xfId="14027"/>
    <cellStyle name="Currency [0] 2 2 4" xfId="14028"/>
    <cellStyle name="Currency [0] 2 2 5" xfId="14029"/>
    <cellStyle name="Currency [0] 2 2 6" xfId="14030"/>
    <cellStyle name="Currency [0] 2 2 7" xfId="14031"/>
    <cellStyle name="Currency [0] 2 2 8" xfId="14032"/>
    <cellStyle name="Currency [0] 2 2 9" xfId="14033"/>
    <cellStyle name="Currency [0] 2 20" xfId="14034"/>
    <cellStyle name="Currency [0] 2 21" xfId="14035"/>
    <cellStyle name="Currency [0] 2 22" xfId="14036"/>
    <cellStyle name="Currency [0] 2 23" xfId="14037"/>
    <cellStyle name="Currency [0] 2 24" xfId="14038"/>
    <cellStyle name="Currency [0] 2 25" xfId="14039"/>
    <cellStyle name="Currency [0] 2 26" xfId="14040"/>
    <cellStyle name="Currency [0] 2 27" xfId="14041"/>
    <cellStyle name="Currency [0] 2 28" xfId="14042"/>
    <cellStyle name="Currency [0] 2 29" xfId="14043"/>
    <cellStyle name="Currency [0] 2 3" xfId="3148"/>
    <cellStyle name="Currency [0] 2 30" xfId="14044"/>
    <cellStyle name="Currency [0] 2 31" xfId="14045"/>
    <cellStyle name="Currency [0] 2 4" xfId="3149"/>
    <cellStyle name="Currency [0] 2 5" xfId="3150"/>
    <cellStyle name="Currency [0] 2 6" xfId="3151"/>
    <cellStyle name="Currency [0] 2 7" xfId="3152"/>
    <cellStyle name="Currency [0] 2 8" xfId="3153"/>
    <cellStyle name="Currency [0] 2 9" xfId="3154"/>
    <cellStyle name="Currency [0] 3" xfId="3155"/>
    <cellStyle name="Currency [0] 3 10" xfId="14046"/>
    <cellStyle name="Currency [0] 3 11" xfId="14047"/>
    <cellStyle name="Currency [0] 3 12" xfId="14048"/>
    <cellStyle name="Currency [0] 3 13" xfId="14049"/>
    <cellStyle name="Currency [0] 3 14" xfId="14050"/>
    <cellStyle name="Currency [0] 3 15" xfId="14051"/>
    <cellStyle name="Currency [0] 3 16" xfId="14052"/>
    <cellStyle name="Currency [0] 3 17" xfId="14053"/>
    <cellStyle name="Currency [0] 3 18" xfId="14054"/>
    <cellStyle name="Currency [0] 3 19" xfId="14055"/>
    <cellStyle name="Currency [0] 3 2" xfId="14056"/>
    <cellStyle name="Currency [0] 3 20" xfId="14057"/>
    <cellStyle name="Currency [0] 3 21" xfId="14058"/>
    <cellStyle name="Currency [0] 3 22" xfId="14059"/>
    <cellStyle name="Currency [0] 3 23" xfId="14060"/>
    <cellStyle name="Currency [0] 3 3" xfId="14061"/>
    <cellStyle name="Currency [0] 3 4" xfId="14062"/>
    <cellStyle name="Currency [0] 3 5" xfId="14063"/>
    <cellStyle name="Currency [0] 3 6" xfId="14064"/>
    <cellStyle name="Currency [0] 3 7" xfId="14065"/>
    <cellStyle name="Currency [0] 3 8" xfId="14066"/>
    <cellStyle name="Currency [0] 3 9" xfId="14067"/>
    <cellStyle name="Currency [0] 4" xfId="3156"/>
    <cellStyle name="Currency [0] 4 10" xfId="14068"/>
    <cellStyle name="Currency [0] 4 11" xfId="14069"/>
    <cellStyle name="Currency [0] 4 12" xfId="14070"/>
    <cellStyle name="Currency [0] 4 13" xfId="14071"/>
    <cellStyle name="Currency [0] 4 14" xfId="14072"/>
    <cellStyle name="Currency [0] 4 15" xfId="14073"/>
    <cellStyle name="Currency [0] 4 16" xfId="14074"/>
    <cellStyle name="Currency [0] 4 17" xfId="14075"/>
    <cellStyle name="Currency [0] 4 18" xfId="14076"/>
    <cellStyle name="Currency [0] 4 19" xfId="14077"/>
    <cellStyle name="Currency [0] 4 2" xfId="14078"/>
    <cellStyle name="Currency [0] 4 20" xfId="14079"/>
    <cellStyle name="Currency [0] 4 21" xfId="14080"/>
    <cellStyle name="Currency [0] 4 22" xfId="14081"/>
    <cellStyle name="Currency [0] 4 23" xfId="14082"/>
    <cellStyle name="Currency [0] 4 3" xfId="14083"/>
    <cellStyle name="Currency [0] 4 4" xfId="14084"/>
    <cellStyle name="Currency [0] 4 5" xfId="14085"/>
    <cellStyle name="Currency [0] 4 6" xfId="14086"/>
    <cellStyle name="Currency [0] 4 7" xfId="14087"/>
    <cellStyle name="Currency [0] 4 8" xfId="14088"/>
    <cellStyle name="Currency [0] 4 9" xfId="14089"/>
    <cellStyle name="Currency [0] 5" xfId="3157"/>
    <cellStyle name="Currency [0] 5 10" xfId="14090"/>
    <cellStyle name="Currency [0] 5 11" xfId="14091"/>
    <cellStyle name="Currency [0] 5 12" xfId="14092"/>
    <cellStyle name="Currency [0] 5 13" xfId="14093"/>
    <cellStyle name="Currency [0] 5 14" xfId="14094"/>
    <cellStyle name="Currency [0] 5 15" xfId="14095"/>
    <cellStyle name="Currency [0] 5 16" xfId="14096"/>
    <cellStyle name="Currency [0] 5 17" xfId="14097"/>
    <cellStyle name="Currency [0] 5 18" xfId="14098"/>
    <cellStyle name="Currency [0] 5 19" xfId="14099"/>
    <cellStyle name="Currency [0] 5 2" xfId="14100"/>
    <cellStyle name="Currency [0] 5 20" xfId="14101"/>
    <cellStyle name="Currency [0] 5 21" xfId="14102"/>
    <cellStyle name="Currency [0] 5 22" xfId="14103"/>
    <cellStyle name="Currency [0] 5 23" xfId="14104"/>
    <cellStyle name="Currency [0] 5 3" xfId="14105"/>
    <cellStyle name="Currency [0] 5 4" xfId="14106"/>
    <cellStyle name="Currency [0] 5 5" xfId="14107"/>
    <cellStyle name="Currency [0] 5 6" xfId="14108"/>
    <cellStyle name="Currency [0] 5 7" xfId="14109"/>
    <cellStyle name="Currency [0] 5 8" xfId="14110"/>
    <cellStyle name="Currency [0] 5 9" xfId="14111"/>
    <cellStyle name="Currency [0] 6" xfId="3158"/>
    <cellStyle name="Currency [0] 7" xfId="3159"/>
    <cellStyle name="Currency [0] 8" xfId="3160"/>
    <cellStyle name="Currency [0] 9" xfId="3161"/>
    <cellStyle name="Currency 2" xfId="3162"/>
    <cellStyle name="Currency 2 2" xfId="28333"/>
    <cellStyle name="Currency 3" xfId="3163"/>
    <cellStyle name="Currency 3 2" xfId="14112"/>
    <cellStyle name="Currency 3 3" xfId="14113"/>
    <cellStyle name="Currency 3 4" xfId="14114"/>
    <cellStyle name="Currency0" xfId="3164"/>
    <cellStyle name="Date" xfId="3165"/>
    <cellStyle name="Euro" xfId="3166"/>
    <cellStyle name="Excel Built-in Excel Built-in Comma [0]" xfId="3167"/>
    <cellStyle name="Excel Built-in Normal" xfId="3168"/>
    <cellStyle name="Explanatory Text 10" xfId="3169"/>
    <cellStyle name="Explanatory Text 11" xfId="3170"/>
    <cellStyle name="Explanatory Text 12" xfId="3171"/>
    <cellStyle name="Explanatory Text 13" xfId="3172"/>
    <cellStyle name="Explanatory Text 14" xfId="3173"/>
    <cellStyle name="Explanatory Text 15" xfId="3174"/>
    <cellStyle name="Explanatory Text 16" xfId="3175"/>
    <cellStyle name="Explanatory Text 17" xfId="3176"/>
    <cellStyle name="Explanatory Text 18" xfId="3177"/>
    <cellStyle name="Explanatory Text 19" xfId="3178"/>
    <cellStyle name="Explanatory Text 2" xfId="3179"/>
    <cellStyle name="Explanatory Text 2 2" xfId="3180"/>
    <cellStyle name="Explanatory Text 2 3" xfId="3181"/>
    <cellStyle name="Explanatory Text 2 4" xfId="3182"/>
    <cellStyle name="Explanatory Text 2 5" xfId="3183"/>
    <cellStyle name="Explanatory Text 2 6" xfId="3184"/>
    <cellStyle name="Explanatory Text 20" xfId="3185"/>
    <cellStyle name="Explanatory Text 21" xfId="3186"/>
    <cellStyle name="Explanatory Text 22" xfId="3187"/>
    <cellStyle name="Explanatory Text 23" xfId="3188"/>
    <cellStyle name="Explanatory Text 24" xfId="3189"/>
    <cellStyle name="Explanatory Text 25" xfId="3190"/>
    <cellStyle name="Explanatory Text 26" xfId="3191"/>
    <cellStyle name="Explanatory Text 27" xfId="3192"/>
    <cellStyle name="Explanatory Text 28" xfId="3193"/>
    <cellStyle name="Explanatory Text 29" xfId="3194"/>
    <cellStyle name="Explanatory Text 3" xfId="3195"/>
    <cellStyle name="Explanatory Text 30" xfId="3196"/>
    <cellStyle name="Explanatory Text 31" xfId="3197"/>
    <cellStyle name="Explanatory Text 32" xfId="3198"/>
    <cellStyle name="Explanatory Text 33" xfId="3199"/>
    <cellStyle name="Explanatory Text 34" xfId="3200"/>
    <cellStyle name="Explanatory Text 35" xfId="3201"/>
    <cellStyle name="Explanatory Text 36" xfId="3202"/>
    <cellStyle name="Explanatory Text 37" xfId="3203"/>
    <cellStyle name="Explanatory Text 38" xfId="3204"/>
    <cellStyle name="Explanatory Text 39" xfId="3205"/>
    <cellStyle name="Explanatory Text 4" xfId="3206"/>
    <cellStyle name="Explanatory Text 40" xfId="3207"/>
    <cellStyle name="Explanatory Text 41" xfId="3208"/>
    <cellStyle name="Explanatory Text 42" xfId="3209"/>
    <cellStyle name="Explanatory Text 43" xfId="3210"/>
    <cellStyle name="Explanatory Text 44" xfId="3211"/>
    <cellStyle name="Explanatory Text 45" xfId="3212"/>
    <cellStyle name="Explanatory Text 46" xfId="3213"/>
    <cellStyle name="Explanatory Text 47" xfId="3214"/>
    <cellStyle name="Explanatory Text 48" xfId="3215"/>
    <cellStyle name="Explanatory Text 49" xfId="3216"/>
    <cellStyle name="Explanatory Text 5" xfId="3217"/>
    <cellStyle name="Explanatory Text 50" xfId="3218"/>
    <cellStyle name="Explanatory Text 51" xfId="3219"/>
    <cellStyle name="Explanatory Text 52" xfId="3220"/>
    <cellStyle name="Explanatory Text 6" xfId="3221"/>
    <cellStyle name="Explanatory Text 7" xfId="3222"/>
    <cellStyle name="Explanatory Text 8" xfId="3223"/>
    <cellStyle name="Explanatory Text 9" xfId="3224"/>
    <cellStyle name="Fixed" xfId="3225"/>
    <cellStyle name="Followed Hyperlink" xfId="28344" builtinId="9" hidden="1"/>
    <cellStyle name="Followed Hyperlink" xfId="28346" builtinId="9" hidden="1"/>
    <cellStyle name="Followed Hyperlink" xfId="28348" builtinId="9" hidden="1"/>
    <cellStyle name="Followed Hyperlink" xfId="28350" builtinId="9" hidden="1"/>
    <cellStyle name="Followed Hyperlink" xfId="28352" builtinId="9" hidden="1"/>
    <cellStyle name="Followed Hyperlink" xfId="28354" builtinId="9" hidden="1"/>
    <cellStyle name="Followed Hyperlink" xfId="28356" builtinId="9" hidden="1"/>
    <cellStyle name="Followed Hyperlink" xfId="28358" builtinId="9" hidden="1"/>
    <cellStyle name="Followed Hyperlink" xfId="28360" builtinId="9" hidden="1"/>
    <cellStyle name="Followed Hyperlink" xfId="28362" builtinId="9" hidden="1"/>
    <cellStyle name="Followed Hyperlink" xfId="28364" builtinId="9" hidden="1"/>
    <cellStyle name="Followed Hyperlink" xfId="28366" builtinId="9" hidden="1"/>
    <cellStyle name="Followed Hyperlink" xfId="28368" builtinId="9" hidden="1"/>
    <cellStyle name="Followed Hyperlink" xfId="28370" builtinId="9" hidden="1"/>
    <cellStyle name="Followed Hyperlink" xfId="28372" builtinId="9" hidden="1"/>
    <cellStyle name="Followed Hyperlink" xfId="28374" builtinId="9" hidden="1"/>
    <cellStyle name="Followed Hyperlink" xfId="28376" builtinId="9" hidden="1"/>
    <cellStyle name="Followed Hyperlink" xfId="28378" builtinId="9" hidden="1"/>
    <cellStyle name="Followed Hyperlink" xfId="28380" builtinId="9" hidden="1"/>
    <cellStyle name="Followed Hyperlink" xfId="28382" builtinId="9" hidden="1"/>
    <cellStyle name="Followed Hyperlink" xfId="28384" builtinId="9" hidden="1"/>
    <cellStyle name="Followed Hyperlink" xfId="28386" builtinId="9" hidden="1"/>
    <cellStyle name="Followed Hyperlink" xfId="28388" builtinId="9" hidden="1"/>
    <cellStyle name="Followed Hyperlink" xfId="28390" builtinId="9" hidden="1"/>
    <cellStyle name="Followed Hyperlink" xfId="28392" builtinId="9" hidden="1"/>
    <cellStyle name="Followed Hyperlink" xfId="28394" builtinId="9" hidden="1"/>
    <cellStyle name="Followed Hyperlink" xfId="28396" builtinId="9" hidden="1"/>
    <cellStyle name="Followed Hyperlink" xfId="28398" builtinId="9" hidden="1"/>
    <cellStyle name="Followed Hyperlink" xfId="28400" builtinId="9" hidden="1"/>
    <cellStyle name="Followed Hyperlink" xfId="28402" builtinId="9" hidden="1"/>
    <cellStyle name="Followed Hyperlink" xfId="28404" builtinId="9" hidden="1"/>
    <cellStyle name="Followed Hyperlink" xfId="28406" builtinId="9" hidden="1"/>
    <cellStyle name="Followed Hyperlink" xfId="28408" builtinId="9" hidden="1"/>
    <cellStyle name="Followed Hyperlink" xfId="28410" builtinId="9" hidden="1"/>
    <cellStyle name="Followed Hyperlink" xfId="28412" builtinId="9" hidden="1"/>
    <cellStyle name="Followed Hyperlink" xfId="28414" builtinId="9" hidden="1"/>
    <cellStyle name="Followed Hyperlink" xfId="28416" builtinId="9" hidden="1"/>
    <cellStyle name="Followed Hyperlink" xfId="28418" builtinId="9" hidden="1"/>
    <cellStyle name="Followed Hyperlink" xfId="28420" builtinId="9" hidden="1"/>
    <cellStyle name="Followed Hyperlink" xfId="28422" builtinId="9" hidden="1"/>
    <cellStyle name="Followed Hyperlink" xfId="28424" builtinId="9" hidden="1"/>
    <cellStyle name="Followed Hyperlink" xfId="28426" builtinId="9" hidden="1"/>
    <cellStyle name="Followed Hyperlink" xfId="28428" builtinId="9" hidden="1"/>
    <cellStyle name="Followed Hyperlink" xfId="28430" builtinId="9" hidden="1"/>
    <cellStyle name="Followed Hyperlink" xfId="28432" builtinId="9" hidden="1"/>
    <cellStyle name="Followed Hyperlink" xfId="28434" builtinId="9" hidden="1"/>
    <cellStyle name="Followed Hyperlink" xfId="28436" builtinId="9" hidden="1"/>
    <cellStyle name="Followed Hyperlink" xfId="28438" builtinId="9" hidden="1"/>
    <cellStyle name="Followed Hyperlink" xfId="28440" builtinId="9" hidden="1"/>
    <cellStyle name="Followed Hyperlink" xfId="28442" builtinId="9" hidden="1"/>
    <cellStyle name="Followed Hyperlink" xfId="28444" builtinId="9" hidden="1"/>
    <cellStyle name="Followed Hyperlink" xfId="28446" builtinId="9" hidden="1"/>
    <cellStyle name="Followed Hyperlink" xfId="28448" builtinId="9" hidden="1"/>
    <cellStyle name="Followed Hyperlink" xfId="28450" builtinId="9" hidden="1"/>
    <cellStyle name="Followed Hyperlink" xfId="28452" builtinId="9" hidden="1"/>
    <cellStyle name="Followed Hyperlink" xfId="28454" builtinId="9" hidden="1"/>
    <cellStyle name="Followed Hyperlink" xfId="28456" builtinId="9" hidden="1"/>
    <cellStyle name="Followed Hyperlink" xfId="28458" builtinId="9" hidden="1"/>
    <cellStyle name="Followed Hyperlink" xfId="28460" builtinId="9" hidden="1"/>
    <cellStyle name="Followed Hyperlink" xfId="28462" builtinId="9" hidden="1"/>
    <cellStyle name="Followed Hyperlink" xfId="28464" builtinId="9" hidden="1"/>
    <cellStyle name="Followed Hyperlink" xfId="28466" builtinId="9" hidden="1"/>
    <cellStyle name="Followed Hyperlink" xfId="28468" builtinId="9" hidden="1"/>
    <cellStyle name="Followed Hyperlink" xfId="28470" builtinId="9" hidden="1"/>
    <cellStyle name="Followed Hyperlink" xfId="28472" builtinId="9" hidden="1"/>
    <cellStyle name="Followed Hyperlink" xfId="28474" builtinId="9" hidden="1"/>
    <cellStyle name="Followed Hyperlink" xfId="28476" builtinId="9" hidden="1"/>
    <cellStyle name="Followed Hyperlink" xfId="28478" builtinId="9" hidden="1"/>
    <cellStyle name="Followed Hyperlink" xfId="28480" builtinId="9" hidden="1"/>
    <cellStyle name="Followed Hyperlink" xfId="28482" builtinId="9" hidden="1"/>
    <cellStyle name="Followed Hyperlink" xfId="28484" builtinId="9" hidden="1"/>
    <cellStyle name="Followed Hyperlink" xfId="28486" builtinId="9" hidden="1"/>
    <cellStyle name="Followed Hyperlink" xfId="28488" builtinId="9" hidden="1"/>
    <cellStyle name="Followed Hyperlink" xfId="28490" builtinId="9" hidden="1"/>
    <cellStyle name="Followed Hyperlink" xfId="28492" builtinId="9" hidden="1"/>
    <cellStyle name="Followed Hyperlink" xfId="28494" builtinId="9" hidden="1"/>
    <cellStyle name="Followed Hyperlink" xfId="28496" builtinId="9" hidden="1"/>
    <cellStyle name="Followed Hyperlink" xfId="28498" builtinId="9" hidden="1"/>
    <cellStyle name="Followed Hyperlink" xfId="28500" builtinId="9" hidden="1"/>
    <cellStyle name="Followed Hyperlink" xfId="28502" builtinId="9" hidden="1"/>
    <cellStyle name="Followed Hyperlink" xfId="28504" builtinId="9" hidden="1"/>
    <cellStyle name="Followed Hyperlink" xfId="28506" builtinId="9" hidden="1"/>
    <cellStyle name="Followed Hyperlink" xfId="28508" builtinId="9" hidden="1"/>
    <cellStyle name="Followed Hyperlink" xfId="28510" builtinId="9" hidden="1"/>
    <cellStyle name="Followed Hyperlink" xfId="28512" builtinId="9" hidden="1"/>
    <cellStyle name="Followed Hyperlink" xfId="28514" builtinId="9" hidden="1"/>
    <cellStyle name="Followed Hyperlink" xfId="28516" builtinId="9" hidden="1"/>
    <cellStyle name="Followed Hyperlink" xfId="28518" builtinId="9" hidden="1"/>
    <cellStyle name="Followed Hyperlink" xfId="28520" builtinId="9" hidden="1"/>
    <cellStyle name="Followed Hyperlink" xfId="28522" builtinId="9" hidden="1"/>
    <cellStyle name="Followed Hyperlink" xfId="28524" builtinId="9" hidden="1"/>
    <cellStyle name="Followed Hyperlink" xfId="28526" builtinId="9" hidden="1"/>
    <cellStyle name="Followed Hyperlink" xfId="28528" builtinId="9" hidden="1"/>
    <cellStyle name="Followed Hyperlink" xfId="28530" builtinId="9" hidden="1"/>
    <cellStyle name="Followed Hyperlink" xfId="28532" builtinId="9" hidden="1"/>
    <cellStyle name="Followed Hyperlink" xfId="28534" builtinId="9" hidden="1"/>
    <cellStyle name="Followed Hyperlink" xfId="28536" builtinId="9" hidden="1"/>
    <cellStyle name="Followed Hyperlink" xfId="28538" builtinId="9" hidden="1"/>
    <cellStyle name="Followed Hyperlink" xfId="28540" builtinId="9" hidden="1"/>
    <cellStyle name="Followed Hyperlink" xfId="28542" builtinId="9" hidden="1"/>
    <cellStyle name="Followed Hyperlink" xfId="28544" builtinId="9" hidden="1"/>
    <cellStyle name="Followed Hyperlink" xfId="28546" builtinId="9" hidden="1"/>
    <cellStyle name="Followed Hyperlink" xfId="28548" builtinId="9" hidden="1"/>
    <cellStyle name="Followed Hyperlink" xfId="28550" builtinId="9" hidden="1"/>
    <cellStyle name="Followed Hyperlink" xfId="28552" builtinId="9" hidden="1"/>
    <cellStyle name="Followed Hyperlink" xfId="28554" builtinId="9" hidden="1"/>
    <cellStyle name="Followed Hyperlink" xfId="28556" builtinId="9" hidden="1"/>
    <cellStyle name="Followed Hyperlink" xfId="28558" builtinId="9" hidden="1"/>
    <cellStyle name="Followed Hyperlink" xfId="28560" builtinId="9" hidden="1"/>
    <cellStyle name="Followed Hyperlink" xfId="28562" builtinId="9" hidden="1"/>
    <cellStyle name="Followed Hyperlink" xfId="28564" builtinId="9" hidden="1"/>
    <cellStyle name="Followed Hyperlink" xfId="28566" builtinId="9" hidden="1"/>
    <cellStyle name="Followed Hyperlink" xfId="28568" builtinId="9" hidden="1"/>
    <cellStyle name="Followed Hyperlink" xfId="28570" builtinId="9" hidden="1"/>
    <cellStyle name="Followed Hyperlink" xfId="28572" builtinId="9" hidden="1"/>
    <cellStyle name="Followed Hyperlink" xfId="28574" builtinId="9" hidden="1"/>
    <cellStyle name="Followed Hyperlink" xfId="28576" builtinId="9" hidden="1"/>
    <cellStyle name="Followed Hyperlink" xfId="28578" builtinId="9" hidden="1"/>
    <cellStyle name="Followed Hyperlink" xfId="28580" builtinId="9" hidden="1"/>
    <cellStyle name="Followed Hyperlink" xfId="28582" builtinId="9" hidden="1"/>
    <cellStyle name="Followed Hyperlink" xfId="28584" builtinId="9" hidden="1"/>
    <cellStyle name="Followed Hyperlink" xfId="28586" builtinId="9" hidden="1"/>
    <cellStyle name="Followed Hyperlink" xfId="28588" builtinId="9" hidden="1"/>
    <cellStyle name="Followed Hyperlink" xfId="28590" builtinId="9" hidden="1"/>
    <cellStyle name="Followed Hyperlink" xfId="28592" builtinId="9" hidden="1"/>
    <cellStyle name="Followed Hyperlink" xfId="28594" builtinId="9" hidden="1"/>
    <cellStyle name="Followed Hyperlink" xfId="28596" builtinId="9" hidden="1"/>
    <cellStyle name="Followed Hyperlink" xfId="28598" builtinId="9" hidden="1"/>
    <cellStyle name="Followed Hyperlink" xfId="28600" builtinId="9" hidden="1"/>
    <cellStyle name="Followed Hyperlink" xfId="28602" builtinId="9" hidden="1"/>
    <cellStyle name="Followed Hyperlink" xfId="28604" builtinId="9" hidden="1"/>
    <cellStyle name="Followed Hyperlink" xfId="28606" builtinId="9" hidden="1"/>
    <cellStyle name="Followed Hyperlink" xfId="28608" builtinId="9" hidden="1"/>
    <cellStyle name="Followed Hyperlink" xfId="28610" builtinId="9" hidden="1"/>
    <cellStyle name="Followed Hyperlink" xfId="28612" builtinId="9" hidden="1"/>
    <cellStyle name="Followed Hyperlink" xfId="28614" builtinId="9" hidden="1"/>
    <cellStyle name="Followed Hyperlink" xfId="28616" builtinId="9" hidden="1"/>
    <cellStyle name="Followed Hyperlink" xfId="28618" builtinId="9" hidden="1"/>
    <cellStyle name="Followed Hyperlink" xfId="28620" builtinId="9" hidden="1"/>
    <cellStyle name="Followed Hyperlink" xfId="28622" builtinId="9" hidden="1"/>
    <cellStyle name="Followed Hyperlink" xfId="28624" builtinId="9" hidden="1"/>
    <cellStyle name="Followed Hyperlink" xfId="28626" builtinId="9" hidden="1"/>
    <cellStyle name="Followed Hyperlink" xfId="28628" builtinId="9" hidden="1"/>
    <cellStyle name="Followed Hyperlink" xfId="28630" builtinId="9" hidden="1"/>
    <cellStyle name="Followed Hyperlink" xfId="28633" builtinId="9" hidden="1"/>
    <cellStyle name="Followed Hyperlink" xfId="28635" builtinId="9" hidden="1"/>
    <cellStyle name="Followed Hyperlink" xfId="28637" builtinId="9" hidden="1"/>
    <cellStyle name="Followed Hyperlink" xfId="28639" builtinId="9" hidden="1"/>
    <cellStyle name="Followed Hyperlink" xfId="28641" builtinId="9" hidden="1"/>
    <cellStyle name="Followed Hyperlink" xfId="28643" builtinId="9" hidden="1"/>
    <cellStyle name="Followed Hyperlink" xfId="28645" builtinId="9" hidden="1"/>
    <cellStyle name="Followed Hyperlink" xfId="28647" builtinId="9" hidden="1"/>
    <cellStyle name="Followed Hyperlink" xfId="28649" builtinId="9" hidden="1"/>
    <cellStyle name="Followed Hyperlink" xfId="28651" builtinId="9" hidden="1"/>
    <cellStyle name="Followed Hyperlink" xfId="28653" builtinId="9" hidden="1"/>
    <cellStyle name="Followed Hyperlink" xfId="28655" builtinId="9" hidden="1"/>
    <cellStyle name="Followed Hyperlink" xfId="28657" builtinId="9" hidden="1"/>
    <cellStyle name="Followed Hyperlink" xfId="28659" builtinId="9" hidden="1"/>
    <cellStyle name="Followed Hyperlink" xfId="28661" builtinId="9" hidden="1"/>
    <cellStyle name="Followed Hyperlink" xfId="28663" builtinId="9" hidden="1"/>
    <cellStyle name="Followed Hyperlink" xfId="28665" builtinId="9" hidden="1"/>
    <cellStyle name="Followed Hyperlink" xfId="28667" builtinId="9" hidden="1"/>
    <cellStyle name="Followed Hyperlink" xfId="28669" builtinId="9" hidden="1"/>
    <cellStyle name="Followed Hyperlink" xfId="28671" builtinId="9" hidden="1"/>
    <cellStyle name="Followed Hyperlink" xfId="28673" builtinId="9" hidden="1"/>
    <cellStyle name="Followed Hyperlink" xfId="28675" builtinId="9" hidden="1"/>
    <cellStyle name="Followed Hyperlink" xfId="28677" builtinId="9" hidden="1"/>
    <cellStyle name="Followed Hyperlink" xfId="28679" builtinId="9" hidden="1"/>
    <cellStyle name="Followed Hyperlink" xfId="28681" builtinId="9" hidden="1"/>
    <cellStyle name="Followed Hyperlink" xfId="28683" builtinId="9" hidden="1"/>
    <cellStyle name="Followed Hyperlink" xfId="28685" builtinId="9" hidden="1"/>
    <cellStyle name="Followed Hyperlink" xfId="28687" builtinId="9" hidden="1"/>
    <cellStyle name="Followed Hyperlink" xfId="28689" builtinId="9" hidden="1"/>
    <cellStyle name="Followed Hyperlink" xfId="28691" builtinId="9" hidden="1"/>
    <cellStyle name="Followed Hyperlink" xfId="28693" builtinId="9" hidden="1"/>
    <cellStyle name="Followed Hyperlink" xfId="28695" builtinId="9" hidden="1"/>
    <cellStyle name="Followed Hyperlink" xfId="28697" builtinId="9" hidden="1"/>
    <cellStyle name="Followed Hyperlink" xfId="28699" builtinId="9" hidden="1"/>
    <cellStyle name="Followed Hyperlink" xfId="28701" builtinId="9" hidden="1"/>
    <cellStyle name="Followed Hyperlink" xfId="28703" builtinId="9" hidden="1"/>
    <cellStyle name="Followed Hyperlink" xfId="28705" builtinId="9" hidden="1"/>
    <cellStyle name="Followed Hyperlink" xfId="28707" builtinId="9" hidden="1"/>
    <cellStyle name="Followed Hyperlink" xfId="28709" builtinId="9" hidden="1"/>
    <cellStyle name="Followed Hyperlink" xfId="28711" builtinId="9" hidden="1"/>
    <cellStyle name="Followed Hyperlink" xfId="28713" builtinId="9" hidden="1"/>
    <cellStyle name="Followed Hyperlink" xfId="28715" builtinId="9" hidden="1"/>
    <cellStyle name="Followed Hyperlink" xfId="28717" builtinId="9" hidden="1"/>
    <cellStyle name="Followed Hyperlink" xfId="28719" builtinId="9" hidden="1"/>
    <cellStyle name="Followed Hyperlink" xfId="28721" builtinId="9" hidden="1"/>
    <cellStyle name="Followed Hyperlink" xfId="28723" builtinId="9" hidden="1"/>
    <cellStyle name="Followed Hyperlink" xfId="28725" builtinId="9" hidden="1"/>
    <cellStyle name="Followed Hyperlink" xfId="28727" builtinId="9" hidden="1"/>
    <cellStyle name="Followed Hyperlink" xfId="28730" builtinId="9" hidden="1"/>
    <cellStyle name="Followed Hyperlink" xfId="28732" builtinId="9" hidden="1"/>
    <cellStyle name="Followed Hyperlink" xfId="28734" builtinId="9" hidden="1"/>
    <cellStyle name="Followed Hyperlink" xfId="28736" builtinId="9" hidden="1"/>
    <cellStyle name="Followed Hyperlink" xfId="28738" builtinId="9" hidden="1"/>
    <cellStyle name="Followed Hyperlink" xfId="28740" builtinId="9" hidden="1"/>
    <cellStyle name="Followed Hyperlink" xfId="28742" builtinId="9" hidden="1"/>
    <cellStyle name="Followed Hyperlink" xfId="28744" builtinId="9" hidden="1"/>
    <cellStyle name="Followed Hyperlink" xfId="28746" builtinId="9" hidden="1"/>
    <cellStyle name="Followed Hyperlink" xfId="28748" builtinId="9" hidden="1"/>
    <cellStyle name="Followed Hyperlink" xfId="28750" builtinId="9" hidden="1"/>
    <cellStyle name="Followed Hyperlink" xfId="28752" builtinId="9" hidden="1"/>
    <cellStyle name="Followed Hyperlink" xfId="28754" builtinId="9" hidden="1"/>
    <cellStyle name="Followed Hyperlink" xfId="28756" builtinId="9" hidden="1"/>
    <cellStyle name="Followed Hyperlink" xfId="28758" builtinId="9" hidden="1"/>
    <cellStyle name="Followed Hyperlink" xfId="28760" builtinId="9" hidden="1"/>
    <cellStyle name="Followed Hyperlink" xfId="28762" builtinId="9" hidden="1"/>
    <cellStyle name="Followed Hyperlink" xfId="28764" builtinId="9" hidden="1"/>
    <cellStyle name="Followed Hyperlink" xfId="28766" builtinId="9" hidden="1"/>
    <cellStyle name="Followed Hyperlink" xfId="28768" builtinId="9" hidden="1"/>
    <cellStyle name="Followed Hyperlink" xfId="28770" builtinId="9" hidden="1"/>
    <cellStyle name="Followed Hyperlink" xfId="28772" builtinId="9" hidden="1"/>
    <cellStyle name="Followed Hyperlink" xfId="28774" builtinId="9" hidden="1"/>
    <cellStyle name="Followed Hyperlink" xfId="28776" builtinId="9" hidden="1"/>
    <cellStyle name="Followed Hyperlink" xfId="28778" builtinId="9" hidden="1"/>
    <cellStyle name="Followed Hyperlink" xfId="28780" builtinId="9" hidden="1"/>
    <cellStyle name="Followed Hyperlink" xfId="28782" builtinId="9" hidden="1"/>
    <cellStyle name="Followed Hyperlink" xfId="28784" builtinId="9" hidden="1"/>
    <cellStyle name="Followed Hyperlink" xfId="28786" builtinId="9" hidden="1"/>
    <cellStyle name="Followed Hyperlink" xfId="28788" builtinId="9" hidden="1"/>
    <cellStyle name="Followed Hyperlink" xfId="28790" builtinId="9" hidden="1"/>
    <cellStyle name="Followed Hyperlink" xfId="28792" builtinId="9" hidden="1"/>
    <cellStyle name="Followed Hyperlink" xfId="28794" builtinId="9" hidden="1"/>
    <cellStyle name="Followed Hyperlink" xfId="28796" builtinId="9" hidden="1"/>
    <cellStyle name="Followed Hyperlink" xfId="28798" builtinId="9" hidden="1"/>
    <cellStyle name="Followed Hyperlink" xfId="28800" builtinId="9" hidden="1"/>
    <cellStyle name="Followed Hyperlink" xfId="28802" builtinId="9" hidden="1"/>
    <cellStyle name="Followed Hyperlink" xfId="28804" builtinId="9" hidden="1"/>
    <cellStyle name="Followed Hyperlink" xfId="28806" builtinId="9" hidden="1"/>
    <cellStyle name="Followed Hyperlink" xfId="28808" builtinId="9" hidden="1"/>
    <cellStyle name="Followed Hyperlink" xfId="28810" builtinId="9" hidden="1"/>
    <cellStyle name="Followed Hyperlink" xfId="28812" builtinId="9" hidden="1"/>
    <cellStyle name="Followed Hyperlink" xfId="28814" builtinId="9" hidden="1"/>
    <cellStyle name="Followed Hyperlink" xfId="28816" builtinId="9" hidden="1"/>
    <cellStyle name="Followed Hyperlink" xfId="28818" builtinId="9" hidden="1"/>
    <cellStyle name="Followed Hyperlink" xfId="28820" builtinId="9" hidden="1"/>
    <cellStyle name="Followed Hyperlink" xfId="28822" builtinId="9" hidden="1"/>
    <cellStyle name="Followed Hyperlink" xfId="28824" builtinId="9" hidden="1"/>
    <cellStyle name="Followed Hyperlink" xfId="28827" builtinId="9" hidden="1"/>
    <cellStyle name="Followed Hyperlink" xfId="28829" builtinId="9" hidden="1"/>
    <cellStyle name="Followed Hyperlink" xfId="28831" builtinId="9" hidden="1"/>
    <cellStyle name="Followed Hyperlink" xfId="28833" builtinId="9" hidden="1"/>
    <cellStyle name="Followed Hyperlink" xfId="28835" builtinId="9" hidden="1"/>
    <cellStyle name="Followed Hyperlink" xfId="28837" builtinId="9" hidden="1"/>
    <cellStyle name="Followed Hyperlink" xfId="28839" builtinId="9" hidden="1"/>
    <cellStyle name="Followed Hyperlink" xfId="28841" builtinId="9" hidden="1"/>
    <cellStyle name="Followed Hyperlink" xfId="28843" builtinId="9" hidden="1"/>
    <cellStyle name="Followed Hyperlink" xfId="28845" builtinId="9" hidden="1"/>
    <cellStyle name="Followed Hyperlink" xfId="28847" builtinId="9" hidden="1"/>
    <cellStyle name="Followed Hyperlink" xfId="28849" builtinId="9" hidden="1"/>
    <cellStyle name="Followed Hyperlink" xfId="28851" builtinId="9" hidden="1"/>
    <cellStyle name="Followed Hyperlink" xfId="28853" builtinId="9" hidden="1"/>
    <cellStyle name="Followed Hyperlink" xfId="28855" builtinId="9" hidden="1"/>
    <cellStyle name="Followed Hyperlink" xfId="28857" builtinId="9" hidden="1"/>
    <cellStyle name="Followed Hyperlink" xfId="28859" builtinId="9" hidden="1"/>
    <cellStyle name="Followed Hyperlink" xfId="28861" builtinId="9" hidden="1"/>
    <cellStyle name="Followed Hyperlink" xfId="28863" builtinId="9" hidden="1"/>
    <cellStyle name="Followed Hyperlink" xfId="28865" builtinId="9" hidden="1"/>
    <cellStyle name="Followed Hyperlink" xfId="28867" builtinId="9" hidden="1"/>
    <cellStyle name="Followed Hyperlink" xfId="28869" builtinId="9" hidden="1"/>
    <cellStyle name="Followed Hyperlink" xfId="28871" builtinId="9" hidden="1"/>
    <cellStyle name="Followed Hyperlink" xfId="28873" builtinId="9" hidden="1"/>
    <cellStyle name="Followed Hyperlink" xfId="28875" builtinId="9" hidden="1"/>
    <cellStyle name="Followed Hyperlink" xfId="28877" builtinId="9" hidden="1"/>
    <cellStyle name="Followed Hyperlink" xfId="28879" builtinId="9" hidden="1"/>
    <cellStyle name="Followed Hyperlink" xfId="28881" builtinId="9" hidden="1"/>
    <cellStyle name="Followed Hyperlink" xfId="28883" builtinId="9" hidden="1"/>
    <cellStyle name="Followed Hyperlink" xfId="28885" builtinId="9" hidden="1"/>
    <cellStyle name="Followed Hyperlink" xfId="28887" builtinId="9" hidden="1"/>
    <cellStyle name="Followed Hyperlink" xfId="28889" builtinId="9" hidden="1"/>
    <cellStyle name="Followed Hyperlink" xfId="28891" builtinId="9" hidden="1"/>
    <cellStyle name="Followed Hyperlink" xfId="28893" builtinId="9" hidden="1"/>
    <cellStyle name="Followed Hyperlink" xfId="28895" builtinId="9" hidden="1"/>
    <cellStyle name="Followed Hyperlink" xfId="28897" builtinId="9" hidden="1"/>
    <cellStyle name="Followed Hyperlink" xfId="28899" builtinId="9" hidden="1"/>
    <cellStyle name="Followed Hyperlink" xfId="28901" builtinId="9" hidden="1"/>
    <cellStyle name="Followed Hyperlink" xfId="28903" builtinId="9" hidden="1"/>
    <cellStyle name="Followed Hyperlink" xfId="28905" builtinId="9" hidden="1"/>
    <cellStyle name="Followed Hyperlink" xfId="28907" builtinId="9" hidden="1"/>
    <cellStyle name="Followed Hyperlink" xfId="28909" builtinId="9" hidden="1"/>
    <cellStyle name="Followed Hyperlink" xfId="28911" builtinId="9" hidden="1"/>
    <cellStyle name="Followed Hyperlink" xfId="28913" builtinId="9" hidden="1"/>
    <cellStyle name="Followed Hyperlink" xfId="28915" builtinId="9" hidden="1"/>
    <cellStyle name="Followed Hyperlink" xfId="28917" builtinId="9" hidden="1"/>
    <cellStyle name="Followed Hyperlink" xfId="28919" builtinId="9" hidden="1"/>
    <cellStyle name="Followed Hyperlink" xfId="28921" builtinId="9" hidden="1"/>
    <cellStyle name="Followed Hyperlink" xfId="28925" builtinId="9" hidden="1"/>
    <cellStyle name="Followed Hyperlink" xfId="28927" builtinId="9" hidden="1"/>
    <cellStyle name="Followed Hyperlink" xfId="28929" builtinId="9" hidden="1"/>
    <cellStyle name="Followed Hyperlink" xfId="28931" builtinId="9" hidden="1"/>
    <cellStyle name="Followed Hyperlink" xfId="28933" builtinId="9" hidden="1"/>
    <cellStyle name="Followed Hyperlink" xfId="28935" builtinId="9" hidden="1"/>
    <cellStyle name="Followed Hyperlink" xfId="28937" builtinId="9" hidden="1"/>
    <cellStyle name="Followed Hyperlink" xfId="28939" builtinId="9" hidden="1"/>
    <cellStyle name="Followed Hyperlink" xfId="28941" builtinId="9" hidden="1"/>
    <cellStyle name="Followed Hyperlink" xfId="28943" builtinId="9" hidden="1"/>
    <cellStyle name="Followed Hyperlink" xfId="28945" builtinId="9" hidden="1"/>
    <cellStyle name="Followed Hyperlink" xfId="28947" builtinId="9" hidden="1"/>
    <cellStyle name="Followed Hyperlink" xfId="28949" builtinId="9" hidden="1"/>
    <cellStyle name="Followed Hyperlink" xfId="28951" builtinId="9" hidden="1"/>
    <cellStyle name="Followed Hyperlink" xfId="28953" builtinId="9" hidden="1"/>
    <cellStyle name="Followed Hyperlink" xfId="28955" builtinId="9" hidden="1"/>
    <cellStyle name="Followed Hyperlink" xfId="28957" builtinId="9" hidden="1"/>
    <cellStyle name="Followed Hyperlink" xfId="28959" builtinId="9" hidden="1"/>
    <cellStyle name="Followed Hyperlink" xfId="28961" builtinId="9" hidden="1"/>
    <cellStyle name="Followed Hyperlink" xfId="28963" builtinId="9" hidden="1"/>
    <cellStyle name="Followed Hyperlink" xfId="28965" builtinId="9" hidden="1"/>
    <cellStyle name="Followed Hyperlink" xfId="28967" builtinId="9" hidden="1"/>
    <cellStyle name="Followed Hyperlink" xfId="28969" builtinId="9" hidden="1"/>
    <cellStyle name="Followed Hyperlink" xfId="28971" builtinId="9" hidden="1"/>
    <cellStyle name="Followed Hyperlink" xfId="28973" builtinId="9" hidden="1"/>
    <cellStyle name="Followed Hyperlink" xfId="28975" builtinId="9" hidden="1"/>
    <cellStyle name="Followed Hyperlink" xfId="28977" builtinId="9" hidden="1"/>
    <cellStyle name="Followed Hyperlink" xfId="28979" builtinId="9" hidden="1"/>
    <cellStyle name="Followed Hyperlink" xfId="28981" builtinId="9" hidden="1"/>
    <cellStyle name="Followed Hyperlink" xfId="28983" builtinId="9" hidden="1"/>
    <cellStyle name="Followed Hyperlink" xfId="28985" builtinId="9" hidden="1"/>
    <cellStyle name="Followed Hyperlink" xfId="28987" builtinId="9" hidden="1"/>
    <cellStyle name="Followed Hyperlink" xfId="28989" builtinId="9" hidden="1"/>
    <cellStyle name="Followed Hyperlink" xfId="28991" builtinId="9" hidden="1"/>
    <cellStyle name="Followed Hyperlink" xfId="28993" builtinId="9" hidden="1"/>
    <cellStyle name="Followed Hyperlink" xfId="28995" builtinId="9" hidden="1"/>
    <cellStyle name="Followed Hyperlink" xfId="28997" builtinId="9" hidden="1"/>
    <cellStyle name="Followed Hyperlink" xfId="28999" builtinId="9" hidden="1"/>
    <cellStyle name="Followed Hyperlink" xfId="29001" builtinId="9" hidden="1"/>
    <cellStyle name="Followed Hyperlink" xfId="29003" builtinId="9" hidden="1"/>
    <cellStyle name="Followed Hyperlink" xfId="29005" builtinId="9" hidden="1"/>
    <cellStyle name="Followed Hyperlink" xfId="29007" builtinId="9" hidden="1"/>
    <cellStyle name="Followed Hyperlink" xfId="29009" builtinId="9" hidden="1"/>
    <cellStyle name="Followed Hyperlink" xfId="29011" builtinId="9" hidden="1"/>
    <cellStyle name="Followed Hyperlink" xfId="29013" builtinId="9" hidden="1"/>
    <cellStyle name="Followed Hyperlink" xfId="29015" builtinId="9" hidden="1"/>
    <cellStyle name="Followed Hyperlink" xfId="29017" builtinId="9" hidden="1"/>
    <cellStyle name="Followed Hyperlink" xfId="29019" builtinId="9" hidden="1"/>
    <cellStyle name="Followed Hyperlink" xfId="29022" builtinId="9" hidden="1"/>
    <cellStyle name="Followed Hyperlink" xfId="29024" builtinId="9" hidden="1"/>
    <cellStyle name="Followed Hyperlink" xfId="29026" builtinId="9" hidden="1"/>
    <cellStyle name="Followed Hyperlink" xfId="29028" builtinId="9" hidden="1"/>
    <cellStyle name="Followed Hyperlink" xfId="29030" builtinId="9" hidden="1"/>
    <cellStyle name="Followed Hyperlink" xfId="29032" builtinId="9" hidden="1"/>
    <cellStyle name="Followed Hyperlink" xfId="29034" builtinId="9" hidden="1"/>
    <cellStyle name="Followed Hyperlink" xfId="29036" builtinId="9" hidden="1"/>
    <cellStyle name="Followed Hyperlink" xfId="29038" builtinId="9" hidden="1"/>
    <cellStyle name="Followed Hyperlink" xfId="29040" builtinId="9" hidden="1"/>
    <cellStyle name="Followed Hyperlink" xfId="29042" builtinId="9" hidden="1"/>
    <cellStyle name="Followed Hyperlink" xfId="29044" builtinId="9" hidden="1"/>
    <cellStyle name="Followed Hyperlink" xfId="29046" builtinId="9" hidden="1"/>
    <cellStyle name="Followed Hyperlink" xfId="29048" builtinId="9" hidden="1"/>
    <cellStyle name="Followed Hyperlink" xfId="29050" builtinId="9" hidden="1"/>
    <cellStyle name="Followed Hyperlink" xfId="29052" builtinId="9" hidden="1"/>
    <cellStyle name="Followed Hyperlink" xfId="29054" builtinId="9" hidden="1"/>
    <cellStyle name="Followed Hyperlink" xfId="29056" builtinId="9" hidden="1"/>
    <cellStyle name="Followed Hyperlink" xfId="29058" builtinId="9" hidden="1"/>
    <cellStyle name="Followed Hyperlink" xfId="29060" builtinId="9" hidden="1"/>
    <cellStyle name="Followed Hyperlink" xfId="29062" builtinId="9" hidden="1"/>
    <cellStyle name="Followed Hyperlink" xfId="29064" builtinId="9" hidden="1"/>
    <cellStyle name="Followed Hyperlink" xfId="29066" builtinId="9" hidden="1"/>
    <cellStyle name="Followed Hyperlink" xfId="29068" builtinId="9" hidden="1"/>
    <cellStyle name="Followed Hyperlink" xfId="29070" builtinId="9" hidden="1"/>
    <cellStyle name="Followed Hyperlink" xfId="29072" builtinId="9" hidden="1"/>
    <cellStyle name="Followed Hyperlink" xfId="29074" builtinId="9" hidden="1"/>
    <cellStyle name="Followed Hyperlink" xfId="29076" builtinId="9" hidden="1"/>
    <cellStyle name="Followed Hyperlink" xfId="29078" builtinId="9" hidden="1"/>
    <cellStyle name="Followed Hyperlink" xfId="29080" builtinId="9" hidden="1"/>
    <cellStyle name="Followed Hyperlink" xfId="29082" builtinId="9" hidden="1"/>
    <cellStyle name="Followed Hyperlink" xfId="29084" builtinId="9" hidden="1"/>
    <cellStyle name="Followed Hyperlink" xfId="29086" builtinId="9" hidden="1"/>
    <cellStyle name="Followed Hyperlink" xfId="29088" builtinId="9" hidden="1"/>
    <cellStyle name="Followed Hyperlink" xfId="29090" builtinId="9" hidden="1"/>
    <cellStyle name="Followed Hyperlink" xfId="29092" builtinId="9" hidden="1"/>
    <cellStyle name="Followed Hyperlink" xfId="29094" builtinId="9" hidden="1"/>
    <cellStyle name="Followed Hyperlink" xfId="29096" builtinId="9" hidden="1"/>
    <cellStyle name="Followed Hyperlink" xfId="29098" builtinId="9" hidden="1"/>
    <cellStyle name="Followed Hyperlink" xfId="29100" builtinId="9" hidden="1"/>
    <cellStyle name="Followed Hyperlink" xfId="29102" builtinId="9" hidden="1"/>
    <cellStyle name="Followed Hyperlink" xfId="29104" builtinId="9" hidden="1"/>
    <cellStyle name="Followed Hyperlink" xfId="29106" builtinId="9" hidden="1"/>
    <cellStyle name="Followed Hyperlink" xfId="29108" builtinId="9" hidden="1"/>
    <cellStyle name="Followed Hyperlink" xfId="29110" builtinId="9" hidden="1"/>
    <cellStyle name="Followed Hyperlink" xfId="29112" builtinId="9" hidden="1"/>
    <cellStyle name="Followed Hyperlink" xfId="29114" builtinId="9" hidden="1"/>
    <cellStyle name="Followed Hyperlink" xfId="29116" builtinId="9" hidden="1"/>
    <cellStyle name="Good 10" xfId="3226"/>
    <cellStyle name="Good 11" xfId="3227"/>
    <cellStyle name="Good 12" xfId="3228"/>
    <cellStyle name="Good 13" xfId="3229"/>
    <cellStyle name="Good 14" xfId="3230"/>
    <cellStyle name="Good 15" xfId="3231"/>
    <cellStyle name="Good 16" xfId="3232"/>
    <cellStyle name="Good 17" xfId="3233"/>
    <cellStyle name="Good 18" xfId="3234"/>
    <cellStyle name="Good 19" xfId="3235"/>
    <cellStyle name="Good 2" xfId="3236"/>
    <cellStyle name="Good 2 10" xfId="14115"/>
    <cellStyle name="Good 2 11" xfId="14116"/>
    <cellStyle name="Good 2 12" xfId="14117"/>
    <cellStyle name="Good 2 13" xfId="14118"/>
    <cellStyle name="Good 2 14" xfId="14119"/>
    <cellStyle name="Good 2 15" xfId="14120"/>
    <cellStyle name="Good 2 16" xfId="14121"/>
    <cellStyle name="Good 2 17" xfId="14122"/>
    <cellStyle name="Good 2 18" xfId="14123"/>
    <cellStyle name="Good 2 19" xfId="14124"/>
    <cellStyle name="Good 2 2" xfId="3237"/>
    <cellStyle name="Good 2 2 10" xfId="14125"/>
    <cellStyle name="Good 2 2 11" xfId="14126"/>
    <cellStyle name="Good 2 2 12" xfId="14127"/>
    <cellStyle name="Good 2 2 13" xfId="14128"/>
    <cellStyle name="Good 2 2 14" xfId="14129"/>
    <cellStyle name="Good 2 2 15" xfId="14130"/>
    <cellStyle name="Good 2 2 16" xfId="14131"/>
    <cellStyle name="Good 2 2 17" xfId="14132"/>
    <cellStyle name="Good 2 2 18" xfId="14133"/>
    <cellStyle name="Good 2 2 19" xfId="14134"/>
    <cellStyle name="Good 2 2 2" xfId="14135"/>
    <cellStyle name="Good 2 2 20" xfId="14136"/>
    <cellStyle name="Good 2 2 21" xfId="14137"/>
    <cellStyle name="Good 2 2 22" xfId="14138"/>
    <cellStyle name="Good 2 2 23" xfId="14139"/>
    <cellStyle name="Good 2 2 3" xfId="14140"/>
    <cellStyle name="Good 2 2 4" xfId="14141"/>
    <cellStyle name="Good 2 2 5" xfId="14142"/>
    <cellStyle name="Good 2 2 6" xfId="14143"/>
    <cellStyle name="Good 2 2 7" xfId="14144"/>
    <cellStyle name="Good 2 2 8" xfId="14145"/>
    <cellStyle name="Good 2 2 9" xfId="14146"/>
    <cellStyle name="Good 2 20" xfId="14147"/>
    <cellStyle name="Good 2 21" xfId="14148"/>
    <cellStyle name="Good 2 22" xfId="14149"/>
    <cellStyle name="Good 2 23" xfId="14150"/>
    <cellStyle name="Good 2 24" xfId="14151"/>
    <cellStyle name="Good 2 25" xfId="14152"/>
    <cellStyle name="Good 2 26" xfId="14153"/>
    <cellStyle name="Good 2 27" xfId="14154"/>
    <cellStyle name="Good 2 3" xfId="3238"/>
    <cellStyle name="Good 2 4" xfId="3239"/>
    <cellStyle name="Good 2 5" xfId="3240"/>
    <cellStyle name="Good 2 6" xfId="3241"/>
    <cellStyle name="Good 2 7" xfId="14155"/>
    <cellStyle name="Good 2 8" xfId="14156"/>
    <cellStyle name="Good 2 9" xfId="14157"/>
    <cellStyle name="Good 20" xfId="3242"/>
    <cellStyle name="Good 21" xfId="3243"/>
    <cellStyle name="Good 22" xfId="3244"/>
    <cellStyle name="Good 23" xfId="3245"/>
    <cellStyle name="Good 24" xfId="3246"/>
    <cellStyle name="Good 25" xfId="3247"/>
    <cellStyle name="Good 26" xfId="3248"/>
    <cellStyle name="Good 27" xfId="3249"/>
    <cellStyle name="Good 28" xfId="3250"/>
    <cellStyle name="Good 29" xfId="3251"/>
    <cellStyle name="Good 3" xfId="3252"/>
    <cellStyle name="Good 30" xfId="3253"/>
    <cellStyle name="Good 31" xfId="3254"/>
    <cellStyle name="Good 32" xfId="3255"/>
    <cellStyle name="Good 33" xfId="3256"/>
    <cellStyle name="Good 34" xfId="3257"/>
    <cellStyle name="Good 35" xfId="3258"/>
    <cellStyle name="Good 36" xfId="3259"/>
    <cellStyle name="Good 37" xfId="3260"/>
    <cellStyle name="Good 38" xfId="3261"/>
    <cellStyle name="Good 39" xfId="3262"/>
    <cellStyle name="Good 4" xfId="3263"/>
    <cellStyle name="Good 40" xfId="3264"/>
    <cellStyle name="Good 41" xfId="3265"/>
    <cellStyle name="Good 42" xfId="3266"/>
    <cellStyle name="Good 43" xfId="3267"/>
    <cellStyle name="Good 44" xfId="3268"/>
    <cellStyle name="Good 45" xfId="3269"/>
    <cellStyle name="Good 46" xfId="3270"/>
    <cellStyle name="Good 47" xfId="3271"/>
    <cellStyle name="Good 48" xfId="3272"/>
    <cellStyle name="Good 49" xfId="3273"/>
    <cellStyle name="Good 5" xfId="3274"/>
    <cellStyle name="Good 50" xfId="3275"/>
    <cellStyle name="Good 51" xfId="3276"/>
    <cellStyle name="Good 52" xfId="3277"/>
    <cellStyle name="Good 53" xfId="3278"/>
    <cellStyle name="Good 6" xfId="3279"/>
    <cellStyle name="Good 7" xfId="3280"/>
    <cellStyle name="Good 8" xfId="3281"/>
    <cellStyle name="Good 9" xfId="3282"/>
    <cellStyle name="Heading 1 10" xfId="3283"/>
    <cellStyle name="Heading 1 11" xfId="3284"/>
    <cellStyle name="Heading 1 12" xfId="3285"/>
    <cellStyle name="Heading 1 13" xfId="3286"/>
    <cellStyle name="Heading 1 14" xfId="3287"/>
    <cellStyle name="Heading 1 15" xfId="3288"/>
    <cellStyle name="Heading 1 16" xfId="3289"/>
    <cellStyle name="Heading 1 17" xfId="3290"/>
    <cellStyle name="Heading 1 18" xfId="3291"/>
    <cellStyle name="Heading 1 19" xfId="3292"/>
    <cellStyle name="Heading 1 2" xfId="3293"/>
    <cellStyle name="Heading 1 2 2" xfId="3294"/>
    <cellStyle name="Heading 1 2 3" xfId="3295"/>
    <cellStyle name="Heading 1 2 4" xfId="3296"/>
    <cellStyle name="Heading 1 2 5" xfId="3297"/>
    <cellStyle name="Heading 1 2 6" xfId="3298"/>
    <cellStyle name="Heading 1 20" xfId="3299"/>
    <cellStyle name="Heading 1 21" xfId="3300"/>
    <cellStyle name="Heading 1 22" xfId="3301"/>
    <cellStyle name="Heading 1 23" xfId="3302"/>
    <cellStyle name="Heading 1 24" xfId="3303"/>
    <cellStyle name="Heading 1 25" xfId="3304"/>
    <cellStyle name="Heading 1 26" xfId="3305"/>
    <cellStyle name="Heading 1 27" xfId="3306"/>
    <cellStyle name="Heading 1 28" xfId="3307"/>
    <cellStyle name="Heading 1 29" xfId="3308"/>
    <cellStyle name="Heading 1 3" xfId="3309"/>
    <cellStyle name="Heading 1 30" xfId="3310"/>
    <cellStyle name="Heading 1 31" xfId="3311"/>
    <cellStyle name="Heading 1 32" xfId="3312"/>
    <cellStyle name="Heading 1 33" xfId="3313"/>
    <cellStyle name="Heading 1 34" xfId="3314"/>
    <cellStyle name="Heading 1 35" xfId="3315"/>
    <cellStyle name="Heading 1 36" xfId="3316"/>
    <cellStyle name="Heading 1 37" xfId="3317"/>
    <cellStyle name="Heading 1 38" xfId="3318"/>
    <cellStyle name="Heading 1 39" xfId="3319"/>
    <cellStyle name="Heading 1 4" xfId="3320"/>
    <cellStyle name="Heading 1 40" xfId="3321"/>
    <cellStyle name="Heading 1 41" xfId="3322"/>
    <cellStyle name="Heading 1 42" xfId="3323"/>
    <cellStyle name="Heading 1 43" xfId="3324"/>
    <cellStyle name="Heading 1 44" xfId="3325"/>
    <cellStyle name="Heading 1 45" xfId="3326"/>
    <cellStyle name="Heading 1 46" xfId="3327"/>
    <cellStyle name="Heading 1 47" xfId="3328"/>
    <cellStyle name="Heading 1 48" xfId="3329"/>
    <cellStyle name="Heading 1 49" xfId="3330"/>
    <cellStyle name="Heading 1 5" xfId="3331"/>
    <cellStyle name="Heading 1 50" xfId="3332"/>
    <cellStyle name="Heading 1 51" xfId="3333"/>
    <cellStyle name="Heading 1 52" xfId="3334"/>
    <cellStyle name="Heading 1 6" xfId="3335"/>
    <cellStyle name="Heading 1 7" xfId="3336"/>
    <cellStyle name="Heading 1 8" xfId="3337"/>
    <cellStyle name="Heading 1 9" xfId="3338"/>
    <cellStyle name="Heading 2 10" xfId="3339"/>
    <cellStyle name="Heading 2 11" xfId="3340"/>
    <cellStyle name="Heading 2 12" xfId="3341"/>
    <cellStyle name="Heading 2 13" xfId="3342"/>
    <cellStyle name="Heading 2 14" xfId="3343"/>
    <cellStyle name="Heading 2 15" xfId="3344"/>
    <cellStyle name="Heading 2 16" xfId="3345"/>
    <cellStyle name="Heading 2 17" xfId="3346"/>
    <cellStyle name="Heading 2 18" xfId="3347"/>
    <cellStyle name="Heading 2 19" xfId="3348"/>
    <cellStyle name="Heading 2 2" xfId="3349"/>
    <cellStyle name="Heading 2 2 2" xfId="3350"/>
    <cellStyle name="Heading 2 2 3" xfId="3351"/>
    <cellStyle name="Heading 2 2 4" xfId="3352"/>
    <cellStyle name="Heading 2 2 5" xfId="3353"/>
    <cellStyle name="Heading 2 2 6" xfId="3354"/>
    <cellStyle name="Heading 2 20" xfId="3355"/>
    <cellStyle name="Heading 2 21" xfId="3356"/>
    <cellStyle name="Heading 2 22" xfId="3357"/>
    <cellStyle name="Heading 2 23" xfId="3358"/>
    <cellStyle name="Heading 2 24" xfId="3359"/>
    <cellStyle name="Heading 2 25" xfId="3360"/>
    <cellStyle name="Heading 2 26" xfId="3361"/>
    <cellStyle name="Heading 2 27" xfId="3362"/>
    <cellStyle name="Heading 2 28" xfId="3363"/>
    <cellStyle name="Heading 2 29" xfId="3364"/>
    <cellStyle name="Heading 2 3" xfId="3365"/>
    <cellStyle name="Heading 2 30" xfId="3366"/>
    <cellStyle name="Heading 2 31" xfId="3367"/>
    <cellStyle name="Heading 2 32" xfId="3368"/>
    <cellStyle name="Heading 2 33" xfId="3369"/>
    <cellStyle name="Heading 2 34" xfId="3370"/>
    <cellStyle name="Heading 2 35" xfId="3371"/>
    <cellStyle name="Heading 2 36" xfId="3372"/>
    <cellStyle name="Heading 2 37" xfId="3373"/>
    <cellStyle name="Heading 2 38" xfId="3374"/>
    <cellStyle name="Heading 2 39" xfId="3375"/>
    <cellStyle name="Heading 2 4" xfId="3376"/>
    <cellStyle name="Heading 2 40" xfId="3377"/>
    <cellStyle name="Heading 2 41" xfId="3378"/>
    <cellStyle name="Heading 2 42" xfId="3379"/>
    <cellStyle name="Heading 2 43" xfId="3380"/>
    <cellStyle name="Heading 2 44" xfId="3381"/>
    <cellStyle name="Heading 2 45" xfId="3382"/>
    <cellStyle name="Heading 2 46" xfId="3383"/>
    <cellStyle name="Heading 2 47" xfId="3384"/>
    <cellStyle name="Heading 2 48" xfId="3385"/>
    <cellStyle name="Heading 2 49" xfId="3386"/>
    <cellStyle name="Heading 2 5" xfId="3387"/>
    <cellStyle name="Heading 2 50" xfId="3388"/>
    <cellStyle name="Heading 2 51" xfId="3389"/>
    <cellStyle name="Heading 2 52" xfId="3390"/>
    <cellStyle name="Heading 2 6" xfId="3391"/>
    <cellStyle name="Heading 2 7" xfId="3392"/>
    <cellStyle name="Heading 2 8" xfId="3393"/>
    <cellStyle name="Heading 2 9" xfId="3394"/>
    <cellStyle name="Heading 3 10" xfId="3395"/>
    <cellStyle name="Heading 3 11" xfId="3396"/>
    <cellStyle name="Heading 3 12" xfId="3397"/>
    <cellStyle name="Heading 3 13" xfId="3398"/>
    <cellStyle name="Heading 3 14" xfId="3399"/>
    <cellStyle name="Heading 3 15" xfId="3400"/>
    <cellStyle name="Heading 3 16" xfId="3401"/>
    <cellStyle name="Heading 3 17" xfId="3402"/>
    <cellStyle name="Heading 3 18" xfId="3403"/>
    <cellStyle name="Heading 3 19" xfId="3404"/>
    <cellStyle name="Heading 3 2" xfId="3405"/>
    <cellStyle name="Heading 3 2 2" xfId="3406"/>
    <cellStyle name="Heading 3 2 3" xfId="3407"/>
    <cellStyle name="Heading 3 2 4" xfId="3408"/>
    <cellStyle name="Heading 3 2 5" xfId="3409"/>
    <cellStyle name="Heading 3 2 6" xfId="3410"/>
    <cellStyle name="Heading 3 20" xfId="3411"/>
    <cellStyle name="Heading 3 21" xfId="3412"/>
    <cellStyle name="Heading 3 22" xfId="3413"/>
    <cellStyle name="Heading 3 23" xfId="3414"/>
    <cellStyle name="Heading 3 24" xfId="3415"/>
    <cellStyle name="Heading 3 25" xfId="3416"/>
    <cellStyle name="Heading 3 26" xfId="3417"/>
    <cellStyle name="Heading 3 27" xfId="3418"/>
    <cellStyle name="Heading 3 28" xfId="3419"/>
    <cellStyle name="Heading 3 29" xfId="3420"/>
    <cellStyle name="Heading 3 3" xfId="3421"/>
    <cellStyle name="Heading 3 30" xfId="3422"/>
    <cellStyle name="Heading 3 31" xfId="3423"/>
    <cellStyle name="Heading 3 32" xfId="3424"/>
    <cellStyle name="Heading 3 33" xfId="3425"/>
    <cellStyle name="Heading 3 34" xfId="3426"/>
    <cellStyle name="Heading 3 35" xfId="3427"/>
    <cellStyle name="Heading 3 36" xfId="3428"/>
    <cellStyle name="Heading 3 37" xfId="3429"/>
    <cellStyle name="Heading 3 38" xfId="3430"/>
    <cellStyle name="Heading 3 39" xfId="3431"/>
    <cellStyle name="Heading 3 4" xfId="3432"/>
    <cellStyle name="Heading 3 40" xfId="3433"/>
    <cellStyle name="Heading 3 41" xfId="3434"/>
    <cellStyle name="Heading 3 42" xfId="3435"/>
    <cellStyle name="Heading 3 43" xfId="3436"/>
    <cellStyle name="Heading 3 44" xfId="3437"/>
    <cellStyle name="Heading 3 45" xfId="3438"/>
    <cellStyle name="Heading 3 46" xfId="3439"/>
    <cellStyle name="Heading 3 47" xfId="3440"/>
    <cellStyle name="Heading 3 48" xfId="3441"/>
    <cellStyle name="Heading 3 49" xfId="3442"/>
    <cellStyle name="Heading 3 5" xfId="3443"/>
    <cellStyle name="Heading 3 50" xfId="3444"/>
    <cellStyle name="Heading 3 51" xfId="3445"/>
    <cellStyle name="Heading 3 52" xfId="3446"/>
    <cellStyle name="Heading 3 6" xfId="3447"/>
    <cellStyle name="Heading 3 7" xfId="3448"/>
    <cellStyle name="Heading 3 8" xfId="3449"/>
    <cellStyle name="Heading 3 9" xfId="3450"/>
    <cellStyle name="Heading 4 10" xfId="3451"/>
    <cellStyle name="Heading 4 11" xfId="3452"/>
    <cellStyle name="Heading 4 12" xfId="3453"/>
    <cellStyle name="Heading 4 13" xfId="3454"/>
    <cellStyle name="Heading 4 14" xfId="3455"/>
    <cellStyle name="Heading 4 15" xfId="3456"/>
    <cellStyle name="Heading 4 16" xfId="3457"/>
    <cellStyle name="Heading 4 17" xfId="3458"/>
    <cellStyle name="Heading 4 18" xfId="3459"/>
    <cellStyle name="Heading 4 19" xfId="3460"/>
    <cellStyle name="Heading 4 2" xfId="3461"/>
    <cellStyle name="Heading 4 2 2" xfId="3462"/>
    <cellStyle name="Heading 4 2 3" xfId="3463"/>
    <cellStyle name="Heading 4 2 4" xfId="3464"/>
    <cellStyle name="Heading 4 2 5" xfId="3465"/>
    <cellStyle name="Heading 4 2 6" xfId="3466"/>
    <cellStyle name="Heading 4 20" xfId="3467"/>
    <cellStyle name="Heading 4 21" xfId="3468"/>
    <cellStyle name="Heading 4 22" xfId="3469"/>
    <cellStyle name="Heading 4 23" xfId="3470"/>
    <cellStyle name="Heading 4 24" xfId="3471"/>
    <cellStyle name="Heading 4 25" xfId="3472"/>
    <cellStyle name="Heading 4 26" xfId="3473"/>
    <cellStyle name="Heading 4 27" xfId="3474"/>
    <cellStyle name="Heading 4 28" xfId="3475"/>
    <cellStyle name="Heading 4 29" xfId="3476"/>
    <cellStyle name="Heading 4 3" xfId="3477"/>
    <cellStyle name="Heading 4 30" xfId="3478"/>
    <cellStyle name="Heading 4 31" xfId="3479"/>
    <cellStyle name="Heading 4 32" xfId="3480"/>
    <cellStyle name="Heading 4 33" xfId="3481"/>
    <cellStyle name="Heading 4 34" xfId="3482"/>
    <cellStyle name="Heading 4 35" xfId="3483"/>
    <cellStyle name="Heading 4 36" xfId="3484"/>
    <cellStyle name="Heading 4 37" xfId="3485"/>
    <cellStyle name="Heading 4 38" xfId="3486"/>
    <cellStyle name="Heading 4 39" xfId="3487"/>
    <cellStyle name="Heading 4 4" xfId="3488"/>
    <cellStyle name="Heading 4 40" xfId="3489"/>
    <cellStyle name="Heading 4 41" xfId="3490"/>
    <cellStyle name="Heading 4 42" xfId="3491"/>
    <cellStyle name="Heading 4 43" xfId="3492"/>
    <cellStyle name="Heading 4 44" xfId="3493"/>
    <cellStyle name="Heading 4 45" xfId="3494"/>
    <cellStyle name="Heading 4 46" xfId="3495"/>
    <cellStyle name="Heading 4 47" xfId="3496"/>
    <cellStyle name="Heading 4 48" xfId="3497"/>
    <cellStyle name="Heading 4 49" xfId="3498"/>
    <cellStyle name="Heading 4 5" xfId="3499"/>
    <cellStyle name="Heading 4 50" xfId="3500"/>
    <cellStyle name="Heading 4 51" xfId="3501"/>
    <cellStyle name="Heading 4 52" xfId="3502"/>
    <cellStyle name="Heading 4 6" xfId="3503"/>
    <cellStyle name="Heading 4 7" xfId="3504"/>
    <cellStyle name="Heading 4 8" xfId="3505"/>
    <cellStyle name="Heading 4 9" xfId="3506"/>
    <cellStyle name="Hyperlink" xfId="28343" builtinId="8" hidden="1"/>
    <cellStyle name="Hyperlink" xfId="28345" builtinId="8" hidden="1"/>
    <cellStyle name="Hyperlink" xfId="28347" builtinId="8" hidden="1"/>
    <cellStyle name="Hyperlink" xfId="28349" builtinId="8" hidden="1"/>
    <cellStyle name="Hyperlink" xfId="28351" builtinId="8" hidden="1"/>
    <cellStyle name="Hyperlink" xfId="28353" builtinId="8" hidden="1"/>
    <cellStyle name="Hyperlink" xfId="28355" builtinId="8" hidden="1"/>
    <cellStyle name="Hyperlink" xfId="28357" builtinId="8" hidden="1"/>
    <cellStyle name="Hyperlink" xfId="28359" builtinId="8" hidden="1"/>
    <cellStyle name="Hyperlink" xfId="28361" builtinId="8" hidden="1"/>
    <cellStyle name="Hyperlink" xfId="28363" builtinId="8" hidden="1"/>
    <cellStyle name="Hyperlink" xfId="28365" builtinId="8" hidden="1"/>
    <cellStyle name="Hyperlink" xfId="28367" builtinId="8" hidden="1"/>
    <cellStyle name="Hyperlink" xfId="28369" builtinId="8" hidden="1"/>
    <cellStyle name="Hyperlink" xfId="28371" builtinId="8" hidden="1"/>
    <cellStyle name="Hyperlink" xfId="28373" builtinId="8" hidden="1"/>
    <cellStyle name="Hyperlink" xfId="28375" builtinId="8" hidden="1"/>
    <cellStyle name="Hyperlink" xfId="28377" builtinId="8" hidden="1"/>
    <cellStyle name="Hyperlink" xfId="28379" builtinId="8" hidden="1"/>
    <cellStyle name="Hyperlink" xfId="28381" builtinId="8" hidden="1"/>
    <cellStyle name="Hyperlink" xfId="28383" builtinId="8" hidden="1"/>
    <cellStyle name="Hyperlink" xfId="28385" builtinId="8" hidden="1"/>
    <cellStyle name="Hyperlink" xfId="28387" builtinId="8" hidden="1"/>
    <cellStyle name="Hyperlink" xfId="28389" builtinId="8" hidden="1"/>
    <cellStyle name="Hyperlink" xfId="28391" builtinId="8" hidden="1"/>
    <cellStyle name="Hyperlink" xfId="28393" builtinId="8" hidden="1"/>
    <cellStyle name="Hyperlink" xfId="28395" builtinId="8" hidden="1"/>
    <cellStyle name="Hyperlink" xfId="28397" builtinId="8" hidden="1"/>
    <cellStyle name="Hyperlink" xfId="28399" builtinId="8" hidden="1"/>
    <cellStyle name="Hyperlink" xfId="28401" builtinId="8" hidden="1"/>
    <cellStyle name="Hyperlink" xfId="28403" builtinId="8" hidden="1"/>
    <cellStyle name="Hyperlink" xfId="28405" builtinId="8" hidden="1"/>
    <cellStyle name="Hyperlink" xfId="28407" builtinId="8" hidden="1"/>
    <cellStyle name="Hyperlink" xfId="28409" builtinId="8" hidden="1"/>
    <cellStyle name="Hyperlink" xfId="28411" builtinId="8" hidden="1"/>
    <cellStyle name="Hyperlink" xfId="28413" builtinId="8" hidden="1"/>
    <cellStyle name="Hyperlink" xfId="28415" builtinId="8" hidden="1"/>
    <cellStyle name="Hyperlink" xfId="28417" builtinId="8" hidden="1"/>
    <cellStyle name="Hyperlink" xfId="28419" builtinId="8" hidden="1"/>
    <cellStyle name="Hyperlink" xfId="28421" builtinId="8" hidden="1"/>
    <cellStyle name="Hyperlink" xfId="28423" builtinId="8" hidden="1"/>
    <cellStyle name="Hyperlink" xfId="28425" builtinId="8" hidden="1"/>
    <cellStyle name="Hyperlink" xfId="28427" builtinId="8" hidden="1"/>
    <cellStyle name="Hyperlink" xfId="28429" builtinId="8" hidden="1"/>
    <cellStyle name="Hyperlink" xfId="28431" builtinId="8" hidden="1"/>
    <cellStyle name="Hyperlink" xfId="28433" builtinId="8" hidden="1"/>
    <cellStyle name="Hyperlink" xfId="28435" builtinId="8" hidden="1"/>
    <cellStyle name="Hyperlink" xfId="28437" builtinId="8" hidden="1"/>
    <cellStyle name="Hyperlink" xfId="28439" builtinId="8" hidden="1"/>
    <cellStyle name="Hyperlink" xfId="28441" builtinId="8" hidden="1"/>
    <cellStyle name="Hyperlink" xfId="28443" builtinId="8" hidden="1"/>
    <cellStyle name="Hyperlink" xfId="28445" builtinId="8" hidden="1"/>
    <cellStyle name="Hyperlink" xfId="28447" builtinId="8" hidden="1"/>
    <cellStyle name="Hyperlink" xfId="28449" builtinId="8" hidden="1"/>
    <cellStyle name="Hyperlink" xfId="28451" builtinId="8" hidden="1"/>
    <cellStyle name="Hyperlink" xfId="28453" builtinId="8" hidden="1"/>
    <cellStyle name="Hyperlink" xfId="28455" builtinId="8" hidden="1"/>
    <cellStyle name="Hyperlink" xfId="28457" builtinId="8" hidden="1"/>
    <cellStyle name="Hyperlink" xfId="28459" builtinId="8" hidden="1"/>
    <cellStyle name="Hyperlink" xfId="28461" builtinId="8" hidden="1"/>
    <cellStyle name="Hyperlink" xfId="28463" builtinId="8" hidden="1"/>
    <cellStyle name="Hyperlink" xfId="28465" builtinId="8" hidden="1"/>
    <cellStyle name="Hyperlink" xfId="28467" builtinId="8" hidden="1"/>
    <cellStyle name="Hyperlink" xfId="28469" builtinId="8" hidden="1"/>
    <cellStyle name="Hyperlink" xfId="28471" builtinId="8" hidden="1"/>
    <cellStyle name="Hyperlink" xfId="28473" builtinId="8" hidden="1"/>
    <cellStyle name="Hyperlink" xfId="28475" builtinId="8" hidden="1"/>
    <cellStyle name="Hyperlink" xfId="28477" builtinId="8" hidden="1"/>
    <cellStyle name="Hyperlink" xfId="28479" builtinId="8" hidden="1"/>
    <cellStyle name="Hyperlink" xfId="28481" builtinId="8" hidden="1"/>
    <cellStyle name="Hyperlink" xfId="28483" builtinId="8" hidden="1"/>
    <cellStyle name="Hyperlink" xfId="28485" builtinId="8" hidden="1"/>
    <cellStyle name="Hyperlink" xfId="28487" builtinId="8" hidden="1"/>
    <cellStyle name="Hyperlink" xfId="28489" builtinId="8" hidden="1"/>
    <cellStyle name="Hyperlink" xfId="28491" builtinId="8" hidden="1"/>
    <cellStyle name="Hyperlink" xfId="28493" builtinId="8" hidden="1"/>
    <cellStyle name="Hyperlink" xfId="28495" builtinId="8" hidden="1"/>
    <cellStyle name="Hyperlink" xfId="28497" builtinId="8" hidden="1"/>
    <cellStyle name="Hyperlink" xfId="28499" builtinId="8" hidden="1"/>
    <cellStyle name="Hyperlink" xfId="28501" builtinId="8" hidden="1"/>
    <cellStyle name="Hyperlink" xfId="28503" builtinId="8" hidden="1"/>
    <cellStyle name="Hyperlink" xfId="28505" builtinId="8" hidden="1"/>
    <cellStyle name="Hyperlink" xfId="28507" builtinId="8" hidden="1"/>
    <cellStyle name="Hyperlink" xfId="28509" builtinId="8" hidden="1"/>
    <cellStyle name="Hyperlink" xfId="28511" builtinId="8" hidden="1"/>
    <cellStyle name="Hyperlink" xfId="28513" builtinId="8" hidden="1"/>
    <cellStyle name="Hyperlink" xfId="28515" builtinId="8" hidden="1"/>
    <cellStyle name="Hyperlink" xfId="28517" builtinId="8" hidden="1"/>
    <cellStyle name="Hyperlink" xfId="28519" builtinId="8" hidden="1"/>
    <cellStyle name="Hyperlink" xfId="28521" builtinId="8" hidden="1"/>
    <cellStyle name="Hyperlink" xfId="28523" builtinId="8" hidden="1"/>
    <cellStyle name="Hyperlink" xfId="28525" builtinId="8" hidden="1"/>
    <cellStyle name="Hyperlink" xfId="28527" builtinId="8" hidden="1"/>
    <cellStyle name="Hyperlink" xfId="28529" builtinId="8" hidden="1"/>
    <cellStyle name="Hyperlink" xfId="28531" builtinId="8" hidden="1"/>
    <cellStyle name="Hyperlink" xfId="28533" builtinId="8" hidden="1"/>
    <cellStyle name="Hyperlink" xfId="28535" builtinId="8" hidden="1"/>
    <cellStyle name="Hyperlink" xfId="28537" builtinId="8" hidden="1"/>
    <cellStyle name="Hyperlink" xfId="28539" builtinId="8" hidden="1"/>
    <cellStyle name="Hyperlink" xfId="28541" builtinId="8" hidden="1"/>
    <cellStyle name="Hyperlink" xfId="28543" builtinId="8" hidden="1"/>
    <cellStyle name="Hyperlink" xfId="28545" builtinId="8" hidden="1"/>
    <cellStyle name="Hyperlink" xfId="28547" builtinId="8" hidden="1"/>
    <cellStyle name="Hyperlink" xfId="28549" builtinId="8" hidden="1"/>
    <cellStyle name="Hyperlink" xfId="28551" builtinId="8" hidden="1"/>
    <cellStyle name="Hyperlink" xfId="28553" builtinId="8" hidden="1"/>
    <cellStyle name="Hyperlink" xfId="28555" builtinId="8" hidden="1"/>
    <cellStyle name="Hyperlink" xfId="28557" builtinId="8" hidden="1"/>
    <cellStyle name="Hyperlink" xfId="28559" builtinId="8" hidden="1"/>
    <cellStyle name="Hyperlink" xfId="28561" builtinId="8" hidden="1"/>
    <cellStyle name="Hyperlink" xfId="28563" builtinId="8" hidden="1"/>
    <cellStyle name="Hyperlink" xfId="28565" builtinId="8" hidden="1"/>
    <cellStyle name="Hyperlink" xfId="28567" builtinId="8" hidden="1"/>
    <cellStyle name="Hyperlink" xfId="28569" builtinId="8" hidden="1"/>
    <cellStyle name="Hyperlink" xfId="28571" builtinId="8" hidden="1"/>
    <cellStyle name="Hyperlink" xfId="28573" builtinId="8" hidden="1"/>
    <cellStyle name="Hyperlink" xfId="28575" builtinId="8" hidden="1"/>
    <cellStyle name="Hyperlink" xfId="28577" builtinId="8" hidden="1"/>
    <cellStyle name="Hyperlink" xfId="28579" builtinId="8" hidden="1"/>
    <cellStyle name="Hyperlink" xfId="28581" builtinId="8" hidden="1"/>
    <cellStyle name="Hyperlink" xfId="28583" builtinId="8" hidden="1"/>
    <cellStyle name="Hyperlink" xfId="28585" builtinId="8" hidden="1"/>
    <cellStyle name="Hyperlink" xfId="28587" builtinId="8" hidden="1"/>
    <cellStyle name="Hyperlink" xfId="28589" builtinId="8" hidden="1"/>
    <cellStyle name="Hyperlink" xfId="28591" builtinId="8" hidden="1"/>
    <cellStyle name="Hyperlink" xfId="28593" builtinId="8" hidden="1"/>
    <cellStyle name="Hyperlink" xfId="28595" builtinId="8" hidden="1"/>
    <cellStyle name="Hyperlink" xfId="28597" builtinId="8" hidden="1"/>
    <cellStyle name="Hyperlink" xfId="28599" builtinId="8" hidden="1"/>
    <cellStyle name="Hyperlink" xfId="28601" builtinId="8" hidden="1"/>
    <cellStyle name="Hyperlink" xfId="28603" builtinId="8" hidden="1"/>
    <cellStyle name="Hyperlink" xfId="28605" builtinId="8" hidden="1"/>
    <cellStyle name="Hyperlink" xfId="28607" builtinId="8" hidden="1"/>
    <cellStyle name="Hyperlink" xfId="28609" builtinId="8" hidden="1"/>
    <cellStyle name="Hyperlink" xfId="28611" builtinId="8" hidden="1"/>
    <cellStyle name="Hyperlink" xfId="28613" builtinId="8" hidden="1"/>
    <cellStyle name="Hyperlink" xfId="28615" builtinId="8" hidden="1"/>
    <cellStyle name="Hyperlink" xfId="28617" builtinId="8" hidden="1"/>
    <cellStyle name="Hyperlink" xfId="28619" builtinId="8" hidden="1"/>
    <cellStyle name="Hyperlink" xfId="28621" builtinId="8" hidden="1"/>
    <cellStyle name="Hyperlink" xfId="28623" builtinId="8" hidden="1"/>
    <cellStyle name="Hyperlink" xfId="28625" builtinId="8" hidden="1"/>
    <cellStyle name="Hyperlink" xfId="28627" builtinId="8" hidden="1"/>
    <cellStyle name="Hyperlink" xfId="28629" builtinId="8" hidden="1"/>
    <cellStyle name="Hyperlink" xfId="28632" builtinId="8" hidden="1"/>
    <cellStyle name="Hyperlink" xfId="28634" builtinId="8" hidden="1"/>
    <cellStyle name="Hyperlink" xfId="28636" builtinId="8" hidden="1"/>
    <cellStyle name="Hyperlink" xfId="28638" builtinId="8" hidden="1"/>
    <cellStyle name="Hyperlink" xfId="28640" builtinId="8" hidden="1"/>
    <cellStyle name="Hyperlink" xfId="28642" builtinId="8" hidden="1"/>
    <cellStyle name="Hyperlink" xfId="28644" builtinId="8" hidden="1"/>
    <cellStyle name="Hyperlink" xfId="28646" builtinId="8" hidden="1"/>
    <cellStyle name="Hyperlink" xfId="28648" builtinId="8" hidden="1"/>
    <cellStyle name="Hyperlink" xfId="28650" builtinId="8" hidden="1"/>
    <cellStyle name="Hyperlink" xfId="28652" builtinId="8" hidden="1"/>
    <cellStyle name="Hyperlink" xfId="28654" builtinId="8" hidden="1"/>
    <cellStyle name="Hyperlink" xfId="28656" builtinId="8" hidden="1"/>
    <cellStyle name="Hyperlink" xfId="28658" builtinId="8" hidden="1"/>
    <cellStyle name="Hyperlink" xfId="28660" builtinId="8" hidden="1"/>
    <cellStyle name="Hyperlink" xfId="28662" builtinId="8" hidden="1"/>
    <cellStyle name="Hyperlink" xfId="28664" builtinId="8" hidden="1"/>
    <cellStyle name="Hyperlink" xfId="28666" builtinId="8" hidden="1"/>
    <cellStyle name="Hyperlink" xfId="28668" builtinId="8" hidden="1"/>
    <cellStyle name="Hyperlink" xfId="28670" builtinId="8" hidden="1"/>
    <cellStyle name="Hyperlink" xfId="28672" builtinId="8" hidden="1"/>
    <cellStyle name="Hyperlink" xfId="28674" builtinId="8" hidden="1"/>
    <cellStyle name="Hyperlink" xfId="28676" builtinId="8" hidden="1"/>
    <cellStyle name="Hyperlink" xfId="28678" builtinId="8" hidden="1"/>
    <cellStyle name="Hyperlink" xfId="28680" builtinId="8" hidden="1"/>
    <cellStyle name="Hyperlink" xfId="28682" builtinId="8" hidden="1"/>
    <cellStyle name="Hyperlink" xfId="28684" builtinId="8" hidden="1"/>
    <cellStyle name="Hyperlink" xfId="28686" builtinId="8" hidden="1"/>
    <cellStyle name="Hyperlink" xfId="28688" builtinId="8" hidden="1"/>
    <cellStyle name="Hyperlink" xfId="28690" builtinId="8" hidden="1"/>
    <cellStyle name="Hyperlink" xfId="28692" builtinId="8" hidden="1"/>
    <cellStyle name="Hyperlink" xfId="28694" builtinId="8" hidden="1"/>
    <cellStyle name="Hyperlink" xfId="28696" builtinId="8" hidden="1"/>
    <cellStyle name="Hyperlink" xfId="28698" builtinId="8" hidden="1"/>
    <cellStyle name="Hyperlink" xfId="28700" builtinId="8" hidden="1"/>
    <cellStyle name="Hyperlink" xfId="28702" builtinId="8" hidden="1"/>
    <cellStyle name="Hyperlink" xfId="28704" builtinId="8" hidden="1"/>
    <cellStyle name="Hyperlink" xfId="28706" builtinId="8" hidden="1"/>
    <cellStyle name="Hyperlink" xfId="28708" builtinId="8" hidden="1"/>
    <cellStyle name="Hyperlink" xfId="28710" builtinId="8" hidden="1"/>
    <cellStyle name="Hyperlink" xfId="28712" builtinId="8" hidden="1"/>
    <cellStyle name="Hyperlink" xfId="28714" builtinId="8" hidden="1"/>
    <cellStyle name="Hyperlink" xfId="28716" builtinId="8" hidden="1"/>
    <cellStyle name="Hyperlink" xfId="28718" builtinId="8" hidden="1"/>
    <cellStyle name="Hyperlink" xfId="28720" builtinId="8" hidden="1"/>
    <cellStyle name="Hyperlink" xfId="28722" builtinId="8" hidden="1"/>
    <cellStyle name="Hyperlink" xfId="28724" builtinId="8" hidden="1"/>
    <cellStyle name="Hyperlink" xfId="28726" builtinId="8" hidden="1"/>
    <cellStyle name="Hyperlink" xfId="28729" builtinId="8" hidden="1"/>
    <cellStyle name="Hyperlink" xfId="28731" builtinId="8" hidden="1"/>
    <cellStyle name="Hyperlink" xfId="28733" builtinId="8" hidden="1"/>
    <cellStyle name="Hyperlink" xfId="28735" builtinId="8" hidden="1"/>
    <cellStyle name="Hyperlink" xfId="28737" builtinId="8" hidden="1"/>
    <cellStyle name="Hyperlink" xfId="28739" builtinId="8" hidden="1"/>
    <cellStyle name="Hyperlink" xfId="28741" builtinId="8" hidden="1"/>
    <cellStyle name="Hyperlink" xfId="28743" builtinId="8" hidden="1"/>
    <cellStyle name="Hyperlink" xfId="28745" builtinId="8" hidden="1"/>
    <cellStyle name="Hyperlink" xfId="28747" builtinId="8" hidden="1"/>
    <cellStyle name="Hyperlink" xfId="28749" builtinId="8" hidden="1"/>
    <cellStyle name="Hyperlink" xfId="28751" builtinId="8" hidden="1"/>
    <cellStyle name="Hyperlink" xfId="28753" builtinId="8" hidden="1"/>
    <cellStyle name="Hyperlink" xfId="28755" builtinId="8" hidden="1"/>
    <cellStyle name="Hyperlink" xfId="28757" builtinId="8" hidden="1"/>
    <cellStyle name="Hyperlink" xfId="28759" builtinId="8" hidden="1"/>
    <cellStyle name="Hyperlink" xfId="28761" builtinId="8" hidden="1"/>
    <cellStyle name="Hyperlink" xfId="28763" builtinId="8" hidden="1"/>
    <cellStyle name="Hyperlink" xfId="28765" builtinId="8" hidden="1"/>
    <cellStyle name="Hyperlink" xfId="28767" builtinId="8" hidden="1"/>
    <cellStyle name="Hyperlink" xfId="28769" builtinId="8" hidden="1"/>
    <cellStyle name="Hyperlink" xfId="28771" builtinId="8" hidden="1"/>
    <cellStyle name="Hyperlink" xfId="28773" builtinId="8" hidden="1"/>
    <cellStyle name="Hyperlink" xfId="28775" builtinId="8" hidden="1"/>
    <cellStyle name="Hyperlink" xfId="28777" builtinId="8" hidden="1"/>
    <cellStyle name="Hyperlink" xfId="28779" builtinId="8" hidden="1"/>
    <cellStyle name="Hyperlink" xfId="28781" builtinId="8" hidden="1"/>
    <cellStyle name="Hyperlink" xfId="28783" builtinId="8" hidden="1"/>
    <cellStyle name="Hyperlink" xfId="28785" builtinId="8" hidden="1"/>
    <cellStyle name="Hyperlink" xfId="28787" builtinId="8" hidden="1"/>
    <cellStyle name="Hyperlink" xfId="28789" builtinId="8" hidden="1"/>
    <cellStyle name="Hyperlink" xfId="28791" builtinId="8" hidden="1"/>
    <cellStyle name="Hyperlink" xfId="28793" builtinId="8" hidden="1"/>
    <cellStyle name="Hyperlink" xfId="28795" builtinId="8" hidden="1"/>
    <cellStyle name="Hyperlink" xfId="28797" builtinId="8" hidden="1"/>
    <cellStyle name="Hyperlink" xfId="28799" builtinId="8" hidden="1"/>
    <cellStyle name="Hyperlink" xfId="28801" builtinId="8" hidden="1"/>
    <cellStyle name="Hyperlink" xfId="28803" builtinId="8" hidden="1"/>
    <cellStyle name="Hyperlink" xfId="28805" builtinId="8" hidden="1"/>
    <cellStyle name="Hyperlink" xfId="28807" builtinId="8" hidden="1"/>
    <cellStyle name="Hyperlink" xfId="28809" builtinId="8" hidden="1"/>
    <cellStyle name="Hyperlink" xfId="28811" builtinId="8" hidden="1"/>
    <cellStyle name="Hyperlink" xfId="28813" builtinId="8" hidden="1"/>
    <cellStyle name="Hyperlink" xfId="28815" builtinId="8" hidden="1"/>
    <cellStyle name="Hyperlink" xfId="28817" builtinId="8" hidden="1"/>
    <cellStyle name="Hyperlink" xfId="28819" builtinId="8" hidden="1"/>
    <cellStyle name="Hyperlink" xfId="28821" builtinId="8" hidden="1"/>
    <cellStyle name="Hyperlink" xfId="28823" builtinId="8" hidden="1"/>
    <cellStyle name="Hyperlink" xfId="28826" builtinId="8" hidden="1"/>
    <cellStyle name="Hyperlink" xfId="28828" builtinId="8" hidden="1"/>
    <cellStyle name="Hyperlink" xfId="28830" builtinId="8" hidden="1"/>
    <cellStyle name="Hyperlink" xfId="28832" builtinId="8" hidden="1"/>
    <cellStyle name="Hyperlink" xfId="28834" builtinId="8" hidden="1"/>
    <cellStyle name="Hyperlink" xfId="28836" builtinId="8" hidden="1"/>
    <cellStyle name="Hyperlink" xfId="28838" builtinId="8" hidden="1"/>
    <cellStyle name="Hyperlink" xfId="28840" builtinId="8" hidden="1"/>
    <cellStyle name="Hyperlink" xfId="28842" builtinId="8" hidden="1"/>
    <cellStyle name="Hyperlink" xfId="28844" builtinId="8" hidden="1"/>
    <cellStyle name="Hyperlink" xfId="28846" builtinId="8" hidden="1"/>
    <cellStyle name="Hyperlink" xfId="28848" builtinId="8" hidden="1"/>
    <cellStyle name="Hyperlink" xfId="28850" builtinId="8" hidden="1"/>
    <cellStyle name="Hyperlink" xfId="28852" builtinId="8" hidden="1"/>
    <cellStyle name="Hyperlink" xfId="28854" builtinId="8" hidden="1"/>
    <cellStyle name="Hyperlink" xfId="28856" builtinId="8" hidden="1"/>
    <cellStyle name="Hyperlink" xfId="28858" builtinId="8" hidden="1"/>
    <cellStyle name="Hyperlink" xfId="28860" builtinId="8" hidden="1"/>
    <cellStyle name="Hyperlink" xfId="28862" builtinId="8" hidden="1"/>
    <cellStyle name="Hyperlink" xfId="28864" builtinId="8" hidden="1"/>
    <cellStyle name="Hyperlink" xfId="28866" builtinId="8" hidden="1"/>
    <cellStyle name="Hyperlink" xfId="28868" builtinId="8" hidden="1"/>
    <cellStyle name="Hyperlink" xfId="28870" builtinId="8" hidden="1"/>
    <cellStyle name="Hyperlink" xfId="28872" builtinId="8" hidden="1"/>
    <cellStyle name="Hyperlink" xfId="28874" builtinId="8" hidden="1"/>
    <cellStyle name="Hyperlink" xfId="28876" builtinId="8" hidden="1"/>
    <cellStyle name="Hyperlink" xfId="28878" builtinId="8" hidden="1"/>
    <cellStyle name="Hyperlink" xfId="28880" builtinId="8" hidden="1"/>
    <cellStyle name="Hyperlink" xfId="28882" builtinId="8" hidden="1"/>
    <cellStyle name="Hyperlink" xfId="28884" builtinId="8" hidden="1"/>
    <cellStyle name="Hyperlink" xfId="28886" builtinId="8" hidden="1"/>
    <cellStyle name="Hyperlink" xfId="28888" builtinId="8" hidden="1"/>
    <cellStyle name="Hyperlink" xfId="28890" builtinId="8" hidden="1"/>
    <cellStyle name="Hyperlink" xfId="28892" builtinId="8" hidden="1"/>
    <cellStyle name="Hyperlink" xfId="28894" builtinId="8" hidden="1"/>
    <cellStyle name="Hyperlink" xfId="28896" builtinId="8" hidden="1"/>
    <cellStyle name="Hyperlink" xfId="28898" builtinId="8" hidden="1"/>
    <cellStyle name="Hyperlink" xfId="28900" builtinId="8" hidden="1"/>
    <cellStyle name="Hyperlink" xfId="28902" builtinId="8" hidden="1"/>
    <cellStyle name="Hyperlink" xfId="28904" builtinId="8" hidden="1"/>
    <cellStyle name="Hyperlink" xfId="28906" builtinId="8" hidden="1"/>
    <cellStyle name="Hyperlink" xfId="28908" builtinId="8" hidden="1"/>
    <cellStyle name="Hyperlink" xfId="28910" builtinId="8" hidden="1"/>
    <cellStyle name="Hyperlink" xfId="28912" builtinId="8" hidden="1"/>
    <cellStyle name="Hyperlink" xfId="28914" builtinId="8" hidden="1"/>
    <cellStyle name="Hyperlink" xfId="28916" builtinId="8" hidden="1"/>
    <cellStyle name="Hyperlink" xfId="28918" builtinId="8" hidden="1"/>
    <cellStyle name="Hyperlink" xfId="28920" builtinId="8" hidden="1"/>
    <cellStyle name="Hyperlink" xfId="28924" builtinId="8" hidden="1"/>
    <cellStyle name="Hyperlink" xfId="28926" builtinId="8" hidden="1"/>
    <cellStyle name="Hyperlink" xfId="28928" builtinId="8" hidden="1"/>
    <cellStyle name="Hyperlink" xfId="28930" builtinId="8" hidden="1"/>
    <cellStyle name="Hyperlink" xfId="28932" builtinId="8" hidden="1"/>
    <cellStyle name="Hyperlink" xfId="28934" builtinId="8" hidden="1"/>
    <cellStyle name="Hyperlink" xfId="28936" builtinId="8" hidden="1"/>
    <cellStyle name="Hyperlink" xfId="28938" builtinId="8" hidden="1"/>
    <cellStyle name="Hyperlink" xfId="28940" builtinId="8" hidden="1"/>
    <cellStyle name="Hyperlink" xfId="28942" builtinId="8" hidden="1"/>
    <cellStyle name="Hyperlink" xfId="28944" builtinId="8" hidden="1"/>
    <cellStyle name="Hyperlink" xfId="28946" builtinId="8" hidden="1"/>
    <cellStyle name="Hyperlink" xfId="28948" builtinId="8" hidden="1"/>
    <cellStyle name="Hyperlink" xfId="28950" builtinId="8" hidden="1"/>
    <cellStyle name="Hyperlink" xfId="28952" builtinId="8" hidden="1"/>
    <cellStyle name="Hyperlink" xfId="28954" builtinId="8" hidden="1"/>
    <cellStyle name="Hyperlink" xfId="28956" builtinId="8" hidden="1"/>
    <cellStyle name="Hyperlink" xfId="28958" builtinId="8" hidden="1"/>
    <cellStyle name="Hyperlink" xfId="28960" builtinId="8" hidden="1"/>
    <cellStyle name="Hyperlink" xfId="28962" builtinId="8" hidden="1"/>
    <cellStyle name="Hyperlink" xfId="28964" builtinId="8" hidden="1"/>
    <cellStyle name="Hyperlink" xfId="28966" builtinId="8" hidden="1"/>
    <cellStyle name="Hyperlink" xfId="28968" builtinId="8" hidden="1"/>
    <cellStyle name="Hyperlink" xfId="28970" builtinId="8" hidden="1"/>
    <cellStyle name="Hyperlink" xfId="28972" builtinId="8" hidden="1"/>
    <cellStyle name="Hyperlink" xfId="28974" builtinId="8" hidden="1"/>
    <cellStyle name="Hyperlink" xfId="28976" builtinId="8" hidden="1"/>
    <cellStyle name="Hyperlink" xfId="28978" builtinId="8" hidden="1"/>
    <cellStyle name="Hyperlink" xfId="28980" builtinId="8" hidden="1"/>
    <cellStyle name="Hyperlink" xfId="28982" builtinId="8" hidden="1"/>
    <cellStyle name="Hyperlink" xfId="28984" builtinId="8" hidden="1"/>
    <cellStyle name="Hyperlink" xfId="28986" builtinId="8" hidden="1"/>
    <cellStyle name="Hyperlink" xfId="28988" builtinId="8" hidden="1"/>
    <cellStyle name="Hyperlink" xfId="28990" builtinId="8" hidden="1"/>
    <cellStyle name="Hyperlink" xfId="28992" builtinId="8" hidden="1"/>
    <cellStyle name="Hyperlink" xfId="28994" builtinId="8" hidden="1"/>
    <cellStyle name="Hyperlink" xfId="28996" builtinId="8" hidden="1"/>
    <cellStyle name="Hyperlink" xfId="28998" builtinId="8" hidden="1"/>
    <cellStyle name="Hyperlink" xfId="29000" builtinId="8" hidden="1"/>
    <cellStyle name="Hyperlink" xfId="29002" builtinId="8" hidden="1"/>
    <cellStyle name="Hyperlink" xfId="29004" builtinId="8" hidden="1"/>
    <cellStyle name="Hyperlink" xfId="29006" builtinId="8" hidden="1"/>
    <cellStyle name="Hyperlink" xfId="29008" builtinId="8" hidden="1"/>
    <cellStyle name="Hyperlink" xfId="29010" builtinId="8" hidden="1"/>
    <cellStyle name="Hyperlink" xfId="29012" builtinId="8" hidden="1"/>
    <cellStyle name="Hyperlink" xfId="29014" builtinId="8" hidden="1"/>
    <cellStyle name="Hyperlink" xfId="29016" builtinId="8" hidden="1"/>
    <cellStyle name="Hyperlink" xfId="29018" builtinId="8" hidden="1"/>
    <cellStyle name="Hyperlink" xfId="29021" builtinId="8" hidden="1"/>
    <cellStyle name="Hyperlink" xfId="29023" builtinId="8" hidden="1"/>
    <cellStyle name="Hyperlink" xfId="29025" builtinId="8" hidden="1"/>
    <cellStyle name="Hyperlink" xfId="29027" builtinId="8" hidden="1"/>
    <cellStyle name="Hyperlink" xfId="29029" builtinId="8" hidden="1"/>
    <cellStyle name="Hyperlink" xfId="29031" builtinId="8" hidden="1"/>
    <cellStyle name="Hyperlink" xfId="29033" builtinId="8" hidden="1"/>
    <cellStyle name="Hyperlink" xfId="29035" builtinId="8" hidden="1"/>
    <cellStyle name="Hyperlink" xfId="29037" builtinId="8" hidden="1"/>
    <cellStyle name="Hyperlink" xfId="29039" builtinId="8" hidden="1"/>
    <cellStyle name="Hyperlink" xfId="29041" builtinId="8" hidden="1"/>
    <cellStyle name="Hyperlink" xfId="29043" builtinId="8" hidden="1"/>
    <cellStyle name="Hyperlink" xfId="29045" builtinId="8" hidden="1"/>
    <cellStyle name="Hyperlink" xfId="29047" builtinId="8" hidden="1"/>
    <cellStyle name="Hyperlink" xfId="29049" builtinId="8" hidden="1"/>
    <cellStyle name="Hyperlink" xfId="29051" builtinId="8" hidden="1"/>
    <cellStyle name="Hyperlink" xfId="29053" builtinId="8" hidden="1"/>
    <cellStyle name="Hyperlink" xfId="29055" builtinId="8" hidden="1"/>
    <cellStyle name="Hyperlink" xfId="29057" builtinId="8" hidden="1"/>
    <cellStyle name="Hyperlink" xfId="29059" builtinId="8" hidden="1"/>
    <cellStyle name="Hyperlink" xfId="29061" builtinId="8" hidden="1"/>
    <cellStyle name="Hyperlink" xfId="29063" builtinId="8" hidden="1"/>
    <cellStyle name="Hyperlink" xfId="29065" builtinId="8" hidden="1"/>
    <cellStyle name="Hyperlink" xfId="29067" builtinId="8" hidden="1"/>
    <cellStyle name="Hyperlink" xfId="29069" builtinId="8" hidden="1"/>
    <cellStyle name="Hyperlink" xfId="29071" builtinId="8" hidden="1"/>
    <cellStyle name="Hyperlink" xfId="29073" builtinId="8" hidden="1"/>
    <cellStyle name="Hyperlink" xfId="29075" builtinId="8" hidden="1"/>
    <cellStyle name="Hyperlink" xfId="29077" builtinId="8" hidden="1"/>
    <cellStyle name="Hyperlink" xfId="29079" builtinId="8" hidden="1"/>
    <cellStyle name="Hyperlink" xfId="29081" builtinId="8" hidden="1"/>
    <cellStyle name="Hyperlink" xfId="29083" builtinId="8" hidden="1"/>
    <cellStyle name="Hyperlink" xfId="29085" builtinId="8" hidden="1"/>
    <cellStyle name="Hyperlink" xfId="29087" builtinId="8" hidden="1"/>
    <cellStyle name="Hyperlink" xfId="29089" builtinId="8" hidden="1"/>
    <cellStyle name="Hyperlink" xfId="29091" builtinId="8" hidden="1"/>
    <cellStyle name="Hyperlink" xfId="29093" builtinId="8" hidden="1"/>
    <cellStyle name="Hyperlink" xfId="29095" builtinId="8" hidden="1"/>
    <cellStyle name="Hyperlink" xfId="29097" builtinId="8" hidden="1"/>
    <cellStyle name="Hyperlink" xfId="29099" builtinId="8" hidden="1"/>
    <cellStyle name="Hyperlink" xfId="29101" builtinId="8" hidden="1"/>
    <cellStyle name="Hyperlink" xfId="29103" builtinId="8" hidden="1"/>
    <cellStyle name="Hyperlink" xfId="29105" builtinId="8" hidden="1"/>
    <cellStyle name="Hyperlink" xfId="29107" builtinId="8" hidden="1"/>
    <cellStyle name="Hyperlink" xfId="29109" builtinId="8" hidden="1"/>
    <cellStyle name="Hyperlink" xfId="29111" builtinId="8" hidden="1"/>
    <cellStyle name="Hyperlink" xfId="29113" builtinId="8" hidden="1"/>
    <cellStyle name="Hyperlink" xfId="29115" builtinId="8" hidden="1"/>
    <cellStyle name="Hyperlink 2" xfId="3507"/>
    <cellStyle name="Hyperlink 2 2" xfId="3508"/>
    <cellStyle name="Hyperlink 2 3" xfId="3509"/>
    <cellStyle name="Hyperlink 2 4" xfId="3510"/>
    <cellStyle name="Hyperlink 2 5" xfId="3511"/>
    <cellStyle name="Hyperlink 2 6" xfId="3512"/>
    <cellStyle name="Îáû÷íûé_Ëèñò1" xfId="3513"/>
    <cellStyle name="Input 10" xfId="3514"/>
    <cellStyle name="Input 10 10" xfId="14158"/>
    <cellStyle name="Input 10 10 2" xfId="30353"/>
    <cellStyle name="Input 10 11" xfId="14159"/>
    <cellStyle name="Input 10 11 2" xfId="30354"/>
    <cellStyle name="Input 10 12" xfId="14160"/>
    <cellStyle name="Input 10 12 2" xfId="30355"/>
    <cellStyle name="Input 10 13" xfId="14161"/>
    <cellStyle name="Input 10 13 2" xfId="30356"/>
    <cellStyle name="Input 10 14" xfId="14162"/>
    <cellStyle name="Input 10 14 2" xfId="30357"/>
    <cellStyle name="Input 10 15" xfId="14163"/>
    <cellStyle name="Input 10 15 2" xfId="30358"/>
    <cellStyle name="Input 10 16" xfId="14164"/>
    <cellStyle name="Input 10 16 2" xfId="30359"/>
    <cellStyle name="Input 10 17" xfId="14165"/>
    <cellStyle name="Input 10 17 2" xfId="30360"/>
    <cellStyle name="Input 10 18" xfId="14166"/>
    <cellStyle name="Input 10 18 2" xfId="30361"/>
    <cellStyle name="Input 10 19" xfId="14167"/>
    <cellStyle name="Input 10 19 2" xfId="30362"/>
    <cellStyle name="Input 10 2" xfId="14168"/>
    <cellStyle name="Input 10 2 2" xfId="30363"/>
    <cellStyle name="Input 10 20" xfId="14169"/>
    <cellStyle name="Input 10 20 2" xfId="30364"/>
    <cellStyle name="Input 10 21" xfId="14170"/>
    <cellStyle name="Input 10 21 2" xfId="30365"/>
    <cellStyle name="Input 10 22" xfId="14171"/>
    <cellStyle name="Input 10 22 2" xfId="30366"/>
    <cellStyle name="Input 10 23" xfId="30367"/>
    <cellStyle name="Input 10 3" xfId="14172"/>
    <cellStyle name="Input 10 3 2" xfId="30368"/>
    <cellStyle name="Input 10 4" xfId="14173"/>
    <cellStyle name="Input 10 4 2" xfId="30369"/>
    <cellStyle name="Input 10 5" xfId="14174"/>
    <cellStyle name="Input 10 5 2" xfId="30370"/>
    <cellStyle name="Input 10 6" xfId="14175"/>
    <cellStyle name="Input 10 6 2" xfId="30371"/>
    <cellStyle name="Input 10 7" xfId="14176"/>
    <cellStyle name="Input 10 7 2" xfId="30372"/>
    <cellStyle name="Input 10 8" xfId="14177"/>
    <cellStyle name="Input 10 8 2" xfId="30373"/>
    <cellStyle name="Input 10 9" xfId="14178"/>
    <cellStyle name="Input 10 9 2" xfId="30374"/>
    <cellStyle name="Input 11" xfId="3515"/>
    <cellStyle name="Input 11 10" xfId="14179"/>
    <cellStyle name="Input 11 10 2" xfId="30375"/>
    <cellStyle name="Input 11 11" xfId="14180"/>
    <cellStyle name="Input 11 11 2" xfId="30376"/>
    <cellStyle name="Input 11 12" xfId="14181"/>
    <cellStyle name="Input 11 12 2" xfId="30377"/>
    <cellStyle name="Input 11 13" xfId="14182"/>
    <cellStyle name="Input 11 13 2" xfId="30378"/>
    <cellStyle name="Input 11 14" xfId="14183"/>
    <cellStyle name="Input 11 14 2" xfId="30379"/>
    <cellStyle name="Input 11 15" xfId="14184"/>
    <cellStyle name="Input 11 15 2" xfId="30380"/>
    <cellStyle name="Input 11 16" xfId="14185"/>
    <cellStyle name="Input 11 16 2" xfId="30381"/>
    <cellStyle name="Input 11 17" xfId="14186"/>
    <cellStyle name="Input 11 17 2" xfId="30382"/>
    <cellStyle name="Input 11 18" xfId="14187"/>
    <cellStyle name="Input 11 18 2" xfId="30383"/>
    <cellStyle name="Input 11 19" xfId="14188"/>
    <cellStyle name="Input 11 19 2" xfId="30384"/>
    <cellStyle name="Input 11 2" xfId="14189"/>
    <cellStyle name="Input 11 2 2" xfId="30385"/>
    <cellStyle name="Input 11 20" xfId="14190"/>
    <cellStyle name="Input 11 20 2" xfId="30386"/>
    <cellStyle name="Input 11 21" xfId="14191"/>
    <cellStyle name="Input 11 21 2" xfId="30387"/>
    <cellStyle name="Input 11 22" xfId="14192"/>
    <cellStyle name="Input 11 22 2" xfId="30388"/>
    <cellStyle name="Input 11 23" xfId="30389"/>
    <cellStyle name="Input 11 3" xfId="14193"/>
    <cellStyle name="Input 11 3 2" xfId="30390"/>
    <cellStyle name="Input 11 4" xfId="14194"/>
    <cellStyle name="Input 11 4 2" xfId="30391"/>
    <cellStyle name="Input 11 5" xfId="14195"/>
    <cellStyle name="Input 11 5 2" xfId="30392"/>
    <cellStyle name="Input 11 6" xfId="14196"/>
    <cellStyle name="Input 11 6 2" xfId="30393"/>
    <cellStyle name="Input 11 7" xfId="14197"/>
    <cellStyle name="Input 11 7 2" xfId="30394"/>
    <cellStyle name="Input 11 8" xfId="14198"/>
    <cellStyle name="Input 11 8 2" xfId="30395"/>
    <cellStyle name="Input 11 9" xfId="14199"/>
    <cellStyle name="Input 11 9 2" xfId="30396"/>
    <cellStyle name="Input 12" xfId="3516"/>
    <cellStyle name="Input 12 10" xfId="14200"/>
    <cellStyle name="Input 12 10 2" xfId="30397"/>
    <cellStyle name="Input 12 11" xfId="14201"/>
    <cellStyle name="Input 12 11 2" xfId="30398"/>
    <cellStyle name="Input 12 12" xfId="14202"/>
    <cellStyle name="Input 12 12 2" xfId="30399"/>
    <cellStyle name="Input 12 13" xfId="14203"/>
    <cellStyle name="Input 12 13 2" xfId="30400"/>
    <cellStyle name="Input 12 14" xfId="14204"/>
    <cellStyle name="Input 12 14 2" xfId="30401"/>
    <cellStyle name="Input 12 15" xfId="14205"/>
    <cellStyle name="Input 12 15 2" xfId="30402"/>
    <cellStyle name="Input 12 16" xfId="14206"/>
    <cellStyle name="Input 12 16 2" xfId="30403"/>
    <cellStyle name="Input 12 17" xfId="14207"/>
    <cellStyle name="Input 12 17 2" xfId="30404"/>
    <cellStyle name="Input 12 18" xfId="14208"/>
    <cellStyle name="Input 12 18 2" xfId="30405"/>
    <cellStyle name="Input 12 19" xfId="14209"/>
    <cellStyle name="Input 12 19 2" xfId="30406"/>
    <cellStyle name="Input 12 2" xfId="14210"/>
    <cellStyle name="Input 12 2 2" xfId="30407"/>
    <cellStyle name="Input 12 20" xfId="14211"/>
    <cellStyle name="Input 12 20 2" xfId="30408"/>
    <cellStyle name="Input 12 21" xfId="14212"/>
    <cellStyle name="Input 12 21 2" xfId="30409"/>
    <cellStyle name="Input 12 22" xfId="14213"/>
    <cellStyle name="Input 12 22 2" xfId="30410"/>
    <cellStyle name="Input 12 23" xfId="30411"/>
    <cellStyle name="Input 12 3" xfId="14214"/>
    <cellStyle name="Input 12 3 2" xfId="30412"/>
    <cellStyle name="Input 12 4" xfId="14215"/>
    <cellStyle name="Input 12 4 2" xfId="30413"/>
    <cellStyle name="Input 12 5" xfId="14216"/>
    <cellStyle name="Input 12 5 2" xfId="30414"/>
    <cellStyle name="Input 12 6" xfId="14217"/>
    <cellStyle name="Input 12 6 2" xfId="30415"/>
    <cellStyle name="Input 12 7" xfId="14218"/>
    <cellStyle name="Input 12 7 2" xfId="30416"/>
    <cellStyle name="Input 12 8" xfId="14219"/>
    <cellStyle name="Input 12 8 2" xfId="30417"/>
    <cellStyle name="Input 12 9" xfId="14220"/>
    <cellStyle name="Input 12 9 2" xfId="30418"/>
    <cellStyle name="Input 13" xfId="3517"/>
    <cellStyle name="Input 13 10" xfId="14221"/>
    <cellStyle name="Input 13 10 2" xfId="30419"/>
    <cellStyle name="Input 13 11" xfId="14222"/>
    <cellStyle name="Input 13 11 2" xfId="30420"/>
    <cellStyle name="Input 13 12" xfId="14223"/>
    <cellStyle name="Input 13 12 2" xfId="30421"/>
    <cellStyle name="Input 13 13" xfId="14224"/>
    <cellStyle name="Input 13 13 2" xfId="30422"/>
    <cellStyle name="Input 13 14" xfId="14225"/>
    <cellStyle name="Input 13 14 2" xfId="30423"/>
    <cellStyle name="Input 13 15" xfId="14226"/>
    <cellStyle name="Input 13 15 2" xfId="30424"/>
    <cellStyle name="Input 13 16" xfId="14227"/>
    <cellStyle name="Input 13 16 2" xfId="30425"/>
    <cellStyle name="Input 13 17" xfId="14228"/>
    <cellStyle name="Input 13 17 2" xfId="30426"/>
    <cellStyle name="Input 13 18" xfId="14229"/>
    <cellStyle name="Input 13 18 2" xfId="30427"/>
    <cellStyle name="Input 13 19" xfId="14230"/>
    <cellStyle name="Input 13 19 2" xfId="30428"/>
    <cellStyle name="Input 13 2" xfId="14231"/>
    <cellStyle name="Input 13 2 2" xfId="30429"/>
    <cellStyle name="Input 13 20" xfId="14232"/>
    <cellStyle name="Input 13 20 2" xfId="30430"/>
    <cellStyle name="Input 13 21" xfId="14233"/>
    <cellStyle name="Input 13 21 2" xfId="30431"/>
    <cellStyle name="Input 13 22" xfId="14234"/>
    <cellStyle name="Input 13 22 2" xfId="30432"/>
    <cellStyle name="Input 13 23" xfId="30433"/>
    <cellStyle name="Input 13 3" xfId="14235"/>
    <cellStyle name="Input 13 3 2" xfId="30434"/>
    <cellStyle name="Input 13 4" xfId="14236"/>
    <cellStyle name="Input 13 4 2" xfId="30435"/>
    <cellStyle name="Input 13 5" xfId="14237"/>
    <cellStyle name="Input 13 5 2" xfId="30436"/>
    <cellStyle name="Input 13 6" xfId="14238"/>
    <cellStyle name="Input 13 6 2" xfId="30437"/>
    <cellStyle name="Input 13 7" xfId="14239"/>
    <cellStyle name="Input 13 7 2" xfId="30438"/>
    <cellStyle name="Input 13 8" xfId="14240"/>
    <cellStyle name="Input 13 8 2" xfId="30439"/>
    <cellStyle name="Input 13 9" xfId="14241"/>
    <cellStyle name="Input 13 9 2" xfId="30440"/>
    <cellStyle name="Input 14" xfId="3518"/>
    <cellStyle name="Input 14 10" xfId="14242"/>
    <cellStyle name="Input 14 10 2" xfId="30441"/>
    <cellStyle name="Input 14 11" xfId="14243"/>
    <cellStyle name="Input 14 11 2" xfId="30442"/>
    <cellStyle name="Input 14 12" xfId="14244"/>
    <cellStyle name="Input 14 12 2" xfId="30443"/>
    <cellStyle name="Input 14 13" xfId="14245"/>
    <cellStyle name="Input 14 13 2" xfId="30444"/>
    <cellStyle name="Input 14 14" xfId="14246"/>
    <cellStyle name="Input 14 14 2" xfId="30445"/>
    <cellStyle name="Input 14 15" xfId="14247"/>
    <cellStyle name="Input 14 15 2" xfId="30446"/>
    <cellStyle name="Input 14 16" xfId="14248"/>
    <cellStyle name="Input 14 16 2" xfId="30447"/>
    <cellStyle name="Input 14 17" xfId="14249"/>
    <cellStyle name="Input 14 17 2" xfId="30448"/>
    <cellStyle name="Input 14 18" xfId="14250"/>
    <cellStyle name="Input 14 18 2" xfId="30449"/>
    <cellStyle name="Input 14 19" xfId="14251"/>
    <cellStyle name="Input 14 19 2" xfId="30450"/>
    <cellStyle name="Input 14 2" xfId="14252"/>
    <cellStyle name="Input 14 2 2" xfId="30451"/>
    <cellStyle name="Input 14 20" xfId="14253"/>
    <cellStyle name="Input 14 20 2" xfId="30452"/>
    <cellStyle name="Input 14 21" xfId="14254"/>
    <cellStyle name="Input 14 21 2" xfId="30453"/>
    <cellStyle name="Input 14 22" xfId="14255"/>
    <cellStyle name="Input 14 22 2" xfId="30454"/>
    <cellStyle name="Input 14 23" xfId="30455"/>
    <cellStyle name="Input 14 3" xfId="14256"/>
    <cellStyle name="Input 14 3 2" xfId="30456"/>
    <cellStyle name="Input 14 4" xfId="14257"/>
    <cellStyle name="Input 14 4 2" xfId="30457"/>
    <cellStyle name="Input 14 5" xfId="14258"/>
    <cellStyle name="Input 14 5 2" xfId="30458"/>
    <cellStyle name="Input 14 6" xfId="14259"/>
    <cellStyle name="Input 14 6 2" xfId="30459"/>
    <cellStyle name="Input 14 7" xfId="14260"/>
    <cellStyle name="Input 14 7 2" xfId="30460"/>
    <cellStyle name="Input 14 8" xfId="14261"/>
    <cellStyle name="Input 14 8 2" xfId="30461"/>
    <cellStyle name="Input 14 9" xfId="14262"/>
    <cellStyle name="Input 14 9 2" xfId="30462"/>
    <cellStyle name="Input 15" xfId="3519"/>
    <cellStyle name="Input 15 10" xfId="14263"/>
    <cellStyle name="Input 15 10 2" xfId="30463"/>
    <cellStyle name="Input 15 11" xfId="14264"/>
    <cellStyle name="Input 15 11 2" xfId="30464"/>
    <cellStyle name="Input 15 12" xfId="14265"/>
    <cellStyle name="Input 15 12 2" xfId="30465"/>
    <cellStyle name="Input 15 13" xfId="14266"/>
    <cellStyle name="Input 15 13 2" xfId="30466"/>
    <cellStyle name="Input 15 14" xfId="14267"/>
    <cellStyle name="Input 15 14 2" xfId="30467"/>
    <cellStyle name="Input 15 15" xfId="14268"/>
    <cellStyle name="Input 15 15 2" xfId="30468"/>
    <cellStyle name="Input 15 16" xfId="14269"/>
    <cellStyle name="Input 15 16 2" xfId="30469"/>
    <cellStyle name="Input 15 17" xfId="14270"/>
    <cellStyle name="Input 15 17 2" xfId="30470"/>
    <cellStyle name="Input 15 18" xfId="14271"/>
    <cellStyle name="Input 15 18 2" xfId="30471"/>
    <cellStyle name="Input 15 19" xfId="14272"/>
    <cellStyle name="Input 15 19 2" xfId="30472"/>
    <cellStyle name="Input 15 2" xfId="14273"/>
    <cellStyle name="Input 15 2 2" xfId="30473"/>
    <cellStyle name="Input 15 20" xfId="14274"/>
    <cellStyle name="Input 15 20 2" xfId="30474"/>
    <cellStyle name="Input 15 21" xfId="14275"/>
    <cellStyle name="Input 15 21 2" xfId="30475"/>
    <cellStyle name="Input 15 22" xfId="14276"/>
    <cellStyle name="Input 15 22 2" xfId="30476"/>
    <cellStyle name="Input 15 23" xfId="30477"/>
    <cellStyle name="Input 15 3" xfId="14277"/>
    <cellStyle name="Input 15 3 2" xfId="30478"/>
    <cellStyle name="Input 15 4" xfId="14278"/>
    <cellStyle name="Input 15 4 2" xfId="30479"/>
    <cellStyle name="Input 15 5" xfId="14279"/>
    <cellStyle name="Input 15 5 2" xfId="30480"/>
    <cellStyle name="Input 15 6" xfId="14280"/>
    <cellStyle name="Input 15 6 2" xfId="30481"/>
    <cellStyle name="Input 15 7" xfId="14281"/>
    <cellStyle name="Input 15 7 2" xfId="30482"/>
    <cellStyle name="Input 15 8" xfId="14282"/>
    <cellStyle name="Input 15 8 2" xfId="30483"/>
    <cellStyle name="Input 15 9" xfId="14283"/>
    <cellStyle name="Input 15 9 2" xfId="30484"/>
    <cellStyle name="Input 16" xfId="3520"/>
    <cellStyle name="Input 16 10" xfId="14284"/>
    <cellStyle name="Input 16 10 2" xfId="30485"/>
    <cellStyle name="Input 16 11" xfId="14285"/>
    <cellStyle name="Input 16 11 2" xfId="30486"/>
    <cellStyle name="Input 16 12" xfId="14286"/>
    <cellStyle name="Input 16 12 2" xfId="30487"/>
    <cellStyle name="Input 16 13" xfId="14287"/>
    <cellStyle name="Input 16 13 2" xfId="30488"/>
    <cellStyle name="Input 16 14" xfId="14288"/>
    <cellStyle name="Input 16 14 2" xfId="30489"/>
    <cellStyle name="Input 16 15" xfId="14289"/>
    <cellStyle name="Input 16 15 2" xfId="30490"/>
    <cellStyle name="Input 16 16" xfId="14290"/>
    <cellStyle name="Input 16 16 2" xfId="30491"/>
    <cellStyle name="Input 16 17" xfId="14291"/>
    <cellStyle name="Input 16 17 2" xfId="30492"/>
    <cellStyle name="Input 16 18" xfId="14292"/>
    <cellStyle name="Input 16 18 2" xfId="30493"/>
    <cellStyle name="Input 16 19" xfId="14293"/>
    <cellStyle name="Input 16 19 2" xfId="30494"/>
    <cellStyle name="Input 16 2" xfId="14294"/>
    <cellStyle name="Input 16 2 2" xfId="30495"/>
    <cellStyle name="Input 16 20" xfId="14295"/>
    <cellStyle name="Input 16 20 2" xfId="30496"/>
    <cellStyle name="Input 16 21" xfId="14296"/>
    <cellStyle name="Input 16 21 2" xfId="30497"/>
    <cellStyle name="Input 16 22" xfId="14297"/>
    <cellStyle name="Input 16 22 2" xfId="30498"/>
    <cellStyle name="Input 16 23" xfId="30499"/>
    <cellStyle name="Input 16 3" xfId="14298"/>
    <cellStyle name="Input 16 3 2" xfId="30500"/>
    <cellStyle name="Input 16 4" xfId="14299"/>
    <cellStyle name="Input 16 4 2" xfId="30501"/>
    <cellStyle name="Input 16 5" xfId="14300"/>
    <cellStyle name="Input 16 5 2" xfId="30502"/>
    <cellStyle name="Input 16 6" xfId="14301"/>
    <cellStyle name="Input 16 6 2" xfId="30503"/>
    <cellStyle name="Input 16 7" xfId="14302"/>
    <cellStyle name="Input 16 7 2" xfId="30504"/>
    <cellStyle name="Input 16 8" xfId="14303"/>
    <cellStyle name="Input 16 8 2" xfId="30505"/>
    <cellStyle name="Input 16 9" xfId="14304"/>
    <cellStyle name="Input 16 9 2" xfId="30506"/>
    <cellStyle name="Input 17" xfId="3521"/>
    <cellStyle name="Input 17 10" xfId="14305"/>
    <cellStyle name="Input 17 10 2" xfId="30507"/>
    <cellStyle name="Input 17 11" xfId="14306"/>
    <cellStyle name="Input 17 11 2" xfId="30508"/>
    <cellStyle name="Input 17 12" xfId="14307"/>
    <cellStyle name="Input 17 12 2" xfId="30509"/>
    <cellStyle name="Input 17 13" xfId="14308"/>
    <cellStyle name="Input 17 13 2" xfId="30510"/>
    <cellStyle name="Input 17 14" xfId="14309"/>
    <cellStyle name="Input 17 14 2" xfId="30511"/>
    <cellStyle name="Input 17 15" xfId="14310"/>
    <cellStyle name="Input 17 15 2" xfId="30512"/>
    <cellStyle name="Input 17 16" xfId="14311"/>
    <cellStyle name="Input 17 16 2" xfId="30513"/>
    <cellStyle name="Input 17 17" xfId="14312"/>
    <cellStyle name="Input 17 17 2" xfId="30514"/>
    <cellStyle name="Input 17 18" xfId="14313"/>
    <cellStyle name="Input 17 18 2" xfId="30515"/>
    <cellStyle name="Input 17 19" xfId="14314"/>
    <cellStyle name="Input 17 19 2" xfId="30516"/>
    <cellStyle name="Input 17 2" xfId="14315"/>
    <cellStyle name="Input 17 2 2" xfId="30517"/>
    <cellStyle name="Input 17 20" xfId="14316"/>
    <cellStyle name="Input 17 20 2" xfId="30518"/>
    <cellStyle name="Input 17 21" xfId="14317"/>
    <cellStyle name="Input 17 21 2" xfId="30519"/>
    <cellStyle name="Input 17 22" xfId="14318"/>
    <cellStyle name="Input 17 22 2" xfId="30520"/>
    <cellStyle name="Input 17 23" xfId="30521"/>
    <cellStyle name="Input 17 3" xfId="14319"/>
    <cellStyle name="Input 17 3 2" xfId="30522"/>
    <cellStyle name="Input 17 4" xfId="14320"/>
    <cellStyle name="Input 17 4 2" xfId="30523"/>
    <cellStyle name="Input 17 5" xfId="14321"/>
    <cellStyle name="Input 17 5 2" xfId="30524"/>
    <cellStyle name="Input 17 6" xfId="14322"/>
    <cellStyle name="Input 17 6 2" xfId="30525"/>
    <cellStyle name="Input 17 7" xfId="14323"/>
    <cellStyle name="Input 17 7 2" xfId="30526"/>
    <cellStyle name="Input 17 8" xfId="14324"/>
    <cellStyle name="Input 17 8 2" xfId="30527"/>
    <cellStyle name="Input 17 9" xfId="14325"/>
    <cellStyle name="Input 17 9 2" xfId="30528"/>
    <cellStyle name="Input 18" xfId="3522"/>
    <cellStyle name="Input 18 10" xfId="14326"/>
    <cellStyle name="Input 18 10 2" xfId="30529"/>
    <cellStyle name="Input 18 11" xfId="14327"/>
    <cellStyle name="Input 18 11 2" xfId="30530"/>
    <cellStyle name="Input 18 12" xfId="14328"/>
    <cellStyle name="Input 18 12 2" xfId="30531"/>
    <cellStyle name="Input 18 13" xfId="14329"/>
    <cellStyle name="Input 18 13 2" xfId="30532"/>
    <cellStyle name="Input 18 14" xfId="14330"/>
    <cellStyle name="Input 18 14 2" xfId="30533"/>
    <cellStyle name="Input 18 15" xfId="14331"/>
    <cellStyle name="Input 18 15 2" xfId="30534"/>
    <cellStyle name="Input 18 16" xfId="14332"/>
    <cellStyle name="Input 18 16 2" xfId="30535"/>
    <cellStyle name="Input 18 17" xfId="14333"/>
    <cellStyle name="Input 18 17 2" xfId="30536"/>
    <cellStyle name="Input 18 18" xfId="14334"/>
    <cellStyle name="Input 18 18 2" xfId="30537"/>
    <cellStyle name="Input 18 19" xfId="14335"/>
    <cellStyle name="Input 18 19 2" xfId="30538"/>
    <cellStyle name="Input 18 2" xfId="14336"/>
    <cellStyle name="Input 18 2 2" xfId="30539"/>
    <cellStyle name="Input 18 20" xfId="14337"/>
    <cellStyle name="Input 18 20 2" xfId="30540"/>
    <cellStyle name="Input 18 21" xfId="14338"/>
    <cellStyle name="Input 18 21 2" xfId="30541"/>
    <cellStyle name="Input 18 22" xfId="14339"/>
    <cellStyle name="Input 18 22 2" xfId="30542"/>
    <cellStyle name="Input 18 23" xfId="30543"/>
    <cellStyle name="Input 18 3" xfId="14340"/>
    <cellStyle name="Input 18 3 2" xfId="30544"/>
    <cellStyle name="Input 18 4" xfId="14341"/>
    <cellStyle name="Input 18 4 2" xfId="30545"/>
    <cellStyle name="Input 18 5" xfId="14342"/>
    <cellStyle name="Input 18 5 2" xfId="30546"/>
    <cellStyle name="Input 18 6" xfId="14343"/>
    <cellStyle name="Input 18 6 2" xfId="30547"/>
    <cellStyle name="Input 18 7" xfId="14344"/>
    <cellStyle name="Input 18 7 2" xfId="30548"/>
    <cellStyle name="Input 18 8" xfId="14345"/>
    <cellStyle name="Input 18 8 2" xfId="30549"/>
    <cellStyle name="Input 18 9" xfId="14346"/>
    <cellStyle name="Input 18 9 2" xfId="30550"/>
    <cellStyle name="Input 19" xfId="3523"/>
    <cellStyle name="Input 19 10" xfId="14347"/>
    <cellStyle name="Input 19 10 2" xfId="30551"/>
    <cellStyle name="Input 19 11" xfId="14348"/>
    <cellStyle name="Input 19 11 2" xfId="30552"/>
    <cellStyle name="Input 19 12" xfId="14349"/>
    <cellStyle name="Input 19 12 2" xfId="30553"/>
    <cellStyle name="Input 19 13" xfId="14350"/>
    <cellStyle name="Input 19 13 2" xfId="30554"/>
    <cellStyle name="Input 19 14" xfId="14351"/>
    <cellStyle name="Input 19 14 2" xfId="30555"/>
    <cellStyle name="Input 19 15" xfId="14352"/>
    <cellStyle name="Input 19 15 2" xfId="30556"/>
    <cellStyle name="Input 19 16" xfId="14353"/>
    <cellStyle name="Input 19 16 2" xfId="30557"/>
    <cellStyle name="Input 19 17" xfId="14354"/>
    <cellStyle name="Input 19 17 2" xfId="30558"/>
    <cellStyle name="Input 19 18" xfId="14355"/>
    <cellStyle name="Input 19 18 2" xfId="30559"/>
    <cellStyle name="Input 19 19" xfId="14356"/>
    <cellStyle name="Input 19 19 2" xfId="30560"/>
    <cellStyle name="Input 19 2" xfId="14357"/>
    <cellStyle name="Input 19 2 2" xfId="30561"/>
    <cellStyle name="Input 19 20" xfId="14358"/>
    <cellStyle name="Input 19 20 2" xfId="30562"/>
    <cellStyle name="Input 19 21" xfId="14359"/>
    <cellStyle name="Input 19 21 2" xfId="30563"/>
    <cellStyle name="Input 19 22" xfId="14360"/>
    <cellStyle name="Input 19 22 2" xfId="30564"/>
    <cellStyle name="Input 19 23" xfId="30565"/>
    <cellStyle name="Input 19 3" xfId="14361"/>
    <cellStyle name="Input 19 3 2" xfId="30566"/>
    <cellStyle name="Input 19 4" xfId="14362"/>
    <cellStyle name="Input 19 4 2" xfId="30567"/>
    <cellStyle name="Input 19 5" xfId="14363"/>
    <cellStyle name="Input 19 5 2" xfId="30568"/>
    <cellStyle name="Input 19 6" xfId="14364"/>
    <cellStyle name="Input 19 6 2" xfId="30569"/>
    <cellStyle name="Input 19 7" xfId="14365"/>
    <cellStyle name="Input 19 7 2" xfId="30570"/>
    <cellStyle name="Input 19 8" xfId="14366"/>
    <cellStyle name="Input 19 8 2" xfId="30571"/>
    <cellStyle name="Input 19 9" xfId="14367"/>
    <cellStyle name="Input 19 9 2" xfId="30572"/>
    <cellStyle name="Input 2" xfId="3524"/>
    <cellStyle name="Input 2 10" xfId="14368"/>
    <cellStyle name="Input 2 10 2" xfId="30573"/>
    <cellStyle name="Input 2 11" xfId="14369"/>
    <cellStyle name="Input 2 11 2" xfId="30574"/>
    <cellStyle name="Input 2 12" xfId="14370"/>
    <cellStyle name="Input 2 12 2" xfId="30575"/>
    <cellStyle name="Input 2 13" xfId="14371"/>
    <cellStyle name="Input 2 13 2" xfId="30576"/>
    <cellStyle name="Input 2 14" xfId="14372"/>
    <cellStyle name="Input 2 14 2" xfId="30577"/>
    <cellStyle name="Input 2 15" xfId="14373"/>
    <cellStyle name="Input 2 15 2" xfId="30578"/>
    <cellStyle name="Input 2 16" xfId="14374"/>
    <cellStyle name="Input 2 16 2" xfId="30579"/>
    <cellStyle name="Input 2 17" xfId="14375"/>
    <cellStyle name="Input 2 17 2" xfId="30580"/>
    <cellStyle name="Input 2 18" xfId="14376"/>
    <cellStyle name="Input 2 18 2" xfId="30581"/>
    <cellStyle name="Input 2 19" xfId="14377"/>
    <cellStyle name="Input 2 19 2" xfId="30582"/>
    <cellStyle name="Input 2 2" xfId="3525"/>
    <cellStyle name="Input 2 2 10" xfId="14378"/>
    <cellStyle name="Input 2 2 10 2" xfId="30583"/>
    <cellStyle name="Input 2 2 11" xfId="14379"/>
    <cellStyle name="Input 2 2 11 2" xfId="30584"/>
    <cellStyle name="Input 2 2 12" xfId="14380"/>
    <cellStyle name="Input 2 2 12 2" xfId="30585"/>
    <cellStyle name="Input 2 2 13" xfId="14381"/>
    <cellStyle name="Input 2 2 13 2" xfId="30586"/>
    <cellStyle name="Input 2 2 14" xfId="14382"/>
    <cellStyle name="Input 2 2 14 2" xfId="30587"/>
    <cellStyle name="Input 2 2 15" xfId="14383"/>
    <cellStyle name="Input 2 2 15 2" xfId="30588"/>
    <cellStyle name="Input 2 2 16" xfId="14384"/>
    <cellStyle name="Input 2 2 16 2" xfId="30589"/>
    <cellStyle name="Input 2 2 17" xfId="14385"/>
    <cellStyle name="Input 2 2 17 2" xfId="30590"/>
    <cellStyle name="Input 2 2 18" xfId="14386"/>
    <cellStyle name="Input 2 2 18 2" xfId="30591"/>
    <cellStyle name="Input 2 2 19" xfId="14387"/>
    <cellStyle name="Input 2 2 19 2" xfId="30592"/>
    <cellStyle name="Input 2 2 2" xfId="14388"/>
    <cellStyle name="Input 2 2 2 2" xfId="30593"/>
    <cellStyle name="Input 2 2 20" xfId="14389"/>
    <cellStyle name="Input 2 2 20 2" xfId="30594"/>
    <cellStyle name="Input 2 2 21" xfId="14390"/>
    <cellStyle name="Input 2 2 21 2" xfId="30595"/>
    <cellStyle name="Input 2 2 22" xfId="14391"/>
    <cellStyle name="Input 2 2 22 2" xfId="30596"/>
    <cellStyle name="Input 2 2 23" xfId="30597"/>
    <cellStyle name="Input 2 2 3" xfId="14392"/>
    <cellStyle name="Input 2 2 3 2" xfId="30598"/>
    <cellStyle name="Input 2 2 4" xfId="14393"/>
    <cellStyle name="Input 2 2 4 2" xfId="30599"/>
    <cellStyle name="Input 2 2 5" xfId="14394"/>
    <cellStyle name="Input 2 2 5 2" xfId="30600"/>
    <cellStyle name="Input 2 2 6" xfId="14395"/>
    <cellStyle name="Input 2 2 6 2" xfId="30601"/>
    <cellStyle name="Input 2 2 7" xfId="14396"/>
    <cellStyle name="Input 2 2 7 2" xfId="30602"/>
    <cellStyle name="Input 2 2 8" xfId="14397"/>
    <cellStyle name="Input 2 2 8 2" xfId="30603"/>
    <cellStyle name="Input 2 2 9" xfId="14398"/>
    <cellStyle name="Input 2 2 9 2" xfId="30604"/>
    <cellStyle name="Input 2 20" xfId="14399"/>
    <cellStyle name="Input 2 20 2" xfId="30605"/>
    <cellStyle name="Input 2 21" xfId="14400"/>
    <cellStyle name="Input 2 21 2" xfId="30606"/>
    <cellStyle name="Input 2 22" xfId="14401"/>
    <cellStyle name="Input 2 22 2" xfId="30607"/>
    <cellStyle name="Input 2 23" xfId="14402"/>
    <cellStyle name="Input 2 23 2" xfId="30608"/>
    <cellStyle name="Input 2 24" xfId="14403"/>
    <cellStyle name="Input 2 24 2" xfId="30609"/>
    <cellStyle name="Input 2 25" xfId="14404"/>
    <cellStyle name="Input 2 25 2" xfId="30610"/>
    <cellStyle name="Input 2 26" xfId="14405"/>
    <cellStyle name="Input 2 26 2" xfId="30611"/>
    <cellStyle name="Input 2 27" xfId="14406"/>
    <cellStyle name="Input 2 27 2" xfId="30612"/>
    <cellStyle name="Input 2 28" xfId="30613"/>
    <cellStyle name="Input 2 3" xfId="3526"/>
    <cellStyle name="Input 2 3 10" xfId="14407"/>
    <cellStyle name="Input 2 3 10 2" xfId="30614"/>
    <cellStyle name="Input 2 3 11" xfId="14408"/>
    <cellStyle name="Input 2 3 11 2" xfId="30615"/>
    <cellStyle name="Input 2 3 12" xfId="14409"/>
    <cellStyle name="Input 2 3 12 2" xfId="30616"/>
    <cellStyle name="Input 2 3 13" xfId="14410"/>
    <cellStyle name="Input 2 3 13 2" xfId="30617"/>
    <cellStyle name="Input 2 3 14" xfId="14411"/>
    <cellStyle name="Input 2 3 14 2" xfId="30618"/>
    <cellStyle name="Input 2 3 15" xfId="14412"/>
    <cellStyle name="Input 2 3 15 2" xfId="30619"/>
    <cellStyle name="Input 2 3 16" xfId="14413"/>
    <cellStyle name="Input 2 3 16 2" xfId="30620"/>
    <cellStyle name="Input 2 3 17" xfId="14414"/>
    <cellStyle name="Input 2 3 17 2" xfId="30621"/>
    <cellStyle name="Input 2 3 18" xfId="14415"/>
    <cellStyle name="Input 2 3 18 2" xfId="30622"/>
    <cellStyle name="Input 2 3 19" xfId="14416"/>
    <cellStyle name="Input 2 3 19 2" xfId="30623"/>
    <cellStyle name="Input 2 3 2" xfId="14417"/>
    <cellStyle name="Input 2 3 2 2" xfId="30624"/>
    <cellStyle name="Input 2 3 20" xfId="14418"/>
    <cellStyle name="Input 2 3 20 2" xfId="30625"/>
    <cellStyle name="Input 2 3 21" xfId="14419"/>
    <cellStyle name="Input 2 3 21 2" xfId="30626"/>
    <cellStyle name="Input 2 3 22" xfId="14420"/>
    <cellStyle name="Input 2 3 22 2" xfId="30627"/>
    <cellStyle name="Input 2 3 23" xfId="30628"/>
    <cellStyle name="Input 2 3 3" xfId="14421"/>
    <cellStyle name="Input 2 3 3 2" xfId="30629"/>
    <cellStyle name="Input 2 3 4" xfId="14422"/>
    <cellStyle name="Input 2 3 4 2" xfId="30630"/>
    <cellStyle name="Input 2 3 5" xfId="14423"/>
    <cellStyle name="Input 2 3 5 2" xfId="30631"/>
    <cellStyle name="Input 2 3 6" xfId="14424"/>
    <cellStyle name="Input 2 3 6 2" xfId="30632"/>
    <cellStyle name="Input 2 3 7" xfId="14425"/>
    <cellStyle name="Input 2 3 7 2" xfId="30633"/>
    <cellStyle name="Input 2 3 8" xfId="14426"/>
    <cellStyle name="Input 2 3 8 2" xfId="30634"/>
    <cellStyle name="Input 2 3 9" xfId="14427"/>
    <cellStyle name="Input 2 3 9 2" xfId="30635"/>
    <cellStyle name="Input 2 4" xfId="3527"/>
    <cellStyle name="Input 2 4 10" xfId="14428"/>
    <cellStyle name="Input 2 4 10 2" xfId="30636"/>
    <cellStyle name="Input 2 4 11" xfId="14429"/>
    <cellStyle name="Input 2 4 11 2" xfId="30637"/>
    <cellStyle name="Input 2 4 12" xfId="14430"/>
    <cellStyle name="Input 2 4 12 2" xfId="30638"/>
    <cellStyle name="Input 2 4 13" xfId="14431"/>
    <cellStyle name="Input 2 4 13 2" xfId="30639"/>
    <cellStyle name="Input 2 4 14" xfId="14432"/>
    <cellStyle name="Input 2 4 14 2" xfId="30640"/>
    <cellStyle name="Input 2 4 15" xfId="14433"/>
    <cellStyle name="Input 2 4 15 2" xfId="30641"/>
    <cellStyle name="Input 2 4 16" xfId="14434"/>
    <cellStyle name="Input 2 4 16 2" xfId="30642"/>
    <cellStyle name="Input 2 4 17" xfId="14435"/>
    <cellStyle name="Input 2 4 17 2" xfId="30643"/>
    <cellStyle name="Input 2 4 18" xfId="14436"/>
    <cellStyle name="Input 2 4 18 2" xfId="30644"/>
    <cellStyle name="Input 2 4 19" xfId="14437"/>
    <cellStyle name="Input 2 4 19 2" xfId="30645"/>
    <cellStyle name="Input 2 4 2" xfId="14438"/>
    <cellStyle name="Input 2 4 2 2" xfId="30646"/>
    <cellStyle name="Input 2 4 20" xfId="14439"/>
    <cellStyle name="Input 2 4 20 2" xfId="30647"/>
    <cellStyle name="Input 2 4 21" xfId="14440"/>
    <cellStyle name="Input 2 4 21 2" xfId="30648"/>
    <cellStyle name="Input 2 4 22" xfId="14441"/>
    <cellStyle name="Input 2 4 22 2" xfId="30649"/>
    <cellStyle name="Input 2 4 23" xfId="30650"/>
    <cellStyle name="Input 2 4 3" xfId="14442"/>
    <cellStyle name="Input 2 4 3 2" xfId="30651"/>
    <cellStyle name="Input 2 4 4" xfId="14443"/>
    <cellStyle name="Input 2 4 4 2" xfId="30652"/>
    <cellStyle name="Input 2 4 5" xfId="14444"/>
    <cellStyle name="Input 2 4 5 2" xfId="30653"/>
    <cellStyle name="Input 2 4 6" xfId="14445"/>
    <cellStyle name="Input 2 4 6 2" xfId="30654"/>
    <cellStyle name="Input 2 4 7" xfId="14446"/>
    <cellStyle name="Input 2 4 7 2" xfId="30655"/>
    <cellStyle name="Input 2 4 8" xfId="14447"/>
    <cellStyle name="Input 2 4 8 2" xfId="30656"/>
    <cellStyle name="Input 2 4 9" xfId="14448"/>
    <cellStyle name="Input 2 4 9 2" xfId="30657"/>
    <cellStyle name="Input 2 5" xfId="3528"/>
    <cellStyle name="Input 2 5 10" xfId="14449"/>
    <cellStyle name="Input 2 5 10 2" xfId="30658"/>
    <cellStyle name="Input 2 5 11" xfId="14450"/>
    <cellStyle name="Input 2 5 11 2" xfId="30659"/>
    <cellStyle name="Input 2 5 12" xfId="14451"/>
    <cellStyle name="Input 2 5 12 2" xfId="30660"/>
    <cellStyle name="Input 2 5 13" xfId="14452"/>
    <cellStyle name="Input 2 5 13 2" xfId="30661"/>
    <cellStyle name="Input 2 5 14" xfId="14453"/>
    <cellStyle name="Input 2 5 14 2" xfId="30662"/>
    <cellStyle name="Input 2 5 15" xfId="14454"/>
    <cellStyle name="Input 2 5 15 2" xfId="30663"/>
    <cellStyle name="Input 2 5 16" xfId="14455"/>
    <cellStyle name="Input 2 5 16 2" xfId="30664"/>
    <cellStyle name="Input 2 5 17" xfId="14456"/>
    <cellStyle name="Input 2 5 17 2" xfId="30665"/>
    <cellStyle name="Input 2 5 18" xfId="14457"/>
    <cellStyle name="Input 2 5 18 2" xfId="30666"/>
    <cellStyle name="Input 2 5 19" xfId="14458"/>
    <cellStyle name="Input 2 5 19 2" xfId="30667"/>
    <cellStyle name="Input 2 5 2" xfId="14459"/>
    <cellStyle name="Input 2 5 2 2" xfId="30668"/>
    <cellStyle name="Input 2 5 20" xfId="14460"/>
    <cellStyle name="Input 2 5 20 2" xfId="30669"/>
    <cellStyle name="Input 2 5 21" xfId="14461"/>
    <cellStyle name="Input 2 5 21 2" xfId="30670"/>
    <cellStyle name="Input 2 5 22" xfId="14462"/>
    <cellStyle name="Input 2 5 22 2" xfId="30671"/>
    <cellStyle name="Input 2 5 23" xfId="30672"/>
    <cellStyle name="Input 2 5 3" xfId="14463"/>
    <cellStyle name="Input 2 5 3 2" xfId="30673"/>
    <cellStyle name="Input 2 5 4" xfId="14464"/>
    <cellStyle name="Input 2 5 4 2" xfId="30674"/>
    <cellStyle name="Input 2 5 5" xfId="14465"/>
    <cellStyle name="Input 2 5 5 2" xfId="30675"/>
    <cellStyle name="Input 2 5 6" xfId="14466"/>
    <cellStyle name="Input 2 5 6 2" xfId="30676"/>
    <cellStyle name="Input 2 5 7" xfId="14467"/>
    <cellStyle name="Input 2 5 7 2" xfId="30677"/>
    <cellStyle name="Input 2 5 8" xfId="14468"/>
    <cellStyle name="Input 2 5 8 2" xfId="30678"/>
    <cellStyle name="Input 2 5 9" xfId="14469"/>
    <cellStyle name="Input 2 5 9 2" xfId="30679"/>
    <cellStyle name="Input 2 6" xfId="3529"/>
    <cellStyle name="Input 2 6 10" xfId="14470"/>
    <cellStyle name="Input 2 6 10 2" xfId="30680"/>
    <cellStyle name="Input 2 6 11" xfId="14471"/>
    <cellStyle name="Input 2 6 11 2" xfId="30681"/>
    <cellStyle name="Input 2 6 12" xfId="14472"/>
    <cellStyle name="Input 2 6 12 2" xfId="30682"/>
    <cellStyle name="Input 2 6 13" xfId="14473"/>
    <cellStyle name="Input 2 6 13 2" xfId="30683"/>
    <cellStyle name="Input 2 6 14" xfId="14474"/>
    <cellStyle name="Input 2 6 14 2" xfId="30684"/>
    <cellStyle name="Input 2 6 15" xfId="14475"/>
    <cellStyle name="Input 2 6 15 2" xfId="30685"/>
    <cellStyle name="Input 2 6 16" xfId="14476"/>
    <cellStyle name="Input 2 6 16 2" xfId="30686"/>
    <cellStyle name="Input 2 6 17" xfId="14477"/>
    <cellStyle name="Input 2 6 17 2" xfId="30687"/>
    <cellStyle name="Input 2 6 18" xfId="14478"/>
    <cellStyle name="Input 2 6 18 2" xfId="30688"/>
    <cellStyle name="Input 2 6 19" xfId="14479"/>
    <cellStyle name="Input 2 6 19 2" xfId="30689"/>
    <cellStyle name="Input 2 6 2" xfId="14480"/>
    <cellStyle name="Input 2 6 2 2" xfId="30690"/>
    <cellStyle name="Input 2 6 20" xfId="14481"/>
    <cellStyle name="Input 2 6 20 2" xfId="30691"/>
    <cellStyle name="Input 2 6 21" xfId="14482"/>
    <cellStyle name="Input 2 6 21 2" xfId="30692"/>
    <cellStyle name="Input 2 6 22" xfId="14483"/>
    <cellStyle name="Input 2 6 22 2" xfId="30693"/>
    <cellStyle name="Input 2 6 23" xfId="30694"/>
    <cellStyle name="Input 2 6 3" xfId="14484"/>
    <cellStyle name="Input 2 6 3 2" xfId="30695"/>
    <cellStyle name="Input 2 6 4" xfId="14485"/>
    <cellStyle name="Input 2 6 4 2" xfId="30696"/>
    <cellStyle name="Input 2 6 5" xfId="14486"/>
    <cellStyle name="Input 2 6 5 2" xfId="30697"/>
    <cellStyle name="Input 2 6 6" xfId="14487"/>
    <cellStyle name="Input 2 6 6 2" xfId="30698"/>
    <cellStyle name="Input 2 6 7" xfId="14488"/>
    <cellStyle name="Input 2 6 7 2" xfId="30699"/>
    <cellStyle name="Input 2 6 8" xfId="14489"/>
    <cellStyle name="Input 2 6 8 2" xfId="30700"/>
    <cellStyle name="Input 2 6 9" xfId="14490"/>
    <cellStyle name="Input 2 6 9 2" xfId="30701"/>
    <cellStyle name="Input 2 7" xfId="14491"/>
    <cellStyle name="Input 2 7 2" xfId="30702"/>
    <cellStyle name="Input 2 8" xfId="14492"/>
    <cellStyle name="Input 2 8 2" xfId="30703"/>
    <cellStyle name="Input 2 9" xfId="14493"/>
    <cellStyle name="Input 2 9 2" xfId="30704"/>
    <cellStyle name="Input 20" xfId="3530"/>
    <cellStyle name="Input 20 10" xfId="14494"/>
    <cellStyle name="Input 20 10 2" xfId="30705"/>
    <cellStyle name="Input 20 11" xfId="14495"/>
    <cellStyle name="Input 20 11 2" xfId="30706"/>
    <cellStyle name="Input 20 12" xfId="14496"/>
    <cellStyle name="Input 20 12 2" xfId="30707"/>
    <cellStyle name="Input 20 13" xfId="14497"/>
    <cellStyle name="Input 20 13 2" xfId="30708"/>
    <cellStyle name="Input 20 14" xfId="14498"/>
    <cellStyle name="Input 20 14 2" xfId="30709"/>
    <cellStyle name="Input 20 15" xfId="14499"/>
    <cellStyle name="Input 20 15 2" xfId="30710"/>
    <cellStyle name="Input 20 16" xfId="14500"/>
    <cellStyle name="Input 20 16 2" xfId="30711"/>
    <cellStyle name="Input 20 17" xfId="14501"/>
    <cellStyle name="Input 20 17 2" xfId="30712"/>
    <cellStyle name="Input 20 18" xfId="14502"/>
    <cellStyle name="Input 20 18 2" xfId="30713"/>
    <cellStyle name="Input 20 19" xfId="14503"/>
    <cellStyle name="Input 20 19 2" xfId="30714"/>
    <cellStyle name="Input 20 2" xfId="14504"/>
    <cellStyle name="Input 20 2 2" xfId="30715"/>
    <cellStyle name="Input 20 20" xfId="14505"/>
    <cellStyle name="Input 20 20 2" xfId="30716"/>
    <cellStyle name="Input 20 21" xfId="14506"/>
    <cellStyle name="Input 20 21 2" xfId="30717"/>
    <cellStyle name="Input 20 22" xfId="14507"/>
    <cellStyle name="Input 20 22 2" xfId="30718"/>
    <cellStyle name="Input 20 23" xfId="30719"/>
    <cellStyle name="Input 20 3" xfId="14508"/>
    <cellStyle name="Input 20 3 2" xfId="30720"/>
    <cellStyle name="Input 20 4" xfId="14509"/>
    <cellStyle name="Input 20 4 2" xfId="30721"/>
    <cellStyle name="Input 20 5" xfId="14510"/>
    <cellStyle name="Input 20 5 2" xfId="30722"/>
    <cellStyle name="Input 20 6" xfId="14511"/>
    <cellStyle name="Input 20 6 2" xfId="30723"/>
    <cellStyle name="Input 20 7" xfId="14512"/>
    <cellStyle name="Input 20 7 2" xfId="30724"/>
    <cellStyle name="Input 20 8" xfId="14513"/>
    <cellStyle name="Input 20 8 2" xfId="30725"/>
    <cellStyle name="Input 20 9" xfId="14514"/>
    <cellStyle name="Input 20 9 2" xfId="30726"/>
    <cellStyle name="Input 21" xfId="3531"/>
    <cellStyle name="Input 21 10" xfId="14515"/>
    <cellStyle name="Input 21 10 2" xfId="30727"/>
    <cellStyle name="Input 21 11" xfId="14516"/>
    <cellStyle name="Input 21 11 2" xfId="30728"/>
    <cellStyle name="Input 21 12" xfId="14517"/>
    <cellStyle name="Input 21 12 2" xfId="30729"/>
    <cellStyle name="Input 21 13" xfId="14518"/>
    <cellStyle name="Input 21 13 2" xfId="30730"/>
    <cellStyle name="Input 21 14" xfId="14519"/>
    <cellStyle name="Input 21 14 2" xfId="30731"/>
    <cellStyle name="Input 21 15" xfId="14520"/>
    <cellStyle name="Input 21 15 2" xfId="30732"/>
    <cellStyle name="Input 21 16" xfId="14521"/>
    <cellStyle name="Input 21 16 2" xfId="30733"/>
    <cellStyle name="Input 21 17" xfId="14522"/>
    <cellStyle name="Input 21 17 2" xfId="30734"/>
    <cellStyle name="Input 21 18" xfId="14523"/>
    <cellStyle name="Input 21 18 2" xfId="30735"/>
    <cellStyle name="Input 21 19" xfId="14524"/>
    <cellStyle name="Input 21 19 2" xfId="30736"/>
    <cellStyle name="Input 21 2" xfId="14525"/>
    <cellStyle name="Input 21 2 2" xfId="30737"/>
    <cellStyle name="Input 21 20" xfId="14526"/>
    <cellStyle name="Input 21 20 2" xfId="30738"/>
    <cellStyle name="Input 21 21" xfId="14527"/>
    <cellStyle name="Input 21 21 2" xfId="30739"/>
    <cellStyle name="Input 21 22" xfId="14528"/>
    <cellStyle name="Input 21 22 2" xfId="30740"/>
    <cellStyle name="Input 21 23" xfId="30741"/>
    <cellStyle name="Input 21 3" xfId="14529"/>
    <cellStyle name="Input 21 3 2" xfId="30742"/>
    <cellStyle name="Input 21 4" xfId="14530"/>
    <cellStyle name="Input 21 4 2" xfId="30743"/>
    <cellStyle name="Input 21 5" xfId="14531"/>
    <cellStyle name="Input 21 5 2" xfId="30744"/>
    <cellStyle name="Input 21 6" xfId="14532"/>
    <cellStyle name="Input 21 6 2" xfId="30745"/>
    <cellStyle name="Input 21 7" xfId="14533"/>
    <cellStyle name="Input 21 7 2" xfId="30746"/>
    <cellStyle name="Input 21 8" xfId="14534"/>
    <cellStyle name="Input 21 8 2" xfId="30747"/>
    <cellStyle name="Input 21 9" xfId="14535"/>
    <cellStyle name="Input 21 9 2" xfId="30748"/>
    <cellStyle name="Input 22" xfId="3532"/>
    <cellStyle name="Input 22 10" xfId="14536"/>
    <cellStyle name="Input 22 10 2" xfId="30749"/>
    <cellStyle name="Input 22 11" xfId="14537"/>
    <cellStyle name="Input 22 11 2" xfId="30750"/>
    <cellStyle name="Input 22 12" xfId="14538"/>
    <cellStyle name="Input 22 12 2" xfId="30751"/>
    <cellStyle name="Input 22 13" xfId="14539"/>
    <cellStyle name="Input 22 13 2" xfId="30752"/>
    <cellStyle name="Input 22 14" xfId="14540"/>
    <cellStyle name="Input 22 14 2" xfId="30753"/>
    <cellStyle name="Input 22 15" xfId="14541"/>
    <cellStyle name="Input 22 15 2" xfId="30754"/>
    <cellStyle name="Input 22 16" xfId="14542"/>
    <cellStyle name="Input 22 16 2" xfId="30755"/>
    <cellStyle name="Input 22 17" xfId="14543"/>
    <cellStyle name="Input 22 17 2" xfId="30756"/>
    <cellStyle name="Input 22 18" xfId="14544"/>
    <cellStyle name="Input 22 18 2" xfId="30757"/>
    <cellStyle name="Input 22 19" xfId="14545"/>
    <cellStyle name="Input 22 19 2" xfId="30758"/>
    <cellStyle name="Input 22 2" xfId="14546"/>
    <cellStyle name="Input 22 2 2" xfId="30759"/>
    <cellStyle name="Input 22 20" xfId="14547"/>
    <cellStyle name="Input 22 20 2" xfId="30760"/>
    <cellStyle name="Input 22 21" xfId="14548"/>
    <cellStyle name="Input 22 21 2" xfId="30761"/>
    <cellStyle name="Input 22 22" xfId="14549"/>
    <cellStyle name="Input 22 22 2" xfId="30762"/>
    <cellStyle name="Input 22 23" xfId="30763"/>
    <cellStyle name="Input 22 3" xfId="14550"/>
    <cellStyle name="Input 22 3 2" xfId="30764"/>
    <cellStyle name="Input 22 4" xfId="14551"/>
    <cellStyle name="Input 22 4 2" xfId="30765"/>
    <cellStyle name="Input 22 5" xfId="14552"/>
    <cellStyle name="Input 22 5 2" xfId="30766"/>
    <cellStyle name="Input 22 6" xfId="14553"/>
    <cellStyle name="Input 22 6 2" xfId="30767"/>
    <cellStyle name="Input 22 7" xfId="14554"/>
    <cellStyle name="Input 22 7 2" xfId="30768"/>
    <cellStyle name="Input 22 8" xfId="14555"/>
    <cellStyle name="Input 22 8 2" xfId="30769"/>
    <cellStyle name="Input 22 9" xfId="14556"/>
    <cellStyle name="Input 22 9 2" xfId="30770"/>
    <cellStyle name="Input 23" xfId="3533"/>
    <cellStyle name="Input 23 10" xfId="14557"/>
    <cellStyle name="Input 23 10 2" xfId="30771"/>
    <cellStyle name="Input 23 11" xfId="14558"/>
    <cellStyle name="Input 23 11 2" xfId="30772"/>
    <cellStyle name="Input 23 12" xfId="14559"/>
    <cellStyle name="Input 23 12 2" xfId="30773"/>
    <cellStyle name="Input 23 13" xfId="14560"/>
    <cellStyle name="Input 23 13 2" xfId="30774"/>
    <cellStyle name="Input 23 14" xfId="14561"/>
    <cellStyle name="Input 23 14 2" xfId="30775"/>
    <cellStyle name="Input 23 15" xfId="14562"/>
    <cellStyle name="Input 23 15 2" xfId="30776"/>
    <cellStyle name="Input 23 16" xfId="14563"/>
    <cellStyle name="Input 23 16 2" xfId="30777"/>
    <cellStyle name="Input 23 17" xfId="14564"/>
    <cellStyle name="Input 23 17 2" xfId="30778"/>
    <cellStyle name="Input 23 18" xfId="14565"/>
    <cellStyle name="Input 23 18 2" xfId="30779"/>
    <cellStyle name="Input 23 19" xfId="14566"/>
    <cellStyle name="Input 23 19 2" xfId="30780"/>
    <cellStyle name="Input 23 2" xfId="14567"/>
    <cellStyle name="Input 23 2 2" xfId="30781"/>
    <cellStyle name="Input 23 20" xfId="14568"/>
    <cellStyle name="Input 23 20 2" xfId="30782"/>
    <cellStyle name="Input 23 21" xfId="14569"/>
    <cellStyle name="Input 23 21 2" xfId="30783"/>
    <cellStyle name="Input 23 22" xfId="14570"/>
    <cellStyle name="Input 23 22 2" xfId="30784"/>
    <cellStyle name="Input 23 23" xfId="30785"/>
    <cellStyle name="Input 23 3" xfId="14571"/>
    <cellStyle name="Input 23 3 2" xfId="30786"/>
    <cellStyle name="Input 23 4" xfId="14572"/>
    <cellStyle name="Input 23 4 2" xfId="30787"/>
    <cellStyle name="Input 23 5" xfId="14573"/>
    <cellStyle name="Input 23 5 2" xfId="30788"/>
    <cellStyle name="Input 23 6" xfId="14574"/>
    <cellStyle name="Input 23 6 2" xfId="30789"/>
    <cellStyle name="Input 23 7" xfId="14575"/>
    <cellStyle name="Input 23 7 2" xfId="30790"/>
    <cellStyle name="Input 23 8" xfId="14576"/>
    <cellStyle name="Input 23 8 2" xfId="30791"/>
    <cellStyle name="Input 23 9" xfId="14577"/>
    <cellStyle name="Input 23 9 2" xfId="30792"/>
    <cellStyle name="Input 24" xfId="3534"/>
    <cellStyle name="Input 24 10" xfId="14578"/>
    <cellStyle name="Input 24 10 2" xfId="30793"/>
    <cellStyle name="Input 24 11" xfId="14579"/>
    <cellStyle name="Input 24 11 2" xfId="30794"/>
    <cellStyle name="Input 24 12" xfId="14580"/>
    <cellStyle name="Input 24 12 2" xfId="30795"/>
    <cellStyle name="Input 24 13" xfId="14581"/>
    <cellStyle name="Input 24 13 2" xfId="30796"/>
    <cellStyle name="Input 24 14" xfId="14582"/>
    <cellStyle name="Input 24 14 2" xfId="30797"/>
    <cellStyle name="Input 24 15" xfId="14583"/>
    <cellStyle name="Input 24 15 2" xfId="30798"/>
    <cellStyle name="Input 24 16" xfId="14584"/>
    <cellStyle name="Input 24 16 2" xfId="30799"/>
    <cellStyle name="Input 24 17" xfId="14585"/>
    <cellStyle name="Input 24 17 2" xfId="30800"/>
    <cellStyle name="Input 24 18" xfId="14586"/>
    <cellStyle name="Input 24 18 2" xfId="30801"/>
    <cellStyle name="Input 24 19" xfId="14587"/>
    <cellStyle name="Input 24 19 2" xfId="30802"/>
    <cellStyle name="Input 24 2" xfId="14588"/>
    <cellStyle name="Input 24 2 2" xfId="30803"/>
    <cellStyle name="Input 24 20" xfId="14589"/>
    <cellStyle name="Input 24 20 2" xfId="30804"/>
    <cellStyle name="Input 24 21" xfId="14590"/>
    <cellStyle name="Input 24 21 2" xfId="30805"/>
    <cellStyle name="Input 24 22" xfId="14591"/>
    <cellStyle name="Input 24 22 2" xfId="30806"/>
    <cellStyle name="Input 24 23" xfId="30807"/>
    <cellStyle name="Input 24 3" xfId="14592"/>
    <cellStyle name="Input 24 3 2" xfId="30808"/>
    <cellStyle name="Input 24 4" xfId="14593"/>
    <cellStyle name="Input 24 4 2" xfId="30809"/>
    <cellStyle name="Input 24 5" xfId="14594"/>
    <cellStyle name="Input 24 5 2" xfId="30810"/>
    <cellStyle name="Input 24 6" xfId="14595"/>
    <cellStyle name="Input 24 6 2" xfId="30811"/>
    <cellStyle name="Input 24 7" xfId="14596"/>
    <cellStyle name="Input 24 7 2" xfId="30812"/>
    <cellStyle name="Input 24 8" xfId="14597"/>
    <cellStyle name="Input 24 8 2" xfId="30813"/>
    <cellStyle name="Input 24 9" xfId="14598"/>
    <cellStyle name="Input 24 9 2" xfId="30814"/>
    <cellStyle name="Input 25" xfId="3535"/>
    <cellStyle name="Input 25 10" xfId="14599"/>
    <cellStyle name="Input 25 10 2" xfId="30815"/>
    <cellStyle name="Input 25 11" xfId="14600"/>
    <cellStyle name="Input 25 11 2" xfId="30816"/>
    <cellStyle name="Input 25 12" xfId="14601"/>
    <cellStyle name="Input 25 12 2" xfId="30817"/>
    <cellStyle name="Input 25 13" xfId="14602"/>
    <cellStyle name="Input 25 13 2" xfId="30818"/>
    <cellStyle name="Input 25 14" xfId="14603"/>
    <cellStyle name="Input 25 14 2" xfId="30819"/>
    <cellStyle name="Input 25 15" xfId="14604"/>
    <cellStyle name="Input 25 15 2" xfId="30820"/>
    <cellStyle name="Input 25 16" xfId="14605"/>
    <cellStyle name="Input 25 16 2" xfId="30821"/>
    <cellStyle name="Input 25 17" xfId="14606"/>
    <cellStyle name="Input 25 17 2" xfId="30822"/>
    <cellStyle name="Input 25 18" xfId="14607"/>
    <cellStyle name="Input 25 18 2" xfId="30823"/>
    <cellStyle name="Input 25 19" xfId="14608"/>
    <cellStyle name="Input 25 19 2" xfId="30824"/>
    <cellStyle name="Input 25 2" xfId="14609"/>
    <cellStyle name="Input 25 2 2" xfId="30825"/>
    <cellStyle name="Input 25 20" xfId="14610"/>
    <cellStyle name="Input 25 20 2" xfId="30826"/>
    <cellStyle name="Input 25 21" xfId="14611"/>
    <cellStyle name="Input 25 21 2" xfId="30827"/>
    <cellStyle name="Input 25 22" xfId="14612"/>
    <cellStyle name="Input 25 22 2" xfId="30828"/>
    <cellStyle name="Input 25 23" xfId="30829"/>
    <cellStyle name="Input 25 3" xfId="14613"/>
    <cellStyle name="Input 25 3 2" xfId="30830"/>
    <cellStyle name="Input 25 4" xfId="14614"/>
    <cellStyle name="Input 25 4 2" xfId="30831"/>
    <cellStyle name="Input 25 5" xfId="14615"/>
    <cellStyle name="Input 25 5 2" xfId="30832"/>
    <cellStyle name="Input 25 6" xfId="14616"/>
    <cellStyle name="Input 25 6 2" xfId="30833"/>
    <cellStyle name="Input 25 7" xfId="14617"/>
    <cellStyle name="Input 25 7 2" xfId="30834"/>
    <cellStyle name="Input 25 8" xfId="14618"/>
    <cellStyle name="Input 25 8 2" xfId="30835"/>
    <cellStyle name="Input 25 9" xfId="14619"/>
    <cellStyle name="Input 25 9 2" xfId="30836"/>
    <cellStyle name="Input 26" xfId="3536"/>
    <cellStyle name="Input 26 10" xfId="14620"/>
    <cellStyle name="Input 26 10 2" xfId="30837"/>
    <cellStyle name="Input 26 11" xfId="14621"/>
    <cellStyle name="Input 26 11 2" xfId="30838"/>
    <cellStyle name="Input 26 12" xfId="14622"/>
    <cellStyle name="Input 26 12 2" xfId="30839"/>
    <cellStyle name="Input 26 13" xfId="14623"/>
    <cellStyle name="Input 26 13 2" xfId="30840"/>
    <cellStyle name="Input 26 14" xfId="14624"/>
    <cellStyle name="Input 26 14 2" xfId="30841"/>
    <cellStyle name="Input 26 15" xfId="14625"/>
    <cellStyle name="Input 26 15 2" xfId="30842"/>
    <cellStyle name="Input 26 16" xfId="14626"/>
    <cellStyle name="Input 26 16 2" xfId="30843"/>
    <cellStyle name="Input 26 17" xfId="14627"/>
    <cellStyle name="Input 26 17 2" xfId="30844"/>
    <cellStyle name="Input 26 18" xfId="14628"/>
    <cellStyle name="Input 26 18 2" xfId="30845"/>
    <cellStyle name="Input 26 19" xfId="14629"/>
    <cellStyle name="Input 26 19 2" xfId="30846"/>
    <cellStyle name="Input 26 2" xfId="14630"/>
    <cellStyle name="Input 26 2 2" xfId="30847"/>
    <cellStyle name="Input 26 20" xfId="14631"/>
    <cellStyle name="Input 26 20 2" xfId="30848"/>
    <cellStyle name="Input 26 21" xfId="14632"/>
    <cellStyle name="Input 26 21 2" xfId="30849"/>
    <cellStyle name="Input 26 22" xfId="14633"/>
    <cellStyle name="Input 26 22 2" xfId="30850"/>
    <cellStyle name="Input 26 23" xfId="30851"/>
    <cellStyle name="Input 26 3" xfId="14634"/>
    <cellStyle name="Input 26 3 2" xfId="30852"/>
    <cellStyle name="Input 26 4" xfId="14635"/>
    <cellStyle name="Input 26 4 2" xfId="30853"/>
    <cellStyle name="Input 26 5" xfId="14636"/>
    <cellStyle name="Input 26 5 2" xfId="30854"/>
    <cellStyle name="Input 26 6" xfId="14637"/>
    <cellStyle name="Input 26 6 2" xfId="30855"/>
    <cellStyle name="Input 26 7" xfId="14638"/>
    <cellStyle name="Input 26 7 2" xfId="30856"/>
    <cellStyle name="Input 26 8" xfId="14639"/>
    <cellStyle name="Input 26 8 2" xfId="30857"/>
    <cellStyle name="Input 26 9" xfId="14640"/>
    <cellStyle name="Input 26 9 2" xfId="30858"/>
    <cellStyle name="Input 27" xfId="3537"/>
    <cellStyle name="Input 27 10" xfId="14641"/>
    <cellStyle name="Input 27 10 2" xfId="30859"/>
    <cellStyle name="Input 27 11" xfId="14642"/>
    <cellStyle name="Input 27 11 2" xfId="30860"/>
    <cellStyle name="Input 27 12" xfId="14643"/>
    <cellStyle name="Input 27 12 2" xfId="30861"/>
    <cellStyle name="Input 27 13" xfId="14644"/>
    <cellStyle name="Input 27 13 2" xfId="30862"/>
    <cellStyle name="Input 27 14" xfId="14645"/>
    <cellStyle name="Input 27 14 2" xfId="30863"/>
    <cellStyle name="Input 27 15" xfId="14646"/>
    <cellStyle name="Input 27 15 2" xfId="30864"/>
    <cellStyle name="Input 27 16" xfId="14647"/>
    <cellStyle name="Input 27 16 2" xfId="30865"/>
    <cellStyle name="Input 27 17" xfId="14648"/>
    <cellStyle name="Input 27 17 2" xfId="30866"/>
    <cellStyle name="Input 27 18" xfId="14649"/>
    <cellStyle name="Input 27 18 2" xfId="30867"/>
    <cellStyle name="Input 27 19" xfId="14650"/>
    <cellStyle name="Input 27 19 2" xfId="30868"/>
    <cellStyle name="Input 27 2" xfId="14651"/>
    <cellStyle name="Input 27 2 2" xfId="30869"/>
    <cellStyle name="Input 27 20" xfId="14652"/>
    <cellStyle name="Input 27 20 2" xfId="30870"/>
    <cellStyle name="Input 27 21" xfId="14653"/>
    <cellStyle name="Input 27 21 2" xfId="30871"/>
    <cellStyle name="Input 27 22" xfId="14654"/>
    <cellStyle name="Input 27 22 2" xfId="30872"/>
    <cellStyle name="Input 27 23" xfId="30873"/>
    <cellStyle name="Input 27 3" xfId="14655"/>
    <cellStyle name="Input 27 3 2" xfId="30874"/>
    <cellStyle name="Input 27 4" xfId="14656"/>
    <cellStyle name="Input 27 4 2" xfId="30875"/>
    <cellStyle name="Input 27 5" xfId="14657"/>
    <cellStyle name="Input 27 5 2" xfId="30876"/>
    <cellStyle name="Input 27 6" xfId="14658"/>
    <cellStyle name="Input 27 6 2" xfId="30877"/>
    <cellStyle name="Input 27 7" xfId="14659"/>
    <cellStyle name="Input 27 7 2" xfId="30878"/>
    <cellStyle name="Input 27 8" xfId="14660"/>
    <cellStyle name="Input 27 8 2" xfId="30879"/>
    <cellStyle name="Input 27 9" xfId="14661"/>
    <cellStyle name="Input 27 9 2" xfId="30880"/>
    <cellStyle name="Input 28" xfId="3538"/>
    <cellStyle name="Input 28 10" xfId="14662"/>
    <cellStyle name="Input 28 10 2" xfId="30881"/>
    <cellStyle name="Input 28 11" xfId="14663"/>
    <cellStyle name="Input 28 11 2" xfId="30882"/>
    <cellStyle name="Input 28 12" xfId="14664"/>
    <cellStyle name="Input 28 12 2" xfId="30883"/>
    <cellStyle name="Input 28 13" xfId="14665"/>
    <cellStyle name="Input 28 13 2" xfId="30884"/>
    <cellStyle name="Input 28 14" xfId="14666"/>
    <cellStyle name="Input 28 14 2" xfId="30885"/>
    <cellStyle name="Input 28 15" xfId="14667"/>
    <cellStyle name="Input 28 15 2" xfId="30886"/>
    <cellStyle name="Input 28 16" xfId="14668"/>
    <cellStyle name="Input 28 16 2" xfId="30887"/>
    <cellStyle name="Input 28 17" xfId="14669"/>
    <cellStyle name="Input 28 17 2" xfId="30888"/>
    <cellStyle name="Input 28 18" xfId="14670"/>
    <cellStyle name="Input 28 18 2" xfId="30889"/>
    <cellStyle name="Input 28 19" xfId="14671"/>
    <cellStyle name="Input 28 19 2" xfId="30890"/>
    <cellStyle name="Input 28 2" xfId="14672"/>
    <cellStyle name="Input 28 2 2" xfId="30891"/>
    <cellStyle name="Input 28 20" xfId="14673"/>
    <cellStyle name="Input 28 20 2" xfId="30892"/>
    <cellStyle name="Input 28 21" xfId="14674"/>
    <cellStyle name="Input 28 21 2" xfId="30893"/>
    <cellStyle name="Input 28 22" xfId="14675"/>
    <cellStyle name="Input 28 22 2" xfId="30894"/>
    <cellStyle name="Input 28 23" xfId="30895"/>
    <cellStyle name="Input 28 3" xfId="14676"/>
    <cellStyle name="Input 28 3 2" xfId="30896"/>
    <cellStyle name="Input 28 4" xfId="14677"/>
    <cellStyle name="Input 28 4 2" xfId="30897"/>
    <cellStyle name="Input 28 5" xfId="14678"/>
    <cellStyle name="Input 28 5 2" xfId="30898"/>
    <cellStyle name="Input 28 6" xfId="14679"/>
    <cellStyle name="Input 28 6 2" xfId="30899"/>
    <cellStyle name="Input 28 7" xfId="14680"/>
    <cellStyle name="Input 28 7 2" xfId="30900"/>
    <cellStyle name="Input 28 8" xfId="14681"/>
    <cellStyle name="Input 28 8 2" xfId="30901"/>
    <cellStyle name="Input 28 9" xfId="14682"/>
    <cellStyle name="Input 28 9 2" xfId="30902"/>
    <cellStyle name="Input 29" xfId="3539"/>
    <cellStyle name="Input 29 10" xfId="14683"/>
    <cellStyle name="Input 29 10 2" xfId="30903"/>
    <cellStyle name="Input 29 11" xfId="14684"/>
    <cellStyle name="Input 29 11 2" xfId="30904"/>
    <cellStyle name="Input 29 12" xfId="14685"/>
    <cellStyle name="Input 29 12 2" xfId="30905"/>
    <cellStyle name="Input 29 13" xfId="14686"/>
    <cellStyle name="Input 29 13 2" xfId="30906"/>
    <cellStyle name="Input 29 14" xfId="14687"/>
    <cellStyle name="Input 29 14 2" xfId="30907"/>
    <cellStyle name="Input 29 15" xfId="14688"/>
    <cellStyle name="Input 29 15 2" xfId="30908"/>
    <cellStyle name="Input 29 16" xfId="14689"/>
    <cellStyle name="Input 29 16 2" xfId="30909"/>
    <cellStyle name="Input 29 17" xfId="14690"/>
    <cellStyle name="Input 29 17 2" xfId="30910"/>
    <cellStyle name="Input 29 18" xfId="14691"/>
    <cellStyle name="Input 29 18 2" xfId="30911"/>
    <cellStyle name="Input 29 19" xfId="14692"/>
    <cellStyle name="Input 29 19 2" xfId="30912"/>
    <cellStyle name="Input 29 2" xfId="14693"/>
    <cellStyle name="Input 29 2 2" xfId="30913"/>
    <cellStyle name="Input 29 20" xfId="14694"/>
    <cellStyle name="Input 29 20 2" xfId="30914"/>
    <cellStyle name="Input 29 21" xfId="14695"/>
    <cellStyle name="Input 29 21 2" xfId="30915"/>
    <cellStyle name="Input 29 22" xfId="14696"/>
    <cellStyle name="Input 29 22 2" xfId="30916"/>
    <cellStyle name="Input 29 23" xfId="30917"/>
    <cellStyle name="Input 29 3" xfId="14697"/>
    <cellStyle name="Input 29 3 2" xfId="30918"/>
    <cellStyle name="Input 29 4" xfId="14698"/>
    <cellStyle name="Input 29 4 2" xfId="30919"/>
    <cellStyle name="Input 29 5" xfId="14699"/>
    <cellStyle name="Input 29 5 2" xfId="30920"/>
    <cellStyle name="Input 29 6" xfId="14700"/>
    <cellStyle name="Input 29 6 2" xfId="30921"/>
    <cellStyle name="Input 29 7" xfId="14701"/>
    <cellStyle name="Input 29 7 2" xfId="30922"/>
    <cellStyle name="Input 29 8" xfId="14702"/>
    <cellStyle name="Input 29 8 2" xfId="30923"/>
    <cellStyle name="Input 29 9" xfId="14703"/>
    <cellStyle name="Input 29 9 2" xfId="30924"/>
    <cellStyle name="Input 3" xfId="3540"/>
    <cellStyle name="Input 3 10" xfId="14704"/>
    <cellStyle name="Input 3 10 2" xfId="30925"/>
    <cellStyle name="Input 3 11" xfId="14705"/>
    <cellStyle name="Input 3 11 2" xfId="30926"/>
    <cellStyle name="Input 3 12" xfId="14706"/>
    <cellStyle name="Input 3 12 2" xfId="30927"/>
    <cellStyle name="Input 3 13" xfId="14707"/>
    <cellStyle name="Input 3 13 2" xfId="30928"/>
    <cellStyle name="Input 3 14" xfId="14708"/>
    <cellStyle name="Input 3 14 2" xfId="30929"/>
    <cellStyle name="Input 3 15" xfId="14709"/>
    <cellStyle name="Input 3 15 2" xfId="30930"/>
    <cellStyle name="Input 3 16" xfId="14710"/>
    <cellStyle name="Input 3 16 2" xfId="30931"/>
    <cellStyle name="Input 3 17" xfId="14711"/>
    <cellStyle name="Input 3 17 2" xfId="30932"/>
    <cellStyle name="Input 3 18" xfId="14712"/>
    <cellStyle name="Input 3 18 2" xfId="30933"/>
    <cellStyle name="Input 3 19" xfId="14713"/>
    <cellStyle name="Input 3 19 2" xfId="30934"/>
    <cellStyle name="Input 3 2" xfId="14714"/>
    <cellStyle name="Input 3 2 2" xfId="30935"/>
    <cellStyle name="Input 3 20" xfId="14715"/>
    <cellStyle name="Input 3 20 2" xfId="30936"/>
    <cellStyle name="Input 3 21" xfId="14716"/>
    <cellStyle name="Input 3 21 2" xfId="30937"/>
    <cellStyle name="Input 3 22" xfId="14717"/>
    <cellStyle name="Input 3 22 2" xfId="30938"/>
    <cellStyle name="Input 3 23" xfId="30939"/>
    <cellStyle name="Input 3 3" xfId="14718"/>
    <cellStyle name="Input 3 3 2" xfId="30940"/>
    <cellStyle name="Input 3 4" xfId="14719"/>
    <cellStyle name="Input 3 4 2" xfId="30941"/>
    <cellStyle name="Input 3 5" xfId="14720"/>
    <cellStyle name="Input 3 5 2" xfId="30942"/>
    <cellStyle name="Input 3 6" xfId="14721"/>
    <cellStyle name="Input 3 6 2" xfId="30943"/>
    <cellStyle name="Input 3 7" xfId="14722"/>
    <cellStyle name="Input 3 7 2" xfId="30944"/>
    <cellStyle name="Input 3 8" xfId="14723"/>
    <cellStyle name="Input 3 8 2" xfId="30945"/>
    <cellStyle name="Input 3 9" xfId="14724"/>
    <cellStyle name="Input 3 9 2" xfId="30946"/>
    <cellStyle name="Input 30" xfId="3541"/>
    <cellStyle name="Input 30 10" xfId="14725"/>
    <cellStyle name="Input 30 10 2" xfId="30947"/>
    <cellStyle name="Input 30 11" xfId="14726"/>
    <cellStyle name="Input 30 11 2" xfId="30948"/>
    <cellStyle name="Input 30 12" xfId="14727"/>
    <cellStyle name="Input 30 12 2" xfId="30949"/>
    <cellStyle name="Input 30 13" xfId="14728"/>
    <cellStyle name="Input 30 13 2" xfId="30950"/>
    <cellStyle name="Input 30 14" xfId="14729"/>
    <cellStyle name="Input 30 14 2" xfId="30951"/>
    <cellStyle name="Input 30 15" xfId="14730"/>
    <cellStyle name="Input 30 15 2" xfId="30952"/>
    <cellStyle name="Input 30 16" xfId="14731"/>
    <cellStyle name="Input 30 16 2" xfId="30953"/>
    <cellStyle name="Input 30 17" xfId="14732"/>
    <cellStyle name="Input 30 17 2" xfId="30954"/>
    <cellStyle name="Input 30 18" xfId="14733"/>
    <cellStyle name="Input 30 18 2" xfId="30955"/>
    <cellStyle name="Input 30 19" xfId="14734"/>
    <cellStyle name="Input 30 19 2" xfId="30956"/>
    <cellStyle name="Input 30 2" xfId="14735"/>
    <cellStyle name="Input 30 2 2" xfId="30957"/>
    <cellStyle name="Input 30 20" xfId="14736"/>
    <cellStyle name="Input 30 20 2" xfId="30958"/>
    <cellStyle name="Input 30 21" xfId="14737"/>
    <cellStyle name="Input 30 21 2" xfId="30959"/>
    <cellStyle name="Input 30 22" xfId="14738"/>
    <cellStyle name="Input 30 22 2" xfId="30960"/>
    <cellStyle name="Input 30 23" xfId="30961"/>
    <cellStyle name="Input 30 3" xfId="14739"/>
    <cellStyle name="Input 30 3 2" xfId="30962"/>
    <cellStyle name="Input 30 4" xfId="14740"/>
    <cellStyle name="Input 30 4 2" xfId="30963"/>
    <cellStyle name="Input 30 5" xfId="14741"/>
    <cellStyle name="Input 30 5 2" xfId="30964"/>
    <cellStyle name="Input 30 6" xfId="14742"/>
    <cellStyle name="Input 30 6 2" xfId="30965"/>
    <cellStyle name="Input 30 7" xfId="14743"/>
    <cellStyle name="Input 30 7 2" xfId="30966"/>
    <cellStyle name="Input 30 8" xfId="14744"/>
    <cellStyle name="Input 30 8 2" xfId="30967"/>
    <cellStyle name="Input 30 9" xfId="14745"/>
    <cellStyle name="Input 30 9 2" xfId="30968"/>
    <cellStyle name="Input 31" xfId="3542"/>
    <cellStyle name="Input 31 10" xfId="14746"/>
    <cellStyle name="Input 31 10 2" xfId="30969"/>
    <cellStyle name="Input 31 11" xfId="14747"/>
    <cellStyle name="Input 31 11 2" xfId="30970"/>
    <cellStyle name="Input 31 12" xfId="14748"/>
    <cellStyle name="Input 31 12 2" xfId="30971"/>
    <cellStyle name="Input 31 13" xfId="14749"/>
    <cellStyle name="Input 31 13 2" xfId="30972"/>
    <cellStyle name="Input 31 14" xfId="14750"/>
    <cellStyle name="Input 31 14 2" xfId="30973"/>
    <cellStyle name="Input 31 15" xfId="14751"/>
    <cellStyle name="Input 31 15 2" xfId="30974"/>
    <cellStyle name="Input 31 16" xfId="14752"/>
    <cellStyle name="Input 31 16 2" xfId="30975"/>
    <cellStyle name="Input 31 17" xfId="14753"/>
    <cellStyle name="Input 31 17 2" xfId="30976"/>
    <cellStyle name="Input 31 18" xfId="14754"/>
    <cellStyle name="Input 31 18 2" xfId="30977"/>
    <cellStyle name="Input 31 19" xfId="14755"/>
    <cellStyle name="Input 31 19 2" xfId="30978"/>
    <cellStyle name="Input 31 2" xfId="14756"/>
    <cellStyle name="Input 31 2 2" xfId="30979"/>
    <cellStyle name="Input 31 20" xfId="14757"/>
    <cellStyle name="Input 31 20 2" xfId="30980"/>
    <cellStyle name="Input 31 21" xfId="14758"/>
    <cellStyle name="Input 31 21 2" xfId="30981"/>
    <cellStyle name="Input 31 22" xfId="14759"/>
    <cellStyle name="Input 31 22 2" xfId="30982"/>
    <cellStyle name="Input 31 23" xfId="30983"/>
    <cellStyle name="Input 31 3" xfId="14760"/>
    <cellStyle name="Input 31 3 2" xfId="30984"/>
    <cellStyle name="Input 31 4" xfId="14761"/>
    <cellStyle name="Input 31 4 2" xfId="30985"/>
    <cellStyle name="Input 31 5" xfId="14762"/>
    <cellStyle name="Input 31 5 2" xfId="30986"/>
    <cellStyle name="Input 31 6" xfId="14763"/>
    <cellStyle name="Input 31 6 2" xfId="30987"/>
    <cellStyle name="Input 31 7" xfId="14764"/>
    <cellStyle name="Input 31 7 2" xfId="30988"/>
    <cellStyle name="Input 31 8" xfId="14765"/>
    <cellStyle name="Input 31 8 2" xfId="30989"/>
    <cellStyle name="Input 31 9" xfId="14766"/>
    <cellStyle name="Input 31 9 2" xfId="30990"/>
    <cellStyle name="Input 32" xfId="3543"/>
    <cellStyle name="Input 32 10" xfId="14767"/>
    <cellStyle name="Input 32 10 2" xfId="30991"/>
    <cellStyle name="Input 32 11" xfId="14768"/>
    <cellStyle name="Input 32 11 2" xfId="30992"/>
    <cellStyle name="Input 32 12" xfId="14769"/>
    <cellStyle name="Input 32 12 2" xfId="30993"/>
    <cellStyle name="Input 32 13" xfId="14770"/>
    <cellStyle name="Input 32 13 2" xfId="30994"/>
    <cellStyle name="Input 32 14" xfId="14771"/>
    <cellStyle name="Input 32 14 2" xfId="30995"/>
    <cellStyle name="Input 32 15" xfId="14772"/>
    <cellStyle name="Input 32 15 2" xfId="30996"/>
    <cellStyle name="Input 32 16" xfId="14773"/>
    <cellStyle name="Input 32 16 2" xfId="30997"/>
    <cellStyle name="Input 32 17" xfId="14774"/>
    <cellStyle name="Input 32 17 2" xfId="30998"/>
    <cellStyle name="Input 32 18" xfId="14775"/>
    <cellStyle name="Input 32 18 2" xfId="30999"/>
    <cellStyle name="Input 32 19" xfId="14776"/>
    <cellStyle name="Input 32 19 2" xfId="31000"/>
    <cellStyle name="Input 32 2" xfId="14777"/>
    <cellStyle name="Input 32 2 2" xfId="31001"/>
    <cellStyle name="Input 32 20" xfId="14778"/>
    <cellStyle name="Input 32 20 2" xfId="31002"/>
    <cellStyle name="Input 32 21" xfId="14779"/>
    <cellStyle name="Input 32 21 2" xfId="31003"/>
    <cellStyle name="Input 32 22" xfId="14780"/>
    <cellStyle name="Input 32 22 2" xfId="31004"/>
    <cellStyle name="Input 32 23" xfId="31005"/>
    <cellStyle name="Input 32 3" xfId="14781"/>
    <cellStyle name="Input 32 3 2" xfId="31006"/>
    <cellStyle name="Input 32 4" xfId="14782"/>
    <cellStyle name="Input 32 4 2" xfId="31007"/>
    <cellStyle name="Input 32 5" xfId="14783"/>
    <cellStyle name="Input 32 5 2" xfId="31008"/>
    <cellStyle name="Input 32 6" xfId="14784"/>
    <cellStyle name="Input 32 6 2" xfId="31009"/>
    <cellStyle name="Input 32 7" xfId="14785"/>
    <cellStyle name="Input 32 7 2" xfId="31010"/>
    <cellStyle name="Input 32 8" xfId="14786"/>
    <cellStyle name="Input 32 8 2" xfId="31011"/>
    <cellStyle name="Input 32 9" xfId="14787"/>
    <cellStyle name="Input 32 9 2" xfId="31012"/>
    <cellStyle name="Input 33" xfId="3544"/>
    <cellStyle name="Input 33 10" xfId="14788"/>
    <cellStyle name="Input 33 10 2" xfId="31013"/>
    <cellStyle name="Input 33 11" xfId="14789"/>
    <cellStyle name="Input 33 11 2" xfId="31014"/>
    <cellStyle name="Input 33 12" xfId="14790"/>
    <cellStyle name="Input 33 12 2" xfId="31015"/>
    <cellStyle name="Input 33 13" xfId="14791"/>
    <cellStyle name="Input 33 13 2" xfId="31016"/>
    <cellStyle name="Input 33 14" xfId="14792"/>
    <cellStyle name="Input 33 14 2" xfId="31017"/>
    <cellStyle name="Input 33 15" xfId="14793"/>
    <cellStyle name="Input 33 15 2" xfId="31018"/>
    <cellStyle name="Input 33 16" xfId="14794"/>
    <cellStyle name="Input 33 16 2" xfId="31019"/>
    <cellStyle name="Input 33 17" xfId="14795"/>
    <cellStyle name="Input 33 17 2" xfId="31020"/>
    <cellStyle name="Input 33 18" xfId="14796"/>
    <cellStyle name="Input 33 18 2" xfId="31021"/>
    <cellStyle name="Input 33 19" xfId="14797"/>
    <cellStyle name="Input 33 19 2" xfId="31022"/>
    <cellStyle name="Input 33 2" xfId="14798"/>
    <cellStyle name="Input 33 2 2" xfId="31023"/>
    <cellStyle name="Input 33 20" xfId="14799"/>
    <cellStyle name="Input 33 20 2" xfId="31024"/>
    <cellStyle name="Input 33 21" xfId="14800"/>
    <cellStyle name="Input 33 21 2" xfId="31025"/>
    <cellStyle name="Input 33 22" xfId="14801"/>
    <cellStyle name="Input 33 22 2" xfId="31026"/>
    <cellStyle name="Input 33 23" xfId="31027"/>
    <cellStyle name="Input 33 3" xfId="14802"/>
    <cellStyle name="Input 33 3 2" xfId="31028"/>
    <cellStyle name="Input 33 4" xfId="14803"/>
    <cellStyle name="Input 33 4 2" xfId="31029"/>
    <cellStyle name="Input 33 5" xfId="14804"/>
    <cellStyle name="Input 33 5 2" xfId="31030"/>
    <cellStyle name="Input 33 6" xfId="14805"/>
    <cellStyle name="Input 33 6 2" xfId="31031"/>
    <cellStyle name="Input 33 7" xfId="14806"/>
    <cellStyle name="Input 33 7 2" xfId="31032"/>
    <cellStyle name="Input 33 8" xfId="14807"/>
    <cellStyle name="Input 33 8 2" xfId="31033"/>
    <cellStyle name="Input 33 9" xfId="14808"/>
    <cellStyle name="Input 33 9 2" xfId="31034"/>
    <cellStyle name="Input 34" xfId="3545"/>
    <cellStyle name="Input 34 10" xfId="14809"/>
    <cellStyle name="Input 34 10 2" xfId="31035"/>
    <cellStyle name="Input 34 11" xfId="14810"/>
    <cellStyle name="Input 34 11 2" xfId="31036"/>
    <cellStyle name="Input 34 12" xfId="14811"/>
    <cellStyle name="Input 34 12 2" xfId="31037"/>
    <cellStyle name="Input 34 13" xfId="14812"/>
    <cellStyle name="Input 34 13 2" xfId="31038"/>
    <cellStyle name="Input 34 14" xfId="14813"/>
    <cellStyle name="Input 34 14 2" xfId="31039"/>
    <cellStyle name="Input 34 15" xfId="14814"/>
    <cellStyle name="Input 34 15 2" xfId="31040"/>
    <cellStyle name="Input 34 16" xfId="14815"/>
    <cellStyle name="Input 34 16 2" xfId="31041"/>
    <cellStyle name="Input 34 17" xfId="14816"/>
    <cellStyle name="Input 34 17 2" xfId="31042"/>
    <cellStyle name="Input 34 18" xfId="14817"/>
    <cellStyle name="Input 34 18 2" xfId="31043"/>
    <cellStyle name="Input 34 19" xfId="14818"/>
    <cellStyle name="Input 34 19 2" xfId="31044"/>
    <cellStyle name="Input 34 2" xfId="14819"/>
    <cellStyle name="Input 34 2 2" xfId="31045"/>
    <cellStyle name="Input 34 20" xfId="14820"/>
    <cellStyle name="Input 34 20 2" xfId="31046"/>
    <cellStyle name="Input 34 21" xfId="14821"/>
    <cellStyle name="Input 34 21 2" xfId="31047"/>
    <cellStyle name="Input 34 22" xfId="14822"/>
    <cellStyle name="Input 34 22 2" xfId="31048"/>
    <cellStyle name="Input 34 23" xfId="31049"/>
    <cellStyle name="Input 34 3" xfId="14823"/>
    <cellStyle name="Input 34 3 2" xfId="31050"/>
    <cellStyle name="Input 34 4" xfId="14824"/>
    <cellStyle name="Input 34 4 2" xfId="31051"/>
    <cellStyle name="Input 34 5" xfId="14825"/>
    <cellStyle name="Input 34 5 2" xfId="31052"/>
    <cellStyle name="Input 34 6" xfId="14826"/>
    <cellStyle name="Input 34 6 2" xfId="31053"/>
    <cellStyle name="Input 34 7" xfId="14827"/>
    <cellStyle name="Input 34 7 2" xfId="31054"/>
    <cellStyle name="Input 34 8" xfId="14828"/>
    <cellStyle name="Input 34 8 2" xfId="31055"/>
    <cellStyle name="Input 34 9" xfId="14829"/>
    <cellStyle name="Input 34 9 2" xfId="31056"/>
    <cellStyle name="Input 35" xfId="3546"/>
    <cellStyle name="Input 35 10" xfId="14830"/>
    <cellStyle name="Input 35 10 2" xfId="31057"/>
    <cellStyle name="Input 35 11" xfId="14831"/>
    <cellStyle name="Input 35 11 2" xfId="31058"/>
    <cellStyle name="Input 35 12" xfId="14832"/>
    <cellStyle name="Input 35 12 2" xfId="31059"/>
    <cellStyle name="Input 35 13" xfId="14833"/>
    <cellStyle name="Input 35 13 2" xfId="31060"/>
    <cellStyle name="Input 35 14" xfId="14834"/>
    <cellStyle name="Input 35 14 2" xfId="31061"/>
    <cellStyle name="Input 35 15" xfId="14835"/>
    <cellStyle name="Input 35 15 2" xfId="31062"/>
    <cellStyle name="Input 35 16" xfId="14836"/>
    <cellStyle name="Input 35 16 2" xfId="31063"/>
    <cellStyle name="Input 35 17" xfId="14837"/>
    <cellStyle name="Input 35 17 2" xfId="31064"/>
    <cellStyle name="Input 35 18" xfId="14838"/>
    <cellStyle name="Input 35 18 2" xfId="31065"/>
    <cellStyle name="Input 35 19" xfId="14839"/>
    <cellStyle name="Input 35 19 2" xfId="31066"/>
    <cellStyle name="Input 35 2" xfId="14840"/>
    <cellStyle name="Input 35 2 2" xfId="31067"/>
    <cellStyle name="Input 35 20" xfId="14841"/>
    <cellStyle name="Input 35 20 2" xfId="31068"/>
    <cellStyle name="Input 35 21" xfId="14842"/>
    <cellStyle name="Input 35 21 2" xfId="31069"/>
    <cellStyle name="Input 35 22" xfId="14843"/>
    <cellStyle name="Input 35 22 2" xfId="31070"/>
    <cellStyle name="Input 35 23" xfId="31071"/>
    <cellStyle name="Input 35 3" xfId="14844"/>
    <cellStyle name="Input 35 3 2" xfId="31072"/>
    <cellStyle name="Input 35 4" xfId="14845"/>
    <cellStyle name="Input 35 4 2" xfId="31073"/>
    <cellStyle name="Input 35 5" xfId="14846"/>
    <cellStyle name="Input 35 5 2" xfId="31074"/>
    <cellStyle name="Input 35 6" xfId="14847"/>
    <cellStyle name="Input 35 6 2" xfId="31075"/>
    <cellStyle name="Input 35 7" xfId="14848"/>
    <cellStyle name="Input 35 7 2" xfId="31076"/>
    <cellStyle name="Input 35 8" xfId="14849"/>
    <cellStyle name="Input 35 8 2" xfId="31077"/>
    <cellStyle name="Input 35 9" xfId="14850"/>
    <cellStyle name="Input 35 9 2" xfId="31078"/>
    <cellStyle name="Input 36" xfId="3547"/>
    <cellStyle name="Input 36 10" xfId="14851"/>
    <cellStyle name="Input 36 10 2" xfId="31079"/>
    <cellStyle name="Input 36 11" xfId="14852"/>
    <cellStyle name="Input 36 11 2" xfId="31080"/>
    <cellStyle name="Input 36 12" xfId="14853"/>
    <cellStyle name="Input 36 12 2" xfId="31081"/>
    <cellStyle name="Input 36 13" xfId="14854"/>
    <cellStyle name="Input 36 13 2" xfId="31082"/>
    <cellStyle name="Input 36 14" xfId="14855"/>
    <cellStyle name="Input 36 14 2" xfId="31083"/>
    <cellStyle name="Input 36 15" xfId="14856"/>
    <cellStyle name="Input 36 15 2" xfId="31084"/>
    <cellStyle name="Input 36 16" xfId="14857"/>
    <cellStyle name="Input 36 16 2" xfId="31085"/>
    <cellStyle name="Input 36 17" xfId="14858"/>
    <cellStyle name="Input 36 17 2" xfId="31086"/>
    <cellStyle name="Input 36 18" xfId="14859"/>
    <cellStyle name="Input 36 18 2" xfId="31087"/>
    <cellStyle name="Input 36 19" xfId="14860"/>
    <cellStyle name="Input 36 19 2" xfId="31088"/>
    <cellStyle name="Input 36 2" xfId="14861"/>
    <cellStyle name="Input 36 2 2" xfId="31089"/>
    <cellStyle name="Input 36 20" xfId="14862"/>
    <cellStyle name="Input 36 20 2" xfId="31090"/>
    <cellStyle name="Input 36 21" xfId="14863"/>
    <cellStyle name="Input 36 21 2" xfId="31091"/>
    <cellStyle name="Input 36 22" xfId="14864"/>
    <cellStyle name="Input 36 22 2" xfId="31092"/>
    <cellStyle name="Input 36 23" xfId="31093"/>
    <cellStyle name="Input 36 3" xfId="14865"/>
    <cellStyle name="Input 36 3 2" xfId="31094"/>
    <cellStyle name="Input 36 4" xfId="14866"/>
    <cellStyle name="Input 36 4 2" xfId="31095"/>
    <cellStyle name="Input 36 5" xfId="14867"/>
    <cellStyle name="Input 36 5 2" xfId="31096"/>
    <cellStyle name="Input 36 6" xfId="14868"/>
    <cellStyle name="Input 36 6 2" xfId="31097"/>
    <cellStyle name="Input 36 7" xfId="14869"/>
    <cellStyle name="Input 36 7 2" xfId="31098"/>
    <cellStyle name="Input 36 8" xfId="14870"/>
    <cellStyle name="Input 36 8 2" xfId="31099"/>
    <cellStyle name="Input 36 9" xfId="14871"/>
    <cellStyle name="Input 36 9 2" xfId="31100"/>
    <cellStyle name="Input 37" xfId="3548"/>
    <cellStyle name="Input 37 10" xfId="14872"/>
    <cellStyle name="Input 37 10 2" xfId="31101"/>
    <cellStyle name="Input 37 11" xfId="14873"/>
    <cellStyle name="Input 37 11 2" xfId="31102"/>
    <cellStyle name="Input 37 12" xfId="14874"/>
    <cellStyle name="Input 37 12 2" xfId="31103"/>
    <cellStyle name="Input 37 13" xfId="14875"/>
    <cellStyle name="Input 37 13 2" xfId="31104"/>
    <cellStyle name="Input 37 14" xfId="14876"/>
    <cellStyle name="Input 37 14 2" xfId="31105"/>
    <cellStyle name="Input 37 15" xfId="14877"/>
    <cellStyle name="Input 37 15 2" xfId="31106"/>
    <cellStyle name="Input 37 16" xfId="14878"/>
    <cellStyle name="Input 37 16 2" xfId="31107"/>
    <cellStyle name="Input 37 17" xfId="14879"/>
    <cellStyle name="Input 37 17 2" xfId="31108"/>
    <cellStyle name="Input 37 18" xfId="14880"/>
    <cellStyle name="Input 37 18 2" xfId="31109"/>
    <cellStyle name="Input 37 19" xfId="14881"/>
    <cellStyle name="Input 37 19 2" xfId="31110"/>
    <cellStyle name="Input 37 2" xfId="14882"/>
    <cellStyle name="Input 37 2 2" xfId="31111"/>
    <cellStyle name="Input 37 20" xfId="14883"/>
    <cellStyle name="Input 37 20 2" xfId="31112"/>
    <cellStyle name="Input 37 21" xfId="14884"/>
    <cellStyle name="Input 37 21 2" xfId="31113"/>
    <cellStyle name="Input 37 22" xfId="14885"/>
    <cellStyle name="Input 37 22 2" xfId="31114"/>
    <cellStyle name="Input 37 23" xfId="31115"/>
    <cellStyle name="Input 37 3" xfId="14886"/>
    <cellStyle name="Input 37 3 2" xfId="31116"/>
    <cellStyle name="Input 37 4" xfId="14887"/>
    <cellStyle name="Input 37 4 2" xfId="31117"/>
    <cellStyle name="Input 37 5" xfId="14888"/>
    <cellStyle name="Input 37 5 2" xfId="31118"/>
    <cellStyle name="Input 37 6" xfId="14889"/>
    <cellStyle name="Input 37 6 2" xfId="31119"/>
    <cellStyle name="Input 37 7" xfId="14890"/>
    <cellStyle name="Input 37 7 2" xfId="31120"/>
    <cellStyle name="Input 37 8" xfId="14891"/>
    <cellStyle name="Input 37 8 2" xfId="31121"/>
    <cellStyle name="Input 37 9" xfId="14892"/>
    <cellStyle name="Input 37 9 2" xfId="31122"/>
    <cellStyle name="Input 38" xfId="3549"/>
    <cellStyle name="Input 38 10" xfId="14893"/>
    <cellStyle name="Input 38 10 2" xfId="31123"/>
    <cellStyle name="Input 38 11" xfId="14894"/>
    <cellStyle name="Input 38 11 2" xfId="31124"/>
    <cellStyle name="Input 38 12" xfId="14895"/>
    <cellStyle name="Input 38 12 2" xfId="31125"/>
    <cellStyle name="Input 38 13" xfId="14896"/>
    <cellStyle name="Input 38 13 2" xfId="31126"/>
    <cellStyle name="Input 38 14" xfId="14897"/>
    <cellStyle name="Input 38 14 2" xfId="31127"/>
    <cellStyle name="Input 38 15" xfId="14898"/>
    <cellStyle name="Input 38 15 2" xfId="31128"/>
    <cellStyle name="Input 38 16" xfId="14899"/>
    <cellStyle name="Input 38 16 2" xfId="31129"/>
    <cellStyle name="Input 38 17" xfId="14900"/>
    <cellStyle name="Input 38 17 2" xfId="31130"/>
    <cellStyle name="Input 38 18" xfId="14901"/>
    <cellStyle name="Input 38 18 2" xfId="31131"/>
    <cellStyle name="Input 38 19" xfId="14902"/>
    <cellStyle name="Input 38 19 2" xfId="31132"/>
    <cellStyle name="Input 38 2" xfId="14903"/>
    <cellStyle name="Input 38 2 2" xfId="31133"/>
    <cellStyle name="Input 38 20" xfId="14904"/>
    <cellStyle name="Input 38 20 2" xfId="31134"/>
    <cellStyle name="Input 38 21" xfId="14905"/>
    <cellStyle name="Input 38 21 2" xfId="31135"/>
    <cellStyle name="Input 38 22" xfId="14906"/>
    <cellStyle name="Input 38 22 2" xfId="31136"/>
    <cellStyle name="Input 38 23" xfId="31137"/>
    <cellStyle name="Input 38 3" xfId="14907"/>
    <cellStyle name="Input 38 3 2" xfId="31138"/>
    <cellStyle name="Input 38 4" xfId="14908"/>
    <cellStyle name="Input 38 4 2" xfId="31139"/>
    <cellStyle name="Input 38 5" xfId="14909"/>
    <cellStyle name="Input 38 5 2" xfId="31140"/>
    <cellStyle name="Input 38 6" xfId="14910"/>
    <cellStyle name="Input 38 6 2" xfId="31141"/>
    <cellStyle name="Input 38 7" xfId="14911"/>
    <cellStyle name="Input 38 7 2" xfId="31142"/>
    <cellStyle name="Input 38 8" xfId="14912"/>
    <cellStyle name="Input 38 8 2" xfId="31143"/>
    <cellStyle name="Input 38 9" xfId="14913"/>
    <cellStyle name="Input 38 9 2" xfId="31144"/>
    <cellStyle name="Input 39" xfId="3550"/>
    <cellStyle name="Input 39 10" xfId="14914"/>
    <cellStyle name="Input 39 10 2" xfId="31145"/>
    <cellStyle name="Input 39 11" xfId="14915"/>
    <cellStyle name="Input 39 11 2" xfId="31146"/>
    <cellStyle name="Input 39 12" xfId="14916"/>
    <cellStyle name="Input 39 12 2" xfId="31147"/>
    <cellStyle name="Input 39 13" xfId="14917"/>
    <cellStyle name="Input 39 13 2" xfId="31148"/>
    <cellStyle name="Input 39 14" xfId="14918"/>
    <cellStyle name="Input 39 14 2" xfId="31149"/>
    <cellStyle name="Input 39 15" xfId="14919"/>
    <cellStyle name="Input 39 15 2" xfId="31150"/>
    <cellStyle name="Input 39 16" xfId="14920"/>
    <cellStyle name="Input 39 16 2" xfId="31151"/>
    <cellStyle name="Input 39 17" xfId="14921"/>
    <cellStyle name="Input 39 17 2" xfId="31152"/>
    <cellStyle name="Input 39 18" xfId="14922"/>
    <cellStyle name="Input 39 18 2" xfId="31153"/>
    <cellStyle name="Input 39 19" xfId="14923"/>
    <cellStyle name="Input 39 19 2" xfId="31154"/>
    <cellStyle name="Input 39 2" xfId="14924"/>
    <cellStyle name="Input 39 2 2" xfId="31155"/>
    <cellStyle name="Input 39 20" xfId="14925"/>
    <cellStyle name="Input 39 20 2" xfId="31156"/>
    <cellStyle name="Input 39 21" xfId="14926"/>
    <cellStyle name="Input 39 21 2" xfId="31157"/>
    <cellStyle name="Input 39 22" xfId="14927"/>
    <cellStyle name="Input 39 22 2" xfId="31158"/>
    <cellStyle name="Input 39 23" xfId="31159"/>
    <cellStyle name="Input 39 3" xfId="14928"/>
    <cellStyle name="Input 39 3 2" xfId="31160"/>
    <cellStyle name="Input 39 4" xfId="14929"/>
    <cellStyle name="Input 39 4 2" xfId="31161"/>
    <cellStyle name="Input 39 5" xfId="14930"/>
    <cellStyle name="Input 39 5 2" xfId="31162"/>
    <cellStyle name="Input 39 6" xfId="14931"/>
    <cellStyle name="Input 39 6 2" xfId="31163"/>
    <cellStyle name="Input 39 7" xfId="14932"/>
    <cellStyle name="Input 39 7 2" xfId="31164"/>
    <cellStyle name="Input 39 8" xfId="14933"/>
    <cellStyle name="Input 39 8 2" xfId="31165"/>
    <cellStyle name="Input 39 9" xfId="14934"/>
    <cellStyle name="Input 39 9 2" xfId="31166"/>
    <cellStyle name="Input 4" xfId="3551"/>
    <cellStyle name="Input 4 10" xfId="14935"/>
    <cellStyle name="Input 4 10 2" xfId="31167"/>
    <cellStyle name="Input 4 11" xfId="14936"/>
    <cellStyle name="Input 4 11 2" xfId="31168"/>
    <cellStyle name="Input 4 12" xfId="14937"/>
    <cellStyle name="Input 4 12 2" xfId="31169"/>
    <cellStyle name="Input 4 13" xfId="14938"/>
    <cellStyle name="Input 4 13 2" xfId="31170"/>
    <cellStyle name="Input 4 14" xfId="14939"/>
    <cellStyle name="Input 4 14 2" xfId="31171"/>
    <cellStyle name="Input 4 15" xfId="14940"/>
    <cellStyle name="Input 4 15 2" xfId="31172"/>
    <cellStyle name="Input 4 16" xfId="14941"/>
    <cellStyle name="Input 4 16 2" xfId="31173"/>
    <cellStyle name="Input 4 17" xfId="14942"/>
    <cellStyle name="Input 4 17 2" xfId="31174"/>
    <cellStyle name="Input 4 18" xfId="14943"/>
    <cellStyle name="Input 4 18 2" xfId="31175"/>
    <cellStyle name="Input 4 19" xfId="14944"/>
    <cellStyle name="Input 4 19 2" xfId="31176"/>
    <cellStyle name="Input 4 2" xfId="14945"/>
    <cellStyle name="Input 4 2 2" xfId="31177"/>
    <cellStyle name="Input 4 20" xfId="14946"/>
    <cellStyle name="Input 4 20 2" xfId="31178"/>
    <cellStyle name="Input 4 21" xfId="14947"/>
    <cellStyle name="Input 4 21 2" xfId="31179"/>
    <cellStyle name="Input 4 22" xfId="14948"/>
    <cellStyle name="Input 4 22 2" xfId="31180"/>
    <cellStyle name="Input 4 23" xfId="31181"/>
    <cellStyle name="Input 4 3" xfId="14949"/>
    <cellStyle name="Input 4 3 2" xfId="31182"/>
    <cellStyle name="Input 4 4" xfId="14950"/>
    <cellStyle name="Input 4 4 2" xfId="31183"/>
    <cellStyle name="Input 4 5" xfId="14951"/>
    <cellStyle name="Input 4 5 2" xfId="31184"/>
    <cellStyle name="Input 4 6" xfId="14952"/>
    <cellStyle name="Input 4 6 2" xfId="31185"/>
    <cellStyle name="Input 4 7" xfId="14953"/>
    <cellStyle name="Input 4 7 2" xfId="31186"/>
    <cellStyle name="Input 4 8" xfId="14954"/>
    <cellStyle name="Input 4 8 2" xfId="31187"/>
    <cellStyle name="Input 4 9" xfId="14955"/>
    <cellStyle name="Input 4 9 2" xfId="31188"/>
    <cellStyle name="Input 40" xfId="3552"/>
    <cellStyle name="Input 40 10" xfId="14956"/>
    <cellStyle name="Input 40 10 2" xfId="31189"/>
    <cellStyle name="Input 40 11" xfId="14957"/>
    <cellStyle name="Input 40 11 2" xfId="31190"/>
    <cellStyle name="Input 40 12" xfId="14958"/>
    <cellStyle name="Input 40 12 2" xfId="31191"/>
    <cellStyle name="Input 40 13" xfId="14959"/>
    <cellStyle name="Input 40 13 2" xfId="31192"/>
    <cellStyle name="Input 40 14" xfId="14960"/>
    <cellStyle name="Input 40 14 2" xfId="31193"/>
    <cellStyle name="Input 40 15" xfId="14961"/>
    <cellStyle name="Input 40 15 2" xfId="31194"/>
    <cellStyle name="Input 40 16" xfId="14962"/>
    <cellStyle name="Input 40 16 2" xfId="31195"/>
    <cellStyle name="Input 40 17" xfId="14963"/>
    <cellStyle name="Input 40 17 2" xfId="31196"/>
    <cellStyle name="Input 40 18" xfId="14964"/>
    <cellStyle name="Input 40 18 2" xfId="31197"/>
    <cellStyle name="Input 40 19" xfId="14965"/>
    <cellStyle name="Input 40 19 2" xfId="31198"/>
    <cellStyle name="Input 40 2" xfId="14966"/>
    <cellStyle name="Input 40 2 2" xfId="31199"/>
    <cellStyle name="Input 40 20" xfId="14967"/>
    <cellStyle name="Input 40 20 2" xfId="31200"/>
    <cellStyle name="Input 40 21" xfId="14968"/>
    <cellStyle name="Input 40 21 2" xfId="31201"/>
    <cellStyle name="Input 40 22" xfId="14969"/>
    <cellStyle name="Input 40 22 2" xfId="31202"/>
    <cellStyle name="Input 40 23" xfId="31203"/>
    <cellStyle name="Input 40 3" xfId="14970"/>
    <cellStyle name="Input 40 3 2" xfId="31204"/>
    <cellStyle name="Input 40 4" xfId="14971"/>
    <cellStyle name="Input 40 4 2" xfId="31205"/>
    <cellStyle name="Input 40 5" xfId="14972"/>
    <cellStyle name="Input 40 5 2" xfId="31206"/>
    <cellStyle name="Input 40 6" xfId="14973"/>
    <cellStyle name="Input 40 6 2" xfId="31207"/>
    <cellStyle name="Input 40 7" xfId="14974"/>
    <cellStyle name="Input 40 7 2" xfId="31208"/>
    <cellStyle name="Input 40 8" xfId="14975"/>
    <cellStyle name="Input 40 8 2" xfId="31209"/>
    <cellStyle name="Input 40 9" xfId="14976"/>
    <cellStyle name="Input 40 9 2" xfId="31210"/>
    <cellStyle name="Input 41" xfId="3553"/>
    <cellStyle name="Input 41 10" xfId="14977"/>
    <cellStyle name="Input 41 10 2" xfId="31211"/>
    <cellStyle name="Input 41 11" xfId="14978"/>
    <cellStyle name="Input 41 11 2" xfId="31212"/>
    <cellStyle name="Input 41 12" xfId="14979"/>
    <cellStyle name="Input 41 12 2" xfId="31213"/>
    <cellStyle name="Input 41 13" xfId="14980"/>
    <cellStyle name="Input 41 13 2" xfId="31214"/>
    <cellStyle name="Input 41 14" xfId="14981"/>
    <cellStyle name="Input 41 14 2" xfId="31215"/>
    <cellStyle name="Input 41 15" xfId="14982"/>
    <cellStyle name="Input 41 15 2" xfId="31216"/>
    <cellStyle name="Input 41 16" xfId="14983"/>
    <cellStyle name="Input 41 16 2" xfId="31217"/>
    <cellStyle name="Input 41 17" xfId="14984"/>
    <cellStyle name="Input 41 17 2" xfId="31218"/>
    <cellStyle name="Input 41 18" xfId="14985"/>
    <cellStyle name="Input 41 18 2" xfId="31219"/>
    <cellStyle name="Input 41 19" xfId="14986"/>
    <cellStyle name="Input 41 19 2" xfId="31220"/>
    <cellStyle name="Input 41 2" xfId="14987"/>
    <cellStyle name="Input 41 2 2" xfId="31221"/>
    <cellStyle name="Input 41 20" xfId="14988"/>
    <cellStyle name="Input 41 20 2" xfId="31222"/>
    <cellStyle name="Input 41 21" xfId="14989"/>
    <cellStyle name="Input 41 21 2" xfId="31223"/>
    <cellStyle name="Input 41 22" xfId="14990"/>
    <cellStyle name="Input 41 22 2" xfId="31224"/>
    <cellStyle name="Input 41 23" xfId="31225"/>
    <cellStyle name="Input 41 3" xfId="14991"/>
    <cellStyle name="Input 41 3 2" xfId="31226"/>
    <cellStyle name="Input 41 4" xfId="14992"/>
    <cellStyle name="Input 41 4 2" xfId="31227"/>
    <cellStyle name="Input 41 5" xfId="14993"/>
    <cellStyle name="Input 41 5 2" xfId="31228"/>
    <cellStyle name="Input 41 6" xfId="14994"/>
    <cellStyle name="Input 41 6 2" xfId="31229"/>
    <cellStyle name="Input 41 7" xfId="14995"/>
    <cellStyle name="Input 41 7 2" xfId="31230"/>
    <cellStyle name="Input 41 8" xfId="14996"/>
    <cellStyle name="Input 41 8 2" xfId="31231"/>
    <cellStyle name="Input 41 9" xfId="14997"/>
    <cellStyle name="Input 41 9 2" xfId="31232"/>
    <cellStyle name="Input 42" xfId="3554"/>
    <cellStyle name="Input 42 10" xfId="14998"/>
    <cellStyle name="Input 42 10 2" xfId="31233"/>
    <cellStyle name="Input 42 11" xfId="14999"/>
    <cellStyle name="Input 42 11 2" xfId="31234"/>
    <cellStyle name="Input 42 12" xfId="15000"/>
    <cellStyle name="Input 42 12 2" xfId="31235"/>
    <cellStyle name="Input 42 13" xfId="15001"/>
    <cellStyle name="Input 42 13 2" xfId="31236"/>
    <cellStyle name="Input 42 14" xfId="15002"/>
    <cellStyle name="Input 42 14 2" xfId="31237"/>
    <cellStyle name="Input 42 15" xfId="15003"/>
    <cellStyle name="Input 42 15 2" xfId="31238"/>
    <cellStyle name="Input 42 16" xfId="15004"/>
    <cellStyle name="Input 42 16 2" xfId="31239"/>
    <cellStyle name="Input 42 17" xfId="15005"/>
    <cellStyle name="Input 42 17 2" xfId="31240"/>
    <cellStyle name="Input 42 18" xfId="15006"/>
    <cellStyle name="Input 42 18 2" xfId="31241"/>
    <cellStyle name="Input 42 19" xfId="15007"/>
    <cellStyle name="Input 42 19 2" xfId="31242"/>
    <cellStyle name="Input 42 2" xfId="15008"/>
    <cellStyle name="Input 42 2 2" xfId="31243"/>
    <cellStyle name="Input 42 20" xfId="15009"/>
    <cellStyle name="Input 42 20 2" xfId="31244"/>
    <cellStyle name="Input 42 21" xfId="15010"/>
    <cellStyle name="Input 42 21 2" xfId="31245"/>
    <cellStyle name="Input 42 22" xfId="15011"/>
    <cellStyle name="Input 42 22 2" xfId="31246"/>
    <cellStyle name="Input 42 23" xfId="31247"/>
    <cellStyle name="Input 42 3" xfId="15012"/>
    <cellStyle name="Input 42 3 2" xfId="31248"/>
    <cellStyle name="Input 42 4" xfId="15013"/>
    <cellStyle name="Input 42 4 2" xfId="31249"/>
    <cellStyle name="Input 42 5" xfId="15014"/>
    <cellStyle name="Input 42 5 2" xfId="31250"/>
    <cellStyle name="Input 42 6" xfId="15015"/>
    <cellStyle name="Input 42 6 2" xfId="31251"/>
    <cellStyle name="Input 42 7" xfId="15016"/>
    <cellStyle name="Input 42 7 2" xfId="31252"/>
    <cellStyle name="Input 42 8" xfId="15017"/>
    <cellStyle name="Input 42 8 2" xfId="31253"/>
    <cellStyle name="Input 42 9" xfId="15018"/>
    <cellStyle name="Input 42 9 2" xfId="31254"/>
    <cellStyle name="Input 43" xfId="3555"/>
    <cellStyle name="Input 43 10" xfId="15019"/>
    <cellStyle name="Input 43 10 2" xfId="31255"/>
    <cellStyle name="Input 43 11" xfId="15020"/>
    <cellStyle name="Input 43 11 2" xfId="31256"/>
    <cellStyle name="Input 43 12" xfId="15021"/>
    <cellStyle name="Input 43 12 2" xfId="31257"/>
    <cellStyle name="Input 43 13" xfId="15022"/>
    <cellStyle name="Input 43 13 2" xfId="31258"/>
    <cellStyle name="Input 43 14" xfId="15023"/>
    <cellStyle name="Input 43 14 2" xfId="31259"/>
    <cellStyle name="Input 43 15" xfId="15024"/>
    <cellStyle name="Input 43 15 2" xfId="31260"/>
    <cellStyle name="Input 43 16" xfId="15025"/>
    <cellStyle name="Input 43 16 2" xfId="31261"/>
    <cellStyle name="Input 43 17" xfId="15026"/>
    <cellStyle name="Input 43 17 2" xfId="31262"/>
    <cellStyle name="Input 43 18" xfId="15027"/>
    <cellStyle name="Input 43 18 2" xfId="31263"/>
    <cellStyle name="Input 43 19" xfId="15028"/>
    <cellStyle name="Input 43 19 2" xfId="31264"/>
    <cellStyle name="Input 43 2" xfId="15029"/>
    <cellStyle name="Input 43 2 2" xfId="31265"/>
    <cellStyle name="Input 43 20" xfId="15030"/>
    <cellStyle name="Input 43 20 2" xfId="31266"/>
    <cellStyle name="Input 43 21" xfId="15031"/>
    <cellStyle name="Input 43 21 2" xfId="31267"/>
    <cellStyle name="Input 43 22" xfId="15032"/>
    <cellStyle name="Input 43 22 2" xfId="31268"/>
    <cellStyle name="Input 43 23" xfId="31269"/>
    <cellStyle name="Input 43 3" xfId="15033"/>
    <cellStyle name="Input 43 3 2" xfId="31270"/>
    <cellStyle name="Input 43 4" xfId="15034"/>
    <cellStyle name="Input 43 4 2" xfId="31271"/>
    <cellStyle name="Input 43 5" xfId="15035"/>
    <cellStyle name="Input 43 5 2" xfId="31272"/>
    <cellStyle name="Input 43 6" xfId="15036"/>
    <cellStyle name="Input 43 6 2" xfId="31273"/>
    <cellStyle name="Input 43 7" xfId="15037"/>
    <cellStyle name="Input 43 7 2" xfId="31274"/>
    <cellStyle name="Input 43 8" xfId="15038"/>
    <cellStyle name="Input 43 8 2" xfId="31275"/>
    <cellStyle name="Input 43 9" xfId="15039"/>
    <cellStyle name="Input 43 9 2" xfId="31276"/>
    <cellStyle name="Input 44" xfId="3556"/>
    <cellStyle name="Input 44 10" xfId="15040"/>
    <cellStyle name="Input 44 10 2" xfId="31277"/>
    <cellStyle name="Input 44 11" xfId="15041"/>
    <cellStyle name="Input 44 11 2" xfId="31278"/>
    <cellStyle name="Input 44 12" xfId="15042"/>
    <cellStyle name="Input 44 12 2" xfId="31279"/>
    <cellStyle name="Input 44 13" xfId="15043"/>
    <cellStyle name="Input 44 13 2" xfId="31280"/>
    <cellStyle name="Input 44 14" xfId="15044"/>
    <cellStyle name="Input 44 14 2" xfId="31281"/>
    <cellStyle name="Input 44 15" xfId="15045"/>
    <cellStyle name="Input 44 15 2" xfId="31282"/>
    <cellStyle name="Input 44 16" xfId="15046"/>
    <cellStyle name="Input 44 16 2" xfId="31283"/>
    <cellStyle name="Input 44 17" xfId="15047"/>
    <cellStyle name="Input 44 17 2" xfId="31284"/>
    <cellStyle name="Input 44 18" xfId="15048"/>
    <cellStyle name="Input 44 18 2" xfId="31285"/>
    <cellStyle name="Input 44 19" xfId="15049"/>
    <cellStyle name="Input 44 19 2" xfId="31286"/>
    <cellStyle name="Input 44 2" xfId="15050"/>
    <cellStyle name="Input 44 2 2" xfId="31287"/>
    <cellStyle name="Input 44 20" xfId="15051"/>
    <cellStyle name="Input 44 20 2" xfId="31288"/>
    <cellStyle name="Input 44 21" xfId="15052"/>
    <cellStyle name="Input 44 21 2" xfId="31289"/>
    <cellStyle name="Input 44 22" xfId="15053"/>
    <cellStyle name="Input 44 22 2" xfId="31290"/>
    <cellStyle name="Input 44 23" xfId="31291"/>
    <cellStyle name="Input 44 3" xfId="15054"/>
    <cellStyle name="Input 44 3 2" xfId="31292"/>
    <cellStyle name="Input 44 4" xfId="15055"/>
    <cellStyle name="Input 44 4 2" xfId="31293"/>
    <cellStyle name="Input 44 5" xfId="15056"/>
    <cellStyle name="Input 44 5 2" xfId="31294"/>
    <cellStyle name="Input 44 6" xfId="15057"/>
    <cellStyle name="Input 44 6 2" xfId="31295"/>
    <cellStyle name="Input 44 7" xfId="15058"/>
    <cellStyle name="Input 44 7 2" xfId="31296"/>
    <cellStyle name="Input 44 8" xfId="15059"/>
    <cellStyle name="Input 44 8 2" xfId="31297"/>
    <cellStyle name="Input 44 9" xfId="15060"/>
    <cellStyle name="Input 44 9 2" xfId="31298"/>
    <cellStyle name="Input 45" xfId="3557"/>
    <cellStyle name="Input 45 10" xfId="15061"/>
    <cellStyle name="Input 45 10 2" xfId="31299"/>
    <cellStyle name="Input 45 11" xfId="15062"/>
    <cellStyle name="Input 45 11 2" xfId="31300"/>
    <cellStyle name="Input 45 12" xfId="15063"/>
    <cellStyle name="Input 45 12 2" xfId="31301"/>
    <cellStyle name="Input 45 13" xfId="15064"/>
    <cellStyle name="Input 45 13 2" xfId="31302"/>
    <cellStyle name="Input 45 14" xfId="15065"/>
    <cellStyle name="Input 45 14 2" xfId="31303"/>
    <cellStyle name="Input 45 15" xfId="15066"/>
    <cellStyle name="Input 45 15 2" xfId="31304"/>
    <cellStyle name="Input 45 16" xfId="15067"/>
    <cellStyle name="Input 45 16 2" xfId="31305"/>
    <cellStyle name="Input 45 17" xfId="15068"/>
    <cellStyle name="Input 45 17 2" xfId="31306"/>
    <cellStyle name="Input 45 18" xfId="15069"/>
    <cellStyle name="Input 45 18 2" xfId="31307"/>
    <cellStyle name="Input 45 19" xfId="15070"/>
    <cellStyle name="Input 45 19 2" xfId="31308"/>
    <cellStyle name="Input 45 2" xfId="15071"/>
    <cellStyle name="Input 45 2 2" xfId="31309"/>
    <cellStyle name="Input 45 20" xfId="15072"/>
    <cellStyle name="Input 45 20 2" xfId="31310"/>
    <cellStyle name="Input 45 21" xfId="15073"/>
    <cellStyle name="Input 45 21 2" xfId="31311"/>
    <cellStyle name="Input 45 22" xfId="15074"/>
    <cellStyle name="Input 45 22 2" xfId="31312"/>
    <cellStyle name="Input 45 23" xfId="31313"/>
    <cellStyle name="Input 45 3" xfId="15075"/>
    <cellStyle name="Input 45 3 2" xfId="31314"/>
    <cellStyle name="Input 45 4" xfId="15076"/>
    <cellStyle name="Input 45 4 2" xfId="31315"/>
    <cellStyle name="Input 45 5" xfId="15077"/>
    <cellStyle name="Input 45 5 2" xfId="31316"/>
    <cellStyle name="Input 45 6" xfId="15078"/>
    <cellStyle name="Input 45 6 2" xfId="31317"/>
    <cellStyle name="Input 45 7" xfId="15079"/>
    <cellStyle name="Input 45 7 2" xfId="31318"/>
    <cellStyle name="Input 45 8" xfId="15080"/>
    <cellStyle name="Input 45 8 2" xfId="31319"/>
    <cellStyle name="Input 45 9" xfId="15081"/>
    <cellStyle name="Input 45 9 2" xfId="31320"/>
    <cellStyle name="Input 46" xfId="3558"/>
    <cellStyle name="Input 46 10" xfId="15082"/>
    <cellStyle name="Input 46 10 2" xfId="31321"/>
    <cellStyle name="Input 46 11" xfId="15083"/>
    <cellStyle name="Input 46 11 2" xfId="31322"/>
    <cellStyle name="Input 46 12" xfId="15084"/>
    <cellStyle name="Input 46 12 2" xfId="31323"/>
    <cellStyle name="Input 46 13" xfId="15085"/>
    <cellStyle name="Input 46 13 2" xfId="31324"/>
    <cellStyle name="Input 46 14" xfId="15086"/>
    <cellStyle name="Input 46 14 2" xfId="31325"/>
    <cellStyle name="Input 46 15" xfId="15087"/>
    <cellStyle name="Input 46 15 2" xfId="31326"/>
    <cellStyle name="Input 46 16" xfId="15088"/>
    <cellStyle name="Input 46 16 2" xfId="31327"/>
    <cellStyle name="Input 46 17" xfId="15089"/>
    <cellStyle name="Input 46 17 2" xfId="31328"/>
    <cellStyle name="Input 46 18" xfId="15090"/>
    <cellStyle name="Input 46 18 2" xfId="31329"/>
    <cellStyle name="Input 46 19" xfId="15091"/>
    <cellStyle name="Input 46 19 2" xfId="31330"/>
    <cellStyle name="Input 46 2" xfId="15092"/>
    <cellStyle name="Input 46 2 2" xfId="31331"/>
    <cellStyle name="Input 46 20" xfId="15093"/>
    <cellStyle name="Input 46 20 2" xfId="31332"/>
    <cellStyle name="Input 46 21" xfId="15094"/>
    <cellStyle name="Input 46 21 2" xfId="31333"/>
    <cellStyle name="Input 46 22" xfId="15095"/>
    <cellStyle name="Input 46 22 2" xfId="31334"/>
    <cellStyle name="Input 46 23" xfId="31335"/>
    <cellStyle name="Input 46 3" xfId="15096"/>
    <cellStyle name="Input 46 3 2" xfId="31336"/>
    <cellStyle name="Input 46 4" xfId="15097"/>
    <cellStyle name="Input 46 4 2" xfId="31337"/>
    <cellStyle name="Input 46 5" xfId="15098"/>
    <cellStyle name="Input 46 5 2" xfId="31338"/>
    <cellStyle name="Input 46 6" xfId="15099"/>
    <cellStyle name="Input 46 6 2" xfId="31339"/>
    <cellStyle name="Input 46 7" xfId="15100"/>
    <cellStyle name="Input 46 7 2" xfId="31340"/>
    <cellStyle name="Input 46 8" xfId="15101"/>
    <cellStyle name="Input 46 8 2" xfId="31341"/>
    <cellStyle name="Input 46 9" xfId="15102"/>
    <cellStyle name="Input 46 9 2" xfId="31342"/>
    <cellStyle name="Input 47" xfId="3559"/>
    <cellStyle name="Input 47 10" xfId="15103"/>
    <cellStyle name="Input 47 10 2" xfId="31343"/>
    <cellStyle name="Input 47 11" xfId="15104"/>
    <cellStyle name="Input 47 11 2" xfId="31344"/>
    <cellStyle name="Input 47 12" xfId="15105"/>
    <cellStyle name="Input 47 12 2" xfId="31345"/>
    <cellStyle name="Input 47 13" xfId="15106"/>
    <cellStyle name="Input 47 13 2" xfId="31346"/>
    <cellStyle name="Input 47 14" xfId="15107"/>
    <cellStyle name="Input 47 14 2" xfId="31347"/>
    <cellStyle name="Input 47 15" xfId="15108"/>
    <cellStyle name="Input 47 15 2" xfId="31348"/>
    <cellStyle name="Input 47 16" xfId="15109"/>
    <cellStyle name="Input 47 16 2" xfId="31349"/>
    <cellStyle name="Input 47 17" xfId="15110"/>
    <cellStyle name="Input 47 17 2" xfId="31350"/>
    <cellStyle name="Input 47 18" xfId="15111"/>
    <cellStyle name="Input 47 18 2" xfId="31351"/>
    <cellStyle name="Input 47 19" xfId="15112"/>
    <cellStyle name="Input 47 19 2" xfId="31352"/>
    <cellStyle name="Input 47 2" xfId="15113"/>
    <cellStyle name="Input 47 2 2" xfId="31353"/>
    <cellStyle name="Input 47 20" xfId="15114"/>
    <cellStyle name="Input 47 20 2" xfId="31354"/>
    <cellStyle name="Input 47 21" xfId="15115"/>
    <cellStyle name="Input 47 21 2" xfId="31355"/>
    <cellStyle name="Input 47 22" xfId="15116"/>
    <cellStyle name="Input 47 22 2" xfId="31356"/>
    <cellStyle name="Input 47 23" xfId="31357"/>
    <cellStyle name="Input 47 3" xfId="15117"/>
    <cellStyle name="Input 47 3 2" xfId="31358"/>
    <cellStyle name="Input 47 4" xfId="15118"/>
    <cellStyle name="Input 47 4 2" xfId="31359"/>
    <cellStyle name="Input 47 5" xfId="15119"/>
    <cellStyle name="Input 47 5 2" xfId="31360"/>
    <cellStyle name="Input 47 6" xfId="15120"/>
    <cellStyle name="Input 47 6 2" xfId="31361"/>
    <cellStyle name="Input 47 7" xfId="15121"/>
    <cellStyle name="Input 47 7 2" xfId="31362"/>
    <cellStyle name="Input 47 8" xfId="15122"/>
    <cellStyle name="Input 47 8 2" xfId="31363"/>
    <cellStyle name="Input 47 9" xfId="15123"/>
    <cellStyle name="Input 47 9 2" xfId="31364"/>
    <cellStyle name="Input 48" xfId="3560"/>
    <cellStyle name="Input 48 10" xfId="15124"/>
    <cellStyle name="Input 48 10 2" xfId="31365"/>
    <cellStyle name="Input 48 11" xfId="15125"/>
    <cellStyle name="Input 48 11 2" xfId="31366"/>
    <cellStyle name="Input 48 12" xfId="15126"/>
    <cellStyle name="Input 48 12 2" xfId="31367"/>
    <cellStyle name="Input 48 13" xfId="15127"/>
    <cellStyle name="Input 48 13 2" xfId="31368"/>
    <cellStyle name="Input 48 14" xfId="15128"/>
    <cellStyle name="Input 48 14 2" xfId="31369"/>
    <cellStyle name="Input 48 15" xfId="15129"/>
    <cellStyle name="Input 48 15 2" xfId="31370"/>
    <cellStyle name="Input 48 16" xfId="15130"/>
    <cellStyle name="Input 48 16 2" xfId="31371"/>
    <cellStyle name="Input 48 17" xfId="15131"/>
    <cellStyle name="Input 48 17 2" xfId="31372"/>
    <cellStyle name="Input 48 18" xfId="15132"/>
    <cellStyle name="Input 48 18 2" xfId="31373"/>
    <cellStyle name="Input 48 19" xfId="15133"/>
    <cellStyle name="Input 48 19 2" xfId="31374"/>
    <cellStyle name="Input 48 2" xfId="15134"/>
    <cellStyle name="Input 48 2 2" xfId="31375"/>
    <cellStyle name="Input 48 20" xfId="15135"/>
    <cellStyle name="Input 48 20 2" xfId="31376"/>
    <cellStyle name="Input 48 21" xfId="15136"/>
    <cellStyle name="Input 48 21 2" xfId="31377"/>
    <cellStyle name="Input 48 22" xfId="15137"/>
    <cellStyle name="Input 48 22 2" xfId="31378"/>
    <cellStyle name="Input 48 23" xfId="31379"/>
    <cellStyle name="Input 48 3" xfId="15138"/>
    <cellStyle name="Input 48 3 2" xfId="31380"/>
    <cellStyle name="Input 48 4" xfId="15139"/>
    <cellStyle name="Input 48 4 2" xfId="31381"/>
    <cellStyle name="Input 48 5" xfId="15140"/>
    <cellStyle name="Input 48 5 2" xfId="31382"/>
    <cellStyle name="Input 48 6" xfId="15141"/>
    <cellStyle name="Input 48 6 2" xfId="31383"/>
    <cellStyle name="Input 48 7" xfId="15142"/>
    <cellStyle name="Input 48 7 2" xfId="31384"/>
    <cellStyle name="Input 48 8" xfId="15143"/>
    <cellStyle name="Input 48 8 2" xfId="31385"/>
    <cellStyle name="Input 48 9" xfId="15144"/>
    <cellStyle name="Input 48 9 2" xfId="31386"/>
    <cellStyle name="Input 49" xfId="3561"/>
    <cellStyle name="Input 49 10" xfId="15145"/>
    <cellStyle name="Input 49 10 2" xfId="31387"/>
    <cellStyle name="Input 49 11" xfId="15146"/>
    <cellStyle name="Input 49 11 2" xfId="31388"/>
    <cellStyle name="Input 49 12" xfId="15147"/>
    <cellStyle name="Input 49 12 2" xfId="31389"/>
    <cellStyle name="Input 49 13" xfId="15148"/>
    <cellStyle name="Input 49 13 2" xfId="31390"/>
    <cellStyle name="Input 49 14" xfId="15149"/>
    <cellStyle name="Input 49 14 2" xfId="31391"/>
    <cellStyle name="Input 49 15" xfId="15150"/>
    <cellStyle name="Input 49 15 2" xfId="31392"/>
    <cellStyle name="Input 49 16" xfId="15151"/>
    <cellStyle name="Input 49 16 2" xfId="31393"/>
    <cellStyle name="Input 49 17" xfId="15152"/>
    <cellStyle name="Input 49 17 2" xfId="31394"/>
    <cellStyle name="Input 49 18" xfId="15153"/>
    <cellStyle name="Input 49 18 2" xfId="31395"/>
    <cellStyle name="Input 49 19" xfId="15154"/>
    <cellStyle name="Input 49 19 2" xfId="31396"/>
    <cellStyle name="Input 49 2" xfId="15155"/>
    <cellStyle name="Input 49 2 2" xfId="31397"/>
    <cellStyle name="Input 49 20" xfId="15156"/>
    <cellStyle name="Input 49 20 2" xfId="31398"/>
    <cellStyle name="Input 49 21" xfId="15157"/>
    <cellStyle name="Input 49 21 2" xfId="31399"/>
    <cellStyle name="Input 49 22" xfId="15158"/>
    <cellStyle name="Input 49 22 2" xfId="31400"/>
    <cellStyle name="Input 49 23" xfId="31401"/>
    <cellStyle name="Input 49 3" xfId="15159"/>
    <cellStyle name="Input 49 3 2" xfId="31402"/>
    <cellStyle name="Input 49 4" xfId="15160"/>
    <cellStyle name="Input 49 4 2" xfId="31403"/>
    <cellStyle name="Input 49 5" xfId="15161"/>
    <cellStyle name="Input 49 5 2" xfId="31404"/>
    <cellStyle name="Input 49 6" xfId="15162"/>
    <cellStyle name="Input 49 6 2" xfId="31405"/>
    <cellStyle name="Input 49 7" xfId="15163"/>
    <cellStyle name="Input 49 7 2" xfId="31406"/>
    <cellStyle name="Input 49 8" xfId="15164"/>
    <cellStyle name="Input 49 8 2" xfId="31407"/>
    <cellStyle name="Input 49 9" xfId="15165"/>
    <cellStyle name="Input 49 9 2" xfId="31408"/>
    <cellStyle name="Input 5" xfId="3562"/>
    <cellStyle name="Input 5 10" xfId="15166"/>
    <cellStyle name="Input 5 10 2" xfId="31409"/>
    <cellStyle name="Input 5 11" xfId="15167"/>
    <cellStyle name="Input 5 11 2" xfId="31410"/>
    <cellStyle name="Input 5 12" xfId="15168"/>
    <cellStyle name="Input 5 12 2" xfId="31411"/>
    <cellStyle name="Input 5 13" xfId="15169"/>
    <cellStyle name="Input 5 13 2" xfId="31412"/>
    <cellStyle name="Input 5 14" xfId="15170"/>
    <cellStyle name="Input 5 14 2" xfId="31413"/>
    <cellStyle name="Input 5 15" xfId="15171"/>
    <cellStyle name="Input 5 15 2" xfId="31414"/>
    <cellStyle name="Input 5 16" xfId="15172"/>
    <cellStyle name="Input 5 16 2" xfId="31415"/>
    <cellStyle name="Input 5 17" xfId="15173"/>
    <cellStyle name="Input 5 17 2" xfId="31416"/>
    <cellStyle name="Input 5 18" xfId="15174"/>
    <cellStyle name="Input 5 18 2" xfId="31417"/>
    <cellStyle name="Input 5 19" xfId="15175"/>
    <cellStyle name="Input 5 19 2" xfId="31418"/>
    <cellStyle name="Input 5 2" xfId="15176"/>
    <cellStyle name="Input 5 2 2" xfId="31419"/>
    <cellStyle name="Input 5 20" xfId="15177"/>
    <cellStyle name="Input 5 20 2" xfId="31420"/>
    <cellStyle name="Input 5 21" xfId="15178"/>
    <cellStyle name="Input 5 21 2" xfId="31421"/>
    <cellStyle name="Input 5 22" xfId="15179"/>
    <cellStyle name="Input 5 22 2" xfId="31422"/>
    <cellStyle name="Input 5 23" xfId="31423"/>
    <cellStyle name="Input 5 3" xfId="15180"/>
    <cellStyle name="Input 5 3 2" xfId="31424"/>
    <cellStyle name="Input 5 4" xfId="15181"/>
    <cellStyle name="Input 5 4 2" xfId="31425"/>
    <cellStyle name="Input 5 5" xfId="15182"/>
    <cellStyle name="Input 5 5 2" xfId="31426"/>
    <cellStyle name="Input 5 6" xfId="15183"/>
    <cellStyle name="Input 5 6 2" xfId="31427"/>
    <cellStyle name="Input 5 7" xfId="15184"/>
    <cellStyle name="Input 5 7 2" xfId="31428"/>
    <cellStyle name="Input 5 8" xfId="15185"/>
    <cellStyle name="Input 5 8 2" xfId="31429"/>
    <cellStyle name="Input 5 9" xfId="15186"/>
    <cellStyle name="Input 5 9 2" xfId="31430"/>
    <cellStyle name="Input 50" xfId="3563"/>
    <cellStyle name="Input 50 10" xfId="15187"/>
    <cellStyle name="Input 50 10 2" xfId="31431"/>
    <cellStyle name="Input 50 11" xfId="15188"/>
    <cellStyle name="Input 50 11 2" xfId="31432"/>
    <cellStyle name="Input 50 12" xfId="15189"/>
    <cellStyle name="Input 50 12 2" xfId="31433"/>
    <cellStyle name="Input 50 13" xfId="15190"/>
    <cellStyle name="Input 50 13 2" xfId="31434"/>
    <cellStyle name="Input 50 14" xfId="15191"/>
    <cellStyle name="Input 50 14 2" xfId="31435"/>
    <cellStyle name="Input 50 15" xfId="15192"/>
    <cellStyle name="Input 50 15 2" xfId="31436"/>
    <cellStyle name="Input 50 16" xfId="15193"/>
    <cellStyle name="Input 50 16 2" xfId="31437"/>
    <cellStyle name="Input 50 17" xfId="15194"/>
    <cellStyle name="Input 50 17 2" xfId="31438"/>
    <cellStyle name="Input 50 18" xfId="15195"/>
    <cellStyle name="Input 50 18 2" xfId="31439"/>
    <cellStyle name="Input 50 19" xfId="15196"/>
    <cellStyle name="Input 50 19 2" xfId="31440"/>
    <cellStyle name="Input 50 2" xfId="15197"/>
    <cellStyle name="Input 50 2 2" xfId="31441"/>
    <cellStyle name="Input 50 20" xfId="15198"/>
    <cellStyle name="Input 50 20 2" xfId="31442"/>
    <cellStyle name="Input 50 21" xfId="15199"/>
    <cellStyle name="Input 50 21 2" xfId="31443"/>
    <cellStyle name="Input 50 22" xfId="15200"/>
    <cellStyle name="Input 50 22 2" xfId="31444"/>
    <cellStyle name="Input 50 23" xfId="31445"/>
    <cellStyle name="Input 50 3" xfId="15201"/>
    <cellStyle name="Input 50 3 2" xfId="31446"/>
    <cellStyle name="Input 50 4" xfId="15202"/>
    <cellStyle name="Input 50 4 2" xfId="31447"/>
    <cellStyle name="Input 50 5" xfId="15203"/>
    <cellStyle name="Input 50 5 2" xfId="31448"/>
    <cellStyle name="Input 50 6" xfId="15204"/>
    <cellStyle name="Input 50 6 2" xfId="31449"/>
    <cellStyle name="Input 50 7" xfId="15205"/>
    <cellStyle name="Input 50 7 2" xfId="31450"/>
    <cellStyle name="Input 50 8" xfId="15206"/>
    <cellStyle name="Input 50 8 2" xfId="31451"/>
    <cellStyle name="Input 50 9" xfId="15207"/>
    <cellStyle name="Input 50 9 2" xfId="31452"/>
    <cellStyle name="Input 51" xfId="3564"/>
    <cellStyle name="Input 51 10" xfId="15208"/>
    <cellStyle name="Input 51 10 2" xfId="31453"/>
    <cellStyle name="Input 51 11" xfId="15209"/>
    <cellStyle name="Input 51 11 2" xfId="31454"/>
    <cellStyle name="Input 51 12" xfId="15210"/>
    <cellStyle name="Input 51 12 2" xfId="31455"/>
    <cellStyle name="Input 51 13" xfId="15211"/>
    <cellStyle name="Input 51 13 2" xfId="31456"/>
    <cellStyle name="Input 51 14" xfId="15212"/>
    <cellStyle name="Input 51 14 2" xfId="31457"/>
    <cellStyle name="Input 51 15" xfId="15213"/>
    <cellStyle name="Input 51 15 2" xfId="31458"/>
    <cellStyle name="Input 51 16" xfId="15214"/>
    <cellStyle name="Input 51 16 2" xfId="31459"/>
    <cellStyle name="Input 51 17" xfId="15215"/>
    <cellStyle name="Input 51 17 2" xfId="31460"/>
    <cellStyle name="Input 51 18" xfId="15216"/>
    <cellStyle name="Input 51 18 2" xfId="31461"/>
    <cellStyle name="Input 51 19" xfId="15217"/>
    <cellStyle name="Input 51 19 2" xfId="31462"/>
    <cellStyle name="Input 51 2" xfId="15218"/>
    <cellStyle name="Input 51 2 2" xfId="31463"/>
    <cellStyle name="Input 51 20" xfId="15219"/>
    <cellStyle name="Input 51 20 2" xfId="31464"/>
    <cellStyle name="Input 51 21" xfId="15220"/>
    <cellStyle name="Input 51 21 2" xfId="31465"/>
    <cellStyle name="Input 51 22" xfId="15221"/>
    <cellStyle name="Input 51 22 2" xfId="31466"/>
    <cellStyle name="Input 51 23" xfId="31467"/>
    <cellStyle name="Input 51 3" xfId="15222"/>
    <cellStyle name="Input 51 3 2" xfId="31468"/>
    <cellStyle name="Input 51 4" xfId="15223"/>
    <cellStyle name="Input 51 4 2" xfId="31469"/>
    <cellStyle name="Input 51 5" xfId="15224"/>
    <cellStyle name="Input 51 5 2" xfId="31470"/>
    <cellStyle name="Input 51 6" xfId="15225"/>
    <cellStyle name="Input 51 6 2" xfId="31471"/>
    <cellStyle name="Input 51 7" xfId="15226"/>
    <cellStyle name="Input 51 7 2" xfId="31472"/>
    <cellStyle name="Input 51 8" xfId="15227"/>
    <cellStyle name="Input 51 8 2" xfId="31473"/>
    <cellStyle name="Input 51 9" xfId="15228"/>
    <cellStyle name="Input 51 9 2" xfId="31474"/>
    <cellStyle name="Input 52" xfId="3565"/>
    <cellStyle name="Input 52 10" xfId="15229"/>
    <cellStyle name="Input 52 10 2" xfId="31475"/>
    <cellStyle name="Input 52 11" xfId="15230"/>
    <cellStyle name="Input 52 11 2" xfId="31476"/>
    <cellStyle name="Input 52 12" xfId="15231"/>
    <cellStyle name="Input 52 12 2" xfId="31477"/>
    <cellStyle name="Input 52 13" xfId="15232"/>
    <cellStyle name="Input 52 13 2" xfId="31478"/>
    <cellStyle name="Input 52 14" xfId="15233"/>
    <cellStyle name="Input 52 14 2" xfId="31479"/>
    <cellStyle name="Input 52 15" xfId="15234"/>
    <cellStyle name="Input 52 15 2" xfId="31480"/>
    <cellStyle name="Input 52 16" xfId="15235"/>
    <cellStyle name="Input 52 16 2" xfId="31481"/>
    <cellStyle name="Input 52 17" xfId="15236"/>
    <cellStyle name="Input 52 17 2" xfId="31482"/>
    <cellStyle name="Input 52 18" xfId="15237"/>
    <cellStyle name="Input 52 18 2" xfId="31483"/>
    <cellStyle name="Input 52 19" xfId="15238"/>
    <cellStyle name="Input 52 19 2" xfId="31484"/>
    <cellStyle name="Input 52 2" xfId="15239"/>
    <cellStyle name="Input 52 2 2" xfId="31485"/>
    <cellStyle name="Input 52 20" xfId="15240"/>
    <cellStyle name="Input 52 20 2" xfId="31486"/>
    <cellStyle name="Input 52 21" xfId="15241"/>
    <cellStyle name="Input 52 21 2" xfId="31487"/>
    <cellStyle name="Input 52 22" xfId="15242"/>
    <cellStyle name="Input 52 22 2" xfId="31488"/>
    <cellStyle name="Input 52 23" xfId="31489"/>
    <cellStyle name="Input 52 3" xfId="15243"/>
    <cellStyle name="Input 52 3 2" xfId="31490"/>
    <cellStyle name="Input 52 4" xfId="15244"/>
    <cellStyle name="Input 52 4 2" xfId="31491"/>
    <cellStyle name="Input 52 5" xfId="15245"/>
    <cellStyle name="Input 52 5 2" xfId="31492"/>
    <cellStyle name="Input 52 6" xfId="15246"/>
    <cellStyle name="Input 52 6 2" xfId="31493"/>
    <cellStyle name="Input 52 7" xfId="15247"/>
    <cellStyle name="Input 52 7 2" xfId="31494"/>
    <cellStyle name="Input 52 8" xfId="15248"/>
    <cellStyle name="Input 52 8 2" xfId="31495"/>
    <cellStyle name="Input 52 9" xfId="15249"/>
    <cellStyle name="Input 52 9 2" xfId="31496"/>
    <cellStyle name="Input 6" xfId="3566"/>
    <cellStyle name="Input 6 10" xfId="15250"/>
    <cellStyle name="Input 6 10 2" xfId="31497"/>
    <cellStyle name="Input 6 11" xfId="15251"/>
    <cellStyle name="Input 6 11 2" xfId="31498"/>
    <cellStyle name="Input 6 12" xfId="15252"/>
    <cellStyle name="Input 6 12 2" xfId="31499"/>
    <cellStyle name="Input 6 13" xfId="15253"/>
    <cellStyle name="Input 6 13 2" xfId="31500"/>
    <cellStyle name="Input 6 14" xfId="15254"/>
    <cellStyle name="Input 6 14 2" xfId="31501"/>
    <cellStyle name="Input 6 15" xfId="15255"/>
    <cellStyle name="Input 6 15 2" xfId="31502"/>
    <cellStyle name="Input 6 16" xfId="15256"/>
    <cellStyle name="Input 6 16 2" xfId="31503"/>
    <cellStyle name="Input 6 17" xfId="15257"/>
    <cellStyle name="Input 6 17 2" xfId="31504"/>
    <cellStyle name="Input 6 18" xfId="15258"/>
    <cellStyle name="Input 6 18 2" xfId="31505"/>
    <cellStyle name="Input 6 19" xfId="15259"/>
    <cellStyle name="Input 6 19 2" xfId="31506"/>
    <cellStyle name="Input 6 2" xfId="15260"/>
    <cellStyle name="Input 6 2 2" xfId="31507"/>
    <cellStyle name="Input 6 20" xfId="15261"/>
    <cellStyle name="Input 6 20 2" xfId="31508"/>
    <cellStyle name="Input 6 21" xfId="15262"/>
    <cellStyle name="Input 6 21 2" xfId="31509"/>
    <cellStyle name="Input 6 22" xfId="15263"/>
    <cellStyle name="Input 6 22 2" xfId="31510"/>
    <cellStyle name="Input 6 23" xfId="31511"/>
    <cellStyle name="Input 6 3" xfId="15264"/>
    <cellStyle name="Input 6 3 2" xfId="31512"/>
    <cellStyle name="Input 6 4" xfId="15265"/>
    <cellStyle name="Input 6 4 2" xfId="31513"/>
    <cellStyle name="Input 6 5" xfId="15266"/>
    <cellStyle name="Input 6 5 2" xfId="31514"/>
    <cellStyle name="Input 6 6" xfId="15267"/>
    <cellStyle name="Input 6 6 2" xfId="31515"/>
    <cellStyle name="Input 6 7" xfId="15268"/>
    <cellStyle name="Input 6 7 2" xfId="31516"/>
    <cellStyle name="Input 6 8" xfId="15269"/>
    <cellStyle name="Input 6 8 2" xfId="31517"/>
    <cellStyle name="Input 6 9" xfId="15270"/>
    <cellStyle name="Input 6 9 2" xfId="31518"/>
    <cellStyle name="Input 7" xfId="3567"/>
    <cellStyle name="Input 7 10" xfId="15271"/>
    <cellStyle name="Input 7 10 2" xfId="31519"/>
    <cellStyle name="Input 7 11" xfId="15272"/>
    <cellStyle name="Input 7 11 2" xfId="31520"/>
    <cellStyle name="Input 7 12" xfId="15273"/>
    <cellStyle name="Input 7 12 2" xfId="31521"/>
    <cellStyle name="Input 7 13" xfId="15274"/>
    <cellStyle name="Input 7 13 2" xfId="31522"/>
    <cellStyle name="Input 7 14" xfId="15275"/>
    <cellStyle name="Input 7 14 2" xfId="31523"/>
    <cellStyle name="Input 7 15" xfId="15276"/>
    <cellStyle name="Input 7 15 2" xfId="31524"/>
    <cellStyle name="Input 7 16" xfId="15277"/>
    <cellStyle name="Input 7 16 2" xfId="31525"/>
    <cellStyle name="Input 7 17" xfId="15278"/>
    <cellStyle name="Input 7 17 2" xfId="31526"/>
    <cellStyle name="Input 7 18" xfId="15279"/>
    <cellStyle name="Input 7 18 2" xfId="31527"/>
    <cellStyle name="Input 7 19" xfId="15280"/>
    <cellStyle name="Input 7 19 2" xfId="31528"/>
    <cellStyle name="Input 7 2" xfId="15281"/>
    <cellStyle name="Input 7 2 2" xfId="31529"/>
    <cellStyle name="Input 7 20" xfId="15282"/>
    <cellStyle name="Input 7 20 2" xfId="31530"/>
    <cellStyle name="Input 7 21" xfId="15283"/>
    <cellStyle name="Input 7 21 2" xfId="31531"/>
    <cellStyle name="Input 7 22" xfId="15284"/>
    <cellStyle name="Input 7 22 2" xfId="31532"/>
    <cellStyle name="Input 7 23" xfId="31533"/>
    <cellStyle name="Input 7 3" xfId="15285"/>
    <cellStyle name="Input 7 3 2" xfId="31534"/>
    <cellStyle name="Input 7 4" xfId="15286"/>
    <cellStyle name="Input 7 4 2" xfId="31535"/>
    <cellStyle name="Input 7 5" xfId="15287"/>
    <cellStyle name="Input 7 5 2" xfId="31536"/>
    <cellStyle name="Input 7 6" xfId="15288"/>
    <cellStyle name="Input 7 6 2" xfId="31537"/>
    <cellStyle name="Input 7 7" xfId="15289"/>
    <cellStyle name="Input 7 7 2" xfId="31538"/>
    <cellStyle name="Input 7 8" xfId="15290"/>
    <cellStyle name="Input 7 8 2" xfId="31539"/>
    <cellStyle name="Input 7 9" xfId="15291"/>
    <cellStyle name="Input 7 9 2" xfId="31540"/>
    <cellStyle name="Input 8" xfId="3568"/>
    <cellStyle name="Input 8 10" xfId="15292"/>
    <cellStyle name="Input 8 10 2" xfId="31541"/>
    <cellStyle name="Input 8 11" xfId="15293"/>
    <cellStyle name="Input 8 11 2" xfId="31542"/>
    <cellStyle name="Input 8 12" xfId="15294"/>
    <cellStyle name="Input 8 12 2" xfId="31543"/>
    <cellStyle name="Input 8 13" xfId="15295"/>
    <cellStyle name="Input 8 13 2" xfId="31544"/>
    <cellStyle name="Input 8 14" xfId="15296"/>
    <cellStyle name="Input 8 14 2" xfId="31545"/>
    <cellStyle name="Input 8 15" xfId="15297"/>
    <cellStyle name="Input 8 15 2" xfId="31546"/>
    <cellStyle name="Input 8 16" xfId="15298"/>
    <cellStyle name="Input 8 16 2" xfId="31547"/>
    <cellStyle name="Input 8 17" xfId="15299"/>
    <cellStyle name="Input 8 17 2" xfId="31548"/>
    <cellStyle name="Input 8 18" xfId="15300"/>
    <cellStyle name="Input 8 18 2" xfId="31549"/>
    <cellStyle name="Input 8 19" xfId="15301"/>
    <cellStyle name="Input 8 19 2" xfId="31550"/>
    <cellStyle name="Input 8 2" xfId="15302"/>
    <cellStyle name="Input 8 2 2" xfId="31551"/>
    <cellStyle name="Input 8 20" xfId="15303"/>
    <cellStyle name="Input 8 20 2" xfId="31552"/>
    <cellStyle name="Input 8 21" xfId="15304"/>
    <cellStyle name="Input 8 21 2" xfId="31553"/>
    <cellStyle name="Input 8 22" xfId="15305"/>
    <cellStyle name="Input 8 22 2" xfId="31554"/>
    <cellStyle name="Input 8 23" xfId="31555"/>
    <cellStyle name="Input 8 3" xfId="15306"/>
    <cellStyle name="Input 8 3 2" xfId="31556"/>
    <cellStyle name="Input 8 4" xfId="15307"/>
    <cellStyle name="Input 8 4 2" xfId="31557"/>
    <cellStyle name="Input 8 5" xfId="15308"/>
    <cellStyle name="Input 8 5 2" xfId="31558"/>
    <cellStyle name="Input 8 6" xfId="15309"/>
    <cellStyle name="Input 8 6 2" xfId="31559"/>
    <cellStyle name="Input 8 7" xfId="15310"/>
    <cellStyle name="Input 8 7 2" xfId="31560"/>
    <cellStyle name="Input 8 8" xfId="15311"/>
    <cellStyle name="Input 8 8 2" xfId="31561"/>
    <cellStyle name="Input 8 9" xfId="15312"/>
    <cellStyle name="Input 8 9 2" xfId="31562"/>
    <cellStyle name="Input 9" xfId="3569"/>
    <cellStyle name="Input 9 10" xfId="15313"/>
    <cellStyle name="Input 9 10 2" xfId="31563"/>
    <cellStyle name="Input 9 11" xfId="15314"/>
    <cellStyle name="Input 9 11 2" xfId="31564"/>
    <cellStyle name="Input 9 12" xfId="15315"/>
    <cellStyle name="Input 9 12 2" xfId="31565"/>
    <cellStyle name="Input 9 13" xfId="15316"/>
    <cellStyle name="Input 9 13 2" xfId="31566"/>
    <cellStyle name="Input 9 14" xfId="15317"/>
    <cellStyle name="Input 9 14 2" xfId="31567"/>
    <cellStyle name="Input 9 15" xfId="15318"/>
    <cellStyle name="Input 9 15 2" xfId="31568"/>
    <cellStyle name="Input 9 16" xfId="15319"/>
    <cellStyle name="Input 9 16 2" xfId="31569"/>
    <cellStyle name="Input 9 17" xfId="15320"/>
    <cellStyle name="Input 9 17 2" xfId="31570"/>
    <cellStyle name="Input 9 18" xfId="15321"/>
    <cellStyle name="Input 9 18 2" xfId="31571"/>
    <cellStyle name="Input 9 19" xfId="15322"/>
    <cellStyle name="Input 9 19 2" xfId="31572"/>
    <cellStyle name="Input 9 2" xfId="15323"/>
    <cellStyle name="Input 9 2 2" xfId="31573"/>
    <cellStyle name="Input 9 20" xfId="15324"/>
    <cellStyle name="Input 9 20 2" xfId="31574"/>
    <cellStyle name="Input 9 21" xfId="15325"/>
    <cellStyle name="Input 9 21 2" xfId="31575"/>
    <cellStyle name="Input 9 22" xfId="15326"/>
    <cellStyle name="Input 9 22 2" xfId="31576"/>
    <cellStyle name="Input 9 23" xfId="31577"/>
    <cellStyle name="Input 9 3" xfId="15327"/>
    <cellStyle name="Input 9 3 2" xfId="31578"/>
    <cellStyle name="Input 9 4" xfId="15328"/>
    <cellStyle name="Input 9 4 2" xfId="31579"/>
    <cellStyle name="Input 9 5" xfId="15329"/>
    <cellStyle name="Input 9 5 2" xfId="31580"/>
    <cellStyle name="Input 9 6" xfId="15330"/>
    <cellStyle name="Input 9 6 2" xfId="31581"/>
    <cellStyle name="Input 9 7" xfId="15331"/>
    <cellStyle name="Input 9 7 2" xfId="31582"/>
    <cellStyle name="Input 9 8" xfId="15332"/>
    <cellStyle name="Input 9 8 2" xfId="31583"/>
    <cellStyle name="Input 9 9" xfId="15333"/>
    <cellStyle name="Input 9 9 2" xfId="31584"/>
    <cellStyle name="Linked Cell 10" xfId="3570"/>
    <cellStyle name="Linked Cell 11" xfId="3571"/>
    <cellStyle name="Linked Cell 12" xfId="3572"/>
    <cellStyle name="Linked Cell 13" xfId="3573"/>
    <cellStyle name="Linked Cell 14" xfId="3574"/>
    <cellStyle name="Linked Cell 15" xfId="3575"/>
    <cellStyle name="Linked Cell 16" xfId="3576"/>
    <cellStyle name="Linked Cell 17" xfId="3577"/>
    <cellStyle name="Linked Cell 18" xfId="3578"/>
    <cellStyle name="Linked Cell 19" xfId="3579"/>
    <cellStyle name="Linked Cell 2" xfId="3580"/>
    <cellStyle name="Linked Cell 2 2" xfId="3581"/>
    <cellStyle name="Linked Cell 2 3" xfId="3582"/>
    <cellStyle name="Linked Cell 2 4" xfId="3583"/>
    <cellStyle name="Linked Cell 2 5" xfId="3584"/>
    <cellStyle name="Linked Cell 2 6" xfId="3585"/>
    <cellStyle name="Linked Cell 20" xfId="3586"/>
    <cellStyle name="Linked Cell 21" xfId="3587"/>
    <cellStyle name="Linked Cell 22" xfId="3588"/>
    <cellStyle name="Linked Cell 23" xfId="3589"/>
    <cellStyle name="Linked Cell 24" xfId="3590"/>
    <cellStyle name="Linked Cell 25" xfId="3591"/>
    <cellStyle name="Linked Cell 26" xfId="3592"/>
    <cellStyle name="Linked Cell 27" xfId="3593"/>
    <cellStyle name="Linked Cell 28" xfId="3594"/>
    <cellStyle name="Linked Cell 29" xfId="3595"/>
    <cellStyle name="Linked Cell 3" xfId="3596"/>
    <cellStyle name="Linked Cell 30" xfId="3597"/>
    <cellStyle name="Linked Cell 31" xfId="3598"/>
    <cellStyle name="Linked Cell 32" xfId="3599"/>
    <cellStyle name="Linked Cell 33" xfId="3600"/>
    <cellStyle name="Linked Cell 34" xfId="3601"/>
    <cellStyle name="Linked Cell 35" xfId="3602"/>
    <cellStyle name="Linked Cell 36" xfId="3603"/>
    <cellStyle name="Linked Cell 37" xfId="3604"/>
    <cellStyle name="Linked Cell 38" xfId="3605"/>
    <cellStyle name="Linked Cell 39" xfId="3606"/>
    <cellStyle name="Linked Cell 4" xfId="3607"/>
    <cellStyle name="Linked Cell 40" xfId="3608"/>
    <cellStyle name="Linked Cell 41" xfId="3609"/>
    <cellStyle name="Linked Cell 42" xfId="3610"/>
    <cellStyle name="Linked Cell 43" xfId="3611"/>
    <cellStyle name="Linked Cell 44" xfId="3612"/>
    <cellStyle name="Linked Cell 45" xfId="3613"/>
    <cellStyle name="Linked Cell 46" xfId="3614"/>
    <cellStyle name="Linked Cell 47" xfId="3615"/>
    <cellStyle name="Linked Cell 48" xfId="3616"/>
    <cellStyle name="Linked Cell 49" xfId="3617"/>
    <cellStyle name="Linked Cell 5" xfId="3618"/>
    <cellStyle name="Linked Cell 50" xfId="3619"/>
    <cellStyle name="Linked Cell 51" xfId="3620"/>
    <cellStyle name="Linked Cell 52" xfId="3621"/>
    <cellStyle name="Linked Cell 6" xfId="3622"/>
    <cellStyle name="Linked Cell 7" xfId="3623"/>
    <cellStyle name="Linked Cell 8" xfId="3624"/>
    <cellStyle name="Linked Cell 9" xfId="3625"/>
    <cellStyle name="Neutral 10" xfId="3626"/>
    <cellStyle name="Neutral 11" xfId="3627"/>
    <cellStyle name="Neutral 12" xfId="3628"/>
    <cellStyle name="Neutral 13" xfId="3629"/>
    <cellStyle name="Neutral 14" xfId="3630"/>
    <cellStyle name="Neutral 15" xfId="3631"/>
    <cellStyle name="Neutral 16" xfId="3632"/>
    <cellStyle name="Neutral 17" xfId="3633"/>
    <cellStyle name="Neutral 18" xfId="3634"/>
    <cellStyle name="Neutral 19" xfId="3635"/>
    <cellStyle name="Neutral 2" xfId="3636"/>
    <cellStyle name="Neutral 2 10" xfId="15334"/>
    <cellStyle name="Neutral 2 11" xfId="15335"/>
    <cellStyle name="Neutral 2 12" xfId="15336"/>
    <cellStyle name="Neutral 2 13" xfId="15337"/>
    <cellStyle name="Neutral 2 14" xfId="15338"/>
    <cellStyle name="Neutral 2 15" xfId="15339"/>
    <cellStyle name="Neutral 2 16" xfId="15340"/>
    <cellStyle name="Neutral 2 17" xfId="15341"/>
    <cellStyle name="Neutral 2 18" xfId="15342"/>
    <cellStyle name="Neutral 2 19" xfId="15343"/>
    <cellStyle name="Neutral 2 2" xfId="3637"/>
    <cellStyle name="Neutral 2 20" xfId="15344"/>
    <cellStyle name="Neutral 2 21" xfId="15345"/>
    <cellStyle name="Neutral 2 22" xfId="15346"/>
    <cellStyle name="Neutral 2 23" xfId="15347"/>
    <cellStyle name="Neutral 2 24" xfId="15348"/>
    <cellStyle name="Neutral 2 25" xfId="15349"/>
    <cellStyle name="Neutral 2 26" xfId="15350"/>
    <cellStyle name="Neutral 2 27" xfId="15351"/>
    <cellStyle name="Neutral 2 3" xfId="3638"/>
    <cellStyle name="Neutral 2 4" xfId="3639"/>
    <cellStyle name="Neutral 2 5" xfId="3640"/>
    <cellStyle name="Neutral 2 6" xfId="3641"/>
    <cellStyle name="Neutral 2 7" xfId="15352"/>
    <cellStyle name="Neutral 2 8" xfId="15353"/>
    <cellStyle name="Neutral 2 9" xfId="15354"/>
    <cellStyle name="Neutral 20" xfId="3642"/>
    <cellStyle name="Neutral 21" xfId="3643"/>
    <cellStyle name="Neutral 22" xfId="3644"/>
    <cellStyle name="Neutral 23" xfId="3645"/>
    <cellStyle name="Neutral 24" xfId="3646"/>
    <cellStyle name="Neutral 25" xfId="3647"/>
    <cellStyle name="Neutral 26" xfId="3648"/>
    <cellStyle name="Neutral 27" xfId="3649"/>
    <cellStyle name="Neutral 28" xfId="3650"/>
    <cellStyle name="Neutral 29" xfId="3651"/>
    <cellStyle name="Neutral 3" xfId="3652"/>
    <cellStyle name="Neutral 30" xfId="3653"/>
    <cellStyle name="Neutral 31" xfId="3654"/>
    <cellStyle name="Neutral 32" xfId="3655"/>
    <cellStyle name="Neutral 33" xfId="3656"/>
    <cellStyle name="Neutral 34" xfId="3657"/>
    <cellStyle name="Neutral 35" xfId="3658"/>
    <cellStyle name="Neutral 36" xfId="3659"/>
    <cellStyle name="Neutral 37" xfId="3660"/>
    <cellStyle name="Neutral 38" xfId="3661"/>
    <cellStyle name="Neutral 39" xfId="3662"/>
    <cellStyle name="Neutral 4" xfId="3663"/>
    <cellStyle name="Neutral 40" xfId="3664"/>
    <cellStyle name="Neutral 41" xfId="3665"/>
    <cellStyle name="Neutral 42" xfId="3666"/>
    <cellStyle name="Neutral 43" xfId="3667"/>
    <cellStyle name="Neutral 44" xfId="3668"/>
    <cellStyle name="Neutral 45" xfId="3669"/>
    <cellStyle name="Neutral 46" xfId="3670"/>
    <cellStyle name="Neutral 47" xfId="3671"/>
    <cellStyle name="Neutral 48" xfId="3672"/>
    <cellStyle name="Neutral 49" xfId="3673"/>
    <cellStyle name="Neutral 5" xfId="3674"/>
    <cellStyle name="Neutral 50" xfId="3675"/>
    <cellStyle name="Neutral 51" xfId="3676"/>
    <cellStyle name="Neutral 52" xfId="3677"/>
    <cellStyle name="Neutral 53" xfId="3678"/>
    <cellStyle name="Neutral 6" xfId="3679"/>
    <cellStyle name="Neutral 7" xfId="3680"/>
    <cellStyle name="Neutral 8" xfId="3681"/>
    <cellStyle name="Neutral 9" xfId="3682"/>
    <cellStyle name="Normal" xfId="0" builtinId="0"/>
    <cellStyle name="Normal - Style1" xfId="3683"/>
    <cellStyle name="Normal 10" xfId="14"/>
    <cellStyle name="Normal 10 10" xfId="3684"/>
    <cellStyle name="Normal 10 10 2" xfId="3685"/>
    <cellStyle name="Normal 10 10 3" xfId="3686"/>
    <cellStyle name="Normal 10 10 4" xfId="3687"/>
    <cellStyle name="Normal 10 10 5" xfId="3688"/>
    <cellStyle name="Normal 10 11" xfId="3689"/>
    <cellStyle name="Normal 10 11 2" xfId="3690"/>
    <cellStyle name="Normal 10 11 3" xfId="3691"/>
    <cellStyle name="Normal 10 11 4" xfId="3692"/>
    <cellStyle name="Normal 10 11 5" xfId="3693"/>
    <cellStyle name="Normal 10 12" xfId="3694"/>
    <cellStyle name="Normal 10 12 2" xfId="3695"/>
    <cellStyle name="Normal 10 12 3" xfId="3696"/>
    <cellStyle name="Normal 10 12 4" xfId="3697"/>
    <cellStyle name="Normal 10 12 5" xfId="3698"/>
    <cellStyle name="Normal 10 13" xfId="3699"/>
    <cellStyle name="Normal 10 13 2" xfId="3700"/>
    <cellStyle name="Normal 10 13 3" xfId="3701"/>
    <cellStyle name="Normal 10 13 4" xfId="3702"/>
    <cellStyle name="Normal 10 13 5" xfId="3703"/>
    <cellStyle name="Normal 10 14" xfId="3704"/>
    <cellStyle name="Normal 10 14 2" xfId="3705"/>
    <cellStyle name="Normal 10 14 3" xfId="3706"/>
    <cellStyle name="Normal 10 14 4" xfId="3707"/>
    <cellStyle name="Normal 10 14 5" xfId="3708"/>
    <cellStyle name="Normal 10 15" xfId="3709"/>
    <cellStyle name="Normal 10 15 2" xfId="3710"/>
    <cellStyle name="Normal 10 15 3" xfId="3711"/>
    <cellStyle name="Normal 10 15 4" xfId="3712"/>
    <cellStyle name="Normal 10 15 5" xfId="3713"/>
    <cellStyle name="Normal 10 16" xfId="3714"/>
    <cellStyle name="Normal 10 16 2" xfId="3715"/>
    <cellStyle name="Normal 10 16 3" xfId="3716"/>
    <cellStyle name="Normal 10 16 4" xfId="3717"/>
    <cellStyle name="Normal 10 16 5" xfId="3718"/>
    <cellStyle name="Normal 10 17" xfId="3719"/>
    <cellStyle name="Normal 10 17 2" xfId="3720"/>
    <cellStyle name="Normal 10 17 3" xfId="3721"/>
    <cellStyle name="Normal 10 17 4" xfId="3722"/>
    <cellStyle name="Normal 10 17 5" xfId="3723"/>
    <cellStyle name="Normal 10 18" xfId="3724"/>
    <cellStyle name="Normal 10 18 2" xfId="3725"/>
    <cellStyle name="Normal 10 18 3" xfId="3726"/>
    <cellStyle name="Normal 10 18 4" xfId="3727"/>
    <cellStyle name="Normal 10 18 5" xfId="3728"/>
    <cellStyle name="Normal 10 19" xfId="3729"/>
    <cellStyle name="Normal 10 19 2" xfId="3730"/>
    <cellStyle name="Normal 10 19 3" xfId="3731"/>
    <cellStyle name="Normal 10 19 4" xfId="3732"/>
    <cellStyle name="Normal 10 19 5" xfId="3733"/>
    <cellStyle name="Normal 10 2" xfId="3734"/>
    <cellStyle name="Normal 10 2 2" xfId="3735"/>
    <cellStyle name="Normal 10 2 3" xfId="3736"/>
    <cellStyle name="Normal 10 2 4" xfId="3737"/>
    <cellStyle name="Normal 10 2 5" xfId="3738"/>
    <cellStyle name="Normal 10 20" xfId="3739"/>
    <cellStyle name="Normal 10 20 2" xfId="3740"/>
    <cellStyle name="Normal 10 20 3" xfId="3741"/>
    <cellStyle name="Normal 10 20 4" xfId="3742"/>
    <cellStyle name="Normal 10 20 5" xfId="3743"/>
    <cellStyle name="Normal 10 21" xfId="3744"/>
    <cellStyle name="Normal 10 21 2" xfId="3745"/>
    <cellStyle name="Normal 10 21 3" xfId="3746"/>
    <cellStyle name="Normal 10 21 4" xfId="3747"/>
    <cellStyle name="Normal 10 21 5" xfId="3748"/>
    <cellStyle name="Normal 10 22" xfId="3749"/>
    <cellStyle name="Normal 10 22 2" xfId="3750"/>
    <cellStyle name="Normal 10 22 3" xfId="3751"/>
    <cellStyle name="Normal 10 22 4" xfId="3752"/>
    <cellStyle name="Normal 10 22 5" xfId="3753"/>
    <cellStyle name="Normal 10 23" xfId="3754"/>
    <cellStyle name="Normal 10 23 2" xfId="3755"/>
    <cellStyle name="Normal 10 23 3" xfId="3756"/>
    <cellStyle name="Normal 10 23 4" xfId="3757"/>
    <cellStyle name="Normal 10 23 5" xfId="3758"/>
    <cellStyle name="Normal 10 24" xfId="3759"/>
    <cellStyle name="Normal 10 24 10" xfId="15355"/>
    <cellStyle name="Normal 10 24 11" xfId="15356"/>
    <cellStyle name="Normal 10 24 12" xfId="15357"/>
    <cellStyle name="Normal 10 24 13" xfId="15358"/>
    <cellStyle name="Normal 10 24 14" xfId="15359"/>
    <cellStyle name="Normal 10 24 15" xfId="15360"/>
    <cellStyle name="Normal 10 24 16" xfId="15361"/>
    <cellStyle name="Normal 10 24 17" xfId="15362"/>
    <cellStyle name="Normal 10 24 18" xfId="15363"/>
    <cellStyle name="Normal 10 24 19" xfId="15364"/>
    <cellStyle name="Normal 10 24 2" xfId="3760"/>
    <cellStyle name="Normal 10 24 2 10" xfId="15365"/>
    <cellStyle name="Normal 10 24 2 11" xfId="15366"/>
    <cellStyle name="Normal 10 24 2 12" xfId="15367"/>
    <cellStyle name="Normal 10 24 2 13" xfId="15368"/>
    <cellStyle name="Normal 10 24 2 14" xfId="15369"/>
    <cellStyle name="Normal 10 24 2 15" xfId="15370"/>
    <cellStyle name="Normal 10 24 2 16" xfId="15371"/>
    <cellStyle name="Normal 10 24 2 17" xfId="15372"/>
    <cellStyle name="Normal 10 24 2 18" xfId="15373"/>
    <cellStyle name="Normal 10 24 2 19" xfId="15374"/>
    <cellStyle name="Normal 10 24 2 2" xfId="15375"/>
    <cellStyle name="Normal 10 24 2 20" xfId="15376"/>
    <cellStyle name="Normal 10 24 2 21" xfId="15377"/>
    <cellStyle name="Normal 10 24 2 22" xfId="15378"/>
    <cellStyle name="Normal 10 24 2 23" xfId="15379"/>
    <cellStyle name="Normal 10 24 2 3" xfId="15380"/>
    <cellStyle name="Normal 10 24 2 4" xfId="15381"/>
    <cellStyle name="Normal 10 24 2 5" xfId="15382"/>
    <cellStyle name="Normal 10 24 2 6" xfId="15383"/>
    <cellStyle name="Normal 10 24 2 7" xfId="15384"/>
    <cellStyle name="Normal 10 24 2 8" xfId="15385"/>
    <cellStyle name="Normal 10 24 2 9" xfId="15386"/>
    <cellStyle name="Normal 10 24 20" xfId="15387"/>
    <cellStyle name="Normal 10 24 21" xfId="15388"/>
    <cellStyle name="Normal 10 24 22" xfId="15389"/>
    <cellStyle name="Normal 10 24 23" xfId="15390"/>
    <cellStyle name="Normal 10 24 24" xfId="15391"/>
    <cellStyle name="Normal 10 24 25" xfId="15392"/>
    <cellStyle name="Normal 10 24 26" xfId="15393"/>
    <cellStyle name="Normal 10 24 27" xfId="15394"/>
    <cellStyle name="Normal 10 24 28" xfId="15395"/>
    <cellStyle name="Normal 10 24 29" xfId="15396"/>
    <cellStyle name="Normal 10 24 3" xfId="3761"/>
    <cellStyle name="Normal 10 24 3 10" xfId="15397"/>
    <cellStyle name="Normal 10 24 3 11" xfId="15398"/>
    <cellStyle name="Normal 10 24 3 12" xfId="15399"/>
    <cellStyle name="Normal 10 24 3 13" xfId="15400"/>
    <cellStyle name="Normal 10 24 3 14" xfId="15401"/>
    <cellStyle name="Normal 10 24 3 15" xfId="15402"/>
    <cellStyle name="Normal 10 24 3 16" xfId="15403"/>
    <cellStyle name="Normal 10 24 3 17" xfId="15404"/>
    <cellStyle name="Normal 10 24 3 18" xfId="15405"/>
    <cellStyle name="Normal 10 24 3 19" xfId="15406"/>
    <cellStyle name="Normal 10 24 3 2" xfId="15407"/>
    <cellStyle name="Normal 10 24 3 20" xfId="15408"/>
    <cellStyle name="Normal 10 24 3 21" xfId="15409"/>
    <cellStyle name="Normal 10 24 3 22" xfId="15410"/>
    <cellStyle name="Normal 10 24 3 23" xfId="15411"/>
    <cellStyle name="Normal 10 24 3 3" xfId="15412"/>
    <cellStyle name="Normal 10 24 3 4" xfId="15413"/>
    <cellStyle name="Normal 10 24 3 5" xfId="15414"/>
    <cellStyle name="Normal 10 24 3 6" xfId="15415"/>
    <cellStyle name="Normal 10 24 3 7" xfId="15416"/>
    <cellStyle name="Normal 10 24 3 8" xfId="15417"/>
    <cellStyle name="Normal 10 24 3 9" xfId="15418"/>
    <cellStyle name="Normal 10 24 4" xfId="3762"/>
    <cellStyle name="Normal 10 24 4 10" xfId="15419"/>
    <cellStyle name="Normal 10 24 4 11" xfId="15420"/>
    <cellStyle name="Normal 10 24 4 12" xfId="15421"/>
    <cellStyle name="Normal 10 24 4 13" xfId="15422"/>
    <cellStyle name="Normal 10 24 4 14" xfId="15423"/>
    <cellStyle name="Normal 10 24 4 15" xfId="15424"/>
    <cellStyle name="Normal 10 24 4 16" xfId="15425"/>
    <cellStyle name="Normal 10 24 4 17" xfId="15426"/>
    <cellStyle name="Normal 10 24 4 18" xfId="15427"/>
    <cellStyle name="Normal 10 24 4 19" xfId="15428"/>
    <cellStyle name="Normal 10 24 4 2" xfId="15429"/>
    <cellStyle name="Normal 10 24 4 2 2" xfId="15430"/>
    <cellStyle name="Normal 10 24 4 2 2 2" xfId="15431"/>
    <cellStyle name="Normal 10 24 4 2 2 3" xfId="15432"/>
    <cellStyle name="Normal 10 24 4 2 2 3 2" xfId="15433"/>
    <cellStyle name="Normal 10 24 4 2 2 3 2 2" xfId="15434"/>
    <cellStyle name="Normal 10 24 4 2 2 3 3" xfId="16"/>
    <cellStyle name="Normal 10 24 4 2 2 3 3 2" xfId="15435"/>
    <cellStyle name="Normal 10 24 4 2 2 3 3 2 2" xfId="15436"/>
    <cellStyle name="Normal 10 24 4 2 2 3 3 3" xfId="15437"/>
    <cellStyle name="Normal 10 24 4 2 2 3 3 3 2" xfId="15438"/>
    <cellStyle name="Normal 10 24 4 2 2 3 3 4" xfId="15439"/>
    <cellStyle name="Normal 10 24 4 20" xfId="15440"/>
    <cellStyle name="Normal 10 24 4 21" xfId="15441"/>
    <cellStyle name="Normal 10 24 4 22" xfId="15442"/>
    <cellStyle name="Normal 10 24 4 23" xfId="15443"/>
    <cellStyle name="Normal 10 24 4 24" xfId="15444"/>
    <cellStyle name="Normal 10 24 4 25" xfId="15445"/>
    <cellStyle name="Normal 10 24 4 26" xfId="15446"/>
    <cellStyle name="Normal 10 24 4 3" xfId="15447"/>
    <cellStyle name="Normal 10 24 4 4" xfId="15448"/>
    <cellStyle name="Normal 10 24 4 4 2" xfId="15449"/>
    <cellStyle name="Normal 10 24 4 5" xfId="15450"/>
    <cellStyle name="Normal 10 24 4 6" xfId="15451"/>
    <cellStyle name="Normal 10 24 4 7" xfId="15452"/>
    <cellStyle name="Normal 10 24 4 8" xfId="15453"/>
    <cellStyle name="Normal 10 24 4 9" xfId="15454"/>
    <cellStyle name="Normal 10 24 5" xfId="3763"/>
    <cellStyle name="Normal 10 24 5 10" xfId="15455"/>
    <cellStyle name="Normal 10 24 5 11" xfId="15456"/>
    <cellStyle name="Normal 10 24 5 12" xfId="15457"/>
    <cellStyle name="Normal 10 24 5 13" xfId="15458"/>
    <cellStyle name="Normal 10 24 5 14" xfId="15459"/>
    <cellStyle name="Normal 10 24 5 15" xfId="15460"/>
    <cellStyle name="Normal 10 24 5 16" xfId="15461"/>
    <cellStyle name="Normal 10 24 5 17" xfId="15462"/>
    <cellStyle name="Normal 10 24 5 18" xfId="15463"/>
    <cellStyle name="Normal 10 24 5 19" xfId="15464"/>
    <cellStyle name="Normal 10 24 5 2" xfId="3764"/>
    <cellStyle name="Normal 10 24 5 2 2" xfId="15465"/>
    <cellStyle name="Normal 10 24 5 2 3" xfId="15466"/>
    <cellStyle name="Normal 10 24 5 2 4" xfId="15467"/>
    <cellStyle name="Normal 10 24 5 20" xfId="15468"/>
    <cellStyle name="Normal 10 24 5 21" xfId="15469"/>
    <cellStyle name="Normal 10 24 5 22" xfId="15470"/>
    <cellStyle name="Normal 10 24 5 23" xfId="15471"/>
    <cellStyle name="Normal 10 24 5 3" xfId="15472"/>
    <cellStyle name="Normal 10 24 5 4" xfId="15473"/>
    <cellStyle name="Normal 10 24 5 5" xfId="15474"/>
    <cellStyle name="Normal 10 24 5 6" xfId="15475"/>
    <cellStyle name="Normal 10 24 5 7" xfId="15476"/>
    <cellStyle name="Normal 10 24 5 8" xfId="15477"/>
    <cellStyle name="Normal 10 24 5 9" xfId="15478"/>
    <cellStyle name="Normal 10 24 6" xfId="15479"/>
    <cellStyle name="Normal 10 24 7" xfId="15480"/>
    <cellStyle name="Normal 10 24 7 2" xfId="15481"/>
    <cellStyle name="Normal 10 24 8" xfId="15482"/>
    <cellStyle name="Normal 10 24 9" xfId="15483"/>
    <cellStyle name="Normal 10 24_Aceh Tamiang D.1 +, 2003" xfId="3765"/>
    <cellStyle name="Normal 10 25" xfId="3766"/>
    <cellStyle name="Normal 10 25 10" xfId="15484"/>
    <cellStyle name="Normal 10 25 11" xfId="15485"/>
    <cellStyle name="Normal 10 25 12" xfId="15486"/>
    <cellStyle name="Normal 10 25 13" xfId="15487"/>
    <cellStyle name="Normal 10 25 14" xfId="15488"/>
    <cellStyle name="Normal 10 25 15" xfId="15489"/>
    <cellStyle name="Normal 10 25 16" xfId="15490"/>
    <cellStyle name="Normal 10 25 17" xfId="15491"/>
    <cellStyle name="Normal 10 25 18" xfId="15492"/>
    <cellStyle name="Normal 10 25 19" xfId="15493"/>
    <cellStyle name="Normal 10 25 2" xfId="3767"/>
    <cellStyle name="Normal 10 25 2 10" xfId="15494"/>
    <cellStyle name="Normal 10 25 2 11" xfId="15495"/>
    <cellStyle name="Normal 10 25 2 12" xfId="15496"/>
    <cellStyle name="Normal 10 25 2 13" xfId="15497"/>
    <cellStyle name="Normal 10 25 2 14" xfId="15498"/>
    <cellStyle name="Normal 10 25 2 15" xfId="15499"/>
    <cellStyle name="Normal 10 25 2 16" xfId="15500"/>
    <cellStyle name="Normal 10 25 2 17" xfId="15501"/>
    <cellStyle name="Normal 10 25 2 18" xfId="15502"/>
    <cellStyle name="Normal 10 25 2 19" xfId="15503"/>
    <cellStyle name="Normal 10 25 2 2" xfId="15504"/>
    <cellStyle name="Normal 10 25 2 20" xfId="15505"/>
    <cellStyle name="Normal 10 25 2 21" xfId="15506"/>
    <cellStyle name="Normal 10 25 2 22" xfId="15507"/>
    <cellStyle name="Normal 10 25 2 23" xfId="15508"/>
    <cellStyle name="Normal 10 25 2 3" xfId="15509"/>
    <cellStyle name="Normal 10 25 2 4" xfId="15510"/>
    <cellStyle name="Normal 10 25 2 5" xfId="15511"/>
    <cellStyle name="Normal 10 25 2 6" xfId="15512"/>
    <cellStyle name="Normal 10 25 2 7" xfId="15513"/>
    <cellStyle name="Normal 10 25 2 8" xfId="15514"/>
    <cellStyle name="Normal 10 25 2 9" xfId="15515"/>
    <cellStyle name="Normal 10 25 20" xfId="15516"/>
    <cellStyle name="Normal 10 25 21" xfId="15517"/>
    <cellStyle name="Normal 10 25 22" xfId="15518"/>
    <cellStyle name="Normal 10 25 23" xfId="15519"/>
    <cellStyle name="Normal 10 25 24" xfId="15520"/>
    <cellStyle name="Normal 10 25 3" xfId="15521"/>
    <cellStyle name="Normal 10 25 4" xfId="15522"/>
    <cellStyle name="Normal 10 25 5" xfId="15523"/>
    <cellStyle name="Normal 10 25 6" xfId="15524"/>
    <cellStyle name="Normal 10 25 7" xfId="15525"/>
    <cellStyle name="Normal 10 25 8" xfId="15526"/>
    <cellStyle name="Normal 10 25 9" xfId="15527"/>
    <cellStyle name="Normal 10 25_Aceh Tamiang D.1 +, 2003" xfId="3768"/>
    <cellStyle name="Normal 10 26" xfId="3769"/>
    <cellStyle name="Normal 10 26 10" xfId="15528"/>
    <cellStyle name="Normal 10 26 11" xfId="15529"/>
    <cellStyle name="Normal 10 26 12" xfId="15530"/>
    <cellStyle name="Normal 10 26 13" xfId="15531"/>
    <cellStyle name="Normal 10 26 14" xfId="15532"/>
    <cellStyle name="Normal 10 26 15" xfId="15533"/>
    <cellStyle name="Normal 10 26 16" xfId="15534"/>
    <cellStyle name="Normal 10 26 17" xfId="15535"/>
    <cellStyle name="Normal 10 26 18" xfId="15536"/>
    <cellStyle name="Normal 10 26 19" xfId="15537"/>
    <cellStyle name="Normal 10 26 2" xfId="15538"/>
    <cellStyle name="Normal 10 26 20" xfId="15539"/>
    <cellStyle name="Normal 10 26 21" xfId="15540"/>
    <cellStyle name="Normal 10 26 22" xfId="15541"/>
    <cellStyle name="Normal 10 26 23" xfId="15542"/>
    <cellStyle name="Normal 10 26 3" xfId="15543"/>
    <cellStyle name="Normal 10 26 4" xfId="15544"/>
    <cellStyle name="Normal 10 26 5" xfId="15545"/>
    <cellStyle name="Normal 10 26 6" xfId="15546"/>
    <cellStyle name="Normal 10 26 7" xfId="15547"/>
    <cellStyle name="Normal 10 26 8" xfId="15548"/>
    <cellStyle name="Normal 10 26 9" xfId="15549"/>
    <cellStyle name="Normal 10 27" xfId="3770"/>
    <cellStyle name="Normal 10 27 10" xfId="15550"/>
    <cellStyle name="Normal 10 27 11" xfId="15551"/>
    <cellStyle name="Normal 10 27 12" xfId="15552"/>
    <cellStyle name="Normal 10 27 13" xfId="15553"/>
    <cellStyle name="Normal 10 27 14" xfId="15554"/>
    <cellStyle name="Normal 10 27 15" xfId="15555"/>
    <cellStyle name="Normal 10 27 16" xfId="15556"/>
    <cellStyle name="Normal 10 27 17" xfId="15557"/>
    <cellStyle name="Normal 10 27 18" xfId="15558"/>
    <cellStyle name="Normal 10 27 19" xfId="15559"/>
    <cellStyle name="Normal 10 27 2" xfId="15560"/>
    <cellStyle name="Normal 10 27 20" xfId="15561"/>
    <cellStyle name="Normal 10 27 21" xfId="15562"/>
    <cellStyle name="Normal 10 27 22" xfId="15563"/>
    <cellStyle name="Normal 10 27 23" xfId="15564"/>
    <cellStyle name="Normal 10 27 3" xfId="15565"/>
    <cellStyle name="Normal 10 27 4" xfId="15566"/>
    <cellStyle name="Normal 10 27 5" xfId="15567"/>
    <cellStyle name="Normal 10 27 6" xfId="15568"/>
    <cellStyle name="Normal 10 27 7" xfId="15569"/>
    <cellStyle name="Normal 10 27 8" xfId="15570"/>
    <cellStyle name="Normal 10 27 9" xfId="15571"/>
    <cellStyle name="Normal 10 28" xfId="3771"/>
    <cellStyle name="Normal 10 28 10" xfId="15572"/>
    <cellStyle name="Normal 10 28 11" xfId="15573"/>
    <cellStyle name="Normal 10 28 12" xfId="15574"/>
    <cellStyle name="Normal 10 28 13" xfId="15575"/>
    <cellStyle name="Normal 10 28 14" xfId="15576"/>
    <cellStyle name="Normal 10 28 15" xfId="15577"/>
    <cellStyle name="Normal 10 28 16" xfId="15578"/>
    <cellStyle name="Normal 10 28 17" xfId="15579"/>
    <cellStyle name="Normal 10 28 18" xfId="15580"/>
    <cellStyle name="Normal 10 28 19" xfId="15581"/>
    <cellStyle name="Normal 10 28 2" xfId="3772"/>
    <cellStyle name="Normal 10 28 2 2" xfId="3773"/>
    <cellStyle name="Normal 10 28 20" xfId="15582"/>
    <cellStyle name="Normal 10 28 21" xfId="15583"/>
    <cellStyle name="Normal 10 28 22" xfId="15584"/>
    <cellStyle name="Normal 10 28 23" xfId="15585"/>
    <cellStyle name="Normal 10 28 24" xfId="15586"/>
    <cellStyle name="Normal 10 28 25" xfId="15587"/>
    <cellStyle name="Normal 10 28 3" xfId="3774"/>
    <cellStyle name="Normal 10 28 3 10" xfId="15588"/>
    <cellStyle name="Normal 10 28 3 11" xfId="15589"/>
    <cellStyle name="Normal 10 28 3 12" xfId="15590"/>
    <cellStyle name="Normal 10 28 3 13" xfId="15591"/>
    <cellStyle name="Normal 10 28 3 14" xfId="15592"/>
    <cellStyle name="Normal 10 28 3 15" xfId="15593"/>
    <cellStyle name="Normal 10 28 3 16" xfId="15594"/>
    <cellStyle name="Normal 10 28 3 17" xfId="15595"/>
    <cellStyle name="Normal 10 28 3 18" xfId="15596"/>
    <cellStyle name="Normal 10 28 3 19" xfId="15597"/>
    <cellStyle name="Normal 10 28 3 2" xfId="15598"/>
    <cellStyle name="Normal 10 28 3 20" xfId="15599"/>
    <cellStyle name="Normal 10 28 3 21" xfId="15600"/>
    <cellStyle name="Normal 10 28 3 22" xfId="15601"/>
    <cellStyle name="Normal 10 28 3 23" xfId="15602"/>
    <cellStyle name="Normal 10 28 3 3" xfId="15603"/>
    <cellStyle name="Normal 10 28 3 4" xfId="15604"/>
    <cellStyle name="Normal 10 28 3 5" xfId="15605"/>
    <cellStyle name="Normal 10 28 3 6" xfId="15606"/>
    <cellStyle name="Normal 10 28 3 7" xfId="15607"/>
    <cellStyle name="Normal 10 28 3 8" xfId="15608"/>
    <cellStyle name="Normal 10 28 3 9" xfId="15609"/>
    <cellStyle name="Normal 10 28 4" xfId="15610"/>
    <cellStyle name="Normal 10 28 5" xfId="15611"/>
    <cellStyle name="Normal 10 28 6" xfId="15612"/>
    <cellStyle name="Normal 10 28 7" xfId="15613"/>
    <cellStyle name="Normal 10 28 8" xfId="15614"/>
    <cellStyle name="Normal 10 28 9" xfId="15615"/>
    <cellStyle name="Normal 10 29" xfId="3775"/>
    <cellStyle name="Normal 10 29 10" xfId="15616"/>
    <cellStyle name="Normal 10 29 11" xfId="15617"/>
    <cellStyle name="Normal 10 29 12" xfId="15618"/>
    <cellStyle name="Normal 10 29 13" xfId="15619"/>
    <cellStyle name="Normal 10 29 14" xfId="15620"/>
    <cellStyle name="Normal 10 29 15" xfId="15621"/>
    <cellStyle name="Normal 10 29 16" xfId="15622"/>
    <cellStyle name="Normal 10 29 17" xfId="15623"/>
    <cellStyle name="Normal 10 29 18" xfId="15624"/>
    <cellStyle name="Normal 10 29 19" xfId="15625"/>
    <cellStyle name="Normal 10 29 2" xfId="3776"/>
    <cellStyle name="Normal 10 29 2 10" xfId="15626"/>
    <cellStyle name="Normal 10 29 2 11" xfId="15627"/>
    <cellStyle name="Normal 10 29 2 12" xfId="15628"/>
    <cellStyle name="Normal 10 29 2 13" xfId="15629"/>
    <cellStyle name="Normal 10 29 2 14" xfId="15630"/>
    <cellStyle name="Normal 10 29 2 15" xfId="15631"/>
    <cellStyle name="Normal 10 29 2 16" xfId="15632"/>
    <cellStyle name="Normal 10 29 2 17" xfId="15633"/>
    <cellStyle name="Normal 10 29 2 18" xfId="15634"/>
    <cellStyle name="Normal 10 29 2 19" xfId="15635"/>
    <cellStyle name="Normal 10 29 2 2" xfId="15636"/>
    <cellStyle name="Normal 10 29 2 20" xfId="15637"/>
    <cellStyle name="Normal 10 29 2 21" xfId="15638"/>
    <cellStyle name="Normal 10 29 2 22" xfId="15639"/>
    <cellStyle name="Normal 10 29 2 23" xfId="15640"/>
    <cellStyle name="Normal 10 29 2 3" xfId="15641"/>
    <cellStyle name="Normal 10 29 2 4" xfId="15642"/>
    <cellStyle name="Normal 10 29 2 5" xfId="15643"/>
    <cellStyle name="Normal 10 29 2 6" xfId="15644"/>
    <cellStyle name="Normal 10 29 2 7" xfId="15645"/>
    <cellStyle name="Normal 10 29 2 8" xfId="15646"/>
    <cellStyle name="Normal 10 29 2 9" xfId="15647"/>
    <cellStyle name="Normal 10 29 20" xfId="15648"/>
    <cellStyle name="Normal 10 29 21" xfId="15649"/>
    <cellStyle name="Normal 10 29 22" xfId="15650"/>
    <cellStyle name="Normal 10 29 23" xfId="15651"/>
    <cellStyle name="Normal 10 29 24" xfId="15652"/>
    <cellStyle name="Normal 10 29 3" xfId="15653"/>
    <cellStyle name="Normal 10 29 4" xfId="15654"/>
    <cellStyle name="Normal 10 29 5" xfId="15655"/>
    <cellStyle name="Normal 10 29 6" xfId="15656"/>
    <cellStyle name="Normal 10 29 7" xfId="15657"/>
    <cellStyle name="Normal 10 29 8" xfId="15658"/>
    <cellStyle name="Normal 10 29 9" xfId="15659"/>
    <cellStyle name="Normal 10 3" xfId="3777"/>
    <cellStyle name="Normal 10 3 2" xfId="3778"/>
    <cellStyle name="Normal 10 3 3" xfId="3779"/>
    <cellStyle name="Normal 10 3 4" xfId="3780"/>
    <cellStyle name="Normal 10 3 5" xfId="3781"/>
    <cellStyle name="Normal 10 30" xfId="3782"/>
    <cellStyle name="Normal 10 30 2" xfId="3783"/>
    <cellStyle name="Normal 10 31" xfId="3784"/>
    <cellStyle name="Normal 10 31 10" xfId="15660"/>
    <cellStyle name="Normal 10 31 11" xfId="15661"/>
    <cellStyle name="Normal 10 31 12" xfId="15662"/>
    <cellStyle name="Normal 10 31 2" xfId="15663"/>
    <cellStyle name="Normal 10 31 3" xfId="15664"/>
    <cellStyle name="Normal 10 31 4" xfId="15665"/>
    <cellStyle name="Normal 10 31 5" xfId="15666"/>
    <cellStyle name="Normal 10 31 6" xfId="15667"/>
    <cellStyle name="Normal 10 31 7" xfId="15668"/>
    <cellStyle name="Normal 10 31 8" xfId="15669"/>
    <cellStyle name="Normal 10 31 9" xfId="15670"/>
    <cellStyle name="Normal 10 32" xfId="3785"/>
    <cellStyle name="Normal 10 32 10" xfId="15671"/>
    <cellStyle name="Normal 10 32 11" xfId="15672"/>
    <cellStyle name="Normal 10 32 12" xfId="15673"/>
    <cellStyle name="Normal 10 32 13" xfId="15674"/>
    <cellStyle name="Normal 10 32 14" xfId="15675"/>
    <cellStyle name="Normal 10 32 15" xfId="15676"/>
    <cellStyle name="Normal 10 32 16" xfId="15677"/>
    <cellStyle name="Normal 10 32 17" xfId="15678"/>
    <cellStyle name="Normal 10 32 18" xfId="15679"/>
    <cellStyle name="Normal 10 32 19" xfId="15680"/>
    <cellStyle name="Normal 10 32 2" xfId="3786"/>
    <cellStyle name="Normal 10 32 2 10" xfId="15681"/>
    <cellStyle name="Normal 10 32 2 11" xfId="15682"/>
    <cellStyle name="Normal 10 32 2 12" xfId="15683"/>
    <cellStyle name="Normal 10 32 2 13" xfId="15684"/>
    <cellStyle name="Normal 10 32 2 14" xfId="15685"/>
    <cellStyle name="Normal 10 32 2 15" xfId="15686"/>
    <cellStyle name="Normal 10 32 2 16" xfId="15687"/>
    <cellStyle name="Normal 10 32 2 17" xfId="15688"/>
    <cellStyle name="Normal 10 32 2 18" xfId="15689"/>
    <cellStyle name="Normal 10 32 2 19" xfId="15690"/>
    <cellStyle name="Normal 10 32 2 2" xfId="15691"/>
    <cellStyle name="Normal 10 32 2 20" xfId="15692"/>
    <cellStyle name="Normal 10 32 2 21" xfId="15693"/>
    <cellStyle name="Normal 10 32 2 22" xfId="15694"/>
    <cellStyle name="Normal 10 32 2 23" xfId="15695"/>
    <cellStyle name="Normal 10 32 2 3" xfId="15696"/>
    <cellStyle name="Normal 10 32 2 4" xfId="15697"/>
    <cellStyle name="Normal 10 32 2 5" xfId="15698"/>
    <cellStyle name="Normal 10 32 2 6" xfId="15699"/>
    <cellStyle name="Normal 10 32 2 7" xfId="15700"/>
    <cellStyle name="Normal 10 32 2 8" xfId="15701"/>
    <cellStyle name="Normal 10 32 2 9" xfId="15702"/>
    <cellStyle name="Normal 10 32 20" xfId="15703"/>
    <cellStyle name="Normal 10 32 21" xfId="15704"/>
    <cellStyle name="Normal 10 32 22" xfId="15705"/>
    <cellStyle name="Normal 10 32 23" xfId="15706"/>
    <cellStyle name="Normal 10 32 24" xfId="15707"/>
    <cellStyle name="Normal 10 32 3" xfId="15708"/>
    <cellStyle name="Normal 10 32 4" xfId="15709"/>
    <cellStyle name="Normal 10 32 5" xfId="15710"/>
    <cellStyle name="Normal 10 32 6" xfId="15711"/>
    <cellStyle name="Normal 10 32 7" xfId="15712"/>
    <cellStyle name="Normal 10 32 8" xfId="15713"/>
    <cellStyle name="Normal 10 32 9" xfId="15714"/>
    <cellStyle name="Normal 10 33" xfId="3787"/>
    <cellStyle name="Normal 10 34" xfId="3788"/>
    <cellStyle name="Normal 10 35" xfId="3789"/>
    <cellStyle name="Normal 10 36" xfId="3790"/>
    <cellStyle name="Normal 10 37" xfId="3791"/>
    <cellStyle name="Normal 10 38" xfId="3792"/>
    <cellStyle name="Normal 10 39" xfId="3793"/>
    <cellStyle name="Normal 10 4" xfId="3794"/>
    <cellStyle name="Normal 10 4 2" xfId="3795"/>
    <cellStyle name="Normal 10 4 3" xfId="3796"/>
    <cellStyle name="Normal 10 4 4" xfId="3797"/>
    <cellStyle name="Normal 10 4 5" xfId="3798"/>
    <cellStyle name="Normal 10 40" xfId="3799"/>
    <cellStyle name="Normal 10 41" xfId="3800"/>
    <cellStyle name="Normal 10 42" xfId="3801"/>
    <cellStyle name="Normal 10 43" xfId="3802"/>
    <cellStyle name="Normal 10 44" xfId="3803"/>
    <cellStyle name="Normal 10 45" xfId="3804"/>
    <cellStyle name="Normal 10 46" xfId="3805"/>
    <cellStyle name="Normal 10 47" xfId="3806"/>
    <cellStyle name="Normal 10 48" xfId="3807"/>
    <cellStyle name="Normal 10 49" xfId="3808"/>
    <cellStyle name="Normal 10 5" xfId="3809"/>
    <cellStyle name="Normal 10 5 2" xfId="3810"/>
    <cellStyle name="Normal 10 5 3" xfId="3811"/>
    <cellStyle name="Normal 10 5 4" xfId="3812"/>
    <cellStyle name="Normal 10 5 5" xfId="3813"/>
    <cellStyle name="Normal 10 50" xfId="3814"/>
    <cellStyle name="Normal 10 51" xfId="3815"/>
    <cellStyle name="Normal 10 52" xfId="3816"/>
    <cellStyle name="Normal 10 53" xfId="3817"/>
    <cellStyle name="Normal 10 54" xfId="3818"/>
    <cellStyle name="Normal 10 55" xfId="3819"/>
    <cellStyle name="Normal 10 56" xfId="3820"/>
    <cellStyle name="Normal 10 57" xfId="3821"/>
    <cellStyle name="Normal 10 58" xfId="3822"/>
    <cellStyle name="Normal 10 59" xfId="3823"/>
    <cellStyle name="Normal 10 6" xfId="3824"/>
    <cellStyle name="Normal 10 6 2" xfId="3825"/>
    <cellStyle name="Normal 10 6 3" xfId="3826"/>
    <cellStyle name="Normal 10 6 4" xfId="3827"/>
    <cellStyle name="Normal 10 6 5" xfId="3828"/>
    <cellStyle name="Normal 10 60" xfId="3829"/>
    <cellStyle name="Normal 10 61" xfId="3830"/>
    <cellStyle name="Normal 10 62" xfId="3831"/>
    <cellStyle name="Normal 10 63" xfId="3832"/>
    <cellStyle name="Normal 10 64" xfId="3833"/>
    <cellStyle name="Normal 10 65" xfId="3834"/>
    <cellStyle name="Normal 10 66" xfId="3835"/>
    <cellStyle name="Normal 10 67" xfId="3836"/>
    <cellStyle name="Normal 10 68" xfId="3837"/>
    <cellStyle name="Normal 10 69" xfId="3838"/>
    <cellStyle name="Normal 10 7" xfId="3839"/>
    <cellStyle name="Normal 10 7 2" xfId="3840"/>
    <cellStyle name="Normal 10 7 3" xfId="3841"/>
    <cellStyle name="Normal 10 7 4" xfId="3842"/>
    <cellStyle name="Normal 10 7 5" xfId="3843"/>
    <cellStyle name="Normal 10 70" xfId="3844"/>
    <cellStyle name="Normal 10 71" xfId="3845"/>
    <cellStyle name="Normal 10 72" xfId="3846"/>
    <cellStyle name="Normal 10 73" xfId="3847"/>
    <cellStyle name="Normal 10 74" xfId="3848"/>
    <cellStyle name="Normal 10 8" xfId="3849"/>
    <cellStyle name="Normal 10 8 2" xfId="3850"/>
    <cellStyle name="Normal 10 8 3" xfId="3851"/>
    <cellStyle name="Normal 10 8 4" xfId="3852"/>
    <cellStyle name="Normal 10 8 5" xfId="3853"/>
    <cellStyle name="Normal 10 9" xfId="3854"/>
    <cellStyle name="Normal 10 9 2" xfId="3855"/>
    <cellStyle name="Normal 10 9 3" xfId="3856"/>
    <cellStyle name="Normal 10 9 4" xfId="3857"/>
    <cellStyle name="Normal 10 9 5" xfId="3858"/>
    <cellStyle name="Normal 10_A1 Disdik _Aceh _Selatan" xfId="3859"/>
    <cellStyle name="Normal 100" xfId="3860"/>
    <cellStyle name="Normal 101" xfId="3861"/>
    <cellStyle name="Normal 102" xfId="3862"/>
    <cellStyle name="Normal 103" xfId="3863"/>
    <cellStyle name="Normal 104" xfId="3864"/>
    <cellStyle name="Normal 105" xfId="3865"/>
    <cellStyle name="Normal 106" xfId="3866"/>
    <cellStyle name="Normal 106 2" xfId="15715"/>
    <cellStyle name="Normal 106 3" xfId="15716"/>
    <cellStyle name="Normal 106 4" xfId="15717"/>
    <cellStyle name="Normal 107" xfId="3867"/>
    <cellStyle name="Normal 107 2" xfId="15718"/>
    <cellStyle name="Normal 107 3" xfId="15719"/>
    <cellStyle name="Normal 107 4" xfId="15720"/>
    <cellStyle name="Normal 108" xfId="3868"/>
    <cellStyle name="Normal 108 2" xfId="15721"/>
    <cellStyle name="Normal 108 3" xfId="15722"/>
    <cellStyle name="Normal 108 4" xfId="15723"/>
    <cellStyle name="Normal 109" xfId="3869"/>
    <cellStyle name="Normal 109 2" xfId="15724"/>
    <cellStyle name="Normal 109 3" xfId="15725"/>
    <cellStyle name="Normal 109 4" xfId="15726"/>
    <cellStyle name="Normal 11" xfId="3870"/>
    <cellStyle name="Normal 11 10" xfId="3871"/>
    <cellStyle name="Normal 11 10 2" xfId="3872"/>
    <cellStyle name="Normal 11 10 3" xfId="3873"/>
    <cellStyle name="Normal 11 10 4" xfId="3874"/>
    <cellStyle name="Normal 11 10 5" xfId="3875"/>
    <cellStyle name="Normal 11 11" xfId="3876"/>
    <cellStyle name="Normal 11 11 2" xfId="3877"/>
    <cellStyle name="Normal 11 11 3" xfId="3878"/>
    <cellStyle name="Normal 11 11 4" xfId="3879"/>
    <cellStyle name="Normal 11 11 5" xfId="3880"/>
    <cellStyle name="Normal 11 12" xfId="3881"/>
    <cellStyle name="Normal 11 12 2" xfId="3882"/>
    <cellStyle name="Normal 11 12 3" xfId="3883"/>
    <cellStyle name="Normal 11 12 4" xfId="3884"/>
    <cellStyle name="Normal 11 12 5" xfId="3885"/>
    <cellStyle name="Normal 11 13" xfId="3886"/>
    <cellStyle name="Normal 11 13 2" xfId="3887"/>
    <cellStyle name="Normal 11 13 3" xfId="3888"/>
    <cellStyle name="Normal 11 13 4" xfId="3889"/>
    <cellStyle name="Normal 11 13 5" xfId="3890"/>
    <cellStyle name="Normal 11 14" xfId="3891"/>
    <cellStyle name="Normal 11 14 2" xfId="3892"/>
    <cellStyle name="Normal 11 14 3" xfId="3893"/>
    <cellStyle name="Normal 11 14 4" xfId="3894"/>
    <cellStyle name="Normal 11 14 5" xfId="3895"/>
    <cellStyle name="Normal 11 15" xfId="3896"/>
    <cellStyle name="Normal 11 15 2" xfId="3897"/>
    <cellStyle name="Normal 11 15 3" xfId="3898"/>
    <cellStyle name="Normal 11 15 4" xfId="3899"/>
    <cellStyle name="Normal 11 15 5" xfId="3900"/>
    <cellStyle name="Normal 11 16" xfId="3901"/>
    <cellStyle name="Normal 11 16 2" xfId="3902"/>
    <cellStyle name="Normal 11 16 3" xfId="3903"/>
    <cellStyle name="Normal 11 16 4" xfId="3904"/>
    <cellStyle name="Normal 11 16 5" xfId="3905"/>
    <cellStyle name="Normal 11 17" xfId="3906"/>
    <cellStyle name="Normal 11 17 2" xfId="3907"/>
    <cellStyle name="Normal 11 17 3" xfId="3908"/>
    <cellStyle name="Normal 11 17 4" xfId="3909"/>
    <cellStyle name="Normal 11 17 5" xfId="3910"/>
    <cellStyle name="Normal 11 18" xfId="3911"/>
    <cellStyle name="Normal 11 18 2" xfId="3912"/>
    <cellStyle name="Normal 11 18 3" xfId="3913"/>
    <cellStyle name="Normal 11 18 4" xfId="3914"/>
    <cellStyle name="Normal 11 18 5" xfId="3915"/>
    <cellStyle name="Normal 11 19" xfId="3916"/>
    <cellStyle name="Normal 11 19 2" xfId="3917"/>
    <cellStyle name="Normal 11 19 3" xfId="3918"/>
    <cellStyle name="Normal 11 19 4" xfId="3919"/>
    <cellStyle name="Normal 11 19 5" xfId="3920"/>
    <cellStyle name="Normal 11 2" xfId="3921"/>
    <cellStyle name="Normal 11 2 10" xfId="3922"/>
    <cellStyle name="Normal 11 2 11" xfId="3923"/>
    <cellStyle name="Normal 11 2 12" xfId="3924"/>
    <cellStyle name="Normal 11 2 13" xfId="3925"/>
    <cellStyle name="Normal 11 2 14" xfId="3926"/>
    <cellStyle name="Normal 11 2 15" xfId="3927"/>
    <cellStyle name="Normal 11 2 16" xfId="3928"/>
    <cellStyle name="Normal 11 2 17" xfId="3929"/>
    <cellStyle name="Normal 11 2 18" xfId="3930"/>
    <cellStyle name="Normal 11 2 19" xfId="3931"/>
    <cellStyle name="Normal 11 2 2" xfId="3932"/>
    <cellStyle name="Normal 11 2 2 2" xfId="3933"/>
    <cellStyle name="Normal 11 2 20" xfId="3934"/>
    <cellStyle name="Normal 11 2 21" xfId="3935"/>
    <cellStyle name="Normal 11 2 22" xfId="3936"/>
    <cellStyle name="Normal 11 2 23" xfId="3937"/>
    <cellStyle name="Normal 11 2 24" xfId="3938"/>
    <cellStyle name="Normal 11 2 25" xfId="3939"/>
    <cellStyle name="Normal 11 2 26" xfId="3940"/>
    <cellStyle name="Normal 11 2 27" xfId="3941"/>
    <cellStyle name="Normal 11 2 28" xfId="3942"/>
    <cellStyle name="Normal 11 2 29" xfId="3943"/>
    <cellStyle name="Normal 11 2 3" xfId="3944"/>
    <cellStyle name="Normal 11 2 30" xfId="3945"/>
    <cellStyle name="Normal 11 2 31" xfId="3946"/>
    <cellStyle name="Normal 11 2 32" xfId="3947"/>
    <cellStyle name="Normal 11 2 33" xfId="3948"/>
    <cellStyle name="Normal 11 2 34" xfId="3949"/>
    <cellStyle name="Normal 11 2 35" xfId="3950"/>
    <cellStyle name="Normal 11 2 36" xfId="3951"/>
    <cellStyle name="Normal 11 2 37" xfId="3952"/>
    <cellStyle name="Normal 11 2 38" xfId="3953"/>
    <cellStyle name="Normal 11 2 39" xfId="3954"/>
    <cellStyle name="Normal 11 2 4" xfId="3955"/>
    <cellStyle name="Normal 11 2 40" xfId="3956"/>
    <cellStyle name="Normal 11 2 41" xfId="3957"/>
    <cellStyle name="Normal 11 2 42" xfId="3958"/>
    <cellStyle name="Normal 11 2 43" xfId="3959"/>
    <cellStyle name="Normal 11 2 44" xfId="3960"/>
    <cellStyle name="Normal 11 2 45" xfId="3961"/>
    <cellStyle name="Normal 11 2 46" xfId="3962"/>
    <cellStyle name="Normal 11 2 47" xfId="3963"/>
    <cellStyle name="Normal 11 2 48" xfId="3964"/>
    <cellStyle name="Normal 11 2 5" xfId="3965"/>
    <cellStyle name="Normal 11 2 6" xfId="3966"/>
    <cellStyle name="Normal 11 2 6 2" xfId="3967"/>
    <cellStyle name="Normal 11 2 7" xfId="3968"/>
    <cellStyle name="Normal 11 2 8" xfId="3969"/>
    <cellStyle name="Normal 11 2 9" xfId="3970"/>
    <cellStyle name="Normal 11 20" xfId="3971"/>
    <cellStyle name="Normal 11 20 2" xfId="3972"/>
    <cellStyle name="Normal 11 20 3" xfId="3973"/>
    <cellStyle name="Normal 11 20 4" xfId="3974"/>
    <cellStyle name="Normal 11 20 5" xfId="3975"/>
    <cellStyle name="Normal 11 21" xfId="3976"/>
    <cellStyle name="Normal 11 21 2" xfId="3977"/>
    <cellStyle name="Normal 11 21 3" xfId="3978"/>
    <cellStyle name="Normal 11 21 4" xfId="3979"/>
    <cellStyle name="Normal 11 21 5" xfId="3980"/>
    <cellStyle name="Normal 11 22" xfId="3981"/>
    <cellStyle name="Normal 11 22 2" xfId="3982"/>
    <cellStyle name="Normal 11 22 3" xfId="3983"/>
    <cellStyle name="Normal 11 22 4" xfId="3984"/>
    <cellStyle name="Normal 11 22 5" xfId="3985"/>
    <cellStyle name="Normal 11 23" xfId="3986"/>
    <cellStyle name="Normal 11 23 2" xfId="3987"/>
    <cellStyle name="Normal 11 23 3" xfId="3988"/>
    <cellStyle name="Normal 11 23 4" xfId="3989"/>
    <cellStyle name="Normal 11 23 5" xfId="3990"/>
    <cellStyle name="Normal 11 24" xfId="3991"/>
    <cellStyle name="Normal 11 24 10" xfId="15727"/>
    <cellStyle name="Normal 11 24 11" xfId="15728"/>
    <cellStyle name="Normal 11 24 12" xfId="15729"/>
    <cellStyle name="Normal 11 24 13" xfId="15730"/>
    <cellStyle name="Normal 11 24 14" xfId="15731"/>
    <cellStyle name="Normal 11 24 15" xfId="15732"/>
    <cellStyle name="Normal 11 24 16" xfId="15733"/>
    <cellStyle name="Normal 11 24 17" xfId="15734"/>
    <cellStyle name="Normal 11 24 18" xfId="15735"/>
    <cellStyle name="Normal 11 24 19" xfId="15736"/>
    <cellStyle name="Normal 11 24 2" xfId="3992"/>
    <cellStyle name="Normal 11 24 2 10" xfId="15737"/>
    <cellStyle name="Normal 11 24 2 11" xfId="15738"/>
    <cellStyle name="Normal 11 24 2 12" xfId="15739"/>
    <cellStyle name="Normal 11 24 2 13" xfId="15740"/>
    <cellStyle name="Normal 11 24 2 14" xfId="15741"/>
    <cellStyle name="Normal 11 24 2 15" xfId="15742"/>
    <cellStyle name="Normal 11 24 2 16" xfId="15743"/>
    <cellStyle name="Normal 11 24 2 17" xfId="15744"/>
    <cellStyle name="Normal 11 24 2 18" xfId="15745"/>
    <cellStyle name="Normal 11 24 2 19" xfId="15746"/>
    <cellStyle name="Normal 11 24 2 2" xfId="15747"/>
    <cellStyle name="Normal 11 24 2 20" xfId="15748"/>
    <cellStyle name="Normal 11 24 2 21" xfId="15749"/>
    <cellStyle name="Normal 11 24 2 22" xfId="15750"/>
    <cellStyle name="Normal 11 24 2 23" xfId="15751"/>
    <cellStyle name="Normal 11 24 2 3" xfId="15752"/>
    <cellStyle name="Normal 11 24 2 4" xfId="15753"/>
    <cellStyle name="Normal 11 24 2 5" xfId="15754"/>
    <cellStyle name="Normal 11 24 2 6" xfId="15755"/>
    <cellStyle name="Normal 11 24 2 7" xfId="15756"/>
    <cellStyle name="Normal 11 24 2 8" xfId="15757"/>
    <cellStyle name="Normal 11 24 2 9" xfId="15758"/>
    <cellStyle name="Normal 11 24 20" xfId="15759"/>
    <cellStyle name="Normal 11 24 21" xfId="15760"/>
    <cellStyle name="Normal 11 24 22" xfId="15761"/>
    <cellStyle name="Normal 11 24 23" xfId="15762"/>
    <cellStyle name="Normal 11 24 24" xfId="15763"/>
    <cellStyle name="Normal 11 24 3" xfId="15764"/>
    <cellStyle name="Normal 11 24 4" xfId="15765"/>
    <cellStyle name="Normal 11 24 5" xfId="15766"/>
    <cellStyle name="Normal 11 24 6" xfId="15767"/>
    <cellStyle name="Normal 11 24 7" xfId="15768"/>
    <cellStyle name="Normal 11 24 8" xfId="15769"/>
    <cellStyle name="Normal 11 24 9" xfId="15770"/>
    <cellStyle name="Normal 11 24_Aceh Tamiang D.1 +, 2003" xfId="3993"/>
    <cellStyle name="Normal 11 25" xfId="3994"/>
    <cellStyle name="Normal 11 25 10" xfId="15771"/>
    <cellStyle name="Normal 11 25 11" xfId="15772"/>
    <cellStyle name="Normal 11 25 12" xfId="15773"/>
    <cellStyle name="Normal 11 25 13" xfId="15774"/>
    <cellStyle name="Normal 11 25 14" xfId="15775"/>
    <cellStyle name="Normal 11 25 15" xfId="15776"/>
    <cellStyle name="Normal 11 25 16" xfId="15777"/>
    <cellStyle name="Normal 11 25 17" xfId="15778"/>
    <cellStyle name="Normal 11 25 18" xfId="15779"/>
    <cellStyle name="Normal 11 25 19" xfId="15780"/>
    <cellStyle name="Normal 11 25 2" xfId="15781"/>
    <cellStyle name="Normal 11 25 20" xfId="15782"/>
    <cellStyle name="Normal 11 25 21" xfId="15783"/>
    <cellStyle name="Normal 11 25 22" xfId="15784"/>
    <cellStyle name="Normal 11 25 23" xfId="15785"/>
    <cellStyle name="Normal 11 25 3" xfId="15786"/>
    <cellStyle name="Normal 11 25 4" xfId="15787"/>
    <cellStyle name="Normal 11 25 5" xfId="15788"/>
    <cellStyle name="Normal 11 25 6" xfId="15789"/>
    <cellStyle name="Normal 11 25 7" xfId="15790"/>
    <cellStyle name="Normal 11 25 8" xfId="15791"/>
    <cellStyle name="Normal 11 25 9" xfId="15792"/>
    <cellStyle name="Normal 11 26" xfId="3995"/>
    <cellStyle name="Normal 11 26 10" xfId="15793"/>
    <cellStyle name="Normal 11 26 11" xfId="15794"/>
    <cellStyle name="Normal 11 26 12" xfId="15795"/>
    <cellStyle name="Normal 11 26 13" xfId="15796"/>
    <cellStyle name="Normal 11 26 14" xfId="15797"/>
    <cellStyle name="Normal 11 26 15" xfId="15798"/>
    <cellStyle name="Normal 11 26 16" xfId="15799"/>
    <cellStyle name="Normal 11 26 17" xfId="15800"/>
    <cellStyle name="Normal 11 26 18" xfId="15801"/>
    <cellStyle name="Normal 11 26 19" xfId="15802"/>
    <cellStyle name="Normal 11 26 2" xfId="15803"/>
    <cellStyle name="Normal 11 26 20" xfId="15804"/>
    <cellStyle name="Normal 11 26 21" xfId="15805"/>
    <cellStyle name="Normal 11 26 22" xfId="15806"/>
    <cellStyle name="Normal 11 26 23" xfId="15807"/>
    <cellStyle name="Normal 11 26 3" xfId="15808"/>
    <cellStyle name="Normal 11 26 4" xfId="15809"/>
    <cellStyle name="Normal 11 26 5" xfId="15810"/>
    <cellStyle name="Normal 11 26 6" xfId="15811"/>
    <cellStyle name="Normal 11 26 7" xfId="15812"/>
    <cellStyle name="Normal 11 26 8" xfId="15813"/>
    <cellStyle name="Normal 11 26 9" xfId="15814"/>
    <cellStyle name="Normal 11 27" xfId="3996"/>
    <cellStyle name="Normal 11 27 10" xfId="15815"/>
    <cellStyle name="Normal 11 27 11" xfId="15816"/>
    <cellStyle name="Normal 11 27 12" xfId="15817"/>
    <cellStyle name="Normal 11 27 13" xfId="15818"/>
    <cellStyle name="Normal 11 27 14" xfId="15819"/>
    <cellStyle name="Normal 11 27 15" xfId="15820"/>
    <cellStyle name="Normal 11 27 16" xfId="15821"/>
    <cellStyle name="Normal 11 27 17" xfId="15822"/>
    <cellStyle name="Normal 11 27 18" xfId="15823"/>
    <cellStyle name="Normal 11 27 19" xfId="15824"/>
    <cellStyle name="Normal 11 27 2" xfId="15825"/>
    <cellStyle name="Normal 11 27 20" xfId="15826"/>
    <cellStyle name="Normal 11 27 21" xfId="15827"/>
    <cellStyle name="Normal 11 27 22" xfId="15828"/>
    <cellStyle name="Normal 11 27 23" xfId="15829"/>
    <cellStyle name="Normal 11 27 3" xfId="15830"/>
    <cellStyle name="Normal 11 27 4" xfId="15831"/>
    <cellStyle name="Normal 11 27 5" xfId="15832"/>
    <cellStyle name="Normal 11 27 6" xfId="15833"/>
    <cellStyle name="Normal 11 27 7" xfId="15834"/>
    <cellStyle name="Normal 11 27 8" xfId="15835"/>
    <cellStyle name="Normal 11 27 9" xfId="15836"/>
    <cellStyle name="Normal 11 28" xfId="3997"/>
    <cellStyle name="Normal 11 28 10" xfId="15837"/>
    <cellStyle name="Normal 11 28 11" xfId="15838"/>
    <cellStyle name="Normal 11 28 12" xfId="15839"/>
    <cellStyle name="Normal 11 28 13" xfId="15840"/>
    <cellStyle name="Normal 11 28 14" xfId="15841"/>
    <cellStyle name="Normal 11 28 15" xfId="15842"/>
    <cellStyle name="Normal 11 28 16" xfId="15843"/>
    <cellStyle name="Normal 11 28 17" xfId="15844"/>
    <cellStyle name="Normal 11 28 18" xfId="15845"/>
    <cellStyle name="Normal 11 28 19" xfId="15846"/>
    <cellStyle name="Normal 11 28 2" xfId="3998"/>
    <cellStyle name="Normal 11 28 20" xfId="15847"/>
    <cellStyle name="Normal 11 28 21" xfId="15848"/>
    <cellStyle name="Normal 11 28 22" xfId="15849"/>
    <cellStyle name="Normal 11 28 23" xfId="15850"/>
    <cellStyle name="Normal 11 28 24" xfId="15851"/>
    <cellStyle name="Normal 11 28 3" xfId="15852"/>
    <cellStyle name="Normal 11 28 4" xfId="15853"/>
    <cellStyle name="Normal 11 28 5" xfId="15854"/>
    <cellStyle name="Normal 11 28 6" xfId="15855"/>
    <cellStyle name="Normal 11 28 7" xfId="15856"/>
    <cellStyle name="Normal 11 28 8" xfId="15857"/>
    <cellStyle name="Normal 11 28 9" xfId="15858"/>
    <cellStyle name="Normal 11 29" xfId="3999"/>
    <cellStyle name="Normal 11 3" xfId="4000"/>
    <cellStyle name="Normal 11 3 10" xfId="4001"/>
    <cellStyle name="Normal 11 3 11" xfId="4002"/>
    <cellStyle name="Normal 11 3 12" xfId="4003"/>
    <cellStyle name="Normal 11 3 2" xfId="4004"/>
    <cellStyle name="Normal 11 3 3" xfId="4005"/>
    <cellStyle name="Normal 11 3 4" xfId="4006"/>
    <cellStyle name="Normal 11 3 5" xfId="4007"/>
    <cellStyle name="Normal 11 3 6" xfId="4008"/>
    <cellStyle name="Normal 11 3 7" xfId="4009"/>
    <cellStyle name="Normal 11 3 8" xfId="4010"/>
    <cellStyle name="Normal 11 3 9" xfId="4011"/>
    <cellStyle name="Normal 11 30" xfId="4012"/>
    <cellStyle name="Normal 11 31" xfId="4013"/>
    <cellStyle name="Normal 11 32" xfId="4014"/>
    <cellStyle name="Normal 11 33" xfId="4015"/>
    <cellStyle name="Normal 11 34" xfId="4016"/>
    <cellStyle name="Normal 11 35" xfId="4017"/>
    <cellStyle name="Normal 11 36" xfId="4018"/>
    <cellStyle name="Normal 11 37" xfId="4019"/>
    <cellStyle name="Normal 11 37 2" xfId="15859"/>
    <cellStyle name="Normal 11 37 3" xfId="15860"/>
    <cellStyle name="Normal 11 37 4" xfId="15861"/>
    <cellStyle name="Normal 11 4" xfId="4020"/>
    <cellStyle name="Normal 11 4 2" xfId="4021"/>
    <cellStyle name="Normal 11 4 3" xfId="4022"/>
    <cellStyle name="Normal 11 4 4" xfId="4023"/>
    <cellStyle name="Normal 11 4 5" xfId="4024"/>
    <cellStyle name="Normal 11 5" xfId="4025"/>
    <cellStyle name="Normal 11 5 2" xfId="4026"/>
    <cellStyle name="Normal 11 5 3" xfId="4027"/>
    <cellStyle name="Normal 11 5 4" xfId="4028"/>
    <cellStyle name="Normal 11 5 5" xfId="4029"/>
    <cellStyle name="Normal 11 6" xfId="4030"/>
    <cellStyle name="Normal 11 6 2" xfId="4031"/>
    <cellStyle name="Normal 11 6 3" xfId="4032"/>
    <cellStyle name="Normal 11 6 4" xfId="4033"/>
    <cellStyle name="Normal 11 6 5" xfId="4034"/>
    <cellStyle name="Normal 11 7" xfId="4035"/>
    <cellStyle name="Normal 11 7 2" xfId="4036"/>
    <cellStyle name="Normal 11 7 3" xfId="4037"/>
    <cellStyle name="Normal 11 7 4" xfId="4038"/>
    <cellStyle name="Normal 11 7 5" xfId="4039"/>
    <cellStyle name="Normal 11 8" xfId="4040"/>
    <cellStyle name="Normal 11 8 2" xfId="4041"/>
    <cellStyle name="Normal 11 8 3" xfId="4042"/>
    <cellStyle name="Normal 11 8 4" xfId="4043"/>
    <cellStyle name="Normal 11 8 5" xfId="4044"/>
    <cellStyle name="Normal 11 9" xfId="4045"/>
    <cellStyle name="Normal 11 9 2" xfId="4046"/>
    <cellStyle name="Normal 11 9 3" xfId="4047"/>
    <cellStyle name="Normal 11 9 4" xfId="4048"/>
    <cellStyle name="Normal 11 9 5" xfId="4049"/>
    <cellStyle name="Normal 11_Aceh Tamiang D.1 +, 2003" xfId="4050"/>
    <cellStyle name="Normal 110" xfId="4051"/>
    <cellStyle name="Normal 111" xfId="4052"/>
    <cellStyle name="Normal 112" xfId="4053"/>
    <cellStyle name="Normal 112 2" xfId="15862"/>
    <cellStyle name="Normal 112 3" xfId="15863"/>
    <cellStyle name="Normal 112 4" xfId="15864"/>
    <cellStyle name="Normal 113" xfId="4054"/>
    <cellStyle name="Normal 114" xfId="4055"/>
    <cellStyle name="Normal 115" xfId="4056"/>
    <cellStyle name="Normal 116" xfId="4057"/>
    <cellStyle name="Normal 117" xfId="4058"/>
    <cellStyle name="Normal 118" xfId="4059"/>
    <cellStyle name="Normal 119" xfId="4060"/>
    <cellStyle name="Normal 12" xfId="4061"/>
    <cellStyle name="Normal 12 10" xfId="4062"/>
    <cellStyle name="Normal 12 11" xfId="4063"/>
    <cellStyle name="Normal 12 12" xfId="4064"/>
    <cellStyle name="Normal 12 13" xfId="4065"/>
    <cellStyle name="Normal 12 14" xfId="4066"/>
    <cellStyle name="Normal 12 15" xfId="4067"/>
    <cellStyle name="Normal 12 16" xfId="4068"/>
    <cellStyle name="Normal 12 17" xfId="4069"/>
    <cellStyle name="Normal 12 18" xfId="15865"/>
    <cellStyle name="Normal 12 19" xfId="15866"/>
    <cellStyle name="Normal 12 2" xfId="4070"/>
    <cellStyle name="Normal 12 2 10" xfId="4071"/>
    <cellStyle name="Normal 12 2 11" xfId="4072"/>
    <cellStyle name="Normal 12 2 12" xfId="4073"/>
    <cellStyle name="Normal 12 2 13" xfId="4074"/>
    <cellStyle name="Normal 12 2 14" xfId="4075"/>
    <cellStyle name="Normal 12 2 15" xfId="4076"/>
    <cellStyle name="Normal 12 2 16" xfId="4077"/>
    <cellStyle name="Normal 12 2 17" xfId="4078"/>
    <cellStyle name="Normal 12 2 18" xfId="4079"/>
    <cellStyle name="Normal 12 2 19" xfId="4080"/>
    <cellStyle name="Normal 12 2 2" xfId="4081"/>
    <cellStyle name="Normal 12 2 20" xfId="4082"/>
    <cellStyle name="Normal 12 2 21" xfId="4083"/>
    <cellStyle name="Normal 12 2 22" xfId="4084"/>
    <cellStyle name="Normal 12 2 23" xfId="4085"/>
    <cellStyle name="Normal 12 2 24" xfId="4086"/>
    <cellStyle name="Normal 12 2 25" xfId="4087"/>
    <cellStyle name="Normal 12 2 26" xfId="4088"/>
    <cellStyle name="Normal 12 2 27" xfId="4089"/>
    <cellStyle name="Normal 12 2 28" xfId="4090"/>
    <cellStyle name="Normal 12 2 29" xfId="4091"/>
    <cellStyle name="Normal 12 2 3" xfId="4092"/>
    <cellStyle name="Normal 12 2 30" xfId="4093"/>
    <cellStyle name="Normal 12 2 31" xfId="4094"/>
    <cellStyle name="Normal 12 2 32" xfId="4095"/>
    <cellStyle name="Normal 12 2 33" xfId="4096"/>
    <cellStyle name="Normal 12 2 34" xfId="4097"/>
    <cellStyle name="Normal 12 2 35" xfId="4098"/>
    <cellStyle name="Normal 12 2 36" xfId="4099"/>
    <cellStyle name="Normal 12 2 37" xfId="4100"/>
    <cellStyle name="Normal 12 2 38" xfId="4101"/>
    <cellStyle name="Normal 12 2 39" xfId="4102"/>
    <cellStyle name="Normal 12 2 4" xfId="4103"/>
    <cellStyle name="Normal 12 2 40" xfId="4104"/>
    <cellStyle name="Normal 12 2 41" xfId="4105"/>
    <cellStyle name="Normal 12 2 42" xfId="4106"/>
    <cellStyle name="Normal 12 2 43" xfId="4107"/>
    <cellStyle name="Normal 12 2 44" xfId="4108"/>
    <cellStyle name="Normal 12 2 5" xfId="4109"/>
    <cellStyle name="Normal 12 2 6" xfId="4110"/>
    <cellStyle name="Normal 12 2 7" xfId="4111"/>
    <cellStyle name="Normal 12 2 8" xfId="4112"/>
    <cellStyle name="Normal 12 2 9" xfId="4113"/>
    <cellStyle name="Normal 12 20" xfId="15867"/>
    <cellStyle name="Normal 12 21" xfId="15868"/>
    <cellStyle name="Normal 12 22" xfId="15869"/>
    <cellStyle name="Normal 12 23" xfId="15870"/>
    <cellStyle name="Normal 12 24" xfId="15871"/>
    <cellStyle name="Normal 12 25" xfId="15872"/>
    <cellStyle name="Normal 12 26" xfId="15873"/>
    <cellStyle name="Normal 12 27" xfId="15874"/>
    <cellStyle name="Normal 12 28" xfId="15875"/>
    <cellStyle name="Normal 12 29" xfId="15876"/>
    <cellStyle name="Normal 12 3" xfId="4114"/>
    <cellStyle name="Normal 12 3 10" xfId="15877"/>
    <cellStyle name="Normal 12 3 11" xfId="15878"/>
    <cellStyle name="Normal 12 3 12" xfId="15879"/>
    <cellStyle name="Normal 12 3 13" xfId="15880"/>
    <cellStyle name="Normal 12 3 14" xfId="15881"/>
    <cellStyle name="Normal 12 3 15" xfId="15882"/>
    <cellStyle name="Normal 12 3 16" xfId="15883"/>
    <cellStyle name="Normal 12 3 17" xfId="15884"/>
    <cellStyle name="Normal 12 3 18" xfId="15885"/>
    <cellStyle name="Normal 12 3 19" xfId="15886"/>
    <cellStyle name="Normal 12 3 2" xfId="4115"/>
    <cellStyle name="Normal 12 3 2 10" xfId="15887"/>
    <cellStyle name="Normal 12 3 2 11" xfId="15888"/>
    <cellStyle name="Normal 12 3 2 12" xfId="15889"/>
    <cellStyle name="Normal 12 3 2 13" xfId="15890"/>
    <cellStyle name="Normal 12 3 2 14" xfId="15891"/>
    <cellStyle name="Normal 12 3 2 15" xfId="15892"/>
    <cellStyle name="Normal 12 3 2 16" xfId="15893"/>
    <cellStyle name="Normal 12 3 2 17" xfId="15894"/>
    <cellStyle name="Normal 12 3 2 18" xfId="15895"/>
    <cellStyle name="Normal 12 3 2 19" xfId="15896"/>
    <cellStyle name="Normal 12 3 2 2" xfId="4116"/>
    <cellStyle name="Normal 12 3 2 2 10" xfId="15897"/>
    <cellStyle name="Normal 12 3 2 2 11" xfId="15898"/>
    <cellStyle name="Normal 12 3 2 2 12" xfId="15899"/>
    <cellStyle name="Normal 12 3 2 2 13" xfId="15900"/>
    <cellStyle name="Normal 12 3 2 2 14" xfId="15901"/>
    <cellStyle name="Normal 12 3 2 2 15" xfId="15902"/>
    <cellStyle name="Normal 12 3 2 2 16" xfId="15903"/>
    <cellStyle name="Normal 12 3 2 2 17" xfId="15904"/>
    <cellStyle name="Normal 12 3 2 2 18" xfId="15905"/>
    <cellStyle name="Normal 12 3 2 2 19" xfId="15906"/>
    <cellStyle name="Normal 12 3 2 2 2" xfId="15907"/>
    <cellStyle name="Normal 12 3 2 2 20" xfId="15908"/>
    <cellStyle name="Normal 12 3 2 2 21" xfId="15909"/>
    <cellStyle name="Normal 12 3 2 2 22" xfId="15910"/>
    <cellStyle name="Normal 12 3 2 2 23" xfId="15911"/>
    <cellStyle name="Normal 12 3 2 2 3" xfId="15912"/>
    <cellStyle name="Normal 12 3 2 2 4" xfId="15913"/>
    <cellStyle name="Normal 12 3 2 2 5" xfId="15914"/>
    <cellStyle name="Normal 12 3 2 2 6" xfId="15915"/>
    <cellStyle name="Normal 12 3 2 2 7" xfId="15916"/>
    <cellStyle name="Normal 12 3 2 2 8" xfId="15917"/>
    <cellStyle name="Normal 12 3 2 2 9" xfId="15918"/>
    <cellStyle name="Normal 12 3 2 20" xfId="15919"/>
    <cellStyle name="Normal 12 3 2 21" xfId="15920"/>
    <cellStyle name="Normal 12 3 2 22" xfId="15921"/>
    <cellStyle name="Normal 12 3 2 23" xfId="15922"/>
    <cellStyle name="Normal 12 3 2 24" xfId="15923"/>
    <cellStyle name="Normal 12 3 2 3" xfId="4117"/>
    <cellStyle name="Normal 12 3 2 3 10" xfId="15924"/>
    <cellStyle name="Normal 12 3 2 3 11" xfId="15925"/>
    <cellStyle name="Normal 12 3 2 3 12" xfId="15926"/>
    <cellStyle name="Normal 12 3 2 3 13" xfId="15927"/>
    <cellStyle name="Normal 12 3 2 3 14" xfId="15928"/>
    <cellStyle name="Normal 12 3 2 3 15" xfId="15929"/>
    <cellStyle name="Normal 12 3 2 3 16" xfId="15930"/>
    <cellStyle name="Normal 12 3 2 3 17" xfId="15931"/>
    <cellStyle name="Normal 12 3 2 3 18" xfId="15932"/>
    <cellStyle name="Normal 12 3 2 3 19" xfId="15933"/>
    <cellStyle name="Normal 12 3 2 3 2" xfId="4118"/>
    <cellStyle name="Normal 12 3 2 3 2 2" xfId="4119"/>
    <cellStyle name="Normal 12 3 2 3 2 2 2" xfId="4120"/>
    <cellStyle name="Normal 12 3 2 3 20" xfId="15934"/>
    <cellStyle name="Normal 12 3 2 3 21" xfId="15935"/>
    <cellStyle name="Normal 12 3 2 3 22" xfId="15936"/>
    <cellStyle name="Normal 12 3 2 3 23" xfId="15937"/>
    <cellStyle name="Normal 12 3 2 3 3" xfId="15938"/>
    <cellStyle name="Normal 12 3 2 3 4" xfId="15939"/>
    <cellStyle name="Normal 12 3 2 3 5" xfId="15940"/>
    <cellStyle name="Normal 12 3 2 3 6" xfId="15941"/>
    <cellStyle name="Normal 12 3 2 3 7" xfId="15942"/>
    <cellStyle name="Normal 12 3 2 3 8" xfId="15943"/>
    <cellStyle name="Normal 12 3 2 3 9" xfId="15944"/>
    <cellStyle name="Normal 12 3 2 4" xfId="15945"/>
    <cellStyle name="Normal 12 3 2 5" xfId="15946"/>
    <cellStyle name="Normal 12 3 2 6" xfId="15947"/>
    <cellStyle name="Normal 12 3 2 7" xfId="15948"/>
    <cellStyle name="Normal 12 3 2 8" xfId="15949"/>
    <cellStyle name="Normal 12 3 2 9" xfId="15950"/>
    <cellStyle name="Normal 12 3 20" xfId="15951"/>
    <cellStyle name="Normal 12 3 21" xfId="15952"/>
    <cellStyle name="Normal 12 3 22" xfId="15953"/>
    <cellStyle name="Normal 12 3 23" xfId="15954"/>
    <cellStyle name="Normal 12 3 24" xfId="15955"/>
    <cellStyle name="Normal 12 3 25" xfId="15956"/>
    <cellStyle name="Normal 12 3 26" xfId="15957"/>
    <cellStyle name="Normal 12 3 27" xfId="15958"/>
    <cellStyle name="Normal 12 3 28" xfId="15959"/>
    <cellStyle name="Normal 12 3 29" xfId="15960"/>
    <cellStyle name="Normal 12 3 3" xfId="4121"/>
    <cellStyle name="Normal 12 3 3 10" xfId="15961"/>
    <cellStyle name="Normal 12 3 3 11" xfId="15962"/>
    <cellStyle name="Normal 12 3 3 12" xfId="15963"/>
    <cellStyle name="Normal 12 3 3 13" xfId="15964"/>
    <cellStyle name="Normal 12 3 3 14" xfId="15965"/>
    <cellStyle name="Normal 12 3 3 15" xfId="15966"/>
    <cellStyle name="Normal 12 3 3 16" xfId="15967"/>
    <cellStyle name="Normal 12 3 3 17" xfId="15968"/>
    <cellStyle name="Normal 12 3 3 18" xfId="15969"/>
    <cellStyle name="Normal 12 3 3 19" xfId="15970"/>
    <cellStyle name="Normal 12 3 3 2" xfId="15971"/>
    <cellStyle name="Normal 12 3 3 20" xfId="15972"/>
    <cellStyle name="Normal 12 3 3 21" xfId="15973"/>
    <cellStyle name="Normal 12 3 3 22" xfId="15974"/>
    <cellStyle name="Normal 12 3 3 23" xfId="15975"/>
    <cellStyle name="Normal 12 3 3 24" xfId="15976"/>
    <cellStyle name="Normal 12 3 3 25" xfId="15977"/>
    <cellStyle name="Normal 12 3 3 26" xfId="15978"/>
    <cellStyle name="Normal 12 3 3 27" xfId="15979"/>
    <cellStyle name="Normal 12 3 3 28" xfId="15980"/>
    <cellStyle name="Normal 12 3 3 29" xfId="15981"/>
    <cellStyle name="Normal 12 3 3 3" xfId="15982"/>
    <cellStyle name="Normal 12 3 3 30" xfId="15983"/>
    <cellStyle name="Normal 12 3 3 31" xfId="15984"/>
    <cellStyle name="Normal 12 3 3 32" xfId="15985"/>
    <cellStyle name="Normal 12 3 3 33" xfId="15986"/>
    <cellStyle name="Normal 12 3 3 34" xfId="15987"/>
    <cellStyle name="Normal 12 3 3 4" xfId="15988"/>
    <cellStyle name="Normal 12 3 3 5" xfId="15989"/>
    <cellStyle name="Normal 12 3 3 6" xfId="15990"/>
    <cellStyle name="Normal 12 3 3 7" xfId="15991"/>
    <cellStyle name="Normal 12 3 3 8" xfId="15992"/>
    <cellStyle name="Normal 12 3 3 9" xfId="15993"/>
    <cellStyle name="Normal 12 3 30" xfId="15994"/>
    <cellStyle name="Normal 12 3 31" xfId="15995"/>
    <cellStyle name="Normal 12 3 32" xfId="15996"/>
    <cellStyle name="Normal 12 3 33" xfId="15997"/>
    <cellStyle name="Normal 12 3 34" xfId="15998"/>
    <cellStyle name="Normal 12 3 35" xfId="15999"/>
    <cellStyle name="Normal 12 3 36" xfId="16000"/>
    <cellStyle name="Normal 12 3 37" xfId="16001"/>
    <cellStyle name="Normal 12 3 38" xfId="16002"/>
    <cellStyle name="Normal 12 3 4" xfId="4122"/>
    <cellStyle name="Normal 12 3 4 10" xfId="16003"/>
    <cellStyle name="Normal 12 3 4 11" xfId="16004"/>
    <cellStyle name="Normal 12 3 4 12" xfId="16005"/>
    <cellStyle name="Normal 12 3 4 13" xfId="16006"/>
    <cellStyle name="Normal 12 3 4 14" xfId="16007"/>
    <cellStyle name="Normal 12 3 4 15" xfId="16008"/>
    <cellStyle name="Normal 12 3 4 16" xfId="16009"/>
    <cellStyle name="Normal 12 3 4 17" xfId="16010"/>
    <cellStyle name="Normal 12 3 4 18" xfId="16011"/>
    <cellStyle name="Normal 12 3 4 19" xfId="16012"/>
    <cellStyle name="Normal 12 3 4 2" xfId="16013"/>
    <cellStyle name="Normal 12 3 4 20" xfId="16014"/>
    <cellStyle name="Normal 12 3 4 21" xfId="16015"/>
    <cellStyle name="Normal 12 3 4 22" xfId="16016"/>
    <cellStyle name="Normal 12 3 4 23" xfId="16017"/>
    <cellStyle name="Normal 12 3 4 24" xfId="16018"/>
    <cellStyle name="Normal 12 3 4 25" xfId="16019"/>
    <cellStyle name="Normal 12 3 4 26" xfId="16020"/>
    <cellStyle name="Normal 12 3 4 27" xfId="16021"/>
    <cellStyle name="Normal 12 3 4 28" xfId="16022"/>
    <cellStyle name="Normal 12 3 4 29" xfId="16023"/>
    <cellStyle name="Normal 12 3 4 3" xfId="16024"/>
    <cellStyle name="Normal 12 3 4 30" xfId="16025"/>
    <cellStyle name="Normal 12 3 4 31" xfId="16026"/>
    <cellStyle name="Normal 12 3 4 32" xfId="16027"/>
    <cellStyle name="Normal 12 3 4 33" xfId="16028"/>
    <cellStyle name="Normal 12 3 4 34" xfId="16029"/>
    <cellStyle name="Normal 12 3 4 4" xfId="16030"/>
    <cellStyle name="Normal 12 3 4 5" xfId="16031"/>
    <cellStyle name="Normal 12 3 4 6" xfId="16032"/>
    <cellStyle name="Normal 12 3 4 7" xfId="16033"/>
    <cellStyle name="Normal 12 3 4 8" xfId="16034"/>
    <cellStyle name="Normal 12 3 4 9" xfId="16035"/>
    <cellStyle name="Normal 12 3 5" xfId="4123"/>
    <cellStyle name="Normal 12 3 5 10" xfId="16036"/>
    <cellStyle name="Normal 12 3 5 11" xfId="16037"/>
    <cellStyle name="Normal 12 3 5 12" xfId="16038"/>
    <cellStyle name="Normal 12 3 5 13" xfId="16039"/>
    <cellStyle name="Normal 12 3 5 14" xfId="16040"/>
    <cellStyle name="Normal 12 3 5 15" xfId="16041"/>
    <cellStyle name="Normal 12 3 5 16" xfId="16042"/>
    <cellStyle name="Normal 12 3 5 17" xfId="16043"/>
    <cellStyle name="Normal 12 3 5 18" xfId="16044"/>
    <cellStyle name="Normal 12 3 5 19" xfId="16045"/>
    <cellStyle name="Normal 12 3 5 2" xfId="16046"/>
    <cellStyle name="Normal 12 3 5 20" xfId="16047"/>
    <cellStyle name="Normal 12 3 5 21" xfId="16048"/>
    <cellStyle name="Normal 12 3 5 22" xfId="16049"/>
    <cellStyle name="Normal 12 3 5 23" xfId="16050"/>
    <cellStyle name="Normal 12 3 5 3" xfId="16051"/>
    <cellStyle name="Normal 12 3 5 4" xfId="16052"/>
    <cellStyle name="Normal 12 3 5 5" xfId="16053"/>
    <cellStyle name="Normal 12 3 5 6" xfId="16054"/>
    <cellStyle name="Normal 12 3 5 7" xfId="16055"/>
    <cellStyle name="Normal 12 3 5 8" xfId="16056"/>
    <cellStyle name="Normal 12 3 5 9" xfId="16057"/>
    <cellStyle name="Normal 12 3 6" xfId="4124"/>
    <cellStyle name="Normal 12 3 6 10" xfId="16058"/>
    <cellStyle name="Normal 12 3 6 11" xfId="16059"/>
    <cellStyle name="Normal 12 3 6 12" xfId="16060"/>
    <cellStyle name="Normal 12 3 6 13" xfId="16061"/>
    <cellStyle name="Normal 12 3 6 14" xfId="16062"/>
    <cellStyle name="Normal 12 3 6 15" xfId="16063"/>
    <cellStyle name="Normal 12 3 6 16" xfId="16064"/>
    <cellStyle name="Normal 12 3 6 17" xfId="16065"/>
    <cellStyle name="Normal 12 3 6 18" xfId="16066"/>
    <cellStyle name="Normal 12 3 6 19" xfId="16067"/>
    <cellStyle name="Normal 12 3 6 2" xfId="16068"/>
    <cellStyle name="Normal 12 3 6 20" xfId="16069"/>
    <cellStyle name="Normal 12 3 6 21" xfId="16070"/>
    <cellStyle name="Normal 12 3 6 22" xfId="16071"/>
    <cellStyle name="Normal 12 3 6 23" xfId="16072"/>
    <cellStyle name="Normal 12 3 6 3" xfId="16073"/>
    <cellStyle name="Normal 12 3 6 4" xfId="16074"/>
    <cellStyle name="Normal 12 3 6 5" xfId="16075"/>
    <cellStyle name="Normal 12 3 6 6" xfId="16076"/>
    <cellStyle name="Normal 12 3 6 7" xfId="16077"/>
    <cellStyle name="Normal 12 3 6 8" xfId="16078"/>
    <cellStyle name="Normal 12 3 6 9" xfId="16079"/>
    <cellStyle name="Normal 12 3 7" xfId="4125"/>
    <cellStyle name="Normal 12 3 7 10" xfId="16080"/>
    <cellStyle name="Normal 12 3 7 11" xfId="16081"/>
    <cellStyle name="Normal 12 3 7 12" xfId="16082"/>
    <cellStyle name="Normal 12 3 7 13" xfId="16083"/>
    <cellStyle name="Normal 12 3 7 14" xfId="16084"/>
    <cellStyle name="Normal 12 3 7 15" xfId="16085"/>
    <cellStyle name="Normal 12 3 7 16" xfId="16086"/>
    <cellStyle name="Normal 12 3 7 17" xfId="16087"/>
    <cellStyle name="Normal 12 3 7 18" xfId="16088"/>
    <cellStyle name="Normal 12 3 7 19" xfId="16089"/>
    <cellStyle name="Normal 12 3 7 2" xfId="16090"/>
    <cellStyle name="Normal 12 3 7 20" xfId="16091"/>
    <cellStyle name="Normal 12 3 7 21" xfId="16092"/>
    <cellStyle name="Normal 12 3 7 22" xfId="16093"/>
    <cellStyle name="Normal 12 3 7 23" xfId="16094"/>
    <cellStyle name="Normal 12 3 7 3" xfId="16095"/>
    <cellStyle name="Normal 12 3 7 4" xfId="16096"/>
    <cellStyle name="Normal 12 3 7 5" xfId="16097"/>
    <cellStyle name="Normal 12 3 7 6" xfId="16098"/>
    <cellStyle name="Normal 12 3 7 7" xfId="16099"/>
    <cellStyle name="Normal 12 3 7 8" xfId="16100"/>
    <cellStyle name="Normal 12 3 7 9" xfId="16101"/>
    <cellStyle name="Normal 12 3 8" xfId="4126"/>
    <cellStyle name="Normal 12 3 8 10" xfId="16102"/>
    <cellStyle name="Normal 12 3 8 11" xfId="16103"/>
    <cellStyle name="Normal 12 3 8 12" xfId="16104"/>
    <cellStyle name="Normal 12 3 8 13" xfId="16105"/>
    <cellStyle name="Normal 12 3 8 14" xfId="16106"/>
    <cellStyle name="Normal 12 3 8 15" xfId="16107"/>
    <cellStyle name="Normal 12 3 8 16" xfId="16108"/>
    <cellStyle name="Normal 12 3 8 17" xfId="16109"/>
    <cellStyle name="Normal 12 3 8 18" xfId="16110"/>
    <cellStyle name="Normal 12 3 8 19" xfId="16111"/>
    <cellStyle name="Normal 12 3 8 2" xfId="16112"/>
    <cellStyle name="Normal 12 3 8 20" xfId="16113"/>
    <cellStyle name="Normal 12 3 8 21" xfId="16114"/>
    <cellStyle name="Normal 12 3 8 22" xfId="16115"/>
    <cellStyle name="Normal 12 3 8 23" xfId="16116"/>
    <cellStyle name="Normal 12 3 8 3" xfId="16117"/>
    <cellStyle name="Normal 12 3 8 4" xfId="16118"/>
    <cellStyle name="Normal 12 3 8 5" xfId="16119"/>
    <cellStyle name="Normal 12 3 8 6" xfId="16120"/>
    <cellStyle name="Normal 12 3 8 7" xfId="16121"/>
    <cellStyle name="Normal 12 3 8 8" xfId="16122"/>
    <cellStyle name="Normal 12 3 8 9" xfId="16123"/>
    <cellStyle name="Normal 12 3 9" xfId="16124"/>
    <cellStyle name="Normal 12 30" xfId="16125"/>
    <cellStyle name="Normal 12 31" xfId="16126"/>
    <cellStyle name="Normal 12 32" xfId="16127"/>
    <cellStyle name="Normal 12 33" xfId="16128"/>
    <cellStyle name="Normal 12 34" xfId="16129"/>
    <cellStyle name="Normal 12 35" xfId="16130"/>
    <cellStyle name="Normal 12 36" xfId="16131"/>
    <cellStyle name="Normal 12 37" xfId="16132"/>
    <cellStyle name="Normal 12 38" xfId="16133"/>
    <cellStyle name="Normal 12 4" xfId="4127"/>
    <cellStyle name="Normal 12 5" xfId="4128"/>
    <cellStyle name="Normal 12 5 10" xfId="16134"/>
    <cellStyle name="Normal 12 5 11" xfId="16135"/>
    <cellStyle name="Normal 12 5 12" xfId="16136"/>
    <cellStyle name="Normal 12 5 13" xfId="16137"/>
    <cellStyle name="Normal 12 5 14" xfId="16138"/>
    <cellStyle name="Normal 12 5 15" xfId="16139"/>
    <cellStyle name="Normal 12 5 16" xfId="16140"/>
    <cellStyle name="Normal 12 5 17" xfId="16141"/>
    <cellStyle name="Normal 12 5 18" xfId="16142"/>
    <cellStyle name="Normal 12 5 19" xfId="16143"/>
    <cellStyle name="Normal 12 5 2" xfId="16144"/>
    <cellStyle name="Normal 12 5 20" xfId="16145"/>
    <cellStyle name="Normal 12 5 21" xfId="16146"/>
    <cellStyle name="Normal 12 5 22" xfId="16147"/>
    <cellStyle name="Normal 12 5 23" xfId="16148"/>
    <cellStyle name="Normal 12 5 3" xfId="16149"/>
    <cellStyle name="Normal 12 5 4" xfId="16150"/>
    <cellStyle name="Normal 12 5 5" xfId="16151"/>
    <cellStyle name="Normal 12 5 6" xfId="16152"/>
    <cellStyle name="Normal 12 5 7" xfId="16153"/>
    <cellStyle name="Normal 12 5 8" xfId="16154"/>
    <cellStyle name="Normal 12 5 9" xfId="16155"/>
    <cellStyle name="Normal 12 6" xfId="4129"/>
    <cellStyle name="Normal 12 6 10" xfId="16156"/>
    <cellStyle name="Normal 12 6 11" xfId="16157"/>
    <cellStyle name="Normal 12 6 12" xfId="16158"/>
    <cellStyle name="Normal 12 6 13" xfId="16159"/>
    <cellStyle name="Normal 12 6 14" xfId="16160"/>
    <cellStyle name="Normal 12 6 15" xfId="16161"/>
    <cellStyle name="Normal 12 6 16" xfId="16162"/>
    <cellStyle name="Normal 12 6 17" xfId="16163"/>
    <cellStyle name="Normal 12 6 18" xfId="16164"/>
    <cellStyle name="Normal 12 6 19" xfId="16165"/>
    <cellStyle name="Normal 12 6 2" xfId="16166"/>
    <cellStyle name="Normal 12 6 20" xfId="16167"/>
    <cellStyle name="Normal 12 6 21" xfId="16168"/>
    <cellStyle name="Normal 12 6 22" xfId="16169"/>
    <cellStyle name="Normal 12 6 23" xfId="16170"/>
    <cellStyle name="Normal 12 6 3" xfId="16171"/>
    <cellStyle name="Normal 12 6 4" xfId="16172"/>
    <cellStyle name="Normal 12 6 5" xfId="16173"/>
    <cellStyle name="Normal 12 6 6" xfId="16174"/>
    <cellStyle name="Normal 12 6 7" xfId="16175"/>
    <cellStyle name="Normal 12 6 8" xfId="16176"/>
    <cellStyle name="Normal 12 6 9" xfId="16177"/>
    <cellStyle name="Normal 12 7" xfId="4130"/>
    <cellStyle name="Normal 12 8" xfId="4131"/>
    <cellStyle name="Normal 12 9" xfId="4132"/>
    <cellStyle name="Normal 12_A1 Disdik _Aceh _Selatan" xfId="4133"/>
    <cellStyle name="Normal 120" xfId="4134"/>
    <cellStyle name="Normal 121" xfId="4135"/>
    <cellStyle name="Normal 122" xfId="4136"/>
    <cellStyle name="Normal 123" xfId="4137"/>
    <cellStyle name="Normal 124" xfId="4138"/>
    <cellStyle name="Normal 125" xfId="4139"/>
    <cellStyle name="Normal 126" xfId="4140"/>
    <cellStyle name="Normal 127" xfId="4141"/>
    <cellStyle name="Normal 128" xfId="4142"/>
    <cellStyle name="Normal 129" xfId="4143"/>
    <cellStyle name="Normal 13" xfId="4144"/>
    <cellStyle name="Normal 13 10" xfId="4145"/>
    <cellStyle name="Normal 13 11" xfId="4146"/>
    <cellStyle name="Normal 13 11 2" xfId="16178"/>
    <cellStyle name="Normal 13 11 3" xfId="16179"/>
    <cellStyle name="Normal 13 11 4" xfId="16180"/>
    <cellStyle name="Normal 13 12" xfId="16181"/>
    <cellStyle name="Normal 13 13" xfId="16182"/>
    <cellStyle name="Normal 13 14" xfId="16183"/>
    <cellStyle name="Normal 13 15" xfId="16184"/>
    <cellStyle name="Normal 13 16" xfId="16185"/>
    <cellStyle name="Normal 13 17" xfId="16186"/>
    <cellStyle name="Normal 13 18" xfId="16187"/>
    <cellStyle name="Normal 13 19" xfId="16188"/>
    <cellStyle name="Normal 13 2" xfId="4147"/>
    <cellStyle name="Normal 13 2 10" xfId="16189"/>
    <cellStyle name="Normal 13 2 11" xfId="16190"/>
    <cellStyle name="Normal 13 2 12" xfId="16191"/>
    <cellStyle name="Normal 13 2 13" xfId="16192"/>
    <cellStyle name="Normal 13 2 14" xfId="16193"/>
    <cellStyle name="Normal 13 2 15" xfId="16194"/>
    <cellStyle name="Normal 13 2 16" xfId="16195"/>
    <cellStyle name="Normal 13 2 17" xfId="16196"/>
    <cellStyle name="Normal 13 2 18" xfId="16197"/>
    <cellStyle name="Normal 13 2 19" xfId="16198"/>
    <cellStyle name="Normal 13 2 2" xfId="4148"/>
    <cellStyle name="Normal 13 2 2 10" xfId="16199"/>
    <cellStyle name="Normal 13 2 2 11" xfId="16200"/>
    <cellStyle name="Normal 13 2 2 12" xfId="16201"/>
    <cellStyle name="Normal 13 2 2 13" xfId="16202"/>
    <cellStyle name="Normal 13 2 2 14" xfId="16203"/>
    <cellStyle name="Normal 13 2 2 15" xfId="16204"/>
    <cellStyle name="Normal 13 2 2 16" xfId="16205"/>
    <cellStyle name="Normal 13 2 2 17" xfId="16206"/>
    <cellStyle name="Normal 13 2 2 18" xfId="16207"/>
    <cellStyle name="Normal 13 2 2 19" xfId="16208"/>
    <cellStyle name="Normal 13 2 2 2" xfId="4149"/>
    <cellStyle name="Normal 13 2 2 2 10" xfId="16209"/>
    <cellStyle name="Normal 13 2 2 2 11" xfId="16210"/>
    <cellStyle name="Normal 13 2 2 2 12" xfId="16211"/>
    <cellStyle name="Normal 13 2 2 2 13" xfId="16212"/>
    <cellStyle name="Normal 13 2 2 2 14" xfId="16213"/>
    <cellStyle name="Normal 13 2 2 2 15" xfId="16214"/>
    <cellStyle name="Normal 13 2 2 2 16" xfId="16215"/>
    <cellStyle name="Normal 13 2 2 2 17" xfId="16216"/>
    <cellStyle name="Normal 13 2 2 2 18" xfId="16217"/>
    <cellStyle name="Normal 13 2 2 2 19" xfId="16218"/>
    <cellStyle name="Normal 13 2 2 2 2" xfId="16219"/>
    <cellStyle name="Normal 13 2 2 2 20" xfId="16220"/>
    <cellStyle name="Normal 13 2 2 2 21" xfId="16221"/>
    <cellStyle name="Normal 13 2 2 2 22" xfId="16222"/>
    <cellStyle name="Normal 13 2 2 2 23" xfId="16223"/>
    <cellStyle name="Normal 13 2 2 2 3" xfId="16224"/>
    <cellStyle name="Normal 13 2 2 2 4" xfId="16225"/>
    <cellStyle name="Normal 13 2 2 2 5" xfId="16226"/>
    <cellStyle name="Normal 13 2 2 2 6" xfId="16227"/>
    <cellStyle name="Normal 13 2 2 2 7" xfId="16228"/>
    <cellStyle name="Normal 13 2 2 2 8" xfId="16229"/>
    <cellStyle name="Normal 13 2 2 2 9" xfId="16230"/>
    <cellStyle name="Normal 13 2 2 20" xfId="16231"/>
    <cellStyle name="Normal 13 2 2 21" xfId="16232"/>
    <cellStyle name="Normal 13 2 2 22" xfId="16233"/>
    <cellStyle name="Normal 13 2 2 23" xfId="16234"/>
    <cellStyle name="Normal 13 2 2 24" xfId="16235"/>
    <cellStyle name="Normal 13 2 2 3" xfId="16236"/>
    <cellStyle name="Normal 13 2 2 4" xfId="16237"/>
    <cellStyle name="Normal 13 2 2 5" xfId="16238"/>
    <cellStyle name="Normal 13 2 2 6" xfId="16239"/>
    <cellStyle name="Normal 13 2 2 7" xfId="16240"/>
    <cellStyle name="Normal 13 2 2 8" xfId="16241"/>
    <cellStyle name="Normal 13 2 2 9" xfId="16242"/>
    <cellStyle name="Normal 13 2 20" xfId="16243"/>
    <cellStyle name="Normal 13 2 21" xfId="16244"/>
    <cellStyle name="Normal 13 2 22" xfId="16245"/>
    <cellStyle name="Normal 13 2 23" xfId="16246"/>
    <cellStyle name="Normal 13 2 24" xfId="16247"/>
    <cellStyle name="Normal 13 2 3" xfId="16248"/>
    <cellStyle name="Normal 13 2 4" xfId="16249"/>
    <cellStyle name="Normal 13 2 5" xfId="16250"/>
    <cellStyle name="Normal 13 2 6" xfId="16251"/>
    <cellStyle name="Normal 13 2 7" xfId="16252"/>
    <cellStyle name="Normal 13 2 8" xfId="16253"/>
    <cellStyle name="Normal 13 2 9" xfId="16254"/>
    <cellStyle name="Normal 13 20" xfId="16255"/>
    <cellStyle name="Normal 13 21" xfId="16256"/>
    <cellStyle name="Normal 13 22" xfId="16257"/>
    <cellStyle name="Normal 13 23" xfId="16258"/>
    <cellStyle name="Normal 13 24" xfId="16259"/>
    <cellStyle name="Normal 13 25" xfId="16260"/>
    <cellStyle name="Normal 13 26" xfId="16261"/>
    <cellStyle name="Normal 13 27" xfId="16262"/>
    <cellStyle name="Normal 13 28" xfId="16263"/>
    <cellStyle name="Normal 13 29" xfId="16264"/>
    <cellStyle name="Normal 13 3" xfId="4150"/>
    <cellStyle name="Normal 13 3 10" xfId="16265"/>
    <cellStyle name="Normal 13 3 11" xfId="16266"/>
    <cellStyle name="Normal 13 3 12" xfId="16267"/>
    <cellStyle name="Normal 13 3 13" xfId="16268"/>
    <cellStyle name="Normal 13 3 14" xfId="16269"/>
    <cellStyle name="Normal 13 3 15" xfId="16270"/>
    <cellStyle name="Normal 13 3 16" xfId="16271"/>
    <cellStyle name="Normal 13 3 17" xfId="16272"/>
    <cellStyle name="Normal 13 3 18" xfId="16273"/>
    <cellStyle name="Normal 13 3 19" xfId="16274"/>
    <cellStyle name="Normal 13 3 2" xfId="4151"/>
    <cellStyle name="Normal 13 3 2 10" xfId="16275"/>
    <cellStyle name="Normal 13 3 2 11" xfId="16276"/>
    <cellStyle name="Normal 13 3 2 12" xfId="16277"/>
    <cellStyle name="Normal 13 3 2 13" xfId="16278"/>
    <cellStyle name="Normal 13 3 2 14" xfId="16279"/>
    <cellStyle name="Normal 13 3 2 15" xfId="16280"/>
    <cellStyle name="Normal 13 3 2 16" xfId="16281"/>
    <cellStyle name="Normal 13 3 2 17" xfId="16282"/>
    <cellStyle name="Normal 13 3 2 18" xfId="16283"/>
    <cellStyle name="Normal 13 3 2 19" xfId="16284"/>
    <cellStyle name="Normal 13 3 2 2" xfId="16285"/>
    <cellStyle name="Normal 13 3 2 20" xfId="16286"/>
    <cellStyle name="Normal 13 3 2 21" xfId="16287"/>
    <cellStyle name="Normal 13 3 2 22" xfId="16288"/>
    <cellStyle name="Normal 13 3 2 23" xfId="16289"/>
    <cellStyle name="Normal 13 3 2 3" xfId="16290"/>
    <cellStyle name="Normal 13 3 2 4" xfId="16291"/>
    <cellStyle name="Normal 13 3 2 5" xfId="16292"/>
    <cellStyle name="Normal 13 3 2 6" xfId="16293"/>
    <cellStyle name="Normal 13 3 2 7" xfId="16294"/>
    <cellStyle name="Normal 13 3 2 8" xfId="16295"/>
    <cellStyle name="Normal 13 3 2 9" xfId="16296"/>
    <cellStyle name="Normal 13 3 20" xfId="16297"/>
    <cellStyle name="Normal 13 3 21" xfId="16298"/>
    <cellStyle name="Normal 13 3 22" xfId="16299"/>
    <cellStyle name="Normal 13 3 23" xfId="16300"/>
    <cellStyle name="Normal 13 3 24" xfId="16301"/>
    <cellStyle name="Normal 13 3 3" xfId="16302"/>
    <cellStyle name="Normal 13 3 4" xfId="16303"/>
    <cellStyle name="Normal 13 3 5" xfId="16304"/>
    <cellStyle name="Normal 13 3 6" xfId="16305"/>
    <cellStyle name="Normal 13 3 7" xfId="16306"/>
    <cellStyle name="Normal 13 3 8" xfId="16307"/>
    <cellStyle name="Normal 13 3 9" xfId="16308"/>
    <cellStyle name="Normal 13 30" xfId="16309"/>
    <cellStyle name="Normal 13 31" xfId="16310"/>
    <cellStyle name="Normal 13 32" xfId="16311"/>
    <cellStyle name="Normal 13 4" xfId="4152"/>
    <cellStyle name="Normal 13 5" xfId="4153"/>
    <cellStyle name="Normal 13 6" xfId="4154"/>
    <cellStyle name="Normal 13 7" xfId="4155"/>
    <cellStyle name="Normal 13 8" xfId="4156"/>
    <cellStyle name="Normal 13 9" xfId="4157"/>
    <cellStyle name="Normal 13_Aceh Utara (BINA MARGA)" xfId="4158"/>
    <cellStyle name="Normal 130" xfId="4159"/>
    <cellStyle name="Normal 131" xfId="4160"/>
    <cellStyle name="Normal 132" xfId="4161"/>
    <cellStyle name="Normal 133" xfId="4162"/>
    <cellStyle name="Normal 134" xfId="4163"/>
    <cellStyle name="Normal 134 2" xfId="4164"/>
    <cellStyle name="Normal 135" xfId="4165"/>
    <cellStyle name="Normal 136" xfId="4166"/>
    <cellStyle name="Normal 137" xfId="4167"/>
    <cellStyle name="Normal 137 2" xfId="4168"/>
    <cellStyle name="Normal 137 3" xfId="4169"/>
    <cellStyle name="Normal 138" xfId="4170"/>
    <cellStyle name="Normal 139" xfId="4171"/>
    <cellStyle name="Normal 14" xfId="4172"/>
    <cellStyle name="Normal 14 10" xfId="4173"/>
    <cellStyle name="Normal 14 11" xfId="16312"/>
    <cellStyle name="Normal 14 12" xfId="16313"/>
    <cellStyle name="Normal 14 13" xfId="16314"/>
    <cellStyle name="Normal 14 14" xfId="16315"/>
    <cellStyle name="Normal 14 15" xfId="16316"/>
    <cellStyle name="Normal 14 16" xfId="16317"/>
    <cellStyle name="Normal 14 17" xfId="16318"/>
    <cellStyle name="Normal 14 18" xfId="16319"/>
    <cellStyle name="Normal 14 19" xfId="16320"/>
    <cellStyle name="Normal 14 2" xfId="4174"/>
    <cellStyle name="Normal 14 2 10" xfId="16321"/>
    <cellStyle name="Normal 14 2 11" xfId="16322"/>
    <cellStyle name="Normal 14 2 12" xfId="16323"/>
    <cellStyle name="Normal 14 2 13" xfId="16324"/>
    <cellStyle name="Normal 14 2 14" xfId="16325"/>
    <cellStyle name="Normal 14 2 15" xfId="16326"/>
    <cellStyle name="Normal 14 2 16" xfId="16327"/>
    <cellStyle name="Normal 14 2 17" xfId="16328"/>
    <cellStyle name="Normal 14 2 18" xfId="16329"/>
    <cellStyle name="Normal 14 2 19" xfId="16330"/>
    <cellStyle name="Normal 14 2 2" xfId="16331"/>
    <cellStyle name="Normal 14 2 20" xfId="16332"/>
    <cellStyle name="Normal 14 2 21" xfId="16333"/>
    <cellStyle name="Normal 14 2 22" xfId="16334"/>
    <cellStyle name="Normal 14 2 23" xfId="16335"/>
    <cellStyle name="Normal 14 2 3" xfId="16336"/>
    <cellStyle name="Normal 14 2 4" xfId="16337"/>
    <cellStyle name="Normal 14 2 5" xfId="16338"/>
    <cellStyle name="Normal 14 2 6" xfId="16339"/>
    <cellStyle name="Normal 14 2 7" xfId="16340"/>
    <cellStyle name="Normal 14 2 8" xfId="16341"/>
    <cellStyle name="Normal 14 2 9" xfId="16342"/>
    <cellStyle name="Normal 14 20" xfId="16343"/>
    <cellStyle name="Normal 14 21" xfId="16344"/>
    <cellStyle name="Normal 14 22" xfId="16345"/>
    <cellStyle name="Normal 14 23" xfId="16346"/>
    <cellStyle name="Normal 14 24" xfId="16347"/>
    <cellStyle name="Normal 14 25" xfId="16348"/>
    <cellStyle name="Normal 14 26" xfId="16349"/>
    <cellStyle name="Normal 14 27" xfId="16350"/>
    <cellStyle name="Normal 14 28" xfId="16351"/>
    <cellStyle name="Normal 14 29" xfId="16352"/>
    <cellStyle name="Normal 14 3" xfId="4175"/>
    <cellStyle name="Normal 14 30" xfId="16353"/>
    <cellStyle name="Normal 14 31" xfId="16354"/>
    <cellStyle name="Normal 14 4" xfId="4176"/>
    <cellStyle name="Normal 14 4 2" xfId="4177"/>
    <cellStyle name="Normal 14 5" xfId="4178"/>
    <cellStyle name="Normal 14 6" xfId="4179"/>
    <cellStyle name="Normal 14 7" xfId="4180"/>
    <cellStyle name="Normal 14 8" xfId="4181"/>
    <cellStyle name="Normal 14 9" xfId="4182"/>
    <cellStyle name="Normal 14_Aceh Utara (BINA MARGA)" xfId="4183"/>
    <cellStyle name="Normal 140" xfId="4184"/>
    <cellStyle name="Normal 141" xfId="4185"/>
    <cellStyle name="Normal 142" xfId="4186"/>
    <cellStyle name="Normal 143" xfId="4187"/>
    <cellStyle name="Normal 143 2" xfId="4188"/>
    <cellStyle name="Normal 144" xfId="4189"/>
    <cellStyle name="Normal 145" xfId="4190"/>
    <cellStyle name="Normal 146" xfId="28329"/>
    <cellStyle name="Normal 146 2" xfId="31585"/>
    <cellStyle name="Normal 147" xfId="16355"/>
    <cellStyle name="Normal 148" xfId="28334"/>
    <cellStyle name="Normal 149" xfId="28335"/>
    <cellStyle name="Normal 15" xfId="4191"/>
    <cellStyle name="Normal 15 10" xfId="4192"/>
    <cellStyle name="Normal 15 11" xfId="4193"/>
    <cellStyle name="Normal 15 11 2" xfId="16356"/>
    <cellStyle name="Normal 15 11 3" xfId="16357"/>
    <cellStyle name="Normal 15 11 4" xfId="16358"/>
    <cellStyle name="Normal 15 12" xfId="16359"/>
    <cellStyle name="Normal 15 13" xfId="16360"/>
    <cellStyle name="Normal 15 14" xfId="16361"/>
    <cellStyle name="Normal 15 15" xfId="16362"/>
    <cellStyle name="Normal 15 16" xfId="16363"/>
    <cellStyle name="Normal 15 17" xfId="16364"/>
    <cellStyle name="Normal 15 18" xfId="16365"/>
    <cellStyle name="Normal 15 19" xfId="16366"/>
    <cellStyle name="Normal 15 2" xfId="4194"/>
    <cellStyle name="Normal 15 2 10" xfId="4195"/>
    <cellStyle name="Normal 15 2 11" xfId="4196"/>
    <cellStyle name="Normal 15 2 12" xfId="4197"/>
    <cellStyle name="Normal 15 2 13" xfId="4198"/>
    <cellStyle name="Normal 15 2 14" xfId="4199"/>
    <cellStyle name="Normal 15 2 15" xfId="4200"/>
    <cellStyle name="Normal 15 2 16" xfId="4201"/>
    <cellStyle name="Normal 15 2 17" xfId="4202"/>
    <cellStyle name="Normal 15 2 18" xfId="4203"/>
    <cellStyle name="Normal 15 2 19" xfId="4204"/>
    <cellStyle name="Normal 15 2 2" xfId="4205"/>
    <cellStyle name="Normal 15 2 20" xfId="4206"/>
    <cellStyle name="Normal 15 2 21" xfId="4207"/>
    <cellStyle name="Normal 15 2 22" xfId="4208"/>
    <cellStyle name="Normal 15 2 23" xfId="4209"/>
    <cellStyle name="Normal 15 2 24" xfId="4210"/>
    <cellStyle name="Normal 15 2 25" xfId="4211"/>
    <cellStyle name="Normal 15 2 26" xfId="4212"/>
    <cellStyle name="Normal 15 2 27" xfId="4213"/>
    <cellStyle name="Normal 15 2 28" xfId="4214"/>
    <cellStyle name="Normal 15 2 29" xfId="4215"/>
    <cellStyle name="Normal 15 2 3" xfId="4216"/>
    <cellStyle name="Normal 15 2 30" xfId="4217"/>
    <cellStyle name="Normal 15 2 31" xfId="4218"/>
    <cellStyle name="Normal 15 2 32" xfId="4219"/>
    <cellStyle name="Normal 15 2 33" xfId="4220"/>
    <cellStyle name="Normal 15 2 34" xfId="4221"/>
    <cellStyle name="Normal 15 2 35" xfId="4222"/>
    <cellStyle name="Normal 15 2 36" xfId="4223"/>
    <cellStyle name="Normal 15 2 37" xfId="4224"/>
    <cellStyle name="Normal 15 2 38" xfId="4225"/>
    <cellStyle name="Normal 15 2 39" xfId="4226"/>
    <cellStyle name="Normal 15 2 4" xfId="4227"/>
    <cellStyle name="Normal 15 2 40" xfId="4228"/>
    <cellStyle name="Normal 15 2 41" xfId="4229"/>
    <cellStyle name="Normal 15 2 42" xfId="4230"/>
    <cellStyle name="Normal 15 2 43" xfId="4231"/>
    <cellStyle name="Normal 15 2 44" xfId="4232"/>
    <cellStyle name="Normal 15 2 5" xfId="4233"/>
    <cellStyle name="Normal 15 2 6" xfId="4234"/>
    <cellStyle name="Normal 15 2 7" xfId="4235"/>
    <cellStyle name="Normal 15 2 8" xfId="4236"/>
    <cellStyle name="Normal 15 2 9" xfId="4237"/>
    <cellStyle name="Normal 15 20" xfId="16367"/>
    <cellStyle name="Normal 15 21" xfId="16368"/>
    <cellStyle name="Normal 15 22" xfId="16369"/>
    <cellStyle name="Normal 15 23" xfId="16370"/>
    <cellStyle name="Normal 15 24" xfId="16371"/>
    <cellStyle name="Normal 15 25" xfId="16372"/>
    <cellStyle name="Normal 15 26" xfId="16373"/>
    <cellStyle name="Normal 15 27" xfId="16374"/>
    <cellStyle name="Normal 15 28" xfId="16375"/>
    <cellStyle name="Normal 15 29" xfId="16376"/>
    <cellStyle name="Normal 15 3" xfId="4238"/>
    <cellStyle name="Normal 15 3 10" xfId="16377"/>
    <cellStyle name="Normal 15 3 11" xfId="16378"/>
    <cellStyle name="Normal 15 3 12" xfId="16379"/>
    <cellStyle name="Normal 15 3 13" xfId="16380"/>
    <cellStyle name="Normal 15 3 14" xfId="16381"/>
    <cellStyle name="Normal 15 3 15" xfId="16382"/>
    <cellStyle name="Normal 15 3 16" xfId="16383"/>
    <cellStyle name="Normal 15 3 17" xfId="16384"/>
    <cellStyle name="Normal 15 3 18" xfId="16385"/>
    <cellStyle name="Normal 15 3 19" xfId="16386"/>
    <cellStyle name="Normal 15 3 2" xfId="16387"/>
    <cellStyle name="Normal 15 3 20" xfId="16388"/>
    <cellStyle name="Normal 15 3 21" xfId="16389"/>
    <cellStyle name="Normal 15 3 22" xfId="16390"/>
    <cellStyle name="Normal 15 3 23" xfId="16391"/>
    <cellStyle name="Normal 15 3 3" xfId="16392"/>
    <cellStyle name="Normal 15 3 4" xfId="16393"/>
    <cellStyle name="Normal 15 3 5" xfId="16394"/>
    <cellStyle name="Normal 15 3 6" xfId="16395"/>
    <cellStyle name="Normal 15 3 7" xfId="16396"/>
    <cellStyle name="Normal 15 3 8" xfId="16397"/>
    <cellStyle name="Normal 15 3 9" xfId="16398"/>
    <cellStyle name="Normal 15 30" xfId="16399"/>
    <cellStyle name="Normal 15 31" xfId="16400"/>
    <cellStyle name="Normal 15 32" xfId="16401"/>
    <cellStyle name="Normal 15 4" xfId="4239"/>
    <cellStyle name="Normal 15 4 10" xfId="16402"/>
    <cellStyle name="Normal 15 4 11" xfId="16403"/>
    <cellStyle name="Normal 15 4 12" xfId="16404"/>
    <cellStyle name="Normal 15 4 13" xfId="16405"/>
    <cellStyle name="Normal 15 4 14" xfId="16406"/>
    <cellStyle name="Normal 15 4 15" xfId="16407"/>
    <cellStyle name="Normal 15 4 16" xfId="16408"/>
    <cellStyle name="Normal 15 4 17" xfId="16409"/>
    <cellStyle name="Normal 15 4 18" xfId="16410"/>
    <cellStyle name="Normal 15 4 19" xfId="16411"/>
    <cellStyle name="Normal 15 4 2" xfId="16412"/>
    <cellStyle name="Normal 15 4 20" xfId="16413"/>
    <cellStyle name="Normal 15 4 21" xfId="16414"/>
    <cellStyle name="Normal 15 4 22" xfId="16415"/>
    <cellStyle name="Normal 15 4 23" xfId="16416"/>
    <cellStyle name="Normal 15 4 3" xfId="16417"/>
    <cellStyle name="Normal 15 4 4" xfId="16418"/>
    <cellStyle name="Normal 15 4 5" xfId="16419"/>
    <cellStyle name="Normal 15 4 6" xfId="16420"/>
    <cellStyle name="Normal 15 4 7" xfId="16421"/>
    <cellStyle name="Normal 15 4 8" xfId="16422"/>
    <cellStyle name="Normal 15 4 9" xfId="16423"/>
    <cellStyle name="Normal 15 5" xfId="4240"/>
    <cellStyle name="Normal 15 6" xfId="4241"/>
    <cellStyle name="Normal 15 7" xfId="4242"/>
    <cellStyle name="Normal 15 8" xfId="4243"/>
    <cellStyle name="Normal 15 9" xfId="4244"/>
    <cellStyle name="Normal 15_Aceh Utara (BINA MARGA)" xfId="4245"/>
    <cellStyle name="Normal 150" xfId="28328"/>
    <cellStyle name="Normal 151" xfId="28340"/>
    <cellStyle name="Normal 152" xfId="31586"/>
    <cellStyle name="Normal 155" xfId="28631"/>
    <cellStyle name="Normal 156" xfId="28728"/>
    <cellStyle name="Normal 157" xfId="28825"/>
    <cellStyle name="Normal 158" xfId="28922"/>
    <cellStyle name="Normal 159" xfId="29020"/>
    <cellStyle name="Normal 16" xfId="4246"/>
    <cellStyle name="Normal 16 10" xfId="4247"/>
    <cellStyle name="Normal 16 11" xfId="16424"/>
    <cellStyle name="Normal 16 12" xfId="16425"/>
    <cellStyle name="Normal 16 13" xfId="16426"/>
    <cellStyle name="Normal 16 14" xfId="16427"/>
    <cellStyle name="Normal 16 15" xfId="16428"/>
    <cellStyle name="Normal 16 16" xfId="16429"/>
    <cellStyle name="Normal 16 17" xfId="16430"/>
    <cellStyle name="Normal 16 18" xfId="16431"/>
    <cellStyle name="Normal 16 19" xfId="16432"/>
    <cellStyle name="Normal 16 2" xfId="4248"/>
    <cellStyle name="Normal 16 2 10" xfId="16433"/>
    <cellStyle name="Normal 16 2 11" xfId="16434"/>
    <cellStyle name="Normal 16 2 12" xfId="16435"/>
    <cellStyle name="Normal 16 2 13" xfId="16436"/>
    <cellStyle name="Normal 16 2 14" xfId="16437"/>
    <cellStyle name="Normal 16 2 15" xfId="16438"/>
    <cellStyle name="Normal 16 2 16" xfId="16439"/>
    <cellStyle name="Normal 16 2 17" xfId="16440"/>
    <cellStyle name="Normal 16 2 18" xfId="16441"/>
    <cellStyle name="Normal 16 2 19" xfId="16442"/>
    <cellStyle name="Normal 16 2 2" xfId="16443"/>
    <cellStyle name="Normal 16 2 20" xfId="16444"/>
    <cellStyle name="Normal 16 2 21" xfId="16445"/>
    <cellStyle name="Normal 16 2 22" xfId="16446"/>
    <cellStyle name="Normal 16 2 23" xfId="16447"/>
    <cellStyle name="Normal 16 2 3" xfId="16448"/>
    <cellStyle name="Normal 16 2 4" xfId="16449"/>
    <cellStyle name="Normal 16 2 5" xfId="16450"/>
    <cellStyle name="Normal 16 2 6" xfId="16451"/>
    <cellStyle name="Normal 16 2 7" xfId="16452"/>
    <cellStyle name="Normal 16 2 8" xfId="16453"/>
    <cellStyle name="Normal 16 2 9" xfId="16454"/>
    <cellStyle name="Normal 16 20" xfId="16455"/>
    <cellStyle name="Normal 16 21" xfId="16456"/>
    <cellStyle name="Normal 16 22" xfId="16457"/>
    <cellStyle name="Normal 16 23" xfId="16458"/>
    <cellStyle name="Normal 16 24" xfId="16459"/>
    <cellStyle name="Normal 16 25" xfId="16460"/>
    <cellStyle name="Normal 16 26" xfId="16461"/>
    <cellStyle name="Normal 16 27" xfId="16462"/>
    <cellStyle name="Normal 16 28" xfId="16463"/>
    <cellStyle name="Normal 16 29" xfId="16464"/>
    <cellStyle name="Normal 16 3" xfId="4249"/>
    <cellStyle name="Normal 16 30" xfId="16465"/>
    <cellStyle name="Normal 16 31" xfId="16466"/>
    <cellStyle name="Normal 16 4" xfId="4250"/>
    <cellStyle name="Normal 16 5" xfId="4251"/>
    <cellStyle name="Normal 16 6" xfId="4252"/>
    <cellStyle name="Normal 16 7" xfId="4253"/>
    <cellStyle name="Normal 16 8" xfId="4254"/>
    <cellStyle name="Normal 16 9" xfId="4255"/>
    <cellStyle name="Normal 16_Aceh Utara (BINA MARGA)" xfId="4256"/>
    <cellStyle name="Normal 17" xfId="4257"/>
    <cellStyle name="Normal 17 10" xfId="4258"/>
    <cellStyle name="Normal 17 11" xfId="16467"/>
    <cellStyle name="Normal 17 12" xfId="16468"/>
    <cellStyle name="Normal 17 13" xfId="16469"/>
    <cellStyle name="Normal 17 14" xfId="16470"/>
    <cellStyle name="Normal 17 15" xfId="16471"/>
    <cellStyle name="Normal 17 16" xfId="16472"/>
    <cellStyle name="Normal 17 17" xfId="16473"/>
    <cellStyle name="Normal 17 18" xfId="16474"/>
    <cellStyle name="Normal 17 19" xfId="16475"/>
    <cellStyle name="Normal 17 2" xfId="4259"/>
    <cellStyle name="Normal 17 2 10" xfId="16476"/>
    <cellStyle name="Normal 17 2 11" xfId="16477"/>
    <cellStyle name="Normal 17 2 12" xfId="16478"/>
    <cellStyle name="Normal 17 2 13" xfId="16479"/>
    <cellStyle name="Normal 17 2 14" xfId="16480"/>
    <cellStyle name="Normal 17 2 15" xfId="16481"/>
    <cellStyle name="Normal 17 2 16" xfId="16482"/>
    <cellStyle name="Normal 17 2 17" xfId="16483"/>
    <cellStyle name="Normal 17 2 18" xfId="16484"/>
    <cellStyle name="Normal 17 2 19" xfId="16485"/>
    <cellStyle name="Normal 17 2 2" xfId="16486"/>
    <cellStyle name="Normal 17 2 20" xfId="16487"/>
    <cellStyle name="Normal 17 2 21" xfId="16488"/>
    <cellStyle name="Normal 17 2 22" xfId="16489"/>
    <cellStyle name="Normal 17 2 23" xfId="16490"/>
    <cellStyle name="Normal 17 2 3" xfId="16491"/>
    <cellStyle name="Normal 17 2 4" xfId="16492"/>
    <cellStyle name="Normal 17 2 5" xfId="16493"/>
    <cellStyle name="Normal 17 2 6" xfId="16494"/>
    <cellStyle name="Normal 17 2 7" xfId="16495"/>
    <cellStyle name="Normal 17 2 8" xfId="16496"/>
    <cellStyle name="Normal 17 2 9" xfId="16497"/>
    <cellStyle name="Normal 17 20" xfId="16498"/>
    <cellStyle name="Normal 17 21" xfId="16499"/>
    <cellStyle name="Normal 17 22" xfId="16500"/>
    <cellStyle name="Normal 17 23" xfId="16501"/>
    <cellStyle name="Normal 17 24" xfId="16502"/>
    <cellStyle name="Normal 17 25" xfId="16503"/>
    <cellStyle name="Normal 17 26" xfId="16504"/>
    <cellStyle name="Normal 17 27" xfId="16505"/>
    <cellStyle name="Normal 17 28" xfId="16506"/>
    <cellStyle name="Normal 17 29" xfId="16507"/>
    <cellStyle name="Normal 17 3" xfId="4260"/>
    <cellStyle name="Normal 17 30" xfId="16508"/>
    <cellStyle name="Normal 17 31" xfId="16509"/>
    <cellStyle name="Normal 17 4" xfId="4261"/>
    <cellStyle name="Normal 17 5" xfId="4262"/>
    <cellStyle name="Normal 17 6" xfId="4263"/>
    <cellStyle name="Normal 17 7" xfId="4264"/>
    <cellStyle name="Normal 17 8" xfId="4265"/>
    <cellStyle name="Normal 17 9" xfId="4266"/>
    <cellStyle name="Normal 18" xfId="4267"/>
    <cellStyle name="Normal 18 10" xfId="4268"/>
    <cellStyle name="Normal 18 10 2" xfId="16510"/>
    <cellStyle name="Normal 18 10 3" xfId="16511"/>
    <cellStyle name="Normal 18 10 4" xfId="16512"/>
    <cellStyle name="Normal 18 11" xfId="16513"/>
    <cellStyle name="Normal 18 12" xfId="16514"/>
    <cellStyle name="Normal 18 13" xfId="16515"/>
    <cellStyle name="Normal 18 14" xfId="16516"/>
    <cellStyle name="Normal 18 15" xfId="16517"/>
    <cellStyle name="Normal 18 16" xfId="16518"/>
    <cellStyle name="Normal 18 17" xfId="16519"/>
    <cellStyle name="Normal 18 18" xfId="16520"/>
    <cellStyle name="Normal 18 19" xfId="16521"/>
    <cellStyle name="Normal 18 2" xfId="4269"/>
    <cellStyle name="Normal 18 2 10" xfId="16522"/>
    <cellStyle name="Normal 18 2 11" xfId="16523"/>
    <cellStyle name="Normal 18 2 12" xfId="16524"/>
    <cellStyle name="Normal 18 2 13" xfId="16525"/>
    <cellStyle name="Normal 18 2 14" xfId="16526"/>
    <cellStyle name="Normal 18 2 15" xfId="16527"/>
    <cellStyle name="Normal 18 2 16" xfId="16528"/>
    <cellStyle name="Normal 18 2 17" xfId="16529"/>
    <cellStyle name="Normal 18 2 18" xfId="16530"/>
    <cellStyle name="Normal 18 2 19" xfId="16531"/>
    <cellStyle name="Normal 18 2 2" xfId="4270"/>
    <cellStyle name="Normal 18 2 2 10" xfId="16532"/>
    <cellStyle name="Normal 18 2 2 11" xfId="16533"/>
    <cellStyle name="Normal 18 2 2 12" xfId="16534"/>
    <cellStyle name="Normal 18 2 2 13" xfId="16535"/>
    <cellStyle name="Normal 18 2 2 14" xfId="16536"/>
    <cellStyle name="Normal 18 2 2 15" xfId="16537"/>
    <cellStyle name="Normal 18 2 2 16" xfId="16538"/>
    <cellStyle name="Normal 18 2 2 17" xfId="16539"/>
    <cellStyle name="Normal 18 2 2 18" xfId="16540"/>
    <cellStyle name="Normal 18 2 2 19" xfId="16541"/>
    <cellStyle name="Normal 18 2 2 2" xfId="16542"/>
    <cellStyle name="Normal 18 2 2 20" xfId="16543"/>
    <cellStyle name="Normal 18 2 2 21" xfId="16544"/>
    <cellStyle name="Normal 18 2 2 22" xfId="16545"/>
    <cellStyle name="Normal 18 2 2 23" xfId="16546"/>
    <cellStyle name="Normal 18 2 2 3" xfId="16547"/>
    <cellStyle name="Normal 18 2 2 4" xfId="16548"/>
    <cellStyle name="Normal 18 2 2 5" xfId="16549"/>
    <cellStyle name="Normal 18 2 2 6" xfId="16550"/>
    <cellStyle name="Normal 18 2 2 7" xfId="16551"/>
    <cellStyle name="Normal 18 2 2 8" xfId="16552"/>
    <cellStyle name="Normal 18 2 2 9" xfId="16553"/>
    <cellStyle name="Normal 18 2 20" xfId="16554"/>
    <cellStyle name="Normal 18 2 21" xfId="16555"/>
    <cellStyle name="Normal 18 2 22" xfId="16556"/>
    <cellStyle name="Normal 18 2 23" xfId="16557"/>
    <cellStyle name="Normal 18 2 24" xfId="16558"/>
    <cellStyle name="Normal 18 2 25" xfId="16559"/>
    <cellStyle name="Normal 18 2 26" xfId="16560"/>
    <cellStyle name="Normal 18 2 27" xfId="16561"/>
    <cellStyle name="Normal 18 2 28" xfId="16562"/>
    <cellStyle name="Normal 18 2 29" xfId="16563"/>
    <cellStyle name="Normal 18 2 3" xfId="4271"/>
    <cellStyle name="Normal 18 2 3 2" xfId="16564"/>
    <cellStyle name="Normal 18 2 3 3" xfId="16565"/>
    <cellStyle name="Normal 18 2 3 4" xfId="16566"/>
    <cellStyle name="Normal 18 2 4" xfId="4272"/>
    <cellStyle name="Normal 18 2 4 2" xfId="16567"/>
    <cellStyle name="Normal 18 2 4 3" xfId="16568"/>
    <cellStyle name="Normal 18 2 4 4" xfId="16569"/>
    <cellStyle name="Normal 18 2 5" xfId="4273"/>
    <cellStyle name="Normal 18 2 5 2" xfId="16570"/>
    <cellStyle name="Normal 18 2 5 3" xfId="16571"/>
    <cellStyle name="Normal 18 2 5 4" xfId="16572"/>
    <cellStyle name="Normal 18 2 6" xfId="4274"/>
    <cellStyle name="Normal 18 2 6 2" xfId="16573"/>
    <cellStyle name="Normal 18 2 6 3" xfId="16574"/>
    <cellStyle name="Normal 18 2 6 4" xfId="16575"/>
    <cellStyle name="Normal 18 2 7" xfId="4275"/>
    <cellStyle name="Normal 18 2 7 2" xfId="16576"/>
    <cellStyle name="Normal 18 2 7 3" xfId="16577"/>
    <cellStyle name="Normal 18 2 7 4" xfId="16578"/>
    <cellStyle name="Normal 18 2 8" xfId="4276"/>
    <cellStyle name="Normal 18 2 8 2" xfId="16579"/>
    <cellStyle name="Normal 18 2 8 3" xfId="16580"/>
    <cellStyle name="Normal 18 2 8 4" xfId="16581"/>
    <cellStyle name="Normal 18 2 9" xfId="16582"/>
    <cellStyle name="Normal 18 20" xfId="16583"/>
    <cellStyle name="Normal 18 21" xfId="16584"/>
    <cellStyle name="Normal 18 22" xfId="16585"/>
    <cellStyle name="Normal 18 23" xfId="16586"/>
    <cellStyle name="Normal 18 24" xfId="16587"/>
    <cellStyle name="Normal 18 25" xfId="16588"/>
    <cellStyle name="Normal 18 26" xfId="16589"/>
    <cellStyle name="Normal 18 27" xfId="16590"/>
    <cellStyle name="Normal 18 28" xfId="16591"/>
    <cellStyle name="Normal 18 29" xfId="16592"/>
    <cellStyle name="Normal 18 3" xfId="4277"/>
    <cellStyle name="Normal 18 3 10" xfId="4278"/>
    <cellStyle name="Normal 18 3 10 2" xfId="16593"/>
    <cellStyle name="Normal 18 3 10 3" xfId="16594"/>
    <cellStyle name="Normal 18 3 10 4" xfId="16595"/>
    <cellStyle name="Normal 18 3 11" xfId="4279"/>
    <cellStyle name="Normal 18 3 11 2" xfId="16596"/>
    <cellStyle name="Normal 18 3 11 3" xfId="16597"/>
    <cellStyle name="Normal 18 3 11 4" xfId="16598"/>
    <cellStyle name="Normal 18 3 12" xfId="4280"/>
    <cellStyle name="Normal 18 3 12 2" xfId="16599"/>
    <cellStyle name="Normal 18 3 12 3" xfId="16600"/>
    <cellStyle name="Normal 18 3 12 4" xfId="16601"/>
    <cellStyle name="Normal 18 3 13" xfId="4281"/>
    <cellStyle name="Normal 18 3 13 2" xfId="16602"/>
    <cellStyle name="Normal 18 3 13 3" xfId="16603"/>
    <cellStyle name="Normal 18 3 13 4" xfId="16604"/>
    <cellStyle name="Normal 18 3 14" xfId="4282"/>
    <cellStyle name="Normal 18 3 14 2" xfId="16605"/>
    <cellStyle name="Normal 18 3 14 3" xfId="16606"/>
    <cellStyle name="Normal 18 3 14 4" xfId="16607"/>
    <cellStyle name="Normal 18 3 15" xfId="4283"/>
    <cellStyle name="Normal 18 3 15 2" xfId="16608"/>
    <cellStyle name="Normal 18 3 15 3" xfId="16609"/>
    <cellStyle name="Normal 18 3 15 4" xfId="16610"/>
    <cellStyle name="Normal 18 3 16" xfId="4284"/>
    <cellStyle name="Normal 18 3 16 2" xfId="16611"/>
    <cellStyle name="Normal 18 3 16 3" xfId="16612"/>
    <cellStyle name="Normal 18 3 16 4" xfId="16613"/>
    <cellStyle name="Normal 18 3 17" xfId="4285"/>
    <cellStyle name="Normal 18 3 17 2" xfId="16614"/>
    <cellStyle name="Normal 18 3 17 3" xfId="16615"/>
    <cellStyle name="Normal 18 3 17 4" xfId="16616"/>
    <cellStyle name="Normal 18 3 18" xfId="4286"/>
    <cellStyle name="Normal 18 3 18 2" xfId="16617"/>
    <cellStyle name="Normal 18 3 18 3" xfId="16618"/>
    <cellStyle name="Normal 18 3 18 4" xfId="16619"/>
    <cellStyle name="Normal 18 3 19" xfId="4287"/>
    <cellStyle name="Normal 18 3 19 2" xfId="16620"/>
    <cellStyle name="Normal 18 3 19 3" xfId="16621"/>
    <cellStyle name="Normal 18 3 19 4" xfId="16622"/>
    <cellStyle name="Normal 18 3 2" xfId="4288"/>
    <cellStyle name="Normal 18 3 2 10" xfId="16623"/>
    <cellStyle name="Normal 18 3 2 11" xfId="16624"/>
    <cellStyle name="Normal 18 3 2 12" xfId="16625"/>
    <cellStyle name="Normal 18 3 2 13" xfId="16626"/>
    <cellStyle name="Normal 18 3 2 14" xfId="16627"/>
    <cellStyle name="Normal 18 3 2 15" xfId="16628"/>
    <cellStyle name="Normal 18 3 2 16" xfId="16629"/>
    <cellStyle name="Normal 18 3 2 17" xfId="16630"/>
    <cellStyle name="Normal 18 3 2 18" xfId="16631"/>
    <cellStyle name="Normal 18 3 2 19" xfId="16632"/>
    <cellStyle name="Normal 18 3 2 2" xfId="4289"/>
    <cellStyle name="Normal 18 3 2 2 2" xfId="16633"/>
    <cellStyle name="Normal 18 3 2 2 3" xfId="16634"/>
    <cellStyle name="Normal 18 3 2 2 4" xfId="16635"/>
    <cellStyle name="Normal 18 3 2 20" xfId="16636"/>
    <cellStyle name="Normal 18 3 2 21" xfId="16637"/>
    <cellStyle name="Normal 18 3 2 22" xfId="16638"/>
    <cellStyle name="Normal 18 3 2 23" xfId="16639"/>
    <cellStyle name="Normal 18 3 2 3" xfId="16640"/>
    <cellStyle name="Normal 18 3 2 4" xfId="16641"/>
    <cellStyle name="Normal 18 3 2 5" xfId="16642"/>
    <cellStyle name="Normal 18 3 2 6" xfId="16643"/>
    <cellStyle name="Normal 18 3 2 7" xfId="16644"/>
    <cellStyle name="Normal 18 3 2 8" xfId="16645"/>
    <cellStyle name="Normal 18 3 2 9" xfId="16646"/>
    <cellStyle name="Normal 18 3 20" xfId="4290"/>
    <cellStyle name="Normal 18 3 20 2" xfId="16647"/>
    <cellStyle name="Normal 18 3 20 3" xfId="16648"/>
    <cellStyle name="Normal 18 3 20 4" xfId="16649"/>
    <cellStyle name="Normal 18 3 21" xfId="4291"/>
    <cellStyle name="Normal 18 3 21 2" xfId="16650"/>
    <cellStyle name="Normal 18 3 21 3" xfId="16651"/>
    <cellStyle name="Normal 18 3 21 4" xfId="16652"/>
    <cellStyle name="Normal 18 3 22" xfId="4292"/>
    <cellStyle name="Normal 18 3 22 2" xfId="16653"/>
    <cellStyle name="Normal 18 3 22 3" xfId="16654"/>
    <cellStyle name="Normal 18 3 22 4" xfId="16655"/>
    <cellStyle name="Normal 18 3 23" xfId="4293"/>
    <cellStyle name="Normal 18 3 23 2" xfId="16656"/>
    <cellStyle name="Normal 18 3 23 3" xfId="16657"/>
    <cellStyle name="Normal 18 3 23 4" xfId="16658"/>
    <cellStyle name="Normal 18 3 24" xfId="4294"/>
    <cellStyle name="Normal 18 3 24 2" xfId="16659"/>
    <cellStyle name="Normal 18 3 24 3" xfId="16660"/>
    <cellStyle name="Normal 18 3 24 4" xfId="16661"/>
    <cellStyle name="Normal 18 3 25" xfId="4295"/>
    <cellStyle name="Normal 18 3 25 2" xfId="16662"/>
    <cellStyle name="Normal 18 3 25 3" xfId="16663"/>
    <cellStyle name="Normal 18 3 25 4" xfId="16664"/>
    <cellStyle name="Normal 18 3 26" xfId="4296"/>
    <cellStyle name="Normal 18 3 26 2" xfId="16665"/>
    <cellStyle name="Normal 18 3 26 3" xfId="16666"/>
    <cellStyle name="Normal 18 3 26 4" xfId="16667"/>
    <cellStyle name="Normal 18 3 27" xfId="4297"/>
    <cellStyle name="Normal 18 3 27 2" xfId="16668"/>
    <cellStyle name="Normal 18 3 27 3" xfId="16669"/>
    <cellStyle name="Normal 18 3 27 4" xfId="16670"/>
    <cellStyle name="Normal 18 3 28" xfId="4298"/>
    <cellStyle name="Normal 18 3 28 2" xfId="16671"/>
    <cellStyle name="Normal 18 3 28 3" xfId="16672"/>
    <cellStyle name="Normal 18 3 28 4" xfId="16673"/>
    <cellStyle name="Normal 18 3 29" xfId="4299"/>
    <cellStyle name="Normal 18 3 29 2" xfId="16674"/>
    <cellStyle name="Normal 18 3 29 3" xfId="16675"/>
    <cellStyle name="Normal 18 3 29 4" xfId="16676"/>
    <cellStyle name="Normal 18 3 3" xfId="4300"/>
    <cellStyle name="Normal 18 3 3 10" xfId="16677"/>
    <cellStyle name="Normal 18 3 3 11" xfId="16678"/>
    <cellStyle name="Normal 18 3 3 12" xfId="16679"/>
    <cellStyle name="Normal 18 3 3 13" xfId="16680"/>
    <cellStyle name="Normal 18 3 3 14" xfId="16681"/>
    <cellStyle name="Normal 18 3 3 15" xfId="16682"/>
    <cellStyle name="Normal 18 3 3 16" xfId="16683"/>
    <cellStyle name="Normal 18 3 3 17" xfId="16684"/>
    <cellStyle name="Normal 18 3 3 18" xfId="16685"/>
    <cellStyle name="Normal 18 3 3 19" xfId="16686"/>
    <cellStyle name="Normal 18 3 3 2" xfId="16687"/>
    <cellStyle name="Normal 18 3 3 20" xfId="16688"/>
    <cellStyle name="Normal 18 3 3 21" xfId="16689"/>
    <cellStyle name="Normal 18 3 3 22" xfId="16690"/>
    <cellStyle name="Normal 18 3 3 23" xfId="16691"/>
    <cellStyle name="Normal 18 3 3 3" xfId="16692"/>
    <cellStyle name="Normal 18 3 3 4" xfId="16693"/>
    <cellStyle name="Normal 18 3 3 5" xfId="16694"/>
    <cellStyle name="Normal 18 3 3 6" xfId="16695"/>
    <cellStyle name="Normal 18 3 3 7" xfId="16696"/>
    <cellStyle name="Normal 18 3 3 8" xfId="16697"/>
    <cellStyle name="Normal 18 3 3 9" xfId="16698"/>
    <cellStyle name="Normal 18 3 30" xfId="4301"/>
    <cellStyle name="Normal 18 3 30 2" xfId="16699"/>
    <cellStyle name="Normal 18 3 30 3" xfId="16700"/>
    <cellStyle name="Normal 18 3 30 4" xfId="16701"/>
    <cellStyle name="Normal 18 3 31" xfId="4302"/>
    <cellStyle name="Normal 18 3 31 2" xfId="16702"/>
    <cellStyle name="Normal 18 3 31 3" xfId="16703"/>
    <cellStyle name="Normal 18 3 31 4" xfId="16704"/>
    <cellStyle name="Normal 18 3 32" xfId="4303"/>
    <cellStyle name="Normal 18 3 32 2" xfId="16705"/>
    <cellStyle name="Normal 18 3 32 3" xfId="16706"/>
    <cellStyle name="Normal 18 3 32 4" xfId="16707"/>
    <cellStyle name="Normal 18 3 33" xfId="4304"/>
    <cellStyle name="Normal 18 3 33 2" xfId="16708"/>
    <cellStyle name="Normal 18 3 33 3" xfId="16709"/>
    <cellStyle name="Normal 18 3 33 4" xfId="16710"/>
    <cellStyle name="Normal 18 3 34" xfId="4305"/>
    <cellStyle name="Normal 18 3 34 2" xfId="16711"/>
    <cellStyle name="Normal 18 3 34 3" xfId="16712"/>
    <cellStyle name="Normal 18 3 34 4" xfId="16713"/>
    <cellStyle name="Normal 18 3 35" xfId="4306"/>
    <cellStyle name="Normal 18 3 35 2" xfId="16714"/>
    <cellStyle name="Normal 18 3 35 3" xfId="16715"/>
    <cellStyle name="Normal 18 3 35 4" xfId="16716"/>
    <cellStyle name="Normal 18 3 36" xfId="4307"/>
    <cellStyle name="Normal 18 3 36 2" xfId="16717"/>
    <cellStyle name="Normal 18 3 36 3" xfId="16718"/>
    <cellStyle name="Normal 18 3 36 4" xfId="16719"/>
    <cellStyle name="Normal 18 3 37" xfId="4308"/>
    <cellStyle name="Normal 18 3 37 2" xfId="16720"/>
    <cellStyle name="Normal 18 3 37 3" xfId="16721"/>
    <cellStyle name="Normal 18 3 37 4" xfId="16722"/>
    <cellStyle name="Normal 18 3 38" xfId="4309"/>
    <cellStyle name="Normal 18 3 38 2" xfId="16723"/>
    <cellStyle name="Normal 18 3 38 3" xfId="16724"/>
    <cellStyle name="Normal 18 3 38 4" xfId="16725"/>
    <cellStyle name="Normal 18 3 39" xfId="4310"/>
    <cellStyle name="Normal 18 3 39 2" xfId="16726"/>
    <cellStyle name="Normal 18 3 39 3" xfId="16727"/>
    <cellStyle name="Normal 18 3 39 4" xfId="16728"/>
    <cellStyle name="Normal 18 3 4" xfId="4311"/>
    <cellStyle name="Normal 18 3 4 10" xfId="16729"/>
    <cellStyle name="Normal 18 3 4 11" xfId="16730"/>
    <cellStyle name="Normal 18 3 4 12" xfId="16731"/>
    <cellStyle name="Normal 18 3 4 13" xfId="16732"/>
    <cellStyle name="Normal 18 3 4 14" xfId="16733"/>
    <cellStyle name="Normal 18 3 4 15" xfId="16734"/>
    <cellStyle name="Normal 18 3 4 16" xfId="16735"/>
    <cellStyle name="Normal 18 3 4 17" xfId="16736"/>
    <cellStyle name="Normal 18 3 4 18" xfId="16737"/>
    <cellStyle name="Normal 18 3 4 19" xfId="16738"/>
    <cellStyle name="Normal 18 3 4 2" xfId="4312"/>
    <cellStyle name="Normal 18 3 4 2 10" xfId="16739"/>
    <cellStyle name="Normal 18 3 4 2 11" xfId="16740"/>
    <cellStyle name="Normal 18 3 4 2 12" xfId="16741"/>
    <cellStyle name="Normal 18 3 4 2 13" xfId="16742"/>
    <cellStyle name="Normal 18 3 4 2 14" xfId="16743"/>
    <cellStyle name="Normal 18 3 4 2 15" xfId="16744"/>
    <cellStyle name="Normal 18 3 4 2 16" xfId="16745"/>
    <cellStyle name="Normal 18 3 4 2 17" xfId="16746"/>
    <cellStyle name="Normal 18 3 4 2 18" xfId="16747"/>
    <cellStyle name="Normal 18 3 4 2 19" xfId="16748"/>
    <cellStyle name="Normal 18 3 4 2 2" xfId="4313"/>
    <cellStyle name="Normal 18 3 4 2 2 10" xfId="16749"/>
    <cellStyle name="Normal 18 3 4 2 2 11" xfId="16750"/>
    <cellStyle name="Normal 18 3 4 2 2 12" xfId="16751"/>
    <cellStyle name="Normal 18 3 4 2 2 13" xfId="16752"/>
    <cellStyle name="Normal 18 3 4 2 2 14" xfId="16753"/>
    <cellStyle name="Normal 18 3 4 2 2 15" xfId="16754"/>
    <cellStyle name="Normal 18 3 4 2 2 16" xfId="16755"/>
    <cellStyle name="Normal 18 3 4 2 2 17" xfId="16756"/>
    <cellStyle name="Normal 18 3 4 2 2 18" xfId="16757"/>
    <cellStyle name="Normal 18 3 4 2 2 19" xfId="16758"/>
    <cellStyle name="Normal 18 3 4 2 2 2" xfId="16759"/>
    <cellStyle name="Normal 18 3 4 2 2 20" xfId="16760"/>
    <cellStyle name="Normal 18 3 4 2 2 21" xfId="16761"/>
    <cellStyle name="Normal 18 3 4 2 2 22" xfId="16762"/>
    <cellStyle name="Normal 18 3 4 2 2 23" xfId="16763"/>
    <cellStyle name="Normal 18 3 4 2 2 3" xfId="16764"/>
    <cellStyle name="Normal 18 3 4 2 2 4" xfId="16765"/>
    <cellStyle name="Normal 18 3 4 2 2 5" xfId="16766"/>
    <cellStyle name="Normal 18 3 4 2 2 6" xfId="16767"/>
    <cellStyle name="Normal 18 3 4 2 2 7" xfId="16768"/>
    <cellStyle name="Normal 18 3 4 2 2 8" xfId="16769"/>
    <cellStyle name="Normal 18 3 4 2 2 9" xfId="16770"/>
    <cellStyle name="Normal 18 3 4 2 20" xfId="16771"/>
    <cellStyle name="Normal 18 3 4 2 21" xfId="16772"/>
    <cellStyle name="Normal 18 3 4 2 22" xfId="16773"/>
    <cellStyle name="Normal 18 3 4 2 23" xfId="16774"/>
    <cellStyle name="Normal 18 3 4 2 24" xfId="16775"/>
    <cellStyle name="Normal 18 3 4 2 25" xfId="16776"/>
    <cellStyle name="Normal 18 3 4 2 3" xfId="4314"/>
    <cellStyle name="Normal 18 3 4 2 3 10" xfId="16777"/>
    <cellStyle name="Normal 18 3 4 2 3 10 2" xfId="16778"/>
    <cellStyle name="Normal 18 3 4 2 3 11" xfId="16779"/>
    <cellStyle name="Normal 18 3 4 2 3 12" xfId="16780"/>
    <cellStyle name="Normal 18 3 4 2 3 13" xfId="16781"/>
    <cellStyle name="Normal 18 3 4 2 3 14" xfId="16782"/>
    <cellStyle name="Normal 18 3 4 2 3 15" xfId="16783"/>
    <cellStyle name="Normal 18 3 4 2 3 16" xfId="16784"/>
    <cellStyle name="Normal 18 3 4 2 3 17" xfId="16785"/>
    <cellStyle name="Normal 18 3 4 2 3 18" xfId="16786"/>
    <cellStyle name="Normal 18 3 4 2 3 19" xfId="16787"/>
    <cellStyle name="Normal 18 3 4 2 3 2" xfId="16788"/>
    <cellStyle name="Normal 18 3 4 2 3 2 2" xfId="16789"/>
    <cellStyle name="Normal 18 3 4 2 3 2 2 2" xfId="16790"/>
    <cellStyle name="Normal 18 3 4 2 3 2 2 2 2" xfId="16791"/>
    <cellStyle name="Normal 18 3 4 2 3 20" xfId="16792"/>
    <cellStyle name="Normal 18 3 4 2 3 21" xfId="16793"/>
    <cellStyle name="Normal 18 3 4 2 3 22" xfId="16794"/>
    <cellStyle name="Normal 18 3 4 2 3 23" xfId="16795"/>
    <cellStyle name="Normal 18 3 4 2 3 24" xfId="16796"/>
    <cellStyle name="Normal 18 3 4 2 3 25" xfId="16797"/>
    <cellStyle name="Normal 18 3 4 2 3 26" xfId="16798"/>
    <cellStyle name="Normal 18 3 4 2 3 27" xfId="16799"/>
    <cellStyle name="Normal 18 3 4 2 3 28" xfId="16800"/>
    <cellStyle name="Normal 18 3 4 2 3 29" xfId="16801"/>
    <cellStyle name="Normal 18 3 4 2 3 3" xfId="16802"/>
    <cellStyle name="Normal 18 3 4 2 3 30" xfId="16803"/>
    <cellStyle name="Normal 18 3 4 2 3 31" xfId="16804"/>
    <cellStyle name="Normal 18 3 4 2 3 32" xfId="16805"/>
    <cellStyle name="Normal 18 3 4 2 3 4" xfId="16806"/>
    <cellStyle name="Normal 18 3 4 2 3 5" xfId="16807"/>
    <cellStyle name="Normal 18 3 4 2 3 6" xfId="16808"/>
    <cellStyle name="Normal 18 3 4 2 3 7" xfId="16809"/>
    <cellStyle name="Normal 18 3 4 2 3 8" xfId="16810"/>
    <cellStyle name="Normal 18 3 4 2 3 8 2" xfId="16811"/>
    <cellStyle name="Normal 18 3 4 2 3 9" xfId="16812"/>
    <cellStyle name="Normal 18 3 4 2 4" xfId="16813"/>
    <cellStyle name="Normal 18 3 4 2 5" xfId="16814"/>
    <cellStyle name="Normal 18 3 4 2 6" xfId="16815"/>
    <cellStyle name="Normal 18 3 4 2 7" xfId="16816"/>
    <cellStyle name="Normal 18 3 4 2 8" xfId="16817"/>
    <cellStyle name="Normal 18 3 4 2 9" xfId="16818"/>
    <cellStyle name="Normal 18 3 4 20" xfId="16819"/>
    <cellStyle name="Normal 18 3 4 21" xfId="16820"/>
    <cellStyle name="Normal 18 3 4 22" xfId="16821"/>
    <cellStyle name="Normal 18 3 4 23" xfId="16822"/>
    <cellStyle name="Normal 18 3 4 24" xfId="16823"/>
    <cellStyle name="Normal 18 3 4 25" xfId="16824"/>
    <cellStyle name="Normal 18 3 4 26" xfId="16825"/>
    <cellStyle name="Normal 18 3 4 27" xfId="16826"/>
    <cellStyle name="Normal 18 3 4 3" xfId="4315"/>
    <cellStyle name="Normal 18 3 4 3 10" xfId="16827"/>
    <cellStyle name="Normal 18 3 4 3 11" xfId="16828"/>
    <cellStyle name="Normal 18 3 4 3 12" xfId="16829"/>
    <cellStyle name="Normal 18 3 4 3 13" xfId="16830"/>
    <cellStyle name="Normal 18 3 4 3 14" xfId="16831"/>
    <cellStyle name="Normal 18 3 4 3 15" xfId="16832"/>
    <cellStyle name="Normal 18 3 4 3 16" xfId="16833"/>
    <cellStyle name="Normal 18 3 4 3 17" xfId="16834"/>
    <cellStyle name="Normal 18 3 4 3 18" xfId="16835"/>
    <cellStyle name="Normal 18 3 4 3 19" xfId="16836"/>
    <cellStyle name="Normal 18 3 4 3 2" xfId="4316"/>
    <cellStyle name="Normal 18 3 4 3 2 10" xfId="16837"/>
    <cellStyle name="Normal 18 3 4 3 2 10 2" xfId="16838"/>
    <cellStyle name="Normal 18 3 4 3 2 10 2 2" xfId="16839"/>
    <cellStyle name="Normal 18 3 4 3 2 10 3" xfId="16840"/>
    <cellStyle name="Normal 18 3 4 3 2 11" xfId="16841"/>
    <cellStyle name="Normal 18 3 4 3 2 11 2" xfId="16842"/>
    <cellStyle name="Normal 18 3 4 3 2 12" xfId="16843"/>
    <cellStyle name="Normal 18 3 4 3 2 12 2" xfId="16844"/>
    <cellStyle name="Normal 18 3 4 3 2 13" xfId="16845"/>
    <cellStyle name="Normal 18 3 4 3 2 14" xfId="16846"/>
    <cellStyle name="Normal 18 3 4 3 2 15" xfId="16847"/>
    <cellStyle name="Normal 18 3 4 3 2 16" xfId="16848"/>
    <cellStyle name="Normal 18 3 4 3 2 17" xfId="16849"/>
    <cellStyle name="Normal 18 3 4 3 2 18" xfId="16850"/>
    <cellStyle name="Normal 18 3 4 3 2 19" xfId="16851"/>
    <cellStyle name="Normal 18 3 4 3 2 2" xfId="16852"/>
    <cellStyle name="Normal 18 3 4 3 2 20" xfId="16853"/>
    <cellStyle name="Normal 18 3 4 3 2 21" xfId="16854"/>
    <cellStyle name="Normal 18 3 4 3 2 22" xfId="16855"/>
    <cellStyle name="Normal 18 3 4 3 2 23" xfId="16856"/>
    <cellStyle name="Normal 18 3 4 3 2 24" xfId="16857"/>
    <cellStyle name="Normal 18 3 4 3 2 25" xfId="16858"/>
    <cellStyle name="Normal 18 3 4 3 2 26" xfId="16859"/>
    <cellStyle name="Normal 18 3 4 3 2 27" xfId="16860"/>
    <cellStyle name="Normal 18 3 4 3 2 28" xfId="16861"/>
    <cellStyle name="Normal 18 3 4 3 2 29" xfId="16862"/>
    <cellStyle name="Normal 18 3 4 3 2 3" xfId="16863"/>
    <cellStyle name="Normal 18 3 4 3 2 30" xfId="16864"/>
    <cellStyle name="Normal 18 3 4 3 2 31" xfId="16865"/>
    <cellStyle name="Normal 18 3 4 3 2 32" xfId="16866"/>
    <cellStyle name="Normal 18 3 4 3 2 33" xfId="16867"/>
    <cellStyle name="Normal 18 3 4 3 2 4" xfId="16868"/>
    <cellStyle name="Normal 18 3 4 3 2 5" xfId="16869"/>
    <cellStyle name="Normal 18 3 4 3 2 5 2" xfId="16870"/>
    <cellStyle name="Normal 18 3 4 3 2 6" xfId="16871"/>
    <cellStyle name="Normal 18 3 4 3 2 7" xfId="16872"/>
    <cellStyle name="Normal 18 3 4 3 2 7 2" xfId="16873"/>
    <cellStyle name="Normal 18 3 4 3 2 7 3" xfId="16874"/>
    <cellStyle name="Normal 18 3 4 3 2 7 3 2" xfId="16875"/>
    <cellStyle name="Normal 18 3 4 3 2 7 4" xfId="16876"/>
    <cellStyle name="Normal 18 3 4 3 2 8" xfId="16877"/>
    <cellStyle name="Normal 18 3 4 3 2 8 2" xfId="16878"/>
    <cellStyle name="Normal 18 3 4 3 2 9" xfId="16879"/>
    <cellStyle name="Normal 18 3 4 3 2 9 2" xfId="16880"/>
    <cellStyle name="Normal 18 3 4 3 20" xfId="16881"/>
    <cellStyle name="Normal 18 3 4 3 21" xfId="16882"/>
    <cellStyle name="Normal 18 3 4 3 22" xfId="16883"/>
    <cellStyle name="Normal 18 3 4 3 23" xfId="16884"/>
    <cellStyle name="Normal 18 3 4 3 24" xfId="16885"/>
    <cellStyle name="Normal 18 3 4 3 25" xfId="16886"/>
    <cellStyle name="Normal 18 3 4 3 3" xfId="16887"/>
    <cellStyle name="Normal 18 3 4 3 4" xfId="16888"/>
    <cellStyle name="Normal 18 3 4 3 5" xfId="16889"/>
    <cellStyle name="Normal 18 3 4 3 6" xfId="16890"/>
    <cellStyle name="Normal 18 3 4 3 7" xfId="16891"/>
    <cellStyle name="Normal 18 3 4 3 8" xfId="16892"/>
    <cellStyle name="Normal 18 3 4 3 9" xfId="16893"/>
    <cellStyle name="Normal 18 3 4 4" xfId="16894"/>
    <cellStyle name="Normal 18 3 4 4 2" xfId="16895"/>
    <cellStyle name="Normal 18 3 4 4 2 2" xfId="16896"/>
    <cellStyle name="Normal 18 3 4 4 2 2 2" xfId="16897"/>
    <cellStyle name="Normal 18 3 4 4 2 2 3" xfId="16898"/>
    <cellStyle name="Normal 18 3 4 4 2 2 3 2" xfId="16899"/>
    <cellStyle name="Normal 18 3 4 4 2 2 3 2 2" xfId="16900"/>
    <cellStyle name="Normal 18 3 4 5" xfId="16901"/>
    <cellStyle name="Normal 18 3 4 6" xfId="16902"/>
    <cellStyle name="Normal 18 3 4 7" xfId="16903"/>
    <cellStyle name="Normal 18 3 4 8" xfId="16904"/>
    <cellStyle name="Normal 18 3 4 9" xfId="16905"/>
    <cellStyle name="Normal 18 3 40" xfId="4317"/>
    <cellStyle name="Normal 18 3 40 2" xfId="16906"/>
    <cellStyle name="Normal 18 3 40 3" xfId="16907"/>
    <cellStyle name="Normal 18 3 40 4" xfId="16908"/>
    <cellStyle name="Normal 18 3 41" xfId="4318"/>
    <cellStyle name="Normal 18 3 41 2" xfId="16909"/>
    <cellStyle name="Normal 18 3 41 3" xfId="16910"/>
    <cellStyle name="Normal 18 3 41 4" xfId="16911"/>
    <cellStyle name="Normal 18 3 42" xfId="4319"/>
    <cellStyle name="Normal 18 3 42 2" xfId="16912"/>
    <cellStyle name="Normal 18 3 42 3" xfId="16913"/>
    <cellStyle name="Normal 18 3 42 4" xfId="16914"/>
    <cellStyle name="Normal 18 3 43" xfId="4320"/>
    <cellStyle name="Normal 18 3 43 2" xfId="16915"/>
    <cellStyle name="Normal 18 3 43 3" xfId="16916"/>
    <cellStyle name="Normal 18 3 43 4" xfId="16917"/>
    <cellStyle name="Normal 18 3 44" xfId="4321"/>
    <cellStyle name="Normal 18 3 44 2" xfId="16918"/>
    <cellStyle name="Normal 18 3 44 3" xfId="16919"/>
    <cellStyle name="Normal 18 3 44 4" xfId="16920"/>
    <cellStyle name="Normal 18 3 45" xfId="4322"/>
    <cellStyle name="Normal 18 3 45 2" xfId="16921"/>
    <cellStyle name="Normal 18 3 45 3" xfId="16922"/>
    <cellStyle name="Normal 18 3 45 4" xfId="16923"/>
    <cellStyle name="Normal 18 3 46" xfId="4323"/>
    <cellStyle name="Normal 18 3 46 2" xfId="16924"/>
    <cellStyle name="Normal 18 3 46 3" xfId="16925"/>
    <cellStyle name="Normal 18 3 46 4" xfId="16926"/>
    <cellStyle name="Normal 18 3 47" xfId="16927"/>
    <cellStyle name="Normal 18 3 48" xfId="16928"/>
    <cellStyle name="Normal 18 3 49" xfId="16929"/>
    <cellStyle name="Normal 18 3 5" xfId="4324"/>
    <cellStyle name="Normal 18 3 5 2" xfId="16930"/>
    <cellStyle name="Normal 18 3 5 3" xfId="16931"/>
    <cellStyle name="Normal 18 3 5 4" xfId="16932"/>
    <cellStyle name="Normal 18 3 50" xfId="16933"/>
    <cellStyle name="Normal 18 3 51" xfId="16934"/>
    <cellStyle name="Normal 18 3 52" xfId="16935"/>
    <cellStyle name="Normal 18 3 53" xfId="16936"/>
    <cellStyle name="Normal 18 3 54" xfId="16937"/>
    <cellStyle name="Normal 18 3 55" xfId="16938"/>
    <cellStyle name="Normal 18 3 56" xfId="16939"/>
    <cellStyle name="Normal 18 3 57" xfId="16940"/>
    <cellStyle name="Normal 18 3 58" xfId="16941"/>
    <cellStyle name="Normal 18 3 59" xfId="16942"/>
    <cellStyle name="Normal 18 3 6" xfId="4325"/>
    <cellStyle name="Normal 18 3 6 2" xfId="16943"/>
    <cellStyle name="Normal 18 3 6 3" xfId="16944"/>
    <cellStyle name="Normal 18 3 6 4" xfId="16945"/>
    <cellStyle name="Normal 18 3 60" xfId="16946"/>
    <cellStyle name="Normal 18 3 61" xfId="16947"/>
    <cellStyle name="Normal 18 3 62" xfId="16948"/>
    <cellStyle name="Normal 18 3 63" xfId="16949"/>
    <cellStyle name="Normal 18 3 64" xfId="16950"/>
    <cellStyle name="Normal 18 3 65" xfId="16951"/>
    <cellStyle name="Normal 18 3 66" xfId="16952"/>
    <cellStyle name="Normal 18 3 67" xfId="16953"/>
    <cellStyle name="Normal 18 3 7" xfId="4326"/>
    <cellStyle name="Normal 18 3 7 2" xfId="16954"/>
    <cellStyle name="Normal 18 3 7 3" xfId="16955"/>
    <cellStyle name="Normal 18 3 7 4" xfId="16956"/>
    <cellStyle name="Normal 18 3 8" xfId="4327"/>
    <cellStyle name="Normal 18 3 8 2" xfId="16957"/>
    <cellStyle name="Normal 18 3 8 3" xfId="16958"/>
    <cellStyle name="Normal 18 3 8 4" xfId="16959"/>
    <cellStyle name="Normal 18 3 9" xfId="4328"/>
    <cellStyle name="Normal 18 3 9 2" xfId="16960"/>
    <cellStyle name="Normal 18 3 9 3" xfId="16961"/>
    <cellStyle name="Normal 18 3 9 4" xfId="16962"/>
    <cellStyle name="Normal 18 3_D-1 format pantau fisik 2011" xfId="4329"/>
    <cellStyle name="Normal 18 30" xfId="16963"/>
    <cellStyle name="Normal 18 31" xfId="16964"/>
    <cellStyle name="Normal 18 4" xfId="4330"/>
    <cellStyle name="Normal 18 4 10" xfId="16965"/>
    <cellStyle name="Normal 18 4 11" xfId="16966"/>
    <cellStyle name="Normal 18 4 12" xfId="16967"/>
    <cellStyle name="Normal 18 4 13" xfId="16968"/>
    <cellStyle name="Normal 18 4 14" xfId="16969"/>
    <cellStyle name="Normal 18 4 15" xfId="16970"/>
    <cellStyle name="Normal 18 4 16" xfId="16971"/>
    <cellStyle name="Normal 18 4 17" xfId="16972"/>
    <cellStyle name="Normal 18 4 18" xfId="16973"/>
    <cellStyle name="Normal 18 4 19" xfId="16974"/>
    <cellStyle name="Normal 18 4 2" xfId="16975"/>
    <cellStyle name="Normal 18 4 20" xfId="16976"/>
    <cellStyle name="Normal 18 4 21" xfId="16977"/>
    <cellStyle name="Normal 18 4 22" xfId="16978"/>
    <cellStyle name="Normal 18 4 23" xfId="16979"/>
    <cellStyle name="Normal 18 4 3" xfId="16980"/>
    <cellStyle name="Normal 18 4 4" xfId="16981"/>
    <cellStyle name="Normal 18 4 5" xfId="16982"/>
    <cellStyle name="Normal 18 4 6" xfId="16983"/>
    <cellStyle name="Normal 18 4 7" xfId="16984"/>
    <cellStyle name="Normal 18 4 8" xfId="16985"/>
    <cellStyle name="Normal 18 4 9" xfId="16986"/>
    <cellStyle name="Normal 18 5" xfId="4331"/>
    <cellStyle name="Normal 18 5 2" xfId="16987"/>
    <cellStyle name="Normal 18 5 3" xfId="16988"/>
    <cellStyle name="Normal 18 5 4" xfId="16989"/>
    <cellStyle name="Normal 18 6" xfId="4332"/>
    <cellStyle name="Normal 18 6 2" xfId="16990"/>
    <cellStyle name="Normal 18 6 3" xfId="16991"/>
    <cellStyle name="Normal 18 6 4" xfId="16992"/>
    <cellStyle name="Normal 18 7" xfId="4333"/>
    <cellStyle name="Normal 18 7 2" xfId="16993"/>
    <cellStyle name="Normal 18 7 3" xfId="16994"/>
    <cellStyle name="Normal 18 7 4" xfId="16995"/>
    <cellStyle name="Normal 18 8" xfId="4334"/>
    <cellStyle name="Normal 18 8 2" xfId="16996"/>
    <cellStyle name="Normal 18 8 3" xfId="16997"/>
    <cellStyle name="Normal 18 8 4" xfId="16998"/>
    <cellStyle name="Normal 18 9" xfId="4335"/>
    <cellStyle name="Normal 18 9 2" xfId="16999"/>
    <cellStyle name="Normal 18 9 3" xfId="17000"/>
    <cellStyle name="Normal 18 9 4" xfId="17001"/>
    <cellStyle name="Normal 18_Aceh Tamiang D.1 +, 2003" xfId="4336"/>
    <cellStyle name="Normal 19" xfId="4337"/>
    <cellStyle name="Normal 19 10" xfId="4338"/>
    <cellStyle name="Normal 19 10 2" xfId="17002"/>
    <cellStyle name="Normal 19 10 3" xfId="17003"/>
    <cellStyle name="Normal 19 10 4" xfId="17004"/>
    <cellStyle name="Normal 19 11" xfId="4339"/>
    <cellStyle name="Normal 19 11 2" xfId="17005"/>
    <cellStyle name="Normal 19 11 3" xfId="17006"/>
    <cellStyle name="Normal 19 11 4" xfId="17007"/>
    <cellStyle name="Normal 19 12" xfId="17008"/>
    <cellStyle name="Normal 19 13" xfId="17009"/>
    <cellStyle name="Normal 19 14" xfId="17010"/>
    <cellStyle name="Normal 19 15" xfId="17011"/>
    <cellStyle name="Normal 19 16" xfId="17012"/>
    <cellStyle name="Normal 19 17" xfId="17013"/>
    <cellStyle name="Normal 19 18" xfId="17014"/>
    <cellStyle name="Normal 19 19" xfId="17015"/>
    <cellStyle name="Normal 19 2" xfId="4340"/>
    <cellStyle name="Normal 19 2 10" xfId="17016"/>
    <cellStyle name="Normal 19 2 11" xfId="17017"/>
    <cellStyle name="Normal 19 2 12" xfId="17018"/>
    <cellStyle name="Normal 19 2 13" xfId="17019"/>
    <cellStyle name="Normal 19 2 14" xfId="17020"/>
    <cellStyle name="Normal 19 2 15" xfId="17021"/>
    <cellStyle name="Normal 19 2 16" xfId="17022"/>
    <cellStyle name="Normal 19 2 17" xfId="17023"/>
    <cellStyle name="Normal 19 2 18" xfId="17024"/>
    <cellStyle name="Normal 19 2 19" xfId="17025"/>
    <cellStyle name="Normal 19 2 2" xfId="17026"/>
    <cellStyle name="Normal 19 2 20" xfId="17027"/>
    <cellStyle name="Normal 19 2 21" xfId="17028"/>
    <cellStyle name="Normal 19 2 22" xfId="17029"/>
    <cellStyle name="Normal 19 2 23" xfId="17030"/>
    <cellStyle name="Normal 19 2 3" xfId="17031"/>
    <cellStyle name="Normal 19 2 4" xfId="17032"/>
    <cellStyle name="Normal 19 2 5" xfId="17033"/>
    <cellStyle name="Normal 19 2 6" xfId="17034"/>
    <cellStyle name="Normal 19 2 7" xfId="17035"/>
    <cellStyle name="Normal 19 2 8" xfId="17036"/>
    <cellStyle name="Normal 19 2 9" xfId="17037"/>
    <cellStyle name="Normal 19 20" xfId="17038"/>
    <cellStyle name="Normal 19 21" xfId="17039"/>
    <cellStyle name="Normal 19 22" xfId="17040"/>
    <cellStyle name="Normal 19 23" xfId="17041"/>
    <cellStyle name="Normal 19 24" xfId="17042"/>
    <cellStyle name="Normal 19 25" xfId="17043"/>
    <cellStyle name="Normal 19 26" xfId="17044"/>
    <cellStyle name="Normal 19 27" xfId="17045"/>
    <cellStyle name="Normal 19 28" xfId="17046"/>
    <cellStyle name="Normal 19 29" xfId="17047"/>
    <cellStyle name="Normal 19 3" xfId="4341"/>
    <cellStyle name="Normal 19 30" xfId="17048"/>
    <cellStyle name="Normal 19 31" xfId="17049"/>
    <cellStyle name="Normal 19 32" xfId="17050"/>
    <cellStyle name="Normal 19 4" xfId="4342"/>
    <cellStyle name="Normal 19 5" xfId="4343"/>
    <cellStyle name="Normal 19 5 2" xfId="17051"/>
    <cellStyle name="Normal 19 5 3" xfId="17052"/>
    <cellStyle name="Normal 19 5 4" xfId="17053"/>
    <cellStyle name="Normal 19 6" xfId="4344"/>
    <cellStyle name="Normal 19 6 2" xfId="17054"/>
    <cellStyle name="Normal 19 6 3" xfId="17055"/>
    <cellStyle name="Normal 19 6 4" xfId="17056"/>
    <cellStyle name="Normal 19 7" xfId="4345"/>
    <cellStyle name="Normal 19 7 2" xfId="17057"/>
    <cellStyle name="Normal 19 7 3" xfId="17058"/>
    <cellStyle name="Normal 19 7 4" xfId="17059"/>
    <cellStyle name="Normal 19 8" xfId="4346"/>
    <cellStyle name="Normal 19 8 2" xfId="17060"/>
    <cellStyle name="Normal 19 8 3" xfId="17061"/>
    <cellStyle name="Normal 19 8 4" xfId="17062"/>
    <cellStyle name="Normal 19 9" xfId="4347"/>
    <cellStyle name="Normal 19 9 2" xfId="17063"/>
    <cellStyle name="Normal 19 9 3" xfId="17064"/>
    <cellStyle name="Normal 19 9 4" xfId="17065"/>
    <cellStyle name="Normal 2" xfId="4"/>
    <cellStyle name="Normal 2 10" xfId="4348"/>
    <cellStyle name="Normal 2 10 10" xfId="4349"/>
    <cellStyle name="Normal 2 10 11" xfId="4350"/>
    <cellStyle name="Normal 2 10 12" xfId="4351"/>
    <cellStyle name="Normal 2 10 2" xfId="4352"/>
    <cellStyle name="Normal 2 10 3" xfId="4353"/>
    <cellStyle name="Normal 2 10 4" xfId="4354"/>
    <cellStyle name="Normal 2 10 5" xfId="4355"/>
    <cellStyle name="Normal 2 10 6" xfId="4356"/>
    <cellStyle name="Normal 2 10 7" xfId="4357"/>
    <cellStyle name="Normal 2 10 8" xfId="4358"/>
    <cellStyle name="Normal 2 10 9" xfId="4359"/>
    <cellStyle name="Normal 2 11" xfId="4360"/>
    <cellStyle name="Normal 2 11 10" xfId="4361"/>
    <cellStyle name="Normal 2 11 11" xfId="4362"/>
    <cellStyle name="Normal 2 11 12" xfId="4363"/>
    <cellStyle name="Normal 2 11 2" xfId="4364"/>
    <cellStyle name="Normal 2 11 3" xfId="4365"/>
    <cellStyle name="Normal 2 11 4" xfId="4366"/>
    <cellStyle name="Normal 2 11 5" xfId="4367"/>
    <cellStyle name="Normal 2 11 6" xfId="4368"/>
    <cellStyle name="Normal 2 11 7" xfId="4369"/>
    <cellStyle name="Normal 2 11 8" xfId="4370"/>
    <cellStyle name="Normal 2 11 9" xfId="4371"/>
    <cellStyle name="Normal 2 12" xfId="4372"/>
    <cellStyle name="Normal 2 12 10" xfId="4373"/>
    <cellStyle name="Normal 2 12 11" xfId="4374"/>
    <cellStyle name="Normal 2 12 12" xfId="4375"/>
    <cellStyle name="Normal 2 12 2" xfId="4376"/>
    <cellStyle name="Normal 2 12 3" xfId="4377"/>
    <cellStyle name="Normal 2 12 4" xfId="4378"/>
    <cellStyle name="Normal 2 12 5" xfId="4379"/>
    <cellStyle name="Normal 2 12 6" xfId="4380"/>
    <cellStyle name="Normal 2 12 7" xfId="4381"/>
    <cellStyle name="Normal 2 12 8" xfId="4382"/>
    <cellStyle name="Normal 2 12 9" xfId="4383"/>
    <cellStyle name="Normal 2 13" xfId="4384"/>
    <cellStyle name="Normal 2 13 10" xfId="4385"/>
    <cellStyle name="Normal 2 13 11" xfId="4386"/>
    <cellStyle name="Normal 2 13 12" xfId="4387"/>
    <cellStyle name="Normal 2 13 2" xfId="4388"/>
    <cellStyle name="Normal 2 13 3" xfId="4389"/>
    <cellStyle name="Normal 2 13 4" xfId="4390"/>
    <cellStyle name="Normal 2 13 5" xfId="4391"/>
    <cellStyle name="Normal 2 13 6" xfId="4392"/>
    <cellStyle name="Normal 2 13 7" xfId="4393"/>
    <cellStyle name="Normal 2 13 8" xfId="4394"/>
    <cellStyle name="Normal 2 13 9" xfId="4395"/>
    <cellStyle name="Normal 2 14" xfId="4396"/>
    <cellStyle name="Normal 2 14 10" xfId="4397"/>
    <cellStyle name="Normal 2 14 11" xfId="4398"/>
    <cellStyle name="Normal 2 14 12" xfId="4399"/>
    <cellStyle name="Normal 2 14 2" xfId="4400"/>
    <cellStyle name="Normal 2 14 3" xfId="4401"/>
    <cellStyle name="Normal 2 14 4" xfId="4402"/>
    <cellStyle name="Normal 2 14 5" xfId="4403"/>
    <cellStyle name="Normal 2 14 6" xfId="4404"/>
    <cellStyle name="Normal 2 14 7" xfId="4405"/>
    <cellStyle name="Normal 2 14 8" xfId="4406"/>
    <cellStyle name="Normal 2 14 9" xfId="4407"/>
    <cellStyle name="Normal 2 15" xfId="4408"/>
    <cellStyle name="Normal 2 15 10" xfId="4409"/>
    <cellStyle name="Normal 2 15 11" xfId="4410"/>
    <cellStyle name="Normal 2 15 12" xfId="4411"/>
    <cellStyle name="Normal 2 15 2" xfId="4412"/>
    <cellStyle name="Normal 2 15 3" xfId="4413"/>
    <cellStyle name="Normal 2 15 4" xfId="4414"/>
    <cellStyle name="Normal 2 15 5" xfId="4415"/>
    <cellStyle name="Normal 2 15 6" xfId="4416"/>
    <cellStyle name="Normal 2 15 7" xfId="4417"/>
    <cellStyle name="Normal 2 15 8" xfId="4418"/>
    <cellStyle name="Normal 2 15 9" xfId="4419"/>
    <cellStyle name="Normal 2 16" xfId="4420"/>
    <cellStyle name="Normal 2 16 10" xfId="4421"/>
    <cellStyle name="Normal 2 16 11" xfId="4422"/>
    <cellStyle name="Normal 2 16 12" xfId="4423"/>
    <cellStyle name="Normal 2 16 2" xfId="4424"/>
    <cellStyle name="Normal 2 16 3" xfId="4425"/>
    <cellStyle name="Normal 2 16 4" xfId="4426"/>
    <cellStyle name="Normal 2 16 5" xfId="4427"/>
    <cellStyle name="Normal 2 16 6" xfId="4428"/>
    <cellStyle name="Normal 2 16 7" xfId="4429"/>
    <cellStyle name="Normal 2 16 8" xfId="4430"/>
    <cellStyle name="Normal 2 16 9" xfId="4431"/>
    <cellStyle name="Normal 2 17" xfId="4432"/>
    <cellStyle name="Normal 2 17 10" xfId="4433"/>
    <cellStyle name="Normal 2 17 11" xfId="4434"/>
    <cellStyle name="Normal 2 17 12" xfId="4435"/>
    <cellStyle name="Normal 2 17 2" xfId="4436"/>
    <cellStyle name="Normal 2 17 3" xfId="4437"/>
    <cellStyle name="Normal 2 17 4" xfId="4438"/>
    <cellStyle name="Normal 2 17 5" xfId="4439"/>
    <cellStyle name="Normal 2 17 6" xfId="4440"/>
    <cellStyle name="Normal 2 17 7" xfId="4441"/>
    <cellStyle name="Normal 2 17 8" xfId="4442"/>
    <cellStyle name="Normal 2 17 9" xfId="4443"/>
    <cellStyle name="Normal 2 18" xfId="4444"/>
    <cellStyle name="Normal 2 18 2" xfId="4445"/>
    <cellStyle name="Normal 2 18 3" xfId="4446"/>
    <cellStyle name="Normal 2 18 4" xfId="4447"/>
    <cellStyle name="Normal 2 18 5" xfId="4448"/>
    <cellStyle name="Normal 2 18 6" xfId="4449"/>
    <cellStyle name="Normal 2 18 7" xfId="4450"/>
    <cellStyle name="Normal 2 19" xfId="4451"/>
    <cellStyle name="Normal 2 19 2" xfId="4452"/>
    <cellStyle name="Normal 2 19 3" xfId="4453"/>
    <cellStyle name="Normal 2 19 4" xfId="4454"/>
    <cellStyle name="Normal 2 19 5" xfId="4455"/>
    <cellStyle name="Normal 2 19 6" xfId="4456"/>
    <cellStyle name="Normal 2 19 7" xfId="4457"/>
    <cellStyle name="Normal 2 2" xfId="9"/>
    <cellStyle name="Normal 2 2 10" xfId="4458"/>
    <cellStyle name="Normal 2 2 10 2" xfId="4459"/>
    <cellStyle name="Normal 2 2 10 3" xfId="4460"/>
    <cellStyle name="Normal 2 2 10 4" xfId="4461"/>
    <cellStyle name="Normal 2 2 10 5" xfId="4462"/>
    <cellStyle name="Normal 2 2 11" xfId="4463"/>
    <cellStyle name="Normal 2 2 11 2" xfId="4464"/>
    <cellStyle name="Normal 2 2 11 3" xfId="4465"/>
    <cellStyle name="Normal 2 2 11 4" xfId="4466"/>
    <cellStyle name="Normal 2 2 11 5" xfId="4467"/>
    <cellStyle name="Normal 2 2 12" xfId="4468"/>
    <cellStyle name="Normal 2 2 12 2" xfId="4469"/>
    <cellStyle name="Normal 2 2 12 3" xfId="4470"/>
    <cellStyle name="Normal 2 2 12 4" xfId="4471"/>
    <cellStyle name="Normal 2 2 12 5" xfId="4472"/>
    <cellStyle name="Normal 2 2 13" xfId="4473"/>
    <cellStyle name="Normal 2 2 13 2" xfId="4474"/>
    <cellStyle name="Normal 2 2 13 3" xfId="4475"/>
    <cellStyle name="Normal 2 2 13 4" xfId="4476"/>
    <cellStyle name="Normal 2 2 13 5" xfId="4477"/>
    <cellStyle name="Normal 2 2 14" xfId="4478"/>
    <cellStyle name="Normal 2 2 14 2" xfId="4479"/>
    <cellStyle name="Normal 2 2 14 3" xfId="4480"/>
    <cellStyle name="Normal 2 2 14 4" xfId="4481"/>
    <cellStyle name="Normal 2 2 14 5" xfId="4482"/>
    <cellStyle name="Normal 2 2 15" xfId="4483"/>
    <cellStyle name="Normal 2 2 15 2" xfId="4484"/>
    <cellStyle name="Normal 2 2 15 3" xfId="4485"/>
    <cellStyle name="Normal 2 2 15 4" xfId="4486"/>
    <cellStyle name="Normal 2 2 15 5" xfId="4487"/>
    <cellStyle name="Normal 2 2 16" xfId="4488"/>
    <cellStyle name="Normal 2 2 16 2" xfId="4489"/>
    <cellStyle name="Normal 2 2 16 3" xfId="4490"/>
    <cellStyle name="Normal 2 2 16 4" xfId="4491"/>
    <cellStyle name="Normal 2 2 16 5" xfId="4492"/>
    <cellStyle name="Normal 2 2 17" xfId="4493"/>
    <cellStyle name="Normal 2 2 17 2" xfId="4494"/>
    <cellStyle name="Normal 2 2 17 3" xfId="4495"/>
    <cellStyle name="Normal 2 2 17 4" xfId="4496"/>
    <cellStyle name="Normal 2 2 17 5" xfId="4497"/>
    <cellStyle name="Normal 2 2 18" xfId="4498"/>
    <cellStyle name="Normal 2 2 18 2" xfId="4499"/>
    <cellStyle name="Normal 2 2 18 3" xfId="4500"/>
    <cellStyle name="Normal 2 2 18 4" xfId="4501"/>
    <cellStyle name="Normal 2 2 18 5" xfId="4502"/>
    <cellStyle name="Normal 2 2 19" xfId="4503"/>
    <cellStyle name="Normal 2 2 19 2" xfId="4504"/>
    <cellStyle name="Normal 2 2 19 3" xfId="4505"/>
    <cellStyle name="Normal 2 2 19 4" xfId="4506"/>
    <cellStyle name="Normal 2 2 19 5" xfId="4507"/>
    <cellStyle name="Normal 2 2 2" xfId="4508"/>
    <cellStyle name="Normal 2 2 2 10" xfId="17066"/>
    <cellStyle name="Normal 2 2 2 11" xfId="17067"/>
    <cellStyle name="Normal 2 2 2 12" xfId="17068"/>
    <cellStyle name="Normal 2 2 2 13" xfId="17069"/>
    <cellStyle name="Normal 2 2 2 14" xfId="17070"/>
    <cellStyle name="Normal 2 2 2 15" xfId="17071"/>
    <cellStyle name="Normal 2 2 2 16" xfId="17072"/>
    <cellStyle name="Normal 2 2 2 17" xfId="17073"/>
    <cellStyle name="Normal 2 2 2 18" xfId="17074"/>
    <cellStyle name="Normal 2 2 2 19" xfId="17075"/>
    <cellStyle name="Normal 2 2 2 2" xfId="4509"/>
    <cellStyle name="Normal 2 2 2 20" xfId="17076"/>
    <cellStyle name="Normal 2 2 2 21" xfId="17077"/>
    <cellStyle name="Normal 2 2 2 22" xfId="17078"/>
    <cellStyle name="Normal 2 2 2 23" xfId="17079"/>
    <cellStyle name="Normal 2 2 2 24" xfId="17080"/>
    <cellStyle name="Normal 2 2 2 25" xfId="17081"/>
    <cellStyle name="Normal 2 2 2 26" xfId="17082"/>
    <cellStyle name="Normal 2 2 2 27" xfId="17083"/>
    <cellStyle name="Normal 2 2 2 28" xfId="17084"/>
    <cellStyle name="Normal 2 2 2 3" xfId="4510"/>
    <cellStyle name="Normal 2 2 2 3 10" xfId="17085"/>
    <cellStyle name="Normal 2 2 2 3 11" xfId="17086"/>
    <cellStyle name="Normal 2 2 2 3 12" xfId="17087"/>
    <cellStyle name="Normal 2 2 2 3 13" xfId="17088"/>
    <cellStyle name="Normal 2 2 2 3 14" xfId="17089"/>
    <cellStyle name="Normal 2 2 2 3 15" xfId="17090"/>
    <cellStyle name="Normal 2 2 2 3 16" xfId="17091"/>
    <cellStyle name="Normal 2 2 2 3 17" xfId="17092"/>
    <cellStyle name="Normal 2 2 2 3 18" xfId="17093"/>
    <cellStyle name="Normal 2 2 2 3 19" xfId="17094"/>
    <cellStyle name="Normal 2 2 2 3 2" xfId="4511"/>
    <cellStyle name="Normal 2 2 2 3 2 10" xfId="17095"/>
    <cellStyle name="Normal 2 2 2 3 2 11" xfId="17096"/>
    <cellStyle name="Normal 2 2 2 3 2 12" xfId="17097"/>
    <cellStyle name="Normal 2 2 2 3 2 13" xfId="17098"/>
    <cellStyle name="Normal 2 2 2 3 2 14" xfId="17099"/>
    <cellStyle name="Normal 2 2 2 3 2 15" xfId="17100"/>
    <cellStyle name="Normal 2 2 2 3 2 16" xfId="17101"/>
    <cellStyle name="Normal 2 2 2 3 2 17" xfId="17102"/>
    <cellStyle name="Normal 2 2 2 3 2 18" xfId="17103"/>
    <cellStyle name="Normal 2 2 2 3 2 19" xfId="17104"/>
    <cellStyle name="Normal 2 2 2 3 2 2" xfId="17105"/>
    <cellStyle name="Normal 2 2 2 3 2 20" xfId="17106"/>
    <cellStyle name="Normal 2 2 2 3 2 21" xfId="17107"/>
    <cellStyle name="Normal 2 2 2 3 2 22" xfId="17108"/>
    <cellStyle name="Normal 2 2 2 3 2 23" xfId="17109"/>
    <cellStyle name="Normal 2 2 2 3 2 3" xfId="17110"/>
    <cellStyle name="Normal 2 2 2 3 2 4" xfId="17111"/>
    <cellStyle name="Normal 2 2 2 3 2 5" xfId="17112"/>
    <cellStyle name="Normal 2 2 2 3 2 6" xfId="17113"/>
    <cellStyle name="Normal 2 2 2 3 2 7" xfId="17114"/>
    <cellStyle name="Normal 2 2 2 3 2 8" xfId="17115"/>
    <cellStyle name="Normal 2 2 2 3 2 9" xfId="17116"/>
    <cellStyle name="Normal 2 2 2 3 20" xfId="17117"/>
    <cellStyle name="Normal 2 2 2 3 21" xfId="17118"/>
    <cellStyle name="Normal 2 2 2 3 22" xfId="17119"/>
    <cellStyle name="Normal 2 2 2 3 23" xfId="17120"/>
    <cellStyle name="Normal 2 2 2 3 24" xfId="17121"/>
    <cellStyle name="Normal 2 2 2 3 25" xfId="17122"/>
    <cellStyle name="Normal 2 2 2 3 26" xfId="17123"/>
    <cellStyle name="Normal 2 2 2 3 27" xfId="17124"/>
    <cellStyle name="Normal 2 2 2 3 28" xfId="17125"/>
    <cellStyle name="Normal 2 2 2 3 29" xfId="17126"/>
    <cellStyle name="Normal 2 2 2 3 3" xfId="4512"/>
    <cellStyle name="Normal 2 2 2 3 3 10" xfId="17127"/>
    <cellStyle name="Normal 2 2 2 3 3 11" xfId="17128"/>
    <cellStyle name="Normal 2 2 2 3 3 12" xfId="17129"/>
    <cellStyle name="Normal 2 2 2 3 3 13" xfId="17130"/>
    <cellStyle name="Normal 2 2 2 3 3 14" xfId="17131"/>
    <cellStyle name="Normal 2 2 2 3 3 15" xfId="17132"/>
    <cellStyle name="Normal 2 2 2 3 3 16" xfId="17133"/>
    <cellStyle name="Normal 2 2 2 3 3 17" xfId="17134"/>
    <cellStyle name="Normal 2 2 2 3 3 18" xfId="17135"/>
    <cellStyle name="Normal 2 2 2 3 3 19" xfId="17136"/>
    <cellStyle name="Normal 2 2 2 3 3 2" xfId="4513"/>
    <cellStyle name="Normal 2 2 2 3 3 2 10" xfId="17137"/>
    <cellStyle name="Normal 2 2 2 3 3 2 11" xfId="17138"/>
    <cellStyle name="Normal 2 2 2 3 3 2 12" xfId="17139"/>
    <cellStyle name="Normal 2 2 2 3 3 2 13" xfId="17140"/>
    <cellStyle name="Normal 2 2 2 3 3 2 14" xfId="17141"/>
    <cellStyle name="Normal 2 2 2 3 3 2 15" xfId="17142"/>
    <cellStyle name="Normal 2 2 2 3 3 2 16" xfId="17143"/>
    <cellStyle name="Normal 2 2 2 3 3 2 17" xfId="17144"/>
    <cellStyle name="Normal 2 2 2 3 3 2 18" xfId="17145"/>
    <cellStyle name="Normal 2 2 2 3 3 2 19" xfId="17146"/>
    <cellStyle name="Normal 2 2 2 3 3 2 2" xfId="17147"/>
    <cellStyle name="Normal 2 2 2 3 3 2 20" xfId="17148"/>
    <cellStyle name="Normal 2 2 2 3 3 2 21" xfId="17149"/>
    <cellStyle name="Normal 2 2 2 3 3 2 22" xfId="17150"/>
    <cellStyle name="Normal 2 2 2 3 3 2 23" xfId="17151"/>
    <cellStyle name="Normal 2 2 2 3 3 2 3" xfId="17152"/>
    <cellStyle name="Normal 2 2 2 3 3 2 4" xfId="17153"/>
    <cellStyle name="Normal 2 2 2 3 3 2 5" xfId="17154"/>
    <cellStyle name="Normal 2 2 2 3 3 2 6" xfId="17155"/>
    <cellStyle name="Normal 2 2 2 3 3 2 7" xfId="17156"/>
    <cellStyle name="Normal 2 2 2 3 3 2 8" xfId="17157"/>
    <cellStyle name="Normal 2 2 2 3 3 2 9" xfId="17158"/>
    <cellStyle name="Normal 2 2 2 3 3 20" xfId="17159"/>
    <cellStyle name="Normal 2 2 2 3 3 21" xfId="17160"/>
    <cellStyle name="Normal 2 2 2 3 3 22" xfId="17161"/>
    <cellStyle name="Normal 2 2 2 3 3 23" xfId="17162"/>
    <cellStyle name="Normal 2 2 2 3 3 24" xfId="17163"/>
    <cellStyle name="Normal 2 2 2 3 3 3" xfId="17164"/>
    <cellStyle name="Normal 2 2 2 3 3 4" xfId="17165"/>
    <cellStyle name="Normal 2 2 2 3 3 5" xfId="17166"/>
    <cellStyle name="Normal 2 2 2 3 3 6" xfId="17167"/>
    <cellStyle name="Normal 2 2 2 3 3 7" xfId="17168"/>
    <cellStyle name="Normal 2 2 2 3 3 8" xfId="17169"/>
    <cellStyle name="Normal 2 2 2 3 3 9" xfId="17170"/>
    <cellStyle name="Normal 2 2 2 3 30" xfId="17171"/>
    <cellStyle name="Normal 2 2 2 3 31" xfId="17172"/>
    <cellStyle name="Normal 2 2 2 3 32" xfId="17173"/>
    <cellStyle name="Normal 2 2 2 3 33" xfId="17174"/>
    <cellStyle name="Normal 2 2 2 3 34" xfId="17175"/>
    <cellStyle name="Normal 2 2 2 3 35" xfId="17176"/>
    <cellStyle name="Normal 2 2 2 3 36" xfId="17177"/>
    <cellStyle name="Normal 2 2 2 3 4" xfId="17178"/>
    <cellStyle name="Normal 2 2 2 3 5" xfId="17179"/>
    <cellStyle name="Normal 2 2 2 3 6" xfId="17180"/>
    <cellStyle name="Normal 2 2 2 3 7" xfId="17181"/>
    <cellStyle name="Normal 2 2 2 3 8" xfId="17182"/>
    <cellStyle name="Normal 2 2 2 3 9" xfId="17183"/>
    <cellStyle name="Normal 2 2 2 3_A1 Disdik _Aceh _Selatan" xfId="4514"/>
    <cellStyle name="Normal 2 2 2 4" xfId="4515"/>
    <cellStyle name="Normal 2 2 2 4 10" xfId="17184"/>
    <cellStyle name="Normal 2 2 2 4 11" xfId="17185"/>
    <cellStyle name="Normal 2 2 2 4 12" xfId="17186"/>
    <cellStyle name="Normal 2 2 2 4 2" xfId="17187"/>
    <cellStyle name="Normal 2 2 2 4 3" xfId="17188"/>
    <cellStyle name="Normal 2 2 2 4 4" xfId="17189"/>
    <cellStyle name="Normal 2 2 2 4 5" xfId="17190"/>
    <cellStyle name="Normal 2 2 2 4 6" xfId="17191"/>
    <cellStyle name="Normal 2 2 2 4 7" xfId="17192"/>
    <cellStyle name="Normal 2 2 2 4 8" xfId="17193"/>
    <cellStyle name="Normal 2 2 2 4 9" xfId="17194"/>
    <cellStyle name="Normal 2 2 2 5" xfId="4516"/>
    <cellStyle name="Normal 2 2 2 5 10" xfId="17195"/>
    <cellStyle name="Normal 2 2 2 5 11" xfId="17196"/>
    <cellStyle name="Normal 2 2 2 5 12" xfId="17197"/>
    <cellStyle name="Normal 2 2 2 5 2" xfId="17198"/>
    <cellStyle name="Normal 2 2 2 5 3" xfId="17199"/>
    <cellStyle name="Normal 2 2 2 5 4" xfId="17200"/>
    <cellStyle name="Normal 2 2 2 5 5" xfId="17201"/>
    <cellStyle name="Normal 2 2 2 5 6" xfId="17202"/>
    <cellStyle name="Normal 2 2 2 5 7" xfId="17203"/>
    <cellStyle name="Normal 2 2 2 5 8" xfId="17204"/>
    <cellStyle name="Normal 2 2 2 5 9" xfId="17205"/>
    <cellStyle name="Normal 2 2 2 6" xfId="4517"/>
    <cellStyle name="Normal 2 2 2 6 10" xfId="17206"/>
    <cellStyle name="Normal 2 2 2 6 11" xfId="17207"/>
    <cellStyle name="Normal 2 2 2 6 12" xfId="17208"/>
    <cellStyle name="Normal 2 2 2 6 13" xfId="17209"/>
    <cellStyle name="Normal 2 2 2 6 14" xfId="17210"/>
    <cellStyle name="Normal 2 2 2 6 15" xfId="17211"/>
    <cellStyle name="Normal 2 2 2 6 16" xfId="17212"/>
    <cellStyle name="Normal 2 2 2 6 17" xfId="17213"/>
    <cellStyle name="Normal 2 2 2 6 18" xfId="17214"/>
    <cellStyle name="Normal 2 2 2 6 19" xfId="17215"/>
    <cellStyle name="Normal 2 2 2 6 2" xfId="17216"/>
    <cellStyle name="Normal 2 2 2 6 20" xfId="17217"/>
    <cellStyle name="Normal 2 2 2 6 21" xfId="17218"/>
    <cellStyle name="Normal 2 2 2 6 22" xfId="17219"/>
    <cellStyle name="Normal 2 2 2 6 23" xfId="17220"/>
    <cellStyle name="Normal 2 2 2 6 3" xfId="17221"/>
    <cellStyle name="Normal 2 2 2 6 4" xfId="17222"/>
    <cellStyle name="Normal 2 2 2 6 5" xfId="17223"/>
    <cellStyle name="Normal 2 2 2 6 6" xfId="17224"/>
    <cellStyle name="Normal 2 2 2 6 7" xfId="17225"/>
    <cellStyle name="Normal 2 2 2 6 8" xfId="17226"/>
    <cellStyle name="Normal 2 2 2 6 9" xfId="17227"/>
    <cellStyle name="Normal 2 2 2 7" xfId="17228"/>
    <cellStyle name="Normal 2 2 2 8" xfId="17229"/>
    <cellStyle name="Normal 2 2 2 9" xfId="17230"/>
    <cellStyle name="Normal 2 2 2_13. PA.1_Penambahan" xfId="4518"/>
    <cellStyle name="Normal 2 2 20" xfId="4519"/>
    <cellStyle name="Normal 2 2 20 2" xfId="4520"/>
    <cellStyle name="Normal 2 2 20 3" xfId="4521"/>
    <cellStyle name="Normal 2 2 20 4" xfId="4522"/>
    <cellStyle name="Normal 2 2 20 5" xfId="4523"/>
    <cellStyle name="Normal 2 2 21" xfId="4524"/>
    <cellStyle name="Normal 2 2 21 2" xfId="4525"/>
    <cellStyle name="Normal 2 2 21 3" xfId="4526"/>
    <cellStyle name="Normal 2 2 21 4" xfId="4527"/>
    <cellStyle name="Normal 2 2 21 5" xfId="4528"/>
    <cellStyle name="Normal 2 2 22" xfId="4529"/>
    <cellStyle name="Normal 2 2 22 2" xfId="4530"/>
    <cellStyle name="Normal 2 2 22 3" xfId="4531"/>
    <cellStyle name="Normal 2 2 22 4" xfId="4532"/>
    <cellStyle name="Normal 2 2 22 5" xfId="4533"/>
    <cellStyle name="Normal 2 2 23" xfId="4534"/>
    <cellStyle name="Normal 2 2 23 2" xfId="4535"/>
    <cellStyle name="Normal 2 2 23 3" xfId="4536"/>
    <cellStyle name="Normal 2 2 23 4" xfId="4537"/>
    <cellStyle name="Normal 2 2 23 5" xfId="4538"/>
    <cellStyle name="Normal 2 2 24" xfId="4539"/>
    <cellStyle name="Normal 2 2 24 2" xfId="4540"/>
    <cellStyle name="Normal 2 2 24 3" xfId="4541"/>
    <cellStyle name="Normal 2 2 24 4" xfId="4542"/>
    <cellStyle name="Normal 2 2 24 5" xfId="4543"/>
    <cellStyle name="Normal 2 2 25" xfId="4544"/>
    <cellStyle name="Normal 2 2 25 2" xfId="4545"/>
    <cellStyle name="Normal 2 2 25 3" xfId="4546"/>
    <cellStyle name="Normal 2 2 25 4" xfId="4547"/>
    <cellStyle name="Normal 2 2 25 5" xfId="4548"/>
    <cellStyle name="Normal 2 2 26" xfId="4549"/>
    <cellStyle name="Normal 2 2 26 2" xfId="4550"/>
    <cellStyle name="Normal 2 2 26 3" xfId="4551"/>
    <cellStyle name="Normal 2 2 26 4" xfId="4552"/>
    <cellStyle name="Normal 2 2 26 5" xfId="4553"/>
    <cellStyle name="Normal 2 2 27" xfId="4554"/>
    <cellStyle name="Normal 2 2 27 10" xfId="17231"/>
    <cellStyle name="Normal 2 2 27 11" xfId="17232"/>
    <cellStyle name="Normal 2 2 27 12" xfId="17233"/>
    <cellStyle name="Normal 2 2 27 13" xfId="17234"/>
    <cellStyle name="Normal 2 2 27 14" xfId="17235"/>
    <cellStyle name="Normal 2 2 27 15" xfId="17236"/>
    <cellStyle name="Normal 2 2 27 16" xfId="17237"/>
    <cellStyle name="Normal 2 2 27 17" xfId="17238"/>
    <cellStyle name="Normal 2 2 27 18" xfId="17239"/>
    <cellStyle name="Normal 2 2 27 19" xfId="17240"/>
    <cellStyle name="Normal 2 2 27 2" xfId="17241"/>
    <cellStyle name="Normal 2 2 27 20" xfId="17242"/>
    <cellStyle name="Normal 2 2 27 21" xfId="17243"/>
    <cellStyle name="Normal 2 2 27 22" xfId="17244"/>
    <cellStyle name="Normal 2 2 27 23" xfId="17245"/>
    <cellStyle name="Normal 2 2 27 3" xfId="17246"/>
    <cellStyle name="Normal 2 2 27 4" xfId="17247"/>
    <cellStyle name="Normal 2 2 27 5" xfId="17248"/>
    <cellStyle name="Normal 2 2 27 6" xfId="17249"/>
    <cellStyle name="Normal 2 2 27 7" xfId="17250"/>
    <cellStyle name="Normal 2 2 27 8" xfId="17251"/>
    <cellStyle name="Normal 2 2 27 9" xfId="17252"/>
    <cellStyle name="Normal 2 2 28" xfId="4555"/>
    <cellStyle name="Normal 2 2 28 10" xfId="17253"/>
    <cellStyle name="Normal 2 2 28 11" xfId="17254"/>
    <cellStyle name="Normal 2 2 28 12" xfId="17255"/>
    <cellStyle name="Normal 2 2 28 13" xfId="17256"/>
    <cellStyle name="Normal 2 2 28 14" xfId="17257"/>
    <cellStyle name="Normal 2 2 28 15" xfId="17258"/>
    <cellStyle name="Normal 2 2 28 16" xfId="17259"/>
    <cellStyle name="Normal 2 2 28 17" xfId="17260"/>
    <cellStyle name="Normal 2 2 28 18" xfId="17261"/>
    <cellStyle name="Normal 2 2 28 19" xfId="17262"/>
    <cellStyle name="Normal 2 2 28 2" xfId="17263"/>
    <cellStyle name="Normal 2 2 28 20" xfId="17264"/>
    <cellStyle name="Normal 2 2 28 21" xfId="17265"/>
    <cellStyle name="Normal 2 2 28 22" xfId="17266"/>
    <cellStyle name="Normal 2 2 28 23" xfId="17267"/>
    <cellStyle name="Normal 2 2 28 3" xfId="17268"/>
    <cellStyle name="Normal 2 2 28 4" xfId="17269"/>
    <cellStyle name="Normal 2 2 28 5" xfId="17270"/>
    <cellStyle name="Normal 2 2 28 6" xfId="17271"/>
    <cellStyle name="Normal 2 2 28 7" xfId="17272"/>
    <cellStyle name="Normal 2 2 28 8" xfId="17273"/>
    <cellStyle name="Normal 2 2 28 9" xfId="17274"/>
    <cellStyle name="Normal 2 2 29" xfId="4556"/>
    <cellStyle name="Normal 2 2 29 10" xfId="17275"/>
    <cellStyle name="Normal 2 2 29 11" xfId="17276"/>
    <cellStyle name="Normal 2 2 29 12" xfId="17277"/>
    <cellStyle name="Normal 2 2 29 13" xfId="17278"/>
    <cellStyle name="Normal 2 2 29 14" xfId="17279"/>
    <cellStyle name="Normal 2 2 29 15" xfId="17280"/>
    <cellStyle name="Normal 2 2 29 16" xfId="17281"/>
    <cellStyle name="Normal 2 2 29 17" xfId="17282"/>
    <cellStyle name="Normal 2 2 29 18" xfId="17283"/>
    <cellStyle name="Normal 2 2 29 19" xfId="17284"/>
    <cellStyle name="Normal 2 2 29 2" xfId="17285"/>
    <cellStyle name="Normal 2 2 29 20" xfId="17286"/>
    <cellStyle name="Normal 2 2 29 21" xfId="17287"/>
    <cellStyle name="Normal 2 2 29 22" xfId="17288"/>
    <cellStyle name="Normal 2 2 29 23" xfId="17289"/>
    <cellStyle name="Normal 2 2 29 3" xfId="17290"/>
    <cellStyle name="Normal 2 2 29 4" xfId="17291"/>
    <cellStyle name="Normal 2 2 29 5" xfId="17292"/>
    <cellStyle name="Normal 2 2 29 6" xfId="17293"/>
    <cellStyle name="Normal 2 2 29 7" xfId="17294"/>
    <cellStyle name="Normal 2 2 29 8" xfId="17295"/>
    <cellStyle name="Normal 2 2 29 9" xfId="17296"/>
    <cellStyle name="Normal 2 2 3" xfId="4557"/>
    <cellStyle name="Normal 2 2 3 10" xfId="17297"/>
    <cellStyle name="Normal 2 2 3 11" xfId="17298"/>
    <cellStyle name="Normal 2 2 3 12" xfId="17299"/>
    <cellStyle name="Normal 2 2 3 13" xfId="17300"/>
    <cellStyle name="Normal 2 2 3 14" xfId="17301"/>
    <cellStyle name="Normal 2 2 3 15" xfId="17302"/>
    <cellStyle name="Normal 2 2 3 16" xfId="17303"/>
    <cellStyle name="Normal 2 2 3 17" xfId="17304"/>
    <cellStyle name="Normal 2 2 3 18" xfId="17305"/>
    <cellStyle name="Normal 2 2 3 19" xfId="17306"/>
    <cellStyle name="Normal 2 2 3 2" xfId="4558"/>
    <cellStyle name="Normal 2 2 3 2 10" xfId="17307"/>
    <cellStyle name="Normal 2 2 3 2 11" xfId="17308"/>
    <cellStyle name="Normal 2 2 3 2 12" xfId="17309"/>
    <cellStyle name="Normal 2 2 3 2 13" xfId="17310"/>
    <cellStyle name="Normal 2 2 3 2 14" xfId="17311"/>
    <cellStyle name="Normal 2 2 3 2 15" xfId="17312"/>
    <cellStyle name="Normal 2 2 3 2 16" xfId="17313"/>
    <cellStyle name="Normal 2 2 3 2 17" xfId="17314"/>
    <cellStyle name="Normal 2 2 3 2 18" xfId="17315"/>
    <cellStyle name="Normal 2 2 3 2 19" xfId="17316"/>
    <cellStyle name="Normal 2 2 3 2 2" xfId="4559"/>
    <cellStyle name="Normal 2 2 3 2 2 10" xfId="17317"/>
    <cellStyle name="Normal 2 2 3 2 2 11" xfId="17318"/>
    <cellStyle name="Normal 2 2 3 2 2 12" xfId="17319"/>
    <cellStyle name="Normal 2 2 3 2 2 13" xfId="17320"/>
    <cellStyle name="Normal 2 2 3 2 2 14" xfId="17321"/>
    <cellStyle name="Normal 2 2 3 2 2 15" xfId="17322"/>
    <cellStyle name="Normal 2 2 3 2 2 16" xfId="17323"/>
    <cellStyle name="Normal 2 2 3 2 2 17" xfId="17324"/>
    <cellStyle name="Normal 2 2 3 2 2 18" xfId="17325"/>
    <cellStyle name="Normal 2 2 3 2 2 19" xfId="17326"/>
    <cellStyle name="Normal 2 2 3 2 2 2" xfId="17327"/>
    <cellStyle name="Normal 2 2 3 2 2 20" xfId="17328"/>
    <cellStyle name="Normal 2 2 3 2 2 21" xfId="17329"/>
    <cellStyle name="Normal 2 2 3 2 2 22" xfId="17330"/>
    <cellStyle name="Normal 2 2 3 2 2 23" xfId="17331"/>
    <cellStyle name="Normal 2 2 3 2 2 3" xfId="17332"/>
    <cellStyle name="Normal 2 2 3 2 2 4" xfId="17333"/>
    <cellStyle name="Normal 2 2 3 2 2 5" xfId="17334"/>
    <cellStyle name="Normal 2 2 3 2 2 6" xfId="17335"/>
    <cellStyle name="Normal 2 2 3 2 2 7" xfId="17336"/>
    <cellStyle name="Normal 2 2 3 2 2 8" xfId="17337"/>
    <cellStyle name="Normal 2 2 3 2 2 9" xfId="17338"/>
    <cellStyle name="Normal 2 2 3 2 20" xfId="17339"/>
    <cellStyle name="Normal 2 2 3 2 21" xfId="17340"/>
    <cellStyle name="Normal 2 2 3 2 22" xfId="17341"/>
    <cellStyle name="Normal 2 2 3 2 23" xfId="17342"/>
    <cellStyle name="Normal 2 2 3 2 24" xfId="17343"/>
    <cellStyle name="Normal 2 2 3 2 3" xfId="17344"/>
    <cellStyle name="Normal 2 2 3 2 4" xfId="17345"/>
    <cellStyle name="Normal 2 2 3 2 5" xfId="17346"/>
    <cellStyle name="Normal 2 2 3 2 6" xfId="17347"/>
    <cellStyle name="Normal 2 2 3 2 7" xfId="17348"/>
    <cellStyle name="Normal 2 2 3 2 8" xfId="17349"/>
    <cellStyle name="Normal 2 2 3 2 9" xfId="17350"/>
    <cellStyle name="Normal 2 2 3 2_Aceh Tamiang D.1 +, 2003" xfId="4560"/>
    <cellStyle name="Normal 2 2 3 20" xfId="17351"/>
    <cellStyle name="Normal 2 2 3 21" xfId="17352"/>
    <cellStyle name="Normal 2 2 3 22" xfId="17353"/>
    <cellStyle name="Normal 2 2 3 23" xfId="17354"/>
    <cellStyle name="Normal 2 2 3 24" xfId="17355"/>
    <cellStyle name="Normal 2 2 3 25" xfId="17356"/>
    <cellStyle name="Normal 2 2 3 26" xfId="17357"/>
    <cellStyle name="Normal 2 2 3 27" xfId="17358"/>
    <cellStyle name="Normal 2 2 3 28" xfId="17359"/>
    <cellStyle name="Normal 2 2 3 29" xfId="17360"/>
    <cellStyle name="Normal 2 2 3 3" xfId="4561"/>
    <cellStyle name="Normal 2 2 3 3 10" xfId="17361"/>
    <cellStyle name="Normal 2 2 3 3 11" xfId="17362"/>
    <cellStyle name="Normal 2 2 3 3 12" xfId="17363"/>
    <cellStyle name="Normal 2 2 3 3 13" xfId="17364"/>
    <cellStyle name="Normal 2 2 3 3 14" xfId="17365"/>
    <cellStyle name="Normal 2 2 3 3 15" xfId="17366"/>
    <cellStyle name="Normal 2 2 3 3 16" xfId="17367"/>
    <cellStyle name="Normal 2 2 3 3 17" xfId="17368"/>
    <cellStyle name="Normal 2 2 3 3 18" xfId="17369"/>
    <cellStyle name="Normal 2 2 3 3 19" xfId="17370"/>
    <cellStyle name="Normal 2 2 3 3 2" xfId="4562"/>
    <cellStyle name="Normal 2 2 3 3 2 10" xfId="17371"/>
    <cellStyle name="Normal 2 2 3 3 2 11" xfId="17372"/>
    <cellStyle name="Normal 2 2 3 3 2 12" xfId="17373"/>
    <cellStyle name="Normal 2 2 3 3 2 13" xfId="17374"/>
    <cellStyle name="Normal 2 2 3 3 2 14" xfId="17375"/>
    <cellStyle name="Normal 2 2 3 3 2 15" xfId="17376"/>
    <cellStyle name="Normal 2 2 3 3 2 16" xfId="17377"/>
    <cellStyle name="Normal 2 2 3 3 2 17" xfId="17378"/>
    <cellStyle name="Normal 2 2 3 3 2 18" xfId="17379"/>
    <cellStyle name="Normal 2 2 3 3 2 19" xfId="17380"/>
    <cellStyle name="Normal 2 2 3 3 2 2" xfId="4563"/>
    <cellStyle name="Normal 2 2 3 3 2 2 10" xfId="17381"/>
    <cellStyle name="Normal 2 2 3 3 2 2 11" xfId="17382"/>
    <cellStyle name="Normal 2 2 3 3 2 2 12" xfId="17383"/>
    <cellStyle name="Normal 2 2 3 3 2 2 13" xfId="17384"/>
    <cellStyle name="Normal 2 2 3 3 2 2 14" xfId="17385"/>
    <cellStyle name="Normal 2 2 3 3 2 2 15" xfId="17386"/>
    <cellStyle name="Normal 2 2 3 3 2 2 16" xfId="17387"/>
    <cellStyle name="Normal 2 2 3 3 2 2 17" xfId="17388"/>
    <cellStyle name="Normal 2 2 3 3 2 2 18" xfId="17389"/>
    <cellStyle name="Normal 2 2 3 3 2 2 19" xfId="17390"/>
    <cellStyle name="Normal 2 2 3 3 2 2 2" xfId="17391"/>
    <cellStyle name="Normal 2 2 3 3 2 2 20" xfId="17392"/>
    <cellStyle name="Normal 2 2 3 3 2 2 21" xfId="17393"/>
    <cellStyle name="Normal 2 2 3 3 2 2 22" xfId="17394"/>
    <cellStyle name="Normal 2 2 3 3 2 2 23" xfId="17395"/>
    <cellStyle name="Normal 2 2 3 3 2 2 3" xfId="17396"/>
    <cellStyle name="Normal 2 2 3 3 2 2 4" xfId="17397"/>
    <cellStyle name="Normal 2 2 3 3 2 2 5" xfId="17398"/>
    <cellStyle name="Normal 2 2 3 3 2 2 6" xfId="17399"/>
    <cellStyle name="Normal 2 2 3 3 2 2 7" xfId="17400"/>
    <cellStyle name="Normal 2 2 3 3 2 2 8" xfId="17401"/>
    <cellStyle name="Normal 2 2 3 3 2 2 9" xfId="17402"/>
    <cellStyle name="Normal 2 2 3 3 2 20" xfId="17403"/>
    <cellStyle name="Normal 2 2 3 3 2 21" xfId="17404"/>
    <cellStyle name="Normal 2 2 3 3 2 22" xfId="17405"/>
    <cellStyle name="Normal 2 2 3 3 2 23" xfId="17406"/>
    <cellStyle name="Normal 2 2 3 3 2 24" xfId="17407"/>
    <cellStyle name="Normal 2 2 3 3 2 3" xfId="17408"/>
    <cellStyle name="Normal 2 2 3 3 2 4" xfId="17409"/>
    <cellStyle name="Normal 2 2 3 3 2 5" xfId="17410"/>
    <cellStyle name="Normal 2 2 3 3 2 6" xfId="17411"/>
    <cellStyle name="Normal 2 2 3 3 2 7" xfId="17412"/>
    <cellStyle name="Normal 2 2 3 3 2 8" xfId="17413"/>
    <cellStyle name="Normal 2 2 3 3 2 9" xfId="17414"/>
    <cellStyle name="Normal 2 2 3 3 20" xfId="17415"/>
    <cellStyle name="Normal 2 2 3 3 21" xfId="17416"/>
    <cellStyle name="Normal 2 2 3 3 22" xfId="17417"/>
    <cellStyle name="Normal 2 2 3 3 23" xfId="17418"/>
    <cellStyle name="Normal 2 2 3 3 24" xfId="17419"/>
    <cellStyle name="Normal 2 2 3 3 3" xfId="17420"/>
    <cellStyle name="Normal 2 2 3 3 4" xfId="17421"/>
    <cellStyle name="Normal 2 2 3 3 5" xfId="17422"/>
    <cellStyle name="Normal 2 2 3 3 6" xfId="17423"/>
    <cellStyle name="Normal 2 2 3 3 7" xfId="17424"/>
    <cellStyle name="Normal 2 2 3 3 8" xfId="17425"/>
    <cellStyle name="Normal 2 2 3 3 9" xfId="17426"/>
    <cellStyle name="Normal 2 2 3 30" xfId="17427"/>
    <cellStyle name="Normal 2 2 3 4" xfId="4564"/>
    <cellStyle name="Normal 2 2 3 5" xfId="4565"/>
    <cellStyle name="Normal 2 2 3 6" xfId="4566"/>
    <cellStyle name="Normal 2 2 3 7" xfId="4567"/>
    <cellStyle name="Normal 2 2 3 7 2" xfId="4568"/>
    <cellStyle name="Normal 2 2 3 8" xfId="4569"/>
    <cellStyle name="Normal 2 2 3 8 10" xfId="17428"/>
    <cellStyle name="Normal 2 2 3 8 11" xfId="17429"/>
    <cellStyle name="Normal 2 2 3 8 12" xfId="17430"/>
    <cellStyle name="Normal 2 2 3 8 13" xfId="17431"/>
    <cellStyle name="Normal 2 2 3 8 14" xfId="17432"/>
    <cellStyle name="Normal 2 2 3 8 15" xfId="17433"/>
    <cellStyle name="Normal 2 2 3 8 16" xfId="17434"/>
    <cellStyle name="Normal 2 2 3 8 17" xfId="17435"/>
    <cellStyle name="Normal 2 2 3 8 18" xfId="17436"/>
    <cellStyle name="Normal 2 2 3 8 19" xfId="17437"/>
    <cellStyle name="Normal 2 2 3 8 2" xfId="4570"/>
    <cellStyle name="Normal 2 2 3 8 20" xfId="17438"/>
    <cellStyle name="Normal 2 2 3 8 21" xfId="17439"/>
    <cellStyle name="Normal 2 2 3 8 22" xfId="17440"/>
    <cellStyle name="Normal 2 2 3 8 23" xfId="17441"/>
    <cellStyle name="Normal 2 2 3 8 24" xfId="17442"/>
    <cellStyle name="Normal 2 2 3 8 3" xfId="17443"/>
    <cellStyle name="Normal 2 2 3 8 4" xfId="17444"/>
    <cellStyle name="Normal 2 2 3 8 5" xfId="17445"/>
    <cellStyle name="Normal 2 2 3 8 6" xfId="17446"/>
    <cellStyle name="Normal 2 2 3 8 7" xfId="17447"/>
    <cellStyle name="Normal 2 2 3 8 8" xfId="17448"/>
    <cellStyle name="Normal 2 2 3 8 9" xfId="17449"/>
    <cellStyle name="Normal 2 2 3 9" xfId="17450"/>
    <cellStyle name="Normal 2 2 3_A1 Disdik _Aceh _Selatan" xfId="4571"/>
    <cellStyle name="Normal 2 2 30" xfId="4572"/>
    <cellStyle name="Normal 2 2 30 10" xfId="17451"/>
    <cellStyle name="Normal 2 2 30 11" xfId="17452"/>
    <cellStyle name="Normal 2 2 30 12" xfId="17453"/>
    <cellStyle name="Normal 2 2 30 13" xfId="17454"/>
    <cellStyle name="Normal 2 2 30 14" xfId="17455"/>
    <cellStyle name="Normal 2 2 30 15" xfId="17456"/>
    <cellStyle name="Normal 2 2 30 16" xfId="17457"/>
    <cellStyle name="Normal 2 2 30 17" xfId="17458"/>
    <cellStyle name="Normal 2 2 30 18" xfId="17459"/>
    <cellStyle name="Normal 2 2 30 19" xfId="17460"/>
    <cellStyle name="Normal 2 2 30 2" xfId="17461"/>
    <cellStyle name="Normal 2 2 30 20" xfId="17462"/>
    <cellStyle name="Normal 2 2 30 21" xfId="17463"/>
    <cellStyle name="Normal 2 2 30 22" xfId="17464"/>
    <cellStyle name="Normal 2 2 30 23" xfId="17465"/>
    <cellStyle name="Normal 2 2 30 3" xfId="17466"/>
    <cellStyle name="Normal 2 2 30 4" xfId="17467"/>
    <cellStyle name="Normal 2 2 30 5" xfId="17468"/>
    <cellStyle name="Normal 2 2 30 6" xfId="17469"/>
    <cellStyle name="Normal 2 2 30 7" xfId="17470"/>
    <cellStyle name="Normal 2 2 30 8" xfId="17471"/>
    <cellStyle name="Normal 2 2 30 9" xfId="17472"/>
    <cellStyle name="Normal 2 2 31" xfId="4573"/>
    <cellStyle name="Normal 2 2 31 10" xfId="17473"/>
    <cellStyle name="Normal 2 2 31 11" xfId="17474"/>
    <cellStyle name="Normal 2 2 31 12" xfId="17475"/>
    <cellStyle name="Normal 2 2 31 13" xfId="17476"/>
    <cellStyle name="Normal 2 2 31 14" xfId="17477"/>
    <cellStyle name="Normal 2 2 31 15" xfId="17478"/>
    <cellStyle name="Normal 2 2 31 16" xfId="17479"/>
    <cellStyle name="Normal 2 2 31 17" xfId="17480"/>
    <cellStyle name="Normal 2 2 31 18" xfId="17481"/>
    <cellStyle name="Normal 2 2 31 19" xfId="17482"/>
    <cellStyle name="Normal 2 2 31 2" xfId="17483"/>
    <cellStyle name="Normal 2 2 31 20" xfId="17484"/>
    <cellStyle name="Normal 2 2 31 21" xfId="17485"/>
    <cellStyle name="Normal 2 2 31 22" xfId="17486"/>
    <cellStyle name="Normal 2 2 31 23" xfId="17487"/>
    <cellStyle name="Normal 2 2 31 3" xfId="17488"/>
    <cellStyle name="Normal 2 2 31 4" xfId="17489"/>
    <cellStyle name="Normal 2 2 31 5" xfId="17490"/>
    <cellStyle name="Normal 2 2 31 6" xfId="17491"/>
    <cellStyle name="Normal 2 2 31 7" xfId="17492"/>
    <cellStyle name="Normal 2 2 31 8" xfId="17493"/>
    <cellStyle name="Normal 2 2 31 9" xfId="17494"/>
    <cellStyle name="Normal 2 2 32" xfId="4574"/>
    <cellStyle name="Normal 2 2 32 10" xfId="17495"/>
    <cellStyle name="Normal 2 2 32 11" xfId="17496"/>
    <cellStyle name="Normal 2 2 32 12" xfId="17497"/>
    <cellStyle name="Normal 2 2 32 13" xfId="17498"/>
    <cellStyle name="Normal 2 2 32 14" xfId="17499"/>
    <cellStyle name="Normal 2 2 32 15" xfId="17500"/>
    <cellStyle name="Normal 2 2 32 16" xfId="17501"/>
    <cellStyle name="Normal 2 2 32 17" xfId="17502"/>
    <cellStyle name="Normal 2 2 32 18" xfId="17503"/>
    <cellStyle name="Normal 2 2 32 19" xfId="17504"/>
    <cellStyle name="Normal 2 2 32 2" xfId="17505"/>
    <cellStyle name="Normal 2 2 32 20" xfId="17506"/>
    <cellStyle name="Normal 2 2 32 21" xfId="17507"/>
    <cellStyle name="Normal 2 2 32 22" xfId="17508"/>
    <cellStyle name="Normal 2 2 32 23" xfId="17509"/>
    <cellStyle name="Normal 2 2 32 3" xfId="17510"/>
    <cellStyle name="Normal 2 2 32 4" xfId="17511"/>
    <cellStyle name="Normal 2 2 32 5" xfId="17512"/>
    <cellStyle name="Normal 2 2 32 6" xfId="17513"/>
    <cellStyle name="Normal 2 2 32 7" xfId="17514"/>
    <cellStyle name="Normal 2 2 32 8" xfId="17515"/>
    <cellStyle name="Normal 2 2 32 9" xfId="17516"/>
    <cellStyle name="Normal 2 2 33" xfId="4575"/>
    <cellStyle name="Normal 2 2 33 10" xfId="17517"/>
    <cellStyle name="Normal 2 2 33 11" xfId="17518"/>
    <cellStyle name="Normal 2 2 33 12" xfId="17519"/>
    <cellStyle name="Normal 2 2 33 13" xfId="17520"/>
    <cellStyle name="Normal 2 2 33 14" xfId="17521"/>
    <cellStyle name="Normal 2 2 33 15" xfId="17522"/>
    <cellStyle name="Normal 2 2 33 16" xfId="17523"/>
    <cellStyle name="Normal 2 2 33 17" xfId="17524"/>
    <cellStyle name="Normal 2 2 33 18" xfId="17525"/>
    <cellStyle name="Normal 2 2 33 19" xfId="17526"/>
    <cellStyle name="Normal 2 2 33 2" xfId="17527"/>
    <cellStyle name="Normal 2 2 33 20" xfId="17528"/>
    <cellStyle name="Normal 2 2 33 21" xfId="17529"/>
    <cellStyle name="Normal 2 2 33 22" xfId="17530"/>
    <cellStyle name="Normal 2 2 33 23" xfId="17531"/>
    <cellStyle name="Normal 2 2 33 3" xfId="17532"/>
    <cellStyle name="Normal 2 2 33 4" xfId="17533"/>
    <cellStyle name="Normal 2 2 33 5" xfId="17534"/>
    <cellStyle name="Normal 2 2 33 6" xfId="17535"/>
    <cellStyle name="Normal 2 2 33 7" xfId="17536"/>
    <cellStyle name="Normal 2 2 33 8" xfId="17537"/>
    <cellStyle name="Normal 2 2 33 9" xfId="17538"/>
    <cellStyle name="Normal 2 2 34" xfId="4576"/>
    <cellStyle name="Normal 2 2 35" xfId="4577"/>
    <cellStyle name="Normal 2 2 35 2" xfId="17539"/>
    <cellStyle name="Normal 2 2 35 3" xfId="17540"/>
    <cellStyle name="Normal 2 2 35 4" xfId="17541"/>
    <cellStyle name="Normal 2 2 36" xfId="4578"/>
    <cellStyle name="Normal 2 2 36 2" xfId="4579"/>
    <cellStyle name="Normal 2 2 36 2 2" xfId="17542"/>
    <cellStyle name="Normal 2 2 36 2 3" xfId="17543"/>
    <cellStyle name="Normal 2 2 36 2 4" xfId="17544"/>
    <cellStyle name="Normal 2 2 36 3" xfId="4580"/>
    <cellStyle name="Normal 2 2 36 3 2" xfId="17545"/>
    <cellStyle name="Normal 2 2 36 3 3" xfId="17546"/>
    <cellStyle name="Normal 2 2 36 3 4" xfId="17547"/>
    <cellStyle name="Normal 2 2 36 4" xfId="17548"/>
    <cellStyle name="Normal 2 2 36 5" xfId="17549"/>
    <cellStyle name="Normal 2 2 36 6" xfId="17550"/>
    <cellStyle name="Normal 2 2 37" xfId="4581"/>
    <cellStyle name="Normal 2 2 37 2" xfId="17551"/>
    <cellStyle name="Normal 2 2 37 3" xfId="17552"/>
    <cellStyle name="Normal 2 2 37 4" xfId="17553"/>
    <cellStyle name="Normal 2 2 38" xfId="17554"/>
    <cellStyle name="Normal 2 2 39" xfId="17555"/>
    <cellStyle name="Normal 2 2 4" xfId="4582"/>
    <cellStyle name="Normal 2 2 4 10" xfId="17556"/>
    <cellStyle name="Normal 2 2 4 11" xfId="17557"/>
    <cellStyle name="Normal 2 2 4 12" xfId="17558"/>
    <cellStyle name="Normal 2 2 4 13" xfId="17559"/>
    <cellStyle name="Normal 2 2 4 14" xfId="17560"/>
    <cellStyle name="Normal 2 2 4 15" xfId="17561"/>
    <cellStyle name="Normal 2 2 4 16" xfId="17562"/>
    <cellStyle name="Normal 2 2 4 17" xfId="17563"/>
    <cellStyle name="Normal 2 2 4 18" xfId="17564"/>
    <cellStyle name="Normal 2 2 4 19" xfId="17565"/>
    <cellStyle name="Normal 2 2 4 2" xfId="4583"/>
    <cellStyle name="Normal 2 2 4 2 10" xfId="17566"/>
    <cellStyle name="Normal 2 2 4 2 11" xfId="17567"/>
    <cellStyle name="Normal 2 2 4 2 12" xfId="17568"/>
    <cellStyle name="Normal 2 2 4 2 13" xfId="17569"/>
    <cellStyle name="Normal 2 2 4 2 14" xfId="17570"/>
    <cellStyle name="Normal 2 2 4 2 15" xfId="17571"/>
    <cellStyle name="Normal 2 2 4 2 16" xfId="17572"/>
    <cellStyle name="Normal 2 2 4 2 17" xfId="17573"/>
    <cellStyle name="Normal 2 2 4 2 18" xfId="17574"/>
    <cellStyle name="Normal 2 2 4 2 19" xfId="17575"/>
    <cellStyle name="Normal 2 2 4 2 2" xfId="4584"/>
    <cellStyle name="Normal 2 2 4 2 2 10" xfId="17576"/>
    <cellStyle name="Normal 2 2 4 2 2 11" xfId="17577"/>
    <cellStyle name="Normal 2 2 4 2 2 12" xfId="17578"/>
    <cellStyle name="Normal 2 2 4 2 2 13" xfId="17579"/>
    <cellStyle name="Normal 2 2 4 2 2 14" xfId="17580"/>
    <cellStyle name="Normal 2 2 4 2 2 15" xfId="17581"/>
    <cellStyle name="Normal 2 2 4 2 2 16" xfId="17582"/>
    <cellStyle name="Normal 2 2 4 2 2 17" xfId="17583"/>
    <cellStyle name="Normal 2 2 4 2 2 18" xfId="17584"/>
    <cellStyle name="Normal 2 2 4 2 2 19" xfId="17585"/>
    <cellStyle name="Normal 2 2 4 2 2 2" xfId="4585"/>
    <cellStyle name="Normal 2 2 4 2 2 2 10" xfId="17586"/>
    <cellStyle name="Normal 2 2 4 2 2 2 11" xfId="17587"/>
    <cellStyle name="Normal 2 2 4 2 2 2 12" xfId="17588"/>
    <cellStyle name="Normal 2 2 4 2 2 2 13" xfId="17589"/>
    <cellStyle name="Normal 2 2 4 2 2 2 14" xfId="17590"/>
    <cellStyle name="Normal 2 2 4 2 2 2 15" xfId="17591"/>
    <cellStyle name="Normal 2 2 4 2 2 2 16" xfId="17592"/>
    <cellStyle name="Normal 2 2 4 2 2 2 17" xfId="17593"/>
    <cellStyle name="Normal 2 2 4 2 2 2 18" xfId="17594"/>
    <cellStyle name="Normal 2 2 4 2 2 2 19" xfId="17595"/>
    <cellStyle name="Normal 2 2 4 2 2 2 2" xfId="17596"/>
    <cellStyle name="Normal 2 2 4 2 2 2 20" xfId="17597"/>
    <cellStyle name="Normal 2 2 4 2 2 2 21" xfId="17598"/>
    <cellStyle name="Normal 2 2 4 2 2 2 22" xfId="17599"/>
    <cellStyle name="Normal 2 2 4 2 2 2 23" xfId="17600"/>
    <cellStyle name="Normal 2 2 4 2 2 2 3" xfId="17601"/>
    <cellStyle name="Normal 2 2 4 2 2 2 4" xfId="17602"/>
    <cellStyle name="Normal 2 2 4 2 2 2 5" xfId="17603"/>
    <cellStyle name="Normal 2 2 4 2 2 2 6" xfId="17604"/>
    <cellStyle name="Normal 2 2 4 2 2 2 7" xfId="17605"/>
    <cellStyle name="Normal 2 2 4 2 2 2 8" xfId="17606"/>
    <cellStyle name="Normal 2 2 4 2 2 2 9" xfId="17607"/>
    <cellStyle name="Normal 2 2 4 2 2 20" xfId="17608"/>
    <cellStyle name="Normal 2 2 4 2 2 21" xfId="17609"/>
    <cellStyle name="Normal 2 2 4 2 2 22" xfId="17610"/>
    <cellStyle name="Normal 2 2 4 2 2 23" xfId="17611"/>
    <cellStyle name="Normal 2 2 4 2 2 24" xfId="17612"/>
    <cellStyle name="Normal 2 2 4 2 2 3" xfId="17613"/>
    <cellStyle name="Normal 2 2 4 2 2 4" xfId="17614"/>
    <cellStyle name="Normal 2 2 4 2 2 5" xfId="17615"/>
    <cellStyle name="Normal 2 2 4 2 2 6" xfId="17616"/>
    <cellStyle name="Normal 2 2 4 2 2 7" xfId="17617"/>
    <cellStyle name="Normal 2 2 4 2 2 8" xfId="17618"/>
    <cellStyle name="Normal 2 2 4 2 2 9" xfId="17619"/>
    <cellStyle name="Normal 2 2 4 2 20" xfId="17620"/>
    <cellStyle name="Normal 2 2 4 2 21" xfId="17621"/>
    <cellStyle name="Normal 2 2 4 2 22" xfId="17622"/>
    <cellStyle name="Normal 2 2 4 2 23" xfId="17623"/>
    <cellStyle name="Normal 2 2 4 2 24" xfId="17624"/>
    <cellStyle name="Normal 2 2 4 2 3" xfId="17625"/>
    <cellStyle name="Normal 2 2 4 2 4" xfId="17626"/>
    <cellStyle name="Normal 2 2 4 2 5" xfId="17627"/>
    <cellStyle name="Normal 2 2 4 2 6" xfId="17628"/>
    <cellStyle name="Normal 2 2 4 2 7" xfId="17629"/>
    <cellStyle name="Normal 2 2 4 2 8" xfId="17630"/>
    <cellStyle name="Normal 2 2 4 2 9" xfId="17631"/>
    <cellStyle name="Normal 2 2 4 20" xfId="17632"/>
    <cellStyle name="Normal 2 2 4 21" xfId="17633"/>
    <cellStyle name="Normal 2 2 4 22" xfId="17634"/>
    <cellStyle name="Normal 2 2 4 23" xfId="17635"/>
    <cellStyle name="Normal 2 2 4 24" xfId="17636"/>
    <cellStyle name="Normal 2 2 4 25" xfId="17637"/>
    <cellStyle name="Normal 2 2 4 26" xfId="17638"/>
    <cellStyle name="Normal 2 2 4 27" xfId="17639"/>
    <cellStyle name="Normal 2 2 4 28" xfId="17640"/>
    <cellStyle name="Normal 2 2 4 29" xfId="17641"/>
    <cellStyle name="Normal 2 2 4 3" xfId="4586"/>
    <cellStyle name="Normal 2 2 4 30" xfId="17642"/>
    <cellStyle name="Normal 2 2 4 4" xfId="4587"/>
    <cellStyle name="Normal 2 2 4 5" xfId="4588"/>
    <cellStyle name="Normal 2 2 4 6" xfId="4589"/>
    <cellStyle name="Normal 2 2 4 6 10" xfId="17643"/>
    <cellStyle name="Normal 2 2 4 6 11" xfId="17644"/>
    <cellStyle name="Normal 2 2 4 6 12" xfId="17645"/>
    <cellStyle name="Normal 2 2 4 6 13" xfId="17646"/>
    <cellStyle name="Normal 2 2 4 6 14" xfId="17647"/>
    <cellStyle name="Normal 2 2 4 6 15" xfId="17648"/>
    <cellStyle name="Normal 2 2 4 6 16" xfId="17649"/>
    <cellStyle name="Normal 2 2 4 6 17" xfId="17650"/>
    <cellStyle name="Normal 2 2 4 6 18" xfId="17651"/>
    <cellStyle name="Normal 2 2 4 6 19" xfId="17652"/>
    <cellStyle name="Normal 2 2 4 6 2" xfId="4590"/>
    <cellStyle name="Normal 2 2 4 6 2 10" xfId="17653"/>
    <cellStyle name="Normal 2 2 4 6 2 11" xfId="17654"/>
    <cellStyle name="Normal 2 2 4 6 2 12" xfId="17655"/>
    <cellStyle name="Normal 2 2 4 6 2 13" xfId="17656"/>
    <cellStyle name="Normal 2 2 4 6 2 14" xfId="17657"/>
    <cellStyle name="Normal 2 2 4 6 2 15" xfId="17658"/>
    <cellStyle name="Normal 2 2 4 6 2 16" xfId="17659"/>
    <cellStyle name="Normal 2 2 4 6 2 17" xfId="17660"/>
    <cellStyle name="Normal 2 2 4 6 2 18" xfId="17661"/>
    <cellStyle name="Normal 2 2 4 6 2 19" xfId="17662"/>
    <cellStyle name="Normal 2 2 4 6 2 2" xfId="17663"/>
    <cellStyle name="Normal 2 2 4 6 2 20" xfId="17664"/>
    <cellStyle name="Normal 2 2 4 6 2 21" xfId="17665"/>
    <cellStyle name="Normal 2 2 4 6 2 22" xfId="17666"/>
    <cellStyle name="Normal 2 2 4 6 2 23" xfId="17667"/>
    <cellStyle name="Normal 2 2 4 6 2 3" xfId="17668"/>
    <cellStyle name="Normal 2 2 4 6 2 4" xfId="17669"/>
    <cellStyle name="Normal 2 2 4 6 2 5" xfId="17670"/>
    <cellStyle name="Normal 2 2 4 6 2 6" xfId="17671"/>
    <cellStyle name="Normal 2 2 4 6 2 7" xfId="17672"/>
    <cellStyle name="Normal 2 2 4 6 2 8" xfId="17673"/>
    <cellStyle name="Normal 2 2 4 6 2 9" xfId="17674"/>
    <cellStyle name="Normal 2 2 4 6 20" xfId="17675"/>
    <cellStyle name="Normal 2 2 4 6 21" xfId="17676"/>
    <cellStyle name="Normal 2 2 4 6 22" xfId="17677"/>
    <cellStyle name="Normal 2 2 4 6 23" xfId="17678"/>
    <cellStyle name="Normal 2 2 4 6 24" xfId="17679"/>
    <cellStyle name="Normal 2 2 4 6 25" xfId="17680"/>
    <cellStyle name="Normal 2 2 4 6 3" xfId="4591"/>
    <cellStyle name="Normal 2 2 4 6 3 10" xfId="17681"/>
    <cellStyle name="Normal 2 2 4 6 3 11" xfId="17682"/>
    <cellStyle name="Normal 2 2 4 6 3 12" xfId="17683"/>
    <cellStyle name="Normal 2 2 4 6 3 13" xfId="17684"/>
    <cellStyle name="Normal 2 2 4 6 3 14" xfId="17685"/>
    <cellStyle name="Normal 2 2 4 6 3 15" xfId="17686"/>
    <cellStyle name="Normal 2 2 4 6 3 16" xfId="17687"/>
    <cellStyle name="Normal 2 2 4 6 3 17" xfId="17688"/>
    <cellStyle name="Normal 2 2 4 6 3 18" xfId="17689"/>
    <cellStyle name="Normal 2 2 4 6 3 19" xfId="17690"/>
    <cellStyle name="Normal 2 2 4 6 3 2" xfId="17691"/>
    <cellStyle name="Normal 2 2 4 6 3 20" xfId="17692"/>
    <cellStyle name="Normal 2 2 4 6 3 21" xfId="17693"/>
    <cellStyle name="Normal 2 2 4 6 3 22" xfId="17694"/>
    <cellStyle name="Normal 2 2 4 6 3 23" xfId="17695"/>
    <cellStyle name="Normal 2 2 4 6 3 3" xfId="17696"/>
    <cellStyle name="Normal 2 2 4 6 3 4" xfId="17697"/>
    <cellStyle name="Normal 2 2 4 6 3 5" xfId="17698"/>
    <cellStyle name="Normal 2 2 4 6 3 6" xfId="17699"/>
    <cellStyle name="Normal 2 2 4 6 3 7" xfId="17700"/>
    <cellStyle name="Normal 2 2 4 6 3 8" xfId="17701"/>
    <cellStyle name="Normal 2 2 4 6 3 9" xfId="17702"/>
    <cellStyle name="Normal 2 2 4 6 4" xfId="17703"/>
    <cellStyle name="Normal 2 2 4 6 5" xfId="17704"/>
    <cellStyle name="Normal 2 2 4 6 6" xfId="17705"/>
    <cellStyle name="Normal 2 2 4 6 7" xfId="17706"/>
    <cellStyle name="Normal 2 2 4 6 8" xfId="17707"/>
    <cellStyle name="Normal 2 2 4 6 9" xfId="17708"/>
    <cellStyle name="Normal 2 2 4 7" xfId="4592"/>
    <cellStyle name="Normal 2 2 4 7 10" xfId="17709"/>
    <cellStyle name="Normal 2 2 4 7 11" xfId="17710"/>
    <cellStyle name="Normal 2 2 4 7 12" xfId="17711"/>
    <cellStyle name="Normal 2 2 4 7 13" xfId="17712"/>
    <cellStyle name="Normal 2 2 4 7 14" xfId="17713"/>
    <cellStyle name="Normal 2 2 4 7 15" xfId="17714"/>
    <cellStyle name="Normal 2 2 4 7 16" xfId="17715"/>
    <cellStyle name="Normal 2 2 4 7 17" xfId="17716"/>
    <cellStyle name="Normal 2 2 4 7 18" xfId="17717"/>
    <cellStyle name="Normal 2 2 4 7 19" xfId="17718"/>
    <cellStyle name="Normal 2 2 4 7 2" xfId="17719"/>
    <cellStyle name="Normal 2 2 4 7 20" xfId="17720"/>
    <cellStyle name="Normal 2 2 4 7 21" xfId="17721"/>
    <cellStyle name="Normal 2 2 4 7 22" xfId="17722"/>
    <cellStyle name="Normal 2 2 4 7 23" xfId="17723"/>
    <cellStyle name="Normal 2 2 4 7 3" xfId="17724"/>
    <cellStyle name="Normal 2 2 4 7 4" xfId="17725"/>
    <cellStyle name="Normal 2 2 4 7 5" xfId="17726"/>
    <cellStyle name="Normal 2 2 4 7 6" xfId="17727"/>
    <cellStyle name="Normal 2 2 4 7 7" xfId="17728"/>
    <cellStyle name="Normal 2 2 4 7 8" xfId="17729"/>
    <cellStyle name="Normal 2 2 4 7 9" xfId="17730"/>
    <cellStyle name="Normal 2 2 4 8" xfId="4593"/>
    <cellStyle name="Normal 2 2 4 8 10" xfId="17731"/>
    <cellStyle name="Normal 2 2 4 8 11" xfId="17732"/>
    <cellStyle name="Normal 2 2 4 8 12" xfId="17733"/>
    <cellStyle name="Normal 2 2 4 8 13" xfId="17734"/>
    <cellStyle name="Normal 2 2 4 8 14" xfId="17735"/>
    <cellStyle name="Normal 2 2 4 8 15" xfId="17736"/>
    <cellStyle name="Normal 2 2 4 8 16" xfId="17737"/>
    <cellStyle name="Normal 2 2 4 8 17" xfId="17738"/>
    <cellStyle name="Normal 2 2 4 8 18" xfId="17739"/>
    <cellStyle name="Normal 2 2 4 8 19" xfId="17740"/>
    <cellStyle name="Normal 2 2 4 8 2" xfId="17741"/>
    <cellStyle name="Normal 2 2 4 8 20" xfId="17742"/>
    <cellStyle name="Normal 2 2 4 8 21" xfId="17743"/>
    <cellStyle name="Normal 2 2 4 8 22" xfId="17744"/>
    <cellStyle name="Normal 2 2 4 8 23" xfId="17745"/>
    <cellStyle name="Normal 2 2 4 8 3" xfId="17746"/>
    <cellStyle name="Normal 2 2 4 8 4" xfId="17747"/>
    <cellStyle name="Normal 2 2 4 8 5" xfId="17748"/>
    <cellStyle name="Normal 2 2 4 8 6" xfId="17749"/>
    <cellStyle name="Normal 2 2 4 8 7" xfId="17750"/>
    <cellStyle name="Normal 2 2 4 8 8" xfId="17751"/>
    <cellStyle name="Normal 2 2 4 8 9" xfId="17752"/>
    <cellStyle name="Normal 2 2 4 9" xfId="17753"/>
    <cellStyle name="Normal 2 2 4_A1 Disdik _Aceh _Selatan" xfId="4594"/>
    <cellStyle name="Normal 2 2 40" xfId="17754"/>
    <cellStyle name="Normal 2 2 41" xfId="17755"/>
    <cellStyle name="Normal 2 2 42" xfId="17756"/>
    <cellStyle name="Normal 2 2 43" xfId="17757"/>
    <cellStyle name="Normal 2 2 44" xfId="17758"/>
    <cellStyle name="Normal 2 2 45" xfId="17759"/>
    <cellStyle name="Normal 2 2 46" xfId="17760"/>
    <cellStyle name="Normal 2 2 47" xfId="17761"/>
    <cellStyle name="Normal 2 2 48" xfId="17762"/>
    <cellStyle name="Normal 2 2 49" xfId="17763"/>
    <cellStyle name="Normal 2 2 5" xfId="4595"/>
    <cellStyle name="Normal 2 2 5 10" xfId="4596"/>
    <cellStyle name="Normal 2 2 5 10 2" xfId="17764"/>
    <cellStyle name="Normal 2 2 5 10 3" xfId="17765"/>
    <cellStyle name="Normal 2 2 5 10 4" xfId="17766"/>
    <cellStyle name="Normal 2 2 5 11" xfId="4597"/>
    <cellStyle name="Normal 2 2 5 11 2" xfId="17767"/>
    <cellStyle name="Normal 2 2 5 11 3" xfId="17768"/>
    <cellStyle name="Normal 2 2 5 11 4" xfId="17769"/>
    <cellStyle name="Normal 2 2 5 12" xfId="4598"/>
    <cellStyle name="Normal 2 2 5 12 2" xfId="17770"/>
    <cellStyle name="Normal 2 2 5 12 3" xfId="17771"/>
    <cellStyle name="Normal 2 2 5 12 4" xfId="17772"/>
    <cellStyle name="Normal 2 2 5 13" xfId="17773"/>
    <cellStyle name="Normal 2 2 5 14" xfId="17774"/>
    <cellStyle name="Normal 2 2 5 15" xfId="17775"/>
    <cellStyle name="Normal 2 2 5 16" xfId="17776"/>
    <cellStyle name="Normal 2 2 5 17" xfId="17777"/>
    <cellStyle name="Normal 2 2 5 18" xfId="17778"/>
    <cellStyle name="Normal 2 2 5 19" xfId="17779"/>
    <cellStyle name="Normal 2 2 5 2" xfId="4599"/>
    <cellStyle name="Normal 2 2 5 20" xfId="17780"/>
    <cellStyle name="Normal 2 2 5 21" xfId="17781"/>
    <cellStyle name="Normal 2 2 5 22" xfId="17782"/>
    <cellStyle name="Normal 2 2 5 23" xfId="17783"/>
    <cellStyle name="Normal 2 2 5 24" xfId="17784"/>
    <cellStyle name="Normal 2 2 5 25" xfId="17785"/>
    <cellStyle name="Normal 2 2 5 26" xfId="17786"/>
    <cellStyle name="Normal 2 2 5 27" xfId="17787"/>
    <cellStyle name="Normal 2 2 5 28" xfId="17788"/>
    <cellStyle name="Normal 2 2 5 29" xfId="17789"/>
    <cellStyle name="Normal 2 2 5 3" xfId="4600"/>
    <cellStyle name="Normal 2 2 5 30" xfId="17790"/>
    <cellStyle name="Normal 2 2 5 31" xfId="17791"/>
    <cellStyle name="Normal 2 2 5 32" xfId="17792"/>
    <cellStyle name="Normal 2 2 5 33" xfId="17793"/>
    <cellStyle name="Normal 2 2 5 4" xfId="4601"/>
    <cellStyle name="Normal 2 2 5 5" xfId="4602"/>
    <cellStyle name="Normal 2 2 5 6" xfId="4603"/>
    <cellStyle name="Normal 2 2 5 6 10" xfId="17794"/>
    <cellStyle name="Normal 2 2 5 6 11" xfId="17795"/>
    <cellStyle name="Normal 2 2 5 6 12" xfId="17796"/>
    <cellStyle name="Normal 2 2 5 6 13" xfId="17797"/>
    <cellStyle name="Normal 2 2 5 6 14" xfId="17798"/>
    <cellStyle name="Normal 2 2 5 6 15" xfId="17799"/>
    <cellStyle name="Normal 2 2 5 6 16" xfId="17800"/>
    <cellStyle name="Normal 2 2 5 6 17" xfId="17801"/>
    <cellStyle name="Normal 2 2 5 6 18" xfId="17802"/>
    <cellStyle name="Normal 2 2 5 6 19" xfId="17803"/>
    <cellStyle name="Normal 2 2 5 6 2" xfId="4604"/>
    <cellStyle name="Normal 2 2 5 6 2 10" xfId="17804"/>
    <cellStyle name="Normal 2 2 5 6 2 11" xfId="17805"/>
    <cellStyle name="Normal 2 2 5 6 2 12" xfId="17806"/>
    <cellStyle name="Normal 2 2 5 6 2 13" xfId="17807"/>
    <cellStyle name="Normal 2 2 5 6 2 14" xfId="17808"/>
    <cellStyle name="Normal 2 2 5 6 2 15" xfId="17809"/>
    <cellStyle name="Normal 2 2 5 6 2 16" xfId="17810"/>
    <cellStyle name="Normal 2 2 5 6 2 17" xfId="17811"/>
    <cellStyle name="Normal 2 2 5 6 2 18" xfId="17812"/>
    <cellStyle name="Normal 2 2 5 6 2 19" xfId="17813"/>
    <cellStyle name="Normal 2 2 5 6 2 2" xfId="17814"/>
    <cellStyle name="Normal 2 2 5 6 2 20" xfId="17815"/>
    <cellStyle name="Normal 2 2 5 6 2 21" xfId="17816"/>
    <cellStyle name="Normal 2 2 5 6 2 22" xfId="17817"/>
    <cellStyle name="Normal 2 2 5 6 2 23" xfId="17818"/>
    <cellStyle name="Normal 2 2 5 6 2 3" xfId="17819"/>
    <cellStyle name="Normal 2 2 5 6 2 4" xfId="17820"/>
    <cellStyle name="Normal 2 2 5 6 2 5" xfId="17821"/>
    <cellStyle name="Normal 2 2 5 6 2 6" xfId="17822"/>
    <cellStyle name="Normal 2 2 5 6 2 7" xfId="17823"/>
    <cellStyle name="Normal 2 2 5 6 2 8" xfId="17824"/>
    <cellStyle name="Normal 2 2 5 6 2 9" xfId="17825"/>
    <cellStyle name="Normal 2 2 5 6 20" xfId="17826"/>
    <cellStyle name="Normal 2 2 5 6 21" xfId="17827"/>
    <cellStyle name="Normal 2 2 5 6 22" xfId="17828"/>
    <cellStyle name="Normal 2 2 5 6 23" xfId="17829"/>
    <cellStyle name="Normal 2 2 5 6 24" xfId="17830"/>
    <cellStyle name="Normal 2 2 5 6 3" xfId="17831"/>
    <cellStyle name="Normal 2 2 5 6 4" xfId="17832"/>
    <cellStyle name="Normal 2 2 5 6 5" xfId="17833"/>
    <cellStyle name="Normal 2 2 5 6 6" xfId="17834"/>
    <cellStyle name="Normal 2 2 5 6 7" xfId="17835"/>
    <cellStyle name="Normal 2 2 5 6 8" xfId="17836"/>
    <cellStyle name="Normal 2 2 5 6 9" xfId="17837"/>
    <cellStyle name="Normal 2 2 5 7" xfId="4605"/>
    <cellStyle name="Normal 2 2 5 7 10" xfId="17838"/>
    <cellStyle name="Normal 2 2 5 7 11" xfId="17839"/>
    <cellStyle name="Normal 2 2 5 7 12" xfId="17840"/>
    <cellStyle name="Normal 2 2 5 7 13" xfId="17841"/>
    <cellStyle name="Normal 2 2 5 7 14" xfId="17842"/>
    <cellStyle name="Normal 2 2 5 7 15" xfId="17843"/>
    <cellStyle name="Normal 2 2 5 7 16" xfId="17844"/>
    <cellStyle name="Normal 2 2 5 7 17" xfId="17845"/>
    <cellStyle name="Normal 2 2 5 7 18" xfId="17846"/>
    <cellStyle name="Normal 2 2 5 7 19" xfId="17847"/>
    <cellStyle name="Normal 2 2 5 7 2" xfId="17848"/>
    <cellStyle name="Normal 2 2 5 7 20" xfId="17849"/>
    <cellStyle name="Normal 2 2 5 7 21" xfId="17850"/>
    <cellStyle name="Normal 2 2 5 7 22" xfId="17851"/>
    <cellStyle name="Normal 2 2 5 7 23" xfId="17852"/>
    <cellStyle name="Normal 2 2 5 7 3" xfId="17853"/>
    <cellStyle name="Normal 2 2 5 7 4" xfId="17854"/>
    <cellStyle name="Normal 2 2 5 7 5" xfId="17855"/>
    <cellStyle name="Normal 2 2 5 7 6" xfId="17856"/>
    <cellStyle name="Normal 2 2 5 7 7" xfId="17857"/>
    <cellStyle name="Normal 2 2 5 7 8" xfId="17858"/>
    <cellStyle name="Normal 2 2 5 7 9" xfId="17859"/>
    <cellStyle name="Normal 2 2 5 8" xfId="4606"/>
    <cellStyle name="Normal 2 2 5 8 2" xfId="17860"/>
    <cellStyle name="Normal 2 2 5 8 3" xfId="17861"/>
    <cellStyle name="Normal 2 2 5 8 4" xfId="17862"/>
    <cellStyle name="Normal 2 2 5 9" xfId="4607"/>
    <cellStyle name="Normal 2 2 5 9 2" xfId="17863"/>
    <cellStyle name="Normal 2 2 5 9 3" xfId="17864"/>
    <cellStyle name="Normal 2 2 5 9 4" xfId="17865"/>
    <cellStyle name="Normal 2 2 50" xfId="17866"/>
    <cellStyle name="Normal 2 2 51" xfId="17867"/>
    <cellStyle name="Normal 2 2 52" xfId="17868"/>
    <cellStyle name="Normal 2 2 53" xfId="17869"/>
    <cellStyle name="Normal 2 2 54" xfId="17870"/>
    <cellStyle name="Normal 2 2 55" xfId="17871"/>
    <cellStyle name="Normal 2 2 56" xfId="17872"/>
    <cellStyle name="Normal 2 2 57" xfId="17873"/>
    <cellStyle name="Normal 2 2 58" xfId="17874"/>
    <cellStyle name="Normal 2 2 59" xfId="31587"/>
    <cellStyle name="Normal 2 2 6" xfId="4608"/>
    <cellStyle name="Normal 2 2 6 10" xfId="4609"/>
    <cellStyle name="Normal 2 2 6 10 2" xfId="17875"/>
    <cellStyle name="Normal 2 2 6 10 3" xfId="17876"/>
    <cellStyle name="Normal 2 2 6 10 4" xfId="17877"/>
    <cellStyle name="Normal 2 2 6 11" xfId="4610"/>
    <cellStyle name="Normal 2 2 6 11 2" xfId="17878"/>
    <cellStyle name="Normal 2 2 6 11 3" xfId="17879"/>
    <cellStyle name="Normal 2 2 6 11 4" xfId="17880"/>
    <cellStyle name="Normal 2 2 6 12" xfId="4611"/>
    <cellStyle name="Normal 2 2 6 12 2" xfId="17881"/>
    <cellStyle name="Normal 2 2 6 12 3" xfId="17882"/>
    <cellStyle name="Normal 2 2 6 12 4" xfId="17883"/>
    <cellStyle name="Normal 2 2 6 13" xfId="17884"/>
    <cellStyle name="Normal 2 2 6 14" xfId="17885"/>
    <cellStyle name="Normal 2 2 6 15" xfId="17886"/>
    <cellStyle name="Normal 2 2 6 16" xfId="17887"/>
    <cellStyle name="Normal 2 2 6 17" xfId="17888"/>
    <cellStyle name="Normal 2 2 6 18" xfId="17889"/>
    <cellStyle name="Normal 2 2 6 19" xfId="17890"/>
    <cellStyle name="Normal 2 2 6 2" xfId="4612"/>
    <cellStyle name="Normal 2 2 6 20" xfId="17891"/>
    <cellStyle name="Normal 2 2 6 21" xfId="17892"/>
    <cellStyle name="Normal 2 2 6 22" xfId="17893"/>
    <cellStyle name="Normal 2 2 6 23" xfId="17894"/>
    <cellStyle name="Normal 2 2 6 24" xfId="17895"/>
    <cellStyle name="Normal 2 2 6 25" xfId="17896"/>
    <cellStyle name="Normal 2 2 6 26" xfId="17897"/>
    <cellStyle name="Normal 2 2 6 27" xfId="17898"/>
    <cellStyle name="Normal 2 2 6 28" xfId="17899"/>
    <cellStyle name="Normal 2 2 6 29" xfId="17900"/>
    <cellStyle name="Normal 2 2 6 3" xfId="4613"/>
    <cellStyle name="Normal 2 2 6 30" xfId="17901"/>
    <cellStyle name="Normal 2 2 6 31" xfId="17902"/>
    <cellStyle name="Normal 2 2 6 32" xfId="17903"/>
    <cellStyle name="Normal 2 2 6 33" xfId="17904"/>
    <cellStyle name="Normal 2 2 6 4" xfId="4614"/>
    <cellStyle name="Normal 2 2 6 5" xfId="4615"/>
    <cellStyle name="Normal 2 2 6 6" xfId="4616"/>
    <cellStyle name="Normal 2 2 6 6 10" xfId="17905"/>
    <cellStyle name="Normal 2 2 6 6 11" xfId="17906"/>
    <cellStyle name="Normal 2 2 6 6 12" xfId="17907"/>
    <cellStyle name="Normal 2 2 6 6 13" xfId="17908"/>
    <cellStyle name="Normal 2 2 6 6 14" xfId="17909"/>
    <cellStyle name="Normal 2 2 6 6 15" xfId="17910"/>
    <cellStyle name="Normal 2 2 6 6 16" xfId="17911"/>
    <cellStyle name="Normal 2 2 6 6 17" xfId="17912"/>
    <cellStyle name="Normal 2 2 6 6 18" xfId="17913"/>
    <cellStyle name="Normal 2 2 6 6 19" xfId="17914"/>
    <cellStyle name="Normal 2 2 6 6 2" xfId="4617"/>
    <cellStyle name="Normal 2 2 6 6 2 10" xfId="17915"/>
    <cellStyle name="Normal 2 2 6 6 2 11" xfId="17916"/>
    <cellStyle name="Normal 2 2 6 6 2 12" xfId="17917"/>
    <cellStyle name="Normal 2 2 6 6 2 13" xfId="17918"/>
    <cellStyle name="Normal 2 2 6 6 2 14" xfId="17919"/>
    <cellStyle name="Normal 2 2 6 6 2 15" xfId="17920"/>
    <cellStyle name="Normal 2 2 6 6 2 16" xfId="17921"/>
    <cellStyle name="Normal 2 2 6 6 2 17" xfId="17922"/>
    <cellStyle name="Normal 2 2 6 6 2 18" xfId="17923"/>
    <cellStyle name="Normal 2 2 6 6 2 19" xfId="17924"/>
    <cellStyle name="Normal 2 2 6 6 2 2" xfId="17925"/>
    <cellStyle name="Normal 2 2 6 6 2 20" xfId="17926"/>
    <cellStyle name="Normal 2 2 6 6 2 21" xfId="17927"/>
    <cellStyle name="Normal 2 2 6 6 2 22" xfId="17928"/>
    <cellStyle name="Normal 2 2 6 6 2 23" xfId="17929"/>
    <cellStyle name="Normal 2 2 6 6 2 3" xfId="17930"/>
    <cellStyle name="Normal 2 2 6 6 2 4" xfId="17931"/>
    <cellStyle name="Normal 2 2 6 6 2 5" xfId="17932"/>
    <cellStyle name="Normal 2 2 6 6 2 6" xfId="17933"/>
    <cellStyle name="Normal 2 2 6 6 2 7" xfId="17934"/>
    <cellStyle name="Normal 2 2 6 6 2 8" xfId="17935"/>
    <cellStyle name="Normal 2 2 6 6 2 9" xfId="17936"/>
    <cellStyle name="Normal 2 2 6 6 20" xfId="17937"/>
    <cellStyle name="Normal 2 2 6 6 21" xfId="17938"/>
    <cellStyle name="Normal 2 2 6 6 22" xfId="17939"/>
    <cellStyle name="Normal 2 2 6 6 23" xfId="17940"/>
    <cellStyle name="Normal 2 2 6 6 24" xfId="17941"/>
    <cellStyle name="Normal 2 2 6 6 3" xfId="17942"/>
    <cellStyle name="Normal 2 2 6 6 4" xfId="17943"/>
    <cellStyle name="Normal 2 2 6 6 5" xfId="17944"/>
    <cellStyle name="Normal 2 2 6 6 6" xfId="17945"/>
    <cellStyle name="Normal 2 2 6 6 7" xfId="17946"/>
    <cellStyle name="Normal 2 2 6 6 8" xfId="17947"/>
    <cellStyle name="Normal 2 2 6 6 9" xfId="17948"/>
    <cellStyle name="Normal 2 2 6 7" xfId="4618"/>
    <cellStyle name="Normal 2 2 6 7 10" xfId="17949"/>
    <cellStyle name="Normal 2 2 6 7 11" xfId="17950"/>
    <cellStyle name="Normal 2 2 6 7 12" xfId="17951"/>
    <cellStyle name="Normal 2 2 6 7 13" xfId="17952"/>
    <cellStyle name="Normal 2 2 6 7 14" xfId="17953"/>
    <cellStyle name="Normal 2 2 6 7 15" xfId="17954"/>
    <cellStyle name="Normal 2 2 6 7 16" xfId="17955"/>
    <cellStyle name="Normal 2 2 6 7 17" xfId="17956"/>
    <cellStyle name="Normal 2 2 6 7 18" xfId="17957"/>
    <cellStyle name="Normal 2 2 6 7 19" xfId="17958"/>
    <cellStyle name="Normal 2 2 6 7 2" xfId="17959"/>
    <cellStyle name="Normal 2 2 6 7 20" xfId="17960"/>
    <cellStyle name="Normal 2 2 6 7 21" xfId="17961"/>
    <cellStyle name="Normal 2 2 6 7 22" xfId="17962"/>
    <cellStyle name="Normal 2 2 6 7 23" xfId="17963"/>
    <cellStyle name="Normal 2 2 6 7 3" xfId="17964"/>
    <cellStyle name="Normal 2 2 6 7 4" xfId="17965"/>
    <cellStyle name="Normal 2 2 6 7 5" xfId="17966"/>
    <cellStyle name="Normal 2 2 6 7 6" xfId="17967"/>
    <cellStyle name="Normal 2 2 6 7 7" xfId="17968"/>
    <cellStyle name="Normal 2 2 6 7 8" xfId="17969"/>
    <cellStyle name="Normal 2 2 6 7 9" xfId="17970"/>
    <cellStyle name="Normal 2 2 6 8" xfId="4619"/>
    <cellStyle name="Normal 2 2 6 8 2" xfId="17971"/>
    <cellStyle name="Normal 2 2 6 8 3" xfId="17972"/>
    <cellStyle name="Normal 2 2 6 8 4" xfId="17973"/>
    <cellStyle name="Normal 2 2 6 9" xfId="4620"/>
    <cellStyle name="Normal 2 2 6 9 2" xfId="17974"/>
    <cellStyle name="Normal 2 2 6 9 3" xfId="17975"/>
    <cellStyle name="Normal 2 2 6 9 4" xfId="17976"/>
    <cellStyle name="Normal 2 2 7" xfId="4621"/>
    <cellStyle name="Normal 2 2 7 10" xfId="4622"/>
    <cellStyle name="Normal 2 2 7 10 2" xfId="17977"/>
    <cellStyle name="Normal 2 2 7 10 3" xfId="17978"/>
    <cellStyle name="Normal 2 2 7 10 4" xfId="17979"/>
    <cellStyle name="Normal 2 2 7 11" xfId="4623"/>
    <cellStyle name="Normal 2 2 7 11 2" xfId="17980"/>
    <cellStyle name="Normal 2 2 7 11 3" xfId="17981"/>
    <cellStyle name="Normal 2 2 7 11 4" xfId="17982"/>
    <cellStyle name="Normal 2 2 7 12" xfId="4624"/>
    <cellStyle name="Normal 2 2 7 12 2" xfId="17983"/>
    <cellStyle name="Normal 2 2 7 12 3" xfId="17984"/>
    <cellStyle name="Normal 2 2 7 12 4" xfId="17985"/>
    <cellStyle name="Normal 2 2 7 13" xfId="17986"/>
    <cellStyle name="Normal 2 2 7 14" xfId="17987"/>
    <cellStyle name="Normal 2 2 7 15" xfId="17988"/>
    <cellStyle name="Normal 2 2 7 16" xfId="17989"/>
    <cellStyle name="Normal 2 2 7 17" xfId="17990"/>
    <cellStyle name="Normal 2 2 7 18" xfId="17991"/>
    <cellStyle name="Normal 2 2 7 19" xfId="17992"/>
    <cellStyle name="Normal 2 2 7 2" xfId="4625"/>
    <cellStyle name="Normal 2 2 7 2 10" xfId="17993"/>
    <cellStyle name="Normal 2 2 7 2 11" xfId="17994"/>
    <cellStyle name="Normal 2 2 7 2 12" xfId="17995"/>
    <cellStyle name="Normal 2 2 7 2 13" xfId="17996"/>
    <cellStyle name="Normal 2 2 7 2 14" xfId="17997"/>
    <cellStyle name="Normal 2 2 7 2 15" xfId="17998"/>
    <cellStyle name="Normal 2 2 7 2 16" xfId="17999"/>
    <cellStyle name="Normal 2 2 7 2 17" xfId="18000"/>
    <cellStyle name="Normal 2 2 7 2 18" xfId="18001"/>
    <cellStyle name="Normal 2 2 7 2 19" xfId="18002"/>
    <cellStyle name="Normal 2 2 7 2 2" xfId="4626"/>
    <cellStyle name="Normal 2 2 7 2 2 10" xfId="18003"/>
    <cellStyle name="Normal 2 2 7 2 2 11" xfId="18004"/>
    <cellStyle name="Normal 2 2 7 2 2 12" xfId="18005"/>
    <cellStyle name="Normal 2 2 7 2 2 13" xfId="18006"/>
    <cellStyle name="Normal 2 2 7 2 2 14" xfId="18007"/>
    <cellStyle name="Normal 2 2 7 2 2 15" xfId="18008"/>
    <cellStyle name="Normal 2 2 7 2 2 16" xfId="18009"/>
    <cellStyle name="Normal 2 2 7 2 2 17" xfId="18010"/>
    <cellStyle name="Normal 2 2 7 2 2 18" xfId="18011"/>
    <cellStyle name="Normal 2 2 7 2 2 19" xfId="18012"/>
    <cellStyle name="Normal 2 2 7 2 2 2" xfId="18013"/>
    <cellStyle name="Normal 2 2 7 2 2 20" xfId="18014"/>
    <cellStyle name="Normal 2 2 7 2 2 21" xfId="18015"/>
    <cellStyle name="Normal 2 2 7 2 2 22" xfId="18016"/>
    <cellStyle name="Normal 2 2 7 2 2 23" xfId="18017"/>
    <cellStyle name="Normal 2 2 7 2 2 3" xfId="18018"/>
    <cellStyle name="Normal 2 2 7 2 2 4" xfId="18019"/>
    <cellStyle name="Normal 2 2 7 2 2 5" xfId="18020"/>
    <cellStyle name="Normal 2 2 7 2 2 6" xfId="18021"/>
    <cellStyle name="Normal 2 2 7 2 2 7" xfId="18022"/>
    <cellStyle name="Normal 2 2 7 2 2 8" xfId="18023"/>
    <cellStyle name="Normal 2 2 7 2 2 9" xfId="18024"/>
    <cellStyle name="Normal 2 2 7 2 20" xfId="18025"/>
    <cellStyle name="Normal 2 2 7 2 21" xfId="18026"/>
    <cellStyle name="Normal 2 2 7 2 22" xfId="18027"/>
    <cellStyle name="Normal 2 2 7 2 23" xfId="18028"/>
    <cellStyle name="Normal 2 2 7 2 24" xfId="18029"/>
    <cellStyle name="Normal 2 2 7 2 25" xfId="18030"/>
    <cellStyle name="Normal 2 2 7 2 3" xfId="4627"/>
    <cellStyle name="Normal 2 2 7 2 3 10" xfId="18031"/>
    <cellStyle name="Normal 2 2 7 2 3 11" xfId="18032"/>
    <cellStyle name="Normal 2 2 7 2 3 12" xfId="18033"/>
    <cellStyle name="Normal 2 2 7 2 3 13" xfId="18034"/>
    <cellStyle name="Normal 2 2 7 2 3 14" xfId="18035"/>
    <cellStyle name="Normal 2 2 7 2 3 15" xfId="18036"/>
    <cellStyle name="Normal 2 2 7 2 3 16" xfId="18037"/>
    <cellStyle name="Normal 2 2 7 2 3 17" xfId="18038"/>
    <cellStyle name="Normal 2 2 7 2 3 18" xfId="18039"/>
    <cellStyle name="Normal 2 2 7 2 3 19" xfId="18040"/>
    <cellStyle name="Normal 2 2 7 2 3 2" xfId="4628"/>
    <cellStyle name="Normal 2 2 7 2 3 2 10" xfId="18041"/>
    <cellStyle name="Normal 2 2 7 2 3 2 11" xfId="18042"/>
    <cellStyle name="Normal 2 2 7 2 3 2 12" xfId="18043"/>
    <cellStyle name="Normal 2 2 7 2 3 2 13" xfId="18044"/>
    <cellStyle name="Normal 2 2 7 2 3 2 14" xfId="18045"/>
    <cellStyle name="Normal 2 2 7 2 3 2 15" xfId="18046"/>
    <cellStyle name="Normal 2 2 7 2 3 2 16" xfId="18047"/>
    <cellStyle name="Normal 2 2 7 2 3 2 17" xfId="18048"/>
    <cellStyle name="Normal 2 2 7 2 3 2 18" xfId="18049"/>
    <cellStyle name="Normal 2 2 7 2 3 2 19" xfId="18050"/>
    <cellStyle name="Normal 2 2 7 2 3 2 2" xfId="4629"/>
    <cellStyle name="Normal 2 2 7 2 3 2 2 10" xfId="18051"/>
    <cellStyle name="Normal 2 2 7 2 3 2 2 11" xfId="18052"/>
    <cellStyle name="Normal 2 2 7 2 3 2 2 12" xfId="18053"/>
    <cellStyle name="Normal 2 2 7 2 3 2 2 13" xfId="18054"/>
    <cellStyle name="Normal 2 2 7 2 3 2 2 14" xfId="18055"/>
    <cellStyle name="Normal 2 2 7 2 3 2 2 15" xfId="18056"/>
    <cellStyle name="Normal 2 2 7 2 3 2 2 16" xfId="18057"/>
    <cellStyle name="Normal 2 2 7 2 3 2 2 17" xfId="18058"/>
    <cellStyle name="Normal 2 2 7 2 3 2 2 18" xfId="18059"/>
    <cellStyle name="Normal 2 2 7 2 3 2 2 19" xfId="18060"/>
    <cellStyle name="Normal 2 2 7 2 3 2 2 2" xfId="18061"/>
    <cellStyle name="Normal 2 2 7 2 3 2 2 20" xfId="18062"/>
    <cellStyle name="Normal 2 2 7 2 3 2 2 21" xfId="18063"/>
    <cellStyle name="Normal 2 2 7 2 3 2 2 22" xfId="18064"/>
    <cellStyle name="Normal 2 2 7 2 3 2 2 23" xfId="18065"/>
    <cellStyle name="Normal 2 2 7 2 3 2 2 3" xfId="18066"/>
    <cellStyle name="Normal 2 2 7 2 3 2 2 4" xfId="18067"/>
    <cellStyle name="Normal 2 2 7 2 3 2 2 5" xfId="18068"/>
    <cellStyle name="Normal 2 2 7 2 3 2 2 6" xfId="18069"/>
    <cellStyle name="Normal 2 2 7 2 3 2 2 7" xfId="18070"/>
    <cellStyle name="Normal 2 2 7 2 3 2 2 8" xfId="18071"/>
    <cellStyle name="Normal 2 2 7 2 3 2 2 9" xfId="18072"/>
    <cellStyle name="Normal 2 2 7 2 3 2 20" xfId="18073"/>
    <cellStyle name="Normal 2 2 7 2 3 2 21" xfId="18074"/>
    <cellStyle name="Normal 2 2 7 2 3 2 22" xfId="18075"/>
    <cellStyle name="Normal 2 2 7 2 3 2 23" xfId="18076"/>
    <cellStyle name="Normal 2 2 7 2 3 2 24" xfId="18077"/>
    <cellStyle name="Normal 2 2 7 2 3 2 25" xfId="18078"/>
    <cellStyle name="Normal 2 2 7 2 3 2 26" xfId="18079"/>
    <cellStyle name="Normal 2 2 7 2 3 2 3" xfId="4630"/>
    <cellStyle name="Normal 2 2 7 2 3 2 3 10" xfId="18080"/>
    <cellStyle name="Normal 2 2 7 2 3 2 3 11" xfId="18081"/>
    <cellStyle name="Normal 2 2 7 2 3 2 3 12" xfId="18082"/>
    <cellStyle name="Normal 2 2 7 2 3 2 3 13" xfId="18083"/>
    <cellStyle name="Normal 2 2 7 2 3 2 3 14" xfId="18084"/>
    <cellStyle name="Normal 2 2 7 2 3 2 3 15" xfId="18085"/>
    <cellStyle name="Normal 2 2 7 2 3 2 3 16" xfId="18086"/>
    <cellStyle name="Normal 2 2 7 2 3 2 3 17" xfId="18087"/>
    <cellStyle name="Normal 2 2 7 2 3 2 3 18" xfId="18088"/>
    <cellStyle name="Normal 2 2 7 2 3 2 3 19" xfId="18089"/>
    <cellStyle name="Normal 2 2 7 2 3 2 3 2" xfId="18090"/>
    <cellStyle name="Normal 2 2 7 2 3 2 3 20" xfId="18091"/>
    <cellStyle name="Normal 2 2 7 2 3 2 3 21" xfId="18092"/>
    <cellStyle name="Normal 2 2 7 2 3 2 3 22" xfId="18093"/>
    <cellStyle name="Normal 2 2 7 2 3 2 3 23" xfId="18094"/>
    <cellStyle name="Normal 2 2 7 2 3 2 3 3" xfId="18095"/>
    <cellStyle name="Normal 2 2 7 2 3 2 3 4" xfId="18096"/>
    <cellStyle name="Normal 2 2 7 2 3 2 3 5" xfId="18097"/>
    <cellStyle name="Normal 2 2 7 2 3 2 3 6" xfId="18098"/>
    <cellStyle name="Normal 2 2 7 2 3 2 3 7" xfId="18099"/>
    <cellStyle name="Normal 2 2 7 2 3 2 3 8" xfId="18100"/>
    <cellStyle name="Normal 2 2 7 2 3 2 3 9" xfId="18101"/>
    <cellStyle name="Normal 2 2 7 2 3 2 4" xfId="4631"/>
    <cellStyle name="Normal 2 2 7 2 3 2 4 10" xfId="18102"/>
    <cellStyle name="Normal 2 2 7 2 3 2 4 11" xfId="18103"/>
    <cellStyle name="Normal 2 2 7 2 3 2 4 12" xfId="18104"/>
    <cellStyle name="Normal 2 2 7 2 3 2 4 13" xfId="18105"/>
    <cellStyle name="Normal 2 2 7 2 3 2 4 14" xfId="18106"/>
    <cellStyle name="Normal 2 2 7 2 3 2 4 15" xfId="18107"/>
    <cellStyle name="Normal 2 2 7 2 3 2 4 16" xfId="18108"/>
    <cellStyle name="Normal 2 2 7 2 3 2 4 17" xfId="18109"/>
    <cellStyle name="Normal 2 2 7 2 3 2 4 18" xfId="18110"/>
    <cellStyle name="Normal 2 2 7 2 3 2 4 19" xfId="18111"/>
    <cellStyle name="Normal 2 2 7 2 3 2 4 2" xfId="18112"/>
    <cellStyle name="Normal 2 2 7 2 3 2 4 20" xfId="18113"/>
    <cellStyle name="Normal 2 2 7 2 3 2 4 21" xfId="18114"/>
    <cellStyle name="Normal 2 2 7 2 3 2 4 22" xfId="18115"/>
    <cellStyle name="Normal 2 2 7 2 3 2 4 23" xfId="18116"/>
    <cellStyle name="Normal 2 2 7 2 3 2 4 3" xfId="18117"/>
    <cellStyle name="Normal 2 2 7 2 3 2 4 4" xfId="18118"/>
    <cellStyle name="Normal 2 2 7 2 3 2 4 5" xfId="18119"/>
    <cellStyle name="Normal 2 2 7 2 3 2 4 6" xfId="18120"/>
    <cellStyle name="Normal 2 2 7 2 3 2 4 7" xfId="18121"/>
    <cellStyle name="Normal 2 2 7 2 3 2 4 8" xfId="18122"/>
    <cellStyle name="Normal 2 2 7 2 3 2 4 9" xfId="18123"/>
    <cellStyle name="Normal 2 2 7 2 3 2 5" xfId="18124"/>
    <cellStyle name="Normal 2 2 7 2 3 2 6" xfId="18125"/>
    <cellStyle name="Normal 2 2 7 2 3 2 7" xfId="18126"/>
    <cellStyle name="Normal 2 2 7 2 3 2 8" xfId="18127"/>
    <cellStyle name="Normal 2 2 7 2 3 2 9" xfId="18128"/>
    <cellStyle name="Normal 2 2 7 2 3 2_D-1 format pantau fisik 2011" xfId="4632"/>
    <cellStyle name="Normal 2 2 7 2 3 20" xfId="18129"/>
    <cellStyle name="Normal 2 2 7 2 3 21" xfId="18130"/>
    <cellStyle name="Normal 2 2 7 2 3 22" xfId="18131"/>
    <cellStyle name="Normal 2 2 7 2 3 23" xfId="18132"/>
    <cellStyle name="Normal 2 2 7 2 3 24" xfId="18133"/>
    <cellStyle name="Normal 2 2 7 2 3 3" xfId="18134"/>
    <cellStyle name="Normal 2 2 7 2 3 4" xfId="18135"/>
    <cellStyle name="Normal 2 2 7 2 3 5" xfId="18136"/>
    <cellStyle name="Normal 2 2 7 2 3 6" xfId="18137"/>
    <cellStyle name="Normal 2 2 7 2 3 7" xfId="18138"/>
    <cellStyle name="Normal 2 2 7 2 3 8" xfId="18139"/>
    <cellStyle name="Normal 2 2 7 2 3 9" xfId="18140"/>
    <cellStyle name="Normal 2 2 7 2 3_Aceh Tamiang D.1 +, 2003" xfId="4633"/>
    <cellStyle name="Normal 2 2 7 2 4" xfId="18141"/>
    <cellStyle name="Normal 2 2 7 2 5" xfId="18142"/>
    <cellStyle name="Normal 2 2 7 2 6" xfId="18143"/>
    <cellStyle name="Normal 2 2 7 2 7" xfId="18144"/>
    <cellStyle name="Normal 2 2 7 2 8" xfId="18145"/>
    <cellStyle name="Normal 2 2 7 2 9" xfId="18146"/>
    <cellStyle name="Normal 2 2 7 2_Aceh Tamiang D.1 +, 2003" xfId="4634"/>
    <cellStyle name="Normal 2 2 7 20" xfId="18147"/>
    <cellStyle name="Normal 2 2 7 21" xfId="18148"/>
    <cellStyle name="Normal 2 2 7 22" xfId="18149"/>
    <cellStyle name="Normal 2 2 7 23" xfId="18150"/>
    <cellStyle name="Normal 2 2 7 24" xfId="18151"/>
    <cellStyle name="Normal 2 2 7 25" xfId="18152"/>
    <cellStyle name="Normal 2 2 7 26" xfId="18153"/>
    <cellStyle name="Normal 2 2 7 27" xfId="18154"/>
    <cellStyle name="Normal 2 2 7 28" xfId="18155"/>
    <cellStyle name="Normal 2 2 7 29" xfId="18156"/>
    <cellStyle name="Normal 2 2 7 3" xfId="4635"/>
    <cellStyle name="Normal 2 2 7 30" xfId="18157"/>
    <cellStyle name="Normal 2 2 7 31" xfId="18158"/>
    <cellStyle name="Normal 2 2 7 32" xfId="18159"/>
    <cellStyle name="Normal 2 2 7 33" xfId="18160"/>
    <cellStyle name="Normal 2 2 7 4" xfId="4636"/>
    <cellStyle name="Normal 2 2 7 5" xfId="4637"/>
    <cellStyle name="Normal 2 2 7 6" xfId="4638"/>
    <cellStyle name="Normal 2 2 7 6 10" xfId="18161"/>
    <cellStyle name="Normal 2 2 7 6 11" xfId="18162"/>
    <cellStyle name="Normal 2 2 7 6 12" xfId="18163"/>
    <cellStyle name="Normal 2 2 7 6 13" xfId="18164"/>
    <cellStyle name="Normal 2 2 7 6 14" xfId="18165"/>
    <cellStyle name="Normal 2 2 7 6 15" xfId="18166"/>
    <cellStyle name="Normal 2 2 7 6 16" xfId="18167"/>
    <cellStyle name="Normal 2 2 7 6 17" xfId="18168"/>
    <cellStyle name="Normal 2 2 7 6 18" xfId="18169"/>
    <cellStyle name="Normal 2 2 7 6 19" xfId="18170"/>
    <cellStyle name="Normal 2 2 7 6 2" xfId="4639"/>
    <cellStyle name="Normal 2 2 7 6 2 10" xfId="18171"/>
    <cellStyle name="Normal 2 2 7 6 2 11" xfId="18172"/>
    <cellStyle name="Normal 2 2 7 6 2 12" xfId="18173"/>
    <cellStyle name="Normal 2 2 7 6 2 13" xfId="18174"/>
    <cellStyle name="Normal 2 2 7 6 2 14" xfId="18175"/>
    <cellStyle name="Normal 2 2 7 6 2 15" xfId="18176"/>
    <cellStyle name="Normal 2 2 7 6 2 16" xfId="18177"/>
    <cellStyle name="Normal 2 2 7 6 2 17" xfId="18178"/>
    <cellStyle name="Normal 2 2 7 6 2 18" xfId="18179"/>
    <cellStyle name="Normal 2 2 7 6 2 19" xfId="18180"/>
    <cellStyle name="Normal 2 2 7 6 2 2" xfId="18181"/>
    <cellStyle name="Normal 2 2 7 6 2 20" xfId="18182"/>
    <cellStyle name="Normal 2 2 7 6 2 21" xfId="18183"/>
    <cellStyle name="Normal 2 2 7 6 2 22" xfId="18184"/>
    <cellStyle name="Normal 2 2 7 6 2 23" xfId="18185"/>
    <cellStyle name="Normal 2 2 7 6 2 3" xfId="18186"/>
    <cellStyle name="Normal 2 2 7 6 2 4" xfId="18187"/>
    <cellStyle name="Normal 2 2 7 6 2 5" xfId="18188"/>
    <cellStyle name="Normal 2 2 7 6 2 6" xfId="18189"/>
    <cellStyle name="Normal 2 2 7 6 2 7" xfId="18190"/>
    <cellStyle name="Normal 2 2 7 6 2 8" xfId="18191"/>
    <cellStyle name="Normal 2 2 7 6 2 9" xfId="18192"/>
    <cellStyle name="Normal 2 2 7 6 20" xfId="18193"/>
    <cellStyle name="Normal 2 2 7 6 21" xfId="18194"/>
    <cellStyle name="Normal 2 2 7 6 22" xfId="18195"/>
    <cellStyle name="Normal 2 2 7 6 23" xfId="18196"/>
    <cellStyle name="Normal 2 2 7 6 24" xfId="18197"/>
    <cellStyle name="Normal 2 2 7 6 3" xfId="18198"/>
    <cellStyle name="Normal 2 2 7 6 4" xfId="18199"/>
    <cellStyle name="Normal 2 2 7 6 5" xfId="18200"/>
    <cellStyle name="Normal 2 2 7 6 6" xfId="18201"/>
    <cellStyle name="Normal 2 2 7 6 7" xfId="18202"/>
    <cellStyle name="Normal 2 2 7 6 8" xfId="18203"/>
    <cellStyle name="Normal 2 2 7 6 9" xfId="18204"/>
    <cellStyle name="Normal 2 2 7 7" xfId="4640"/>
    <cellStyle name="Normal 2 2 7 7 10" xfId="18205"/>
    <cellStyle name="Normal 2 2 7 7 11" xfId="18206"/>
    <cellStyle name="Normal 2 2 7 7 12" xfId="18207"/>
    <cellStyle name="Normal 2 2 7 7 13" xfId="18208"/>
    <cellStyle name="Normal 2 2 7 7 14" xfId="18209"/>
    <cellStyle name="Normal 2 2 7 7 15" xfId="18210"/>
    <cellStyle name="Normal 2 2 7 7 16" xfId="18211"/>
    <cellStyle name="Normal 2 2 7 7 17" xfId="18212"/>
    <cellStyle name="Normal 2 2 7 7 18" xfId="18213"/>
    <cellStyle name="Normal 2 2 7 7 19" xfId="18214"/>
    <cellStyle name="Normal 2 2 7 7 2" xfId="18215"/>
    <cellStyle name="Normal 2 2 7 7 20" xfId="18216"/>
    <cellStyle name="Normal 2 2 7 7 21" xfId="18217"/>
    <cellStyle name="Normal 2 2 7 7 22" xfId="18218"/>
    <cellStyle name="Normal 2 2 7 7 23" xfId="18219"/>
    <cellStyle name="Normal 2 2 7 7 3" xfId="18220"/>
    <cellStyle name="Normal 2 2 7 7 4" xfId="18221"/>
    <cellStyle name="Normal 2 2 7 7 5" xfId="18222"/>
    <cellStyle name="Normal 2 2 7 7 6" xfId="18223"/>
    <cellStyle name="Normal 2 2 7 7 7" xfId="18224"/>
    <cellStyle name="Normal 2 2 7 7 8" xfId="18225"/>
    <cellStyle name="Normal 2 2 7 7 9" xfId="18226"/>
    <cellStyle name="Normal 2 2 7 8" xfId="4641"/>
    <cellStyle name="Normal 2 2 7 8 2" xfId="18227"/>
    <cellStyle name="Normal 2 2 7 8 3" xfId="18228"/>
    <cellStyle name="Normal 2 2 7 8 4" xfId="18229"/>
    <cellStyle name="Normal 2 2 7 9" xfId="4642"/>
    <cellStyle name="Normal 2 2 7 9 2" xfId="18230"/>
    <cellStyle name="Normal 2 2 7 9 3" xfId="18231"/>
    <cellStyle name="Normal 2 2 7 9 4" xfId="18232"/>
    <cellStyle name="Normal 2 2 8" xfId="4643"/>
    <cellStyle name="Normal 2 2 8 10" xfId="18233"/>
    <cellStyle name="Normal 2 2 8 11" xfId="18234"/>
    <cellStyle name="Normal 2 2 8 12" xfId="18235"/>
    <cellStyle name="Normal 2 2 8 13" xfId="18236"/>
    <cellStyle name="Normal 2 2 8 14" xfId="18237"/>
    <cellStyle name="Normal 2 2 8 15" xfId="18238"/>
    <cellStyle name="Normal 2 2 8 16" xfId="18239"/>
    <cellStyle name="Normal 2 2 8 17" xfId="18240"/>
    <cellStyle name="Normal 2 2 8 18" xfId="18241"/>
    <cellStyle name="Normal 2 2 8 19" xfId="18242"/>
    <cellStyle name="Normal 2 2 8 2" xfId="4644"/>
    <cellStyle name="Normal 2 2 8 20" xfId="18243"/>
    <cellStyle name="Normal 2 2 8 21" xfId="18244"/>
    <cellStyle name="Normal 2 2 8 22" xfId="18245"/>
    <cellStyle name="Normal 2 2 8 23" xfId="18246"/>
    <cellStyle name="Normal 2 2 8 24" xfId="18247"/>
    <cellStyle name="Normal 2 2 8 25" xfId="18248"/>
    <cellStyle name="Normal 2 2 8 26" xfId="18249"/>
    <cellStyle name="Normal 2 2 8 27" xfId="18250"/>
    <cellStyle name="Normal 2 2 8 28" xfId="18251"/>
    <cellStyle name="Normal 2 2 8 3" xfId="4645"/>
    <cellStyle name="Normal 2 2 8 4" xfId="4646"/>
    <cellStyle name="Normal 2 2 8 5" xfId="4647"/>
    <cellStyle name="Normal 2 2 8 6" xfId="4648"/>
    <cellStyle name="Normal 2 2 8 6 10" xfId="18252"/>
    <cellStyle name="Normal 2 2 8 6 11" xfId="18253"/>
    <cellStyle name="Normal 2 2 8 6 12" xfId="18254"/>
    <cellStyle name="Normal 2 2 8 6 13" xfId="18255"/>
    <cellStyle name="Normal 2 2 8 6 14" xfId="18256"/>
    <cellStyle name="Normal 2 2 8 6 15" xfId="18257"/>
    <cellStyle name="Normal 2 2 8 6 16" xfId="18258"/>
    <cellStyle name="Normal 2 2 8 6 17" xfId="18259"/>
    <cellStyle name="Normal 2 2 8 6 18" xfId="18260"/>
    <cellStyle name="Normal 2 2 8 6 19" xfId="18261"/>
    <cellStyle name="Normal 2 2 8 6 2" xfId="4649"/>
    <cellStyle name="Normal 2 2 8 6 2 10" xfId="18262"/>
    <cellStyle name="Normal 2 2 8 6 2 11" xfId="18263"/>
    <cellStyle name="Normal 2 2 8 6 2 12" xfId="18264"/>
    <cellStyle name="Normal 2 2 8 6 2 13" xfId="18265"/>
    <cellStyle name="Normal 2 2 8 6 2 14" xfId="18266"/>
    <cellStyle name="Normal 2 2 8 6 2 15" xfId="18267"/>
    <cellStyle name="Normal 2 2 8 6 2 16" xfId="18268"/>
    <cellStyle name="Normal 2 2 8 6 2 17" xfId="18269"/>
    <cellStyle name="Normal 2 2 8 6 2 18" xfId="18270"/>
    <cellStyle name="Normal 2 2 8 6 2 19" xfId="18271"/>
    <cellStyle name="Normal 2 2 8 6 2 2" xfId="18272"/>
    <cellStyle name="Normal 2 2 8 6 2 20" xfId="18273"/>
    <cellStyle name="Normal 2 2 8 6 2 21" xfId="18274"/>
    <cellStyle name="Normal 2 2 8 6 2 22" xfId="18275"/>
    <cellStyle name="Normal 2 2 8 6 2 23" xfId="18276"/>
    <cellStyle name="Normal 2 2 8 6 2 3" xfId="18277"/>
    <cellStyle name="Normal 2 2 8 6 2 4" xfId="18278"/>
    <cellStyle name="Normal 2 2 8 6 2 5" xfId="18279"/>
    <cellStyle name="Normal 2 2 8 6 2 6" xfId="18280"/>
    <cellStyle name="Normal 2 2 8 6 2 7" xfId="18281"/>
    <cellStyle name="Normal 2 2 8 6 2 8" xfId="18282"/>
    <cellStyle name="Normal 2 2 8 6 2 9" xfId="18283"/>
    <cellStyle name="Normal 2 2 8 6 20" xfId="18284"/>
    <cellStyle name="Normal 2 2 8 6 21" xfId="18285"/>
    <cellStyle name="Normal 2 2 8 6 22" xfId="18286"/>
    <cellStyle name="Normal 2 2 8 6 23" xfId="18287"/>
    <cellStyle name="Normal 2 2 8 6 24" xfId="18288"/>
    <cellStyle name="Normal 2 2 8 6 3" xfId="18289"/>
    <cellStyle name="Normal 2 2 8 6 4" xfId="18290"/>
    <cellStyle name="Normal 2 2 8 6 5" xfId="18291"/>
    <cellStyle name="Normal 2 2 8 6 6" xfId="18292"/>
    <cellStyle name="Normal 2 2 8 6 7" xfId="18293"/>
    <cellStyle name="Normal 2 2 8 6 8" xfId="18294"/>
    <cellStyle name="Normal 2 2 8 6 9" xfId="18295"/>
    <cellStyle name="Normal 2 2 8 7" xfId="18296"/>
    <cellStyle name="Normal 2 2 8 8" xfId="18297"/>
    <cellStyle name="Normal 2 2 8 9" xfId="18298"/>
    <cellStyle name="Normal 2 2 9" xfId="4650"/>
    <cellStyle name="Normal 2 2 9 2" xfId="4651"/>
    <cellStyle name="Normal 2 2 9 3" xfId="4652"/>
    <cellStyle name="Normal 2 2 9 4" xfId="4653"/>
    <cellStyle name="Normal 2 2 9 5" xfId="4654"/>
    <cellStyle name="Normal 2 2_1. A5 MEI WIL I" xfId="4655"/>
    <cellStyle name="Normal 2 20" xfId="4656"/>
    <cellStyle name="Normal 2 20 2" xfId="4657"/>
    <cellStyle name="Normal 2 20 3" xfId="4658"/>
    <cellStyle name="Normal 2 20 4" xfId="4659"/>
    <cellStyle name="Normal 2 20 5" xfId="4660"/>
    <cellStyle name="Normal 2 20 6" xfId="4661"/>
    <cellStyle name="Normal 2 20 7" xfId="4662"/>
    <cellStyle name="Normal 2 21" xfId="4663"/>
    <cellStyle name="Normal 2 21 2" xfId="4664"/>
    <cellStyle name="Normal 2 21 3" xfId="4665"/>
    <cellStyle name="Normal 2 21 4" xfId="4666"/>
    <cellStyle name="Normal 2 21 5" xfId="4667"/>
    <cellStyle name="Normal 2 21 6" xfId="4668"/>
    <cellStyle name="Normal 2 21 7" xfId="4669"/>
    <cellStyle name="Normal 2 22" xfId="4670"/>
    <cellStyle name="Normal 2 22 2" xfId="4671"/>
    <cellStyle name="Normal 2 22 3" xfId="4672"/>
    <cellStyle name="Normal 2 22 4" xfId="4673"/>
    <cellStyle name="Normal 2 22 5" xfId="4674"/>
    <cellStyle name="Normal 2 22 6" xfId="4675"/>
    <cellStyle name="Normal 2 22 7" xfId="4676"/>
    <cellStyle name="Normal 2 23" xfId="4677"/>
    <cellStyle name="Normal 2 23 2" xfId="4678"/>
    <cellStyle name="Normal 2 23 3" xfId="4679"/>
    <cellStyle name="Normal 2 23 4" xfId="4680"/>
    <cellStyle name="Normal 2 23 5" xfId="4681"/>
    <cellStyle name="Normal 2 23 6" xfId="4682"/>
    <cellStyle name="Normal 2 23 7" xfId="4683"/>
    <cellStyle name="Normal 2 24" xfId="4684"/>
    <cellStyle name="Normal 2 24 2" xfId="4685"/>
    <cellStyle name="Normal 2 24 3" xfId="4686"/>
    <cellStyle name="Normal 2 24 4" xfId="4687"/>
    <cellStyle name="Normal 2 24 5" xfId="4688"/>
    <cellStyle name="Normal 2 24 6" xfId="4689"/>
    <cellStyle name="Normal 2 24 7" xfId="4690"/>
    <cellStyle name="Normal 2 25" xfId="4691"/>
    <cellStyle name="Normal 2 25 2" xfId="4692"/>
    <cellStyle name="Normal 2 25 3" xfId="4693"/>
    <cellStyle name="Normal 2 25 4" xfId="4694"/>
    <cellStyle name="Normal 2 25 5" xfId="4695"/>
    <cellStyle name="Normal 2 25 6" xfId="4696"/>
    <cellStyle name="Normal 2 25 7" xfId="4697"/>
    <cellStyle name="Normal 2 26" xfId="4698"/>
    <cellStyle name="Normal 2 26 2" xfId="4699"/>
    <cellStyle name="Normal 2 26 3" xfId="4700"/>
    <cellStyle name="Normal 2 26 4" xfId="4701"/>
    <cellStyle name="Normal 2 26 5" xfId="4702"/>
    <cellStyle name="Normal 2 26 6" xfId="4703"/>
    <cellStyle name="Normal 2 26 7" xfId="4704"/>
    <cellStyle name="Normal 2 27" xfId="4705"/>
    <cellStyle name="Normal 2 27 2" xfId="4706"/>
    <cellStyle name="Normal 2 27 3" xfId="4707"/>
    <cellStyle name="Normal 2 27 4" xfId="4708"/>
    <cellStyle name="Normal 2 27 5" xfId="4709"/>
    <cellStyle name="Normal 2 27 6" xfId="4710"/>
    <cellStyle name="Normal 2 27 7" xfId="4711"/>
    <cellStyle name="Normal 2 28" xfId="4712"/>
    <cellStyle name="Normal 2 28 2" xfId="4713"/>
    <cellStyle name="Normal 2 28 3" xfId="4714"/>
    <cellStyle name="Normal 2 28 4" xfId="4715"/>
    <cellStyle name="Normal 2 28 5" xfId="4716"/>
    <cellStyle name="Normal 2 28 6" xfId="4717"/>
    <cellStyle name="Normal 2 28 7" xfId="4718"/>
    <cellStyle name="Normal 2 29" xfId="4719"/>
    <cellStyle name="Normal 2 29 2" xfId="4720"/>
    <cellStyle name="Normal 2 29 3" xfId="4721"/>
    <cellStyle name="Normal 2 29 4" xfId="4722"/>
    <cellStyle name="Normal 2 29 5" xfId="4723"/>
    <cellStyle name="Normal 2 29 6" xfId="4724"/>
    <cellStyle name="Normal 2 29 7" xfId="4725"/>
    <cellStyle name="Normal 2 3" xfId="4726"/>
    <cellStyle name="Normal 2 3 2" xfId="4727"/>
    <cellStyle name="Normal 2 3 2 10" xfId="18299"/>
    <cellStyle name="Normal 2 3 2 11" xfId="18300"/>
    <cellStyle name="Normal 2 3 2 12" xfId="18301"/>
    <cellStyle name="Normal 2 3 2 13" xfId="18302"/>
    <cellStyle name="Normal 2 3 2 2" xfId="4728"/>
    <cellStyle name="Normal 2 3 2 2 2" xfId="4729"/>
    <cellStyle name="Normal 2 3 2 3" xfId="18303"/>
    <cellStyle name="Normal 2 3 2 4" xfId="18304"/>
    <cellStyle name="Normal 2 3 2 5" xfId="18305"/>
    <cellStyle name="Normal 2 3 2 6" xfId="18306"/>
    <cellStyle name="Normal 2 3 2 7" xfId="18307"/>
    <cellStyle name="Normal 2 3 2 8" xfId="18308"/>
    <cellStyle name="Normal 2 3 2 9" xfId="18309"/>
    <cellStyle name="Normal 2 3 3" xfId="4730"/>
    <cellStyle name="Normal 2 3 4" xfId="4731"/>
    <cellStyle name="Normal 2 3 5" xfId="4732"/>
    <cellStyle name="Normal 2 3 6" xfId="4733"/>
    <cellStyle name="Normal 2 3 6 2" xfId="4734"/>
    <cellStyle name="Normal 2 3 7" xfId="4735"/>
    <cellStyle name="Normal 2 3 7 2" xfId="4736"/>
    <cellStyle name="Normal 2 3 8" xfId="4737"/>
    <cellStyle name="Normal 2 3 9" xfId="4738"/>
    <cellStyle name="Normal 2 3 9 2" xfId="4739"/>
    <cellStyle name="Normal 2 3_A1 Disdik _Aceh _Selatan" xfId="4740"/>
    <cellStyle name="Normal 2 30" xfId="4741"/>
    <cellStyle name="Normal 2 30 2" xfId="4742"/>
    <cellStyle name="Normal 2 30 3" xfId="4743"/>
    <cellStyle name="Normal 2 30 4" xfId="4744"/>
    <cellStyle name="Normal 2 30 5" xfId="4745"/>
    <cellStyle name="Normal 2 30 6" xfId="4746"/>
    <cellStyle name="Normal 2 30 7" xfId="4747"/>
    <cellStyle name="Normal 2 31" xfId="4748"/>
    <cellStyle name="Normal 2 31 10" xfId="18310"/>
    <cellStyle name="Normal 2 31 11" xfId="18311"/>
    <cellStyle name="Normal 2 31 12" xfId="18312"/>
    <cellStyle name="Normal 2 31 13" xfId="18313"/>
    <cellStyle name="Normal 2 31 14" xfId="18314"/>
    <cellStyle name="Normal 2 31 15" xfId="18315"/>
    <cellStyle name="Normal 2 31 16" xfId="18316"/>
    <cellStyle name="Normal 2 31 17" xfId="18317"/>
    <cellStyle name="Normal 2 31 18" xfId="18318"/>
    <cellStyle name="Normal 2 31 19" xfId="18319"/>
    <cellStyle name="Normal 2 31 2" xfId="4749"/>
    <cellStyle name="Normal 2 31 2 10" xfId="18320"/>
    <cellStyle name="Normal 2 31 2 11" xfId="18321"/>
    <cellStyle name="Normal 2 31 2 12" xfId="18322"/>
    <cellStyle name="Normal 2 31 2 13" xfId="18323"/>
    <cellStyle name="Normal 2 31 2 14" xfId="18324"/>
    <cellStyle name="Normal 2 31 2 15" xfId="18325"/>
    <cellStyle name="Normal 2 31 2 16" xfId="18326"/>
    <cellStyle name="Normal 2 31 2 17" xfId="18327"/>
    <cellStyle name="Normal 2 31 2 18" xfId="18328"/>
    <cellStyle name="Normal 2 31 2 19" xfId="18329"/>
    <cellStyle name="Normal 2 31 2 2" xfId="18330"/>
    <cellStyle name="Normal 2 31 2 20" xfId="18331"/>
    <cellStyle name="Normal 2 31 2 21" xfId="18332"/>
    <cellStyle name="Normal 2 31 2 22" xfId="18333"/>
    <cellStyle name="Normal 2 31 2 23" xfId="18334"/>
    <cellStyle name="Normal 2 31 2 3" xfId="18335"/>
    <cellStyle name="Normal 2 31 2 4" xfId="18336"/>
    <cellStyle name="Normal 2 31 2 5" xfId="18337"/>
    <cellStyle name="Normal 2 31 2 6" xfId="18338"/>
    <cellStyle name="Normal 2 31 2 7" xfId="18339"/>
    <cellStyle name="Normal 2 31 2 8" xfId="18340"/>
    <cellStyle name="Normal 2 31 2 9" xfId="18341"/>
    <cellStyle name="Normal 2 31 20" xfId="18342"/>
    <cellStyle name="Normal 2 31 21" xfId="18343"/>
    <cellStyle name="Normal 2 31 22" xfId="18344"/>
    <cellStyle name="Normal 2 31 23" xfId="18345"/>
    <cellStyle name="Normal 2 31 24" xfId="18346"/>
    <cellStyle name="Normal 2 31 3" xfId="4750"/>
    <cellStyle name="Normal 2 31 4" xfId="18347"/>
    <cellStyle name="Normal 2 31 5" xfId="18348"/>
    <cellStyle name="Normal 2 31 6" xfId="18349"/>
    <cellStyle name="Normal 2 31 7" xfId="18350"/>
    <cellStyle name="Normal 2 31 8" xfId="18351"/>
    <cellStyle name="Normal 2 31 9" xfId="18352"/>
    <cellStyle name="Normal 2 32" xfId="4751"/>
    <cellStyle name="Normal 2 32 2" xfId="4752"/>
    <cellStyle name="Normal 2 32 3" xfId="4753"/>
    <cellStyle name="Normal 2 33" xfId="4754"/>
    <cellStyle name="Normal 2 33 2" xfId="4755"/>
    <cellStyle name="Normal 2 33 3" xfId="4756"/>
    <cellStyle name="Normal 2 34" xfId="4757"/>
    <cellStyle name="Normal 2 34 2" xfId="4758"/>
    <cellStyle name="Normal 2 34 3" xfId="4759"/>
    <cellStyle name="Normal 2 34 4" xfId="4760"/>
    <cellStyle name="Normal 2 35" xfId="4761"/>
    <cellStyle name="Normal 2 35 2" xfId="4762"/>
    <cellStyle name="Normal 2 35 2 10" xfId="18353"/>
    <cellStyle name="Normal 2 35 2 11" xfId="18354"/>
    <cellStyle name="Normal 2 35 2 12" xfId="18355"/>
    <cellStyle name="Normal 2 35 2 13" xfId="18356"/>
    <cellStyle name="Normal 2 35 2 14" xfId="18357"/>
    <cellStyle name="Normal 2 35 2 2" xfId="18358"/>
    <cellStyle name="Normal 2 35 2 2 10" xfId="18359"/>
    <cellStyle name="Normal 2 35 2 2 11" xfId="18360"/>
    <cellStyle name="Normal 2 35 2 2 12" xfId="18361"/>
    <cellStyle name="Normal 2 35 2 2 2" xfId="18362"/>
    <cellStyle name="Normal 2 35 2 2 3" xfId="18363"/>
    <cellStyle name="Normal 2 35 2 2 4" xfId="18364"/>
    <cellStyle name="Normal 2 35 2 2 5" xfId="18365"/>
    <cellStyle name="Normal 2 35 2 2 6" xfId="18366"/>
    <cellStyle name="Normal 2 35 2 2 7" xfId="18367"/>
    <cellStyle name="Normal 2 35 2 2 8" xfId="18368"/>
    <cellStyle name="Normal 2 35 2 2 9" xfId="18369"/>
    <cellStyle name="Normal 2 35 2 3" xfId="18370"/>
    <cellStyle name="Normal 2 35 2 3 10" xfId="18371"/>
    <cellStyle name="Normal 2 35 2 3 11" xfId="18372"/>
    <cellStyle name="Normal 2 35 2 3 12" xfId="18373"/>
    <cellStyle name="Normal 2 35 2 3 13" xfId="18374"/>
    <cellStyle name="Normal 2 35 2 3 2" xfId="18375"/>
    <cellStyle name="Normal 2 35 2 3 3" xfId="18376"/>
    <cellStyle name="Normal 2 35 2 3 4" xfId="18377"/>
    <cellStyle name="Normal 2 35 2 3 5" xfId="18378"/>
    <cellStyle name="Normal 2 35 2 3 6" xfId="18379"/>
    <cellStyle name="Normal 2 35 2 3 7" xfId="18380"/>
    <cellStyle name="Normal 2 35 2 3 8" xfId="18381"/>
    <cellStyle name="Normal 2 35 2 3 9" xfId="18382"/>
    <cellStyle name="Normal 2 35 2 4" xfId="18383"/>
    <cellStyle name="Normal 2 35 2 5" xfId="18384"/>
    <cellStyle name="Normal 2 35 2 6" xfId="18385"/>
    <cellStyle name="Normal 2 35 2 7" xfId="18386"/>
    <cellStyle name="Normal 2 35 2 8" xfId="18387"/>
    <cellStyle name="Normal 2 35 2 9" xfId="18388"/>
    <cellStyle name="Normal 2 35 3" xfId="4763"/>
    <cellStyle name="Normal 2 35 3 10" xfId="18389"/>
    <cellStyle name="Normal 2 35 3 11" xfId="18390"/>
    <cellStyle name="Normal 2 35 3 12" xfId="18391"/>
    <cellStyle name="Normal 2 35 3 13" xfId="18392"/>
    <cellStyle name="Normal 2 35 3 2" xfId="4764"/>
    <cellStyle name="Normal 2 35 3 2 10" xfId="18393"/>
    <cellStyle name="Normal 2 35 3 2 11" xfId="18394"/>
    <cellStyle name="Normal 2 35 3 2 12" xfId="18395"/>
    <cellStyle name="Normal 2 35 3 2 2" xfId="18396"/>
    <cellStyle name="Normal 2 35 3 2 3" xfId="18397"/>
    <cellStyle name="Normal 2 35 3 2 4" xfId="18398"/>
    <cellStyle name="Normal 2 35 3 2 5" xfId="18399"/>
    <cellStyle name="Normal 2 35 3 2 6" xfId="18400"/>
    <cellStyle name="Normal 2 35 3 2 7" xfId="18401"/>
    <cellStyle name="Normal 2 35 3 2 8" xfId="18402"/>
    <cellStyle name="Normal 2 35 3 2 9" xfId="18403"/>
    <cellStyle name="Normal 2 35 3 3" xfId="18404"/>
    <cellStyle name="Normal 2 35 3 4" xfId="18405"/>
    <cellStyle name="Normal 2 35 3 5" xfId="18406"/>
    <cellStyle name="Normal 2 35 3 6" xfId="18407"/>
    <cellStyle name="Normal 2 35 3 7" xfId="18408"/>
    <cellStyle name="Normal 2 35 3 8" xfId="18409"/>
    <cellStyle name="Normal 2 35 3 9" xfId="18410"/>
    <cellStyle name="Normal 2 35 4" xfId="4765"/>
    <cellStyle name="Normal 2 35 4 10" xfId="18411"/>
    <cellStyle name="Normal 2 35 4 11" xfId="18412"/>
    <cellStyle name="Normal 2 35 4 12" xfId="18413"/>
    <cellStyle name="Normal 2 35 4 13" xfId="18414"/>
    <cellStyle name="Normal 2 35 4 14" xfId="18415"/>
    <cellStyle name="Normal 2 35 4 2" xfId="4766"/>
    <cellStyle name="Normal 2 35 4 2 10" xfId="18416"/>
    <cellStyle name="Normal 2 35 4 2 11" xfId="18417"/>
    <cellStyle name="Normal 2 35 4 2 12" xfId="18418"/>
    <cellStyle name="Normal 2 35 4 2 2" xfId="18419"/>
    <cellStyle name="Normal 2 35 4 2 3" xfId="18420"/>
    <cellStyle name="Normal 2 35 4 2 4" xfId="18421"/>
    <cellStyle name="Normal 2 35 4 2 5" xfId="18422"/>
    <cellStyle name="Normal 2 35 4 2 6" xfId="18423"/>
    <cellStyle name="Normal 2 35 4 2 7" xfId="18424"/>
    <cellStyle name="Normal 2 35 4 2 8" xfId="18425"/>
    <cellStyle name="Normal 2 35 4 2 9" xfId="18426"/>
    <cellStyle name="Normal 2 35 4 3" xfId="4767"/>
    <cellStyle name="Normal 2 35 4 3 10" xfId="18427"/>
    <cellStyle name="Normal 2 35 4 3 11" xfId="18428"/>
    <cellStyle name="Normal 2 35 4 3 12" xfId="18429"/>
    <cellStyle name="Normal 2 35 4 3 2" xfId="18430"/>
    <cellStyle name="Normal 2 35 4 3 3" xfId="18431"/>
    <cellStyle name="Normal 2 35 4 3 4" xfId="18432"/>
    <cellStyle name="Normal 2 35 4 3 5" xfId="18433"/>
    <cellStyle name="Normal 2 35 4 3 6" xfId="18434"/>
    <cellStyle name="Normal 2 35 4 3 7" xfId="18435"/>
    <cellStyle name="Normal 2 35 4 3 8" xfId="18436"/>
    <cellStyle name="Normal 2 35 4 3 9" xfId="18437"/>
    <cellStyle name="Normal 2 35 4 4" xfId="18438"/>
    <cellStyle name="Normal 2 35 4 5" xfId="18439"/>
    <cellStyle name="Normal 2 35 4 6" xfId="18440"/>
    <cellStyle name="Normal 2 35 4 7" xfId="18441"/>
    <cellStyle name="Normal 2 35 4 8" xfId="18442"/>
    <cellStyle name="Normal 2 35 4 9" xfId="18443"/>
    <cellStyle name="Normal 2 35 5" xfId="4768"/>
    <cellStyle name="Normal 2 35 5 10" xfId="18444"/>
    <cellStyle name="Normal 2 35 5 11" xfId="18445"/>
    <cellStyle name="Normal 2 35 5 12" xfId="18446"/>
    <cellStyle name="Normal 2 35 5 2" xfId="18447"/>
    <cellStyle name="Normal 2 35 5 3" xfId="18448"/>
    <cellStyle name="Normal 2 35 5 4" xfId="18449"/>
    <cellStyle name="Normal 2 35 5 5" xfId="18450"/>
    <cellStyle name="Normal 2 35 5 6" xfId="18451"/>
    <cellStyle name="Normal 2 35 5 7" xfId="18452"/>
    <cellStyle name="Normal 2 35 5 8" xfId="18453"/>
    <cellStyle name="Normal 2 35 5 9" xfId="18454"/>
    <cellStyle name="Normal 2 35 6" xfId="4769"/>
    <cellStyle name="Normal 2 36" xfId="4770"/>
    <cellStyle name="Normal 2 36 10" xfId="18455"/>
    <cellStyle name="Normal 2 36 11" xfId="18456"/>
    <cellStyle name="Normal 2 36 12" xfId="18457"/>
    <cellStyle name="Normal 2 36 13" xfId="18458"/>
    <cellStyle name="Normal 2 36 14" xfId="18459"/>
    <cellStyle name="Normal 2 36 15" xfId="18460"/>
    <cellStyle name="Normal 2 36 16" xfId="18461"/>
    <cellStyle name="Normal 2 36 17" xfId="18462"/>
    <cellStyle name="Normal 2 36 18" xfId="18463"/>
    <cellStyle name="Normal 2 36 19" xfId="18464"/>
    <cellStyle name="Normal 2 36 2" xfId="4771"/>
    <cellStyle name="Normal 2 36 20" xfId="18465"/>
    <cellStyle name="Normal 2 36 21" xfId="18466"/>
    <cellStyle name="Normal 2 36 22" xfId="18467"/>
    <cellStyle name="Normal 2 36 23" xfId="18468"/>
    <cellStyle name="Normal 2 36 24" xfId="18469"/>
    <cellStyle name="Normal 2 36 25" xfId="18470"/>
    <cellStyle name="Normal 2 36 3" xfId="4772"/>
    <cellStyle name="Normal 2 36 3 10" xfId="18471"/>
    <cellStyle name="Normal 2 36 3 11" xfId="18472"/>
    <cellStyle name="Normal 2 36 3 12" xfId="18473"/>
    <cellStyle name="Normal 2 36 3 13" xfId="18474"/>
    <cellStyle name="Normal 2 36 3 14" xfId="18475"/>
    <cellStyle name="Normal 2 36 3 15" xfId="18476"/>
    <cellStyle name="Normal 2 36 3 16" xfId="18477"/>
    <cellStyle name="Normal 2 36 3 17" xfId="18478"/>
    <cellStyle name="Normal 2 36 3 18" xfId="18479"/>
    <cellStyle name="Normal 2 36 3 19" xfId="18480"/>
    <cellStyle name="Normal 2 36 3 2" xfId="18481"/>
    <cellStyle name="Normal 2 36 3 20" xfId="18482"/>
    <cellStyle name="Normal 2 36 3 21" xfId="18483"/>
    <cellStyle name="Normal 2 36 3 22" xfId="18484"/>
    <cellStyle name="Normal 2 36 3 23" xfId="18485"/>
    <cellStyle name="Normal 2 36 3 3" xfId="18486"/>
    <cellStyle name="Normal 2 36 3 4" xfId="18487"/>
    <cellStyle name="Normal 2 36 3 5" xfId="18488"/>
    <cellStyle name="Normal 2 36 3 6" xfId="18489"/>
    <cellStyle name="Normal 2 36 3 7" xfId="18490"/>
    <cellStyle name="Normal 2 36 3 8" xfId="18491"/>
    <cellStyle name="Normal 2 36 3 9" xfId="18492"/>
    <cellStyle name="Normal 2 36 4" xfId="18493"/>
    <cellStyle name="Normal 2 36 5" xfId="18494"/>
    <cellStyle name="Normal 2 36 6" xfId="18495"/>
    <cellStyle name="Normal 2 36 7" xfId="18496"/>
    <cellStyle name="Normal 2 36 8" xfId="18497"/>
    <cellStyle name="Normal 2 36 9" xfId="18498"/>
    <cellStyle name="Normal 2 37" xfId="4773"/>
    <cellStyle name="Normal 2 37 10" xfId="18499"/>
    <cellStyle name="Normal 2 37 11" xfId="18500"/>
    <cellStyle name="Normal 2 37 12" xfId="18501"/>
    <cellStyle name="Normal 2 37 13" xfId="18502"/>
    <cellStyle name="Normal 2 37 14" xfId="18503"/>
    <cellStyle name="Normal 2 37 15" xfId="18504"/>
    <cellStyle name="Normal 2 37 16" xfId="18505"/>
    <cellStyle name="Normal 2 37 17" xfId="18506"/>
    <cellStyle name="Normal 2 37 18" xfId="18507"/>
    <cellStyle name="Normal 2 37 19" xfId="18508"/>
    <cellStyle name="Normal 2 37 2" xfId="18509"/>
    <cellStyle name="Normal 2 37 20" xfId="18510"/>
    <cellStyle name="Normal 2 37 21" xfId="18511"/>
    <cellStyle name="Normal 2 37 22" xfId="18512"/>
    <cellStyle name="Normal 2 37 23" xfId="18513"/>
    <cellStyle name="Normal 2 37 3" xfId="18514"/>
    <cellStyle name="Normal 2 37 4" xfId="18515"/>
    <cellStyle name="Normal 2 37 5" xfId="18516"/>
    <cellStyle name="Normal 2 37 6" xfId="18517"/>
    <cellStyle name="Normal 2 37 7" xfId="18518"/>
    <cellStyle name="Normal 2 37 8" xfId="18519"/>
    <cellStyle name="Normal 2 37 9" xfId="18520"/>
    <cellStyle name="Normal 2 38" xfId="4774"/>
    <cellStyle name="Normal 2 38 10" xfId="18521"/>
    <cellStyle name="Normal 2 38 11" xfId="18522"/>
    <cellStyle name="Normal 2 38 12" xfId="18523"/>
    <cellStyle name="Normal 2 38 13" xfId="18524"/>
    <cellStyle name="Normal 2 38 14" xfId="18525"/>
    <cellStyle name="Normal 2 38 15" xfId="18526"/>
    <cellStyle name="Normal 2 38 16" xfId="18527"/>
    <cellStyle name="Normal 2 38 17" xfId="18528"/>
    <cellStyle name="Normal 2 38 18" xfId="18529"/>
    <cellStyle name="Normal 2 38 19" xfId="18530"/>
    <cellStyle name="Normal 2 38 2" xfId="4775"/>
    <cellStyle name="Normal 2 38 2 10" xfId="18531"/>
    <cellStyle name="Normal 2 38 2 11" xfId="18532"/>
    <cellStyle name="Normal 2 38 2 12" xfId="18533"/>
    <cellStyle name="Normal 2 38 2 13" xfId="18534"/>
    <cellStyle name="Normal 2 38 2 14" xfId="18535"/>
    <cellStyle name="Normal 2 38 2 15" xfId="18536"/>
    <cellStyle name="Normal 2 38 2 16" xfId="18537"/>
    <cellStyle name="Normal 2 38 2 17" xfId="18538"/>
    <cellStyle name="Normal 2 38 2 18" xfId="18539"/>
    <cellStyle name="Normal 2 38 2 19" xfId="18540"/>
    <cellStyle name="Normal 2 38 2 2" xfId="18541"/>
    <cellStyle name="Normal 2 38 2 20" xfId="18542"/>
    <cellStyle name="Normal 2 38 2 21" xfId="18543"/>
    <cellStyle name="Normal 2 38 2 22" xfId="18544"/>
    <cellStyle name="Normal 2 38 2 23" xfId="18545"/>
    <cellStyle name="Normal 2 38 2 3" xfId="18546"/>
    <cellStyle name="Normal 2 38 2 4" xfId="18547"/>
    <cellStyle name="Normal 2 38 2 5" xfId="18548"/>
    <cellStyle name="Normal 2 38 2 6" xfId="18549"/>
    <cellStyle name="Normal 2 38 2 7" xfId="18550"/>
    <cellStyle name="Normal 2 38 2 8" xfId="18551"/>
    <cellStyle name="Normal 2 38 2 9" xfId="18552"/>
    <cellStyle name="Normal 2 38 20" xfId="18553"/>
    <cellStyle name="Normal 2 38 21" xfId="18554"/>
    <cellStyle name="Normal 2 38 22" xfId="18555"/>
    <cellStyle name="Normal 2 38 23" xfId="18556"/>
    <cellStyle name="Normal 2 38 24" xfId="18557"/>
    <cellStyle name="Normal 2 38 3" xfId="4776"/>
    <cellStyle name="Normal 2 38 3 10" xfId="18558"/>
    <cellStyle name="Normal 2 38 3 11" xfId="18559"/>
    <cellStyle name="Normal 2 38 3 12" xfId="18560"/>
    <cellStyle name="Normal 2 38 3 13" xfId="18561"/>
    <cellStyle name="Normal 2 38 3 14" xfId="18562"/>
    <cellStyle name="Normal 2 38 3 15" xfId="18563"/>
    <cellStyle name="Normal 2 38 3 16" xfId="18564"/>
    <cellStyle name="Normal 2 38 3 17" xfId="18565"/>
    <cellStyle name="Normal 2 38 3 18" xfId="18566"/>
    <cellStyle name="Normal 2 38 3 19" xfId="18567"/>
    <cellStyle name="Normal 2 38 3 2" xfId="18568"/>
    <cellStyle name="Normal 2 38 3 20" xfId="18569"/>
    <cellStyle name="Normal 2 38 3 21" xfId="18570"/>
    <cellStyle name="Normal 2 38 3 22" xfId="18571"/>
    <cellStyle name="Normal 2 38 3 23" xfId="18572"/>
    <cellStyle name="Normal 2 38 3 3" xfId="18573"/>
    <cellStyle name="Normal 2 38 3 4" xfId="18574"/>
    <cellStyle name="Normal 2 38 3 5" xfId="18575"/>
    <cellStyle name="Normal 2 38 3 6" xfId="18576"/>
    <cellStyle name="Normal 2 38 3 7" xfId="18577"/>
    <cellStyle name="Normal 2 38 3 8" xfId="18578"/>
    <cellStyle name="Normal 2 38 3 9" xfId="18579"/>
    <cellStyle name="Normal 2 38 4" xfId="18580"/>
    <cellStyle name="Normal 2 38 5" xfId="18581"/>
    <cellStyle name="Normal 2 38 6" xfId="18582"/>
    <cellStyle name="Normal 2 38 7" xfId="18583"/>
    <cellStyle name="Normal 2 38 8" xfId="18584"/>
    <cellStyle name="Normal 2 38 9" xfId="18585"/>
    <cellStyle name="Normal 2 39" xfId="4777"/>
    <cellStyle name="Normal 2 39 10" xfId="18586"/>
    <cellStyle name="Normal 2 39 11" xfId="18587"/>
    <cellStyle name="Normal 2 39 12" xfId="18588"/>
    <cellStyle name="Normal 2 39 13" xfId="18589"/>
    <cellStyle name="Normal 2 39 14" xfId="18590"/>
    <cellStyle name="Normal 2 39 15" xfId="18591"/>
    <cellStyle name="Normal 2 39 16" xfId="18592"/>
    <cellStyle name="Normal 2 39 17" xfId="18593"/>
    <cellStyle name="Normal 2 39 18" xfId="18594"/>
    <cellStyle name="Normal 2 39 19" xfId="18595"/>
    <cellStyle name="Normal 2 39 2" xfId="18596"/>
    <cellStyle name="Normal 2 39 20" xfId="18597"/>
    <cellStyle name="Normal 2 39 21" xfId="18598"/>
    <cellStyle name="Normal 2 39 22" xfId="18599"/>
    <cellStyle name="Normal 2 39 23" xfId="18600"/>
    <cellStyle name="Normal 2 39 3" xfId="18601"/>
    <cellStyle name="Normal 2 39 4" xfId="18602"/>
    <cellStyle name="Normal 2 39 5" xfId="18603"/>
    <cellStyle name="Normal 2 39 6" xfId="18604"/>
    <cellStyle name="Normal 2 39 7" xfId="18605"/>
    <cellStyle name="Normal 2 39 8" xfId="18606"/>
    <cellStyle name="Normal 2 39 9" xfId="18607"/>
    <cellStyle name="Normal 2 4" xfId="4778"/>
    <cellStyle name="Normal 2 4 10" xfId="4779"/>
    <cellStyle name="Normal 2 4 11" xfId="4780"/>
    <cellStyle name="Normal 2 4 12" xfId="4781"/>
    <cellStyle name="Normal 2 4 2" xfId="4782"/>
    <cellStyle name="Normal 2 4 3" xfId="4783"/>
    <cellStyle name="Normal 2 4 4" xfId="4784"/>
    <cellStyle name="Normal 2 4 5" xfId="4785"/>
    <cellStyle name="Normal 2 4 6" xfId="4786"/>
    <cellStyle name="Normal 2 4 7" xfId="4787"/>
    <cellStyle name="Normal 2 4 8" xfId="4788"/>
    <cellStyle name="Normal 2 4 9" xfId="4789"/>
    <cellStyle name="Normal 2 40" xfId="4790"/>
    <cellStyle name="Normal 2 40 10" xfId="18608"/>
    <cellStyle name="Normal 2 40 11" xfId="18609"/>
    <cellStyle name="Normal 2 40 12" xfId="18610"/>
    <cellStyle name="Normal 2 40 13" xfId="18611"/>
    <cellStyle name="Normal 2 40 14" xfId="18612"/>
    <cellStyle name="Normal 2 40 15" xfId="18613"/>
    <cellStyle name="Normal 2 40 16" xfId="18614"/>
    <cellStyle name="Normal 2 40 17" xfId="18615"/>
    <cellStyle name="Normal 2 40 18" xfId="18616"/>
    <cellStyle name="Normal 2 40 19" xfId="18617"/>
    <cellStyle name="Normal 2 40 2" xfId="18618"/>
    <cellStyle name="Normal 2 40 20" xfId="18619"/>
    <cellStyle name="Normal 2 40 21" xfId="18620"/>
    <cellStyle name="Normal 2 40 22" xfId="18621"/>
    <cellStyle name="Normal 2 40 23" xfId="18622"/>
    <cellStyle name="Normal 2 40 3" xfId="18623"/>
    <cellStyle name="Normal 2 40 4" xfId="18624"/>
    <cellStyle name="Normal 2 40 5" xfId="18625"/>
    <cellStyle name="Normal 2 40 6" xfId="18626"/>
    <cellStyle name="Normal 2 40 7" xfId="18627"/>
    <cellStyle name="Normal 2 40 8" xfId="18628"/>
    <cellStyle name="Normal 2 40 9" xfId="18629"/>
    <cellStyle name="Normal 2 41" xfId="4791"/>
    <cellStyle name="Normal 2 41 10" xfId="18630"/>
    <cellStyle name="Normal 2 41 11" xfId="18631"/>
    <cellStyle name="Normal 2 41 12" xfId="18632"/>
    <cellStyle name="Normal 2 41 13" xfId="18633"/>
    <cellStyle name="Normal 2 41 14" xfId="18634"/>
    <cellStyle name="Normal 2 41 15" xfId="18635"/>
    <cellStyle name="Normal 2 41 16" xfId="18636"/>
    <cellStyle name="Normal 2 41 17" xfId="18637"/>
    <cellStyle name="Normal 2 41 18" xfId="18638"/>
    <cellStyle name="Normal 2 41 19" xfId="18639"/>
    <cellStyle name="Normal 2 41 2" xfId="18640"/>
    <cellStyle name="Normal 2 41 20" xfId="18641"/>
    <cellStyle name="Normal 2 41 21" xfId="18642"/>
    <cellStyle name="Normal 2 41 22" xfId="18643"/>
    <cellStyle name="Normal 2 41 23" xfId="18644"/>
    <cellStyle name="Normal 2 41 3" xfId="18645"/>
    <cellStyle name="Normal 2 41 4" xfId="18646"/>
    <cellStyle name="Normal 2 41 5" xfId="18647"/>
    <cellStyle name="Normal 2 41 6" xfId="18648"/>
    <cellStyle name="Normal 2 41 7" xfId="18649"/>
    <cellStyle name="Normal 2 41 8" xfId="18650"/>
    <cellStyle name="Normal 2 41 9" xfId="18651"/>
    <cellStyle name="Normal 2 42" xfId="4792"/>
    <cellStyle name="Normal 2 42 10" xfId="18652"/>
    <cellStyle name="Normal 2 42 11" xfId="18653"/>
    <cellStyle name="Normal 2 42 12" xfId="18654"/>
    <cellStyle name="Normal 2 42 13" xfId="18655"/>
    <cellStyle name="Normal 2 42 14" xfId="18656"/>
    <cellStyle name="Normal 2 42 15" xfId="18657"/>
    <cellStyle name="Normal 2 42 16" xfId="18658"/>
    <cellStyle name="Normal 2 42 17" xfId="18659"/>
    <cellStyle name="Normal 2 42 18" xfId="18660"/>
    <cellStyle name="Normal 2 42 19" xfId="18661"/>
    <cellStyle name="Normal 2 42 2" xfId="18662"/>
    <cellStyle name="Normal 2 42 20" xfId="18663"/>
    <cellStyle name="Normal 2 42 21" xfId="18664"/>
    <cellStyle name="Normal 2 42 22" xfId="18665"/>
    <cellStyle name="Normal 2 42 23" xfId="18666"/>
    <cellStyle name="Normal 2 42 24" xfId="18667"/>
    <cellStyle name="Normal 2 42 25" xfId="18668"/>
    <cellStyle name="Normal 2 42 26" xfId="18669"/>
    <cellStyle name="Normal 2 42 27" xfId="18670"/>
    <cellStyle name="Normal 2 42 28" xfId="18671"/>
    <cellStyle name="Normal 2 42 29" xfId="18672"/>
    <cellStyle name="Normal 2 42 3" xfId="18673"/>
    <cellStyle name="Normal 2 42 30" xfId="18674"/>
    <cellStyle name="Normal 2 42 31" xfId="18675"/>
    <cellStyle name="Normal 2 42 32" xfId="18676"/>
    <cellStyle name="Normal 2 42 33" xfId="18677"/>
    <cellStyle name="Normal 2 42 34" xfId="18678"/>
    <cellStyle name="Normal 2 42 4" xfId="18679"/>
    <cellStyle name="Normal 2 42 5" xfId="18680"/>
    <cellStyle name="Normal 2 42 6" xfId="18681"/>
    <cellStyle name="Normal 2 42 7" xfId="18682"/>
    <cellStyle name="Normal 2 42 8" xfId="18683"/>
    <cellStyle name="Normal 2 42 9" xfId="18684"/>
    <cellStyle name="Normal 2 43" xfId="4793"/>
    <cellStyle name="Normal 2 44" xfId="4794"/>
    <cellStyle name="Normal 2 45" xfId="4795"/>
    <cellStyle name="Normal 2 46" xfId="4796"/>
    <cellStyle name="Normal 2 47" xfId="4797"/>
    <cellStyle name="Normal 2 48" xfId="4798"/>
    <cellStyle name="Normal 2 49" xfId="4799"/>
    <cellStyle name="Normal 2 5" xfId="4800"/>
    <cellStyle name="Normal 2 5 2" xfId="4801"/>
    <cellStyle name="Normal 2 5 3" xfId="4802"/>
    <cellStyle name="Normal 2 5 4" xfId="4803"/>
    <cellStyle name="Normal 2 5 5" xfId="4804"/>
    <cellStyle name="Normal 2 50" xfId="4805"/>
    <cellStyle name="Normal 2 51" xfId="4806"/>
    <cellStyle name="Normal 2 52" xfId="4807"/>
    <cellStyle name="Normal 2 53" xfId="4808"/>
    <cellStyle name="Normal 2 54" xfId="4809"/>
    <cellStyle name="Normal 2 55" xfId="4810"/>
    <cellStyle name="Normal 2 56" xfId="4811"/>
    <cellStyle name="Normal 2 57" xfId="18685"/>
    <cellStyle name="Normal 2 58" xfId="18686"/>
    <cellStyle name="Normal 2 59" xfId="18687"/>
    <cellStyle name="Normal 2 6" xfId="4812"/>
    <cellStyle name="Normal 2 6 2" xfId="4813"/>
    <cellStyle name="Normal 2 6 3" xfId="4814"/>
    <cellStyle name="Normal 2 6 4" xfId="4815"/>
    <cellStyle name="Normal 2 6 5" xfId="4816"/>
    <cellStyle name="Normal 2 60" xfId="18688"/>
    <cellStyle name="Normal 2 61" xfId="18689"/>
    <cellStyle name="Normal 2 62" xfId="18690"/>
    <cellStyle name="Normal 2 63" xfId="18691"/>
    <cellStyle name="Normal 2 64" xfId="18692"/>
    <cellStyle name="Normal 2 65" xfId="18693"/>
    <cellStyle name="Normal 2 66" xfId="18694"/>
    <cellStyle name="Normal 2 67" xfId="18695"/>
    <cellStyle name="Normal 2 68" xfId="18696"/>
    <cellStyle name="Normal 2 69" xfId="18697"/>
    <cellStyle name="Normal 2 7" xfId="4817"/>
    <cellStyle name="Normal 2 7 10" xfId="4818"/>
    <cellStyle name="Normal 2 7 10 2" xfId="4819"/>
    <cellStyle name="Normal 2 7 10 3" xfId="4820"/>
    <cellStyle name="Normal 2 7 10 4" xfId="4821"/>
    <cellStyle name="Normal 2 7 10 5" xfId="4822"/>
    <cellStyle name="Normal 2 7 11" xfId="4823"/>
    <cellStyle name="Normal 2 7 11 2" xfId="4824"/>
    <cellStyle name="Normal 2 7 11 3" xfId="4825"/>
    <cellStyle name="Normal 2 7 11 4" xfId="4826"/>
    <cellStyle name="Normal 2 7 11 5" xfId="4827"/>
    <cellStyle name="Normal 2 7 12" xfId="4828"/>
    <cellStyle name="Normal 2 7 12 2" xfId="4829"/>
    <cellStyle name="Normal 2 7 12 3" xfId="4830"/>
    <cellStyle name="Normal 2 7 12 4" xfId="4831"/>
    <cellStyle name="Normal 2 7 12 5" xfId="4832"/>
    <cellStyle name="Normal 2 7 13" xfId="4833"/>
    <cellStyle name="Normal 2 7 13 2" xfId="4834"/>
    <cellStyle name="Normal 2 7 13 3" xfId="4835"/>
    <cellStyle name="Normal 2 7 13 4" xfId="4836"/>
    <cellStyle name="Normal 2 7 13 5" xfId="4837"/>
    <cellStyle name="Normal 2 7 14" xfId="4838"/>
    <cellStyle name="Normal 2 7 14 2" xfId="4839"/>
    <cellStyle name="Normal 2 7 14 3" xfId="4840"/>
    <cellStyle name="Normal 2 7 14 4" xfId="4841"/>
    <cellStyle name="Normal 2 7 14 5" xfId="4842"/>
    <cellStyle name="Normal 2 7 15" xfId="4843"/>
    <cellStyle name="Normal 2 7 15 2" xfId="4844"/>
    <cellStyle name="Normal 2 7 15 3" xfId="4845"/>
    <cellStyle name="Normal 2 7 15 4" xfId="4846"/>
    <cellStyle name="Normal 2 7 15 5" xfId="4847"/>
    <cellStyle name="Normal 2 7 16" xfId="4848"/>
    <cellStyle name="Normal 2 7 16 2" xfId="4849"/>
    <cellStyle name="Normal 2 7 16 3" xfId="4850"/>
    <cellStyle name="Normal 2 7 16 4" xfId="4851"/>
    <cellStyle name="Normal 2 7 16 5" xfId="4852"/>
    <cellStyle name="Normal 2 7 17" xfId="4853"/>
    <cellStyle name="Normal 2 7 17 2" xfId="4854"/>
    <cellStyle name="Normal 2 7 17 3" xfId="4855"/>
    <cellStyle name="Normal 2 7 17 4" xfId="4856"/>
    <cellStyle name="Normal 2 7 17 5" xfId="4857"/>
    <cellStyle name="Normal 2 7 18" xfId="4858"/>
    <cellStyle name="Normal 2 7 18 2" xfId="4859"/>
    <cellStyle name="Normal 2 7 18 3" xfId="4860"/>
    <cellStyle name="Normal 2 7 18 4" xfId="4861"/>
    <cellStyle name="Normal 2 7 18 5" xfId="4862"/>
    <cellStyle name="Normal 2 7 19" xfId="4863"/>
    <cellStyle name="Normal 2 7 19 2" xfId="4864"/>
    <cellStyle name="Normal 2 7 19 3" xfId="4865"/>
    <cellStyle name="Normal 2 7 19 4" xfId="4866"/>
    <cellStyle name="Normal 2 7 19 5" xfId="4867"/>
    <cellStyle name="Normal 2 7 2" xfId="4868"/>
    <cellStyle name="Normal 2 7 2 2" xfId="4869"/>
    <cellStyle name="Normal 2 7 2 3" xfId="4870"/>
    <cellStyle name="Normal 2 7 2 4" xfId="4871"/>
    <cellStyle name="Normal 2 7 2 5" xfId="4872"/>
    <cellStyle name="Normal 2 7 20" xfId="4873"/>
    <cellStyle name="Normal 2 7 20 2" xfId="4874"/>
    <cellStyle name="Normal 2 7 20 3" xfId="4875"/>
    <cellStyle name="Normal 2 7 20 4" xfId="4876"/>
    <cellStyle name="Normal 2 7 20 5" xfId="4877"/>
    <cellStyle name="Normal 2 7 21" xfId="4878"/>
    <cellStyle name="Normal 2 7 21 2" xfId="4879"/>
    <cellStyle name="Normal 2 7 21 3" xfId="4880"/>
    <cellStyle name="Normal 2 7 21 4" xfId="4881"/>
    <cellStyle name="Normal 2 7 21 5" xfId="4882"/>
    <cellStyle name="Normal 2 7 22" xfId="4883"/>
    <cellStyle name="Normal 2 7 22 2" xfId="4884"/>
    <cellStyle name="Normal 2 7 22 3" xfId="4885"/>
    <cellStyle name="Normal 2 7 22 4" xfId="4886"/>
    <cellStyle name="Normal 2 7 22 5" xfId="4887"/>
    <cellStyle name="Normal 2 7 23" xfId="4888"/>
    <cellStyle name="Normal 2 7 23 2" xfId="4889"/>
    <cellStyle name="Normal 2 7 23 3" xfId="4890"/>
    <cellStyle name="Normal 2 7 23 4" xfId="4891"/>
    <cellStyle name="Normal 2 7 23 5" xfId="4892"/>
    <cellStyle name="Normal 2 7 24" xfId="4893"/>
    <cellStyle name="Normal 2 7 25" xfId="4894"/>
    <cellStyle name="Normal 2 7 26" xfId="4895"/>
    <cellStyle name="Normal 2 7 27" xfId="4896"/>
    <cellStyle name="Normal 2 7 28" xfId="4897"/>
    <cellStyle name="Normal 2 7 28 10" xfId="18698"/>
    <cellStyle name="Normal 2 7 28 11" xfId="18699"/>
    <cellStyle name="Normal 2 7 28 12" xfId="18700"/>
    <cellStyle name="Normal 2 7 28 13" xfId="18701"/>
    <cellStyle name="Normal 2 7 28 14" xfId="18702"/>
    <cellStyle name="Normal 2 7 28 15" xfId="18703"/>
    <cellStyle name="Normal 2 7 28 16" xfId="18704"/>
    <cellStyle name="Normal 2 7 28 17" xfId="18705"/>
    <cellStyle name="Normal 2 7 28 18" xfId="18706"/>
    <cellStyle name="Normal 2 7 28 19" xfId="18707"/>
    <cellStyle name="Normal 2 7 28 2" xfId="18708"/>
    <cellStyle name="Normal 2 7 28 20" xfId="18709"/>
    <cellStyle name="Normal 2 7 28 21" xfId="18710"/>
    <cellStyle name="Normal 2 7 28 22" xfId="18711"/>
    <cellStyle name="Normal 2 7 28 23" xfId="18712"/>
    <cellStyle name="Normal 2 7 28 3" xfId="18713"/>
    <cellStyle name="Normal 2 7 28 4" xfId="18714"/>
    <cellStyle name="Normal 2 7 28 5" xfId="18715"/>
    <cellStyle name="Normal 2 7 28 6" xfId="18716"/>
    <cellStyle name="Normal 2 7 28 7" xfId="18717"/>
    <cellStyle name="Normal 2 7 28 8" xfId="18718"/>
    <cellStyle name="Normal 2 7 28 9" xfId="18719"/>
    <cellStyle name="Normal 2 7 29" xfId="4898"/>
    <cellStyle name="Normal 2 7 3" xfId="4899"/>
    <cellStyle name="Normal 2 7 3 2" xfId="4900"/>
    <cellStyle name="Normal 2 7 3 3" xfId="4901"/>
    <cellStyle name="Normal 2 7 3 4" xfId="4902"/>
    <cellStyle name="Normal 2 7 3 5" xfId="4903"/>
    <cellStyle name="Normal 2 7 30" xfId="4904"/>
    <cellStyle name="Normal 2 7 31" xfId="4905"/>
    <cellStyle name="Normal 2 7 32" xfId="4906"/>
    <cellStyle name="Normal 2 7 33" xfId="4907"/>
    <cellStyle name="Normal 2 7 34" xfId="4908"/>
    <cellStyle name="Normal 2 7 35" xfId="18720"/>
    <cellStyle name="Normal 2 7 36" xfId="18721"/>
    <cellStyle name="Normal 2 7 37" xfId="18722"/>
    <cellStyle name="Normal 2 7 38" xfId="18723"/>
    <cellStyle name="Normal 2 7 39" xfId="18724"/>
    <cellStyle name="Normal 2 7 4" xfId="4909"/>
    <cellStyle name="Normal 2 7 4 2" xfId="4910"/>
    <cellStyle name="Normal 2 7 4 3" xfId="4911"/>
    <cellStyle name="Normal 2 7 4 4" xfId="4912"/>
    <cellStyle name="Normal 2 7 4 5" xfId="4913"/>
    <cellStyle name="Normal 2 7 40" xfId="18725"/>
    <cellStyle name="Normal 2 7 41" xfId="18726"/>
    <cellStyle name="Normal 2 7 42" xfId="18727"/>
    <cellStyle name="Normal 2 7 43" xfId="18728"/>
    <cellStyle name="Normal 2 7 44" xfId="18729"/>
    <cellStyle name="Normal 2 7 45" xfId="18730"/>
    <cellStyle name="Normal 2 7 46" xfId="18731"/>
    <cellStyle name="Normal 2 7 47" xfId="18732"/>
    <cellStyle name="Normal 2 7 48" xfId="18733"/>
    <cellStyle name="Normal 2 7 49" xfId="18734"/>
    <cellStyle name="Normal 2 7 5" xfId="4914"/>
    <cellStyle name="Normal 2 7 5 2" xfId="4915"/>
    <cellStyle name="Normal 2 7 5 3" xfId="4916"/>
    <cellStyle name="Normal 2 7 5 4" xfId="4917"/>
    <cellStyle name="Normal 2 7 5 5" xfId="4918"/>
    <cellStyle name="Normal 2 7 50" xfId="18735"/>
    <cellStyle name="Normal 2 7 51" xfId="18736"/>
    <cellStyle name="Normal 2 7 52" xfId="18737"/>
    <cellStyle name="Normal 2 7 53" xfId="18738"/>
    <cellStyle name="Normal 2 7 54" xfId="18739"/>
    <cellStyle name="Normal 2 7 55" xfId="18740"/>
    <cellStyle name="Normal 2 7 6" xfId="4919"/>
    <cellStyle name="Normal 2 7 6 2" xfId="4920"/>
    <cellStyle name="Normal 2 7 6 3" xfId="4921"/>
    <cellStyle name="Normal 2 7 6 4" xfId="4922"/>
    <cellStyle name="Normal 2 7 6 5" xfId="4923"/>
    <cellStyle name="Normal 2 7 7" xfId="4924"/>
    <cellStyle name="Normal 2 7 7 2" xfId="4925"/>
    <cellStyle name="Normal 2 7 7 3" xfId="4926"/>
    <cellStyle name="Normal 2 7 7 4" xfId="4927"/>
    <cellStyle name="Normal 2 7 7 5" xfId="4928"/>
    <cellStyle name="Normal 2 7 8" xfId="4929"/>
    <cellStyle name="Normal 2 7 8 2" xfId="4930"/>
    <cellStyle name="Normal 2 7 8 3" xfId="4931"/>
    <cellStyle name="Normal 2 7 8 4" xfId="4932"/>
    <cellStyle name="Normal 2 7 8 5" xfId="4933"/>
    <cellStyle name="Normal 2 7 9" xfId="4934"/>
    <cellStyle name="Normal 2 7 9 2" xfId="4935"/>
    <cellStyle name="Normal 2 7 9 3" xfId="4936"/>
    <cellStyle name="Normal 2 7 9 4" xfId="4937"/>
    <cellStyle name="Normal 2 7 9 5" xfId="4938"/>
    <cellStyle name="Normal 2 70" xfId="18741"/>
    <cellStyle name="Normal 2 71" xfId="18742"/>
    <cellStyle name="Normal 2 72" xfId="18743"/>
    <cellStyle name="Normal 2 73" xfId="18744"/>
    <cellStyle name="Normal 2 74" xfId="18745"/>
    <cellStyle name="Normal 2 75" xfId="18746"/>
    <cellStyle name="Normal 2 76" xfId="18747"/>
    <cellStyle name="Normal 2 77" xfId="18748"/>
    <cellStyle name="Normal 2 8" xfId="4939"/>
    <cellStyle name="Normal 2 8 10" xfId="4940"/>
    <cellStyle name="Normal 2 8 10 2" xfId="4941"/>
    <cellStyle name="Normal 2 8 10 3" xfId="4942"/>
    <cellStyle name="Normal 2 8 10 4" xfId="4943"/>
    <cellStyle name="Normal 2 8 10 5" xfId="4944"/>
    <cellStyle name="Normal 2 8 11" xfId="4945"/>
    <cellStyle name="Normal 2 8 11 2" xfId="4946"/>
    <cellStyle name="Normal 2 8 11 3" xfId="4947"/>
    <cellStyle name="Normal 2 8 11 4" xfId="4948"/>
    <cellStyle name="Normal 2 8 11 5" xfId="4949"/>
    <cellStyle name="Normal 2 8 12" xfId="4950"/>
    <cellStyle name="Normal 2 8 12 2" xfId="4951"/>
    <cellStyle name="Normal 2 8 12 3" xfId="4952"/>
    <cellStyle name="Normal 2 8 12 4" xfId="4953"/>
    <cellStyle name="Normal 2 8 12 5" xfId="4954"/>
    <cellStyle name="Normal 2 8 13" xfId="4955"/>
    <cellStyle name="Normal 2 8 13 2" xfId="4956"/>
    <cellStyle name="Normal 2 8 13 3" xfId="4957"/>
    <cellStyle name="Normal 2 8 13 4" xfId="4958"/>
    <cellStyle name="Normal 2 8 13 5" xfId="4959"/>
    <cellStyle name="Normal 2 8 14" xfId="4960"/>
    <cellStyle name="Normal 2 8 14 2" xfId="4961"/>
    <cellStyle name="Normal 2 8 14 3" xfId="4962"/>
    <cellStyle name="Normal 2 8 14 3 2" xfId="4963"/>
    <cellStyle name="Normal 2 8 14 4" xfId="4964"/>
    <cellStyle name="Normal 2 8 14 5" xfId="4965"/>
    <cellStyle name="Normal 2 8 15" xfId="4966"/>
    <cellStyle name="Normal 2 8 15 2" xfId="4967"/>
    <cellStyle name="Normal 2 8 15 3" xfId="4968"/>
    <cellStyle name="Normal 2 8 15 4" xfId="4969"/>
    <cellStyle name="Normal 2 8 15 5" xfId="4970"/>
    <cellStyle name="Normal 2 8 16" xfId="4971"/>
    <cellStyle name="Normal 2 8 16 2" xfId="4972"/>
    <cellStyle name="Normal 2 8 16 3" xfId="4973"/>
    <cellStyle name="Normal 2 8 16 4" xfId="4974"/>
    <cellStyle name="Normal 2 8 16 5" xfId="4975"/>
    <cellStyle name="Normal 2 8 17" xfId="4976"/>
    <cellStyle name="Normal 2 8 17 2" xfId="4977"/>
    <cellStyle name="Normal 2 8 17 3" xfId="4978"/>
    <cellStyle name="Normal 2 8 17 4" xfId="4979"/>
    <cellStyle name="Normal 2 8 17 5" xfId="4980"/>
    <cellStyle name="Normal 2 8 18" xfId="4981"/>
    <cellStyle name="Normal 2 8 18 2" xfId="4982"/>
    <cellStyle name="Normal 2 8 18 3" xfId="4983"/>
    <cellStyle name="Normal 2 8 18 4" xfId="4984"/>
    <cellStyle name="Normal 2 8 18 5" xfId="4985"/>
    <cellStyle name="Normal 2 8 19" xfId="4986"/>
    <cellStyle name="Normal 2 8 19 2" xfId="4987"/>
    <cellStyle name="Normal 2 8 19 3" xfId="4988"/>
    <cellStyle name="Normal 2 8 19 4" xfId="4989"/>
    <cellStyle name="Normal 2 8 19 5" xfId="4990"/>
    <cellStyle name="Normal 2 8 2" xfId="4991"/>
    <cellStyle name="Normal 2 8 2 2" xfId="4992"/>
    <cellStyle name="Normal 2 8 2 3" xfId="4993"/>
    <cellStyle name="Normal 2 8 2 4" xfId="4994"/>
    <cellStyle name="Normal 2 8 2 5" xfId="4995"/>
    <cellStyle name="Normal 2 8 20" xfId="4996"/>
    <cellStyle name="Normal 2 8 20 2" xfId="4997"/>
    <cellStyle name="Normal 2 8 20 3" xfId="4998"/>
    <cellStyle name="Normal 2 8 20 4" xfId="4999"/>
    <cellStyle name="Normal 2 8 20 5" xfId="5000"/>
    <cellStyle name="Normal 2 8 21" xfId="5001"/>
    <cellStyle name="Normal 2 8 21 2" xfId="5002"/>
    <cellStyle name="Normal 2 8 21 3" xfId="5003"/>
    <cellStyle name="Normal 2 8 21 4" xfId="5004"/>
    <cellStyle name="Normal 2 8 21 5" xfId="5005"/>
    <cellStyle name="Normal 2 8 22" xfId="5006"/>
    <cellStyle name="Normal 2 8 22 2" xfId="5007"/>
    <cellStyle name="Normal 2 8 22 3" xfId="5008"/>
    <cellStyle name="Normal 2 8 22 4" xfId="5009"/>
    <cellStyle name="Normal 2 8 22 5" xfId="5010"/>
    <cellStyle name="Normal 2 8 23" xfId="5011"/>
    <cellStyle name="Normal 2 8 23 2" xfId="5012"/>
    <cellStyle name="Normal 2 8 23 3" xfId="5013"/>
    <cellStyle name="Normal 2 8 23 4" xfId="5014"/>
    <cellStyle name="Normal 2 8 23 5" xfId="5015"/>
    <cellStyle name="Normal 2 8 24" xfId="5016"/>
    <cellStyle name="Normal 2 8 25" xfId="5017"/>
    <cellStyle name="Normal 2 8 26" xfId="5018"/>
    <cellStyle name="Normal 2 8 27" xfId="5019"/>
    <cellStyle name="Normal 2 8 28" xfId="5020"/>
    <cellStyle name="Normal 2 8 28 10" xfId="18749"/>
    <cellStyle name="Normal 2 8 28 11" xfId="18750"/>
    <cellStyle name="Normal 2 8 28 12" xfId="18751"/>
    <cellStyle name="Normal 2 8 28 13" xfId="18752"/>
    <cellStyle name="Normal 2 8 28 14" xfId="18753"/>
    <cellStyle name="Normal 2 8 28 15" xfId="18754"/>
    <cellStyle name="Normal 2 8 28 16" xfId="18755"/>
    <cellStyle name="Normal 2 8 28 17" xfId="18756"/>
    <cellStyle name="Normal 2 8 28 18" xfId="18757"/>
    <cellStyle name="Normal 2 8 28 19" xfId="18758"/>
    <cellStyle name="Normal 2 8 28 2" xfId="18759"/>
    <cellStyle name="Normal 2 8 28 20" xfId="18760"/>
    <cellStyle name="Normal 2 8 28 21" xfId="18761"/>
    <cellStyle name="Normal 2 8 28 22" xfId="18762"/>
    <cellStyle name="Normal 2 8 28 23" xfId="18763"/>
    <cellStyle name="Normal 2 8 28 3" xfId="18764"/>
    <cellStyle name="Normal 2 8 28 4" xfId="18765"/>
    <cellStyle name="Normal 2 8 28 5" xfId="18766"/>
    <cellStyle name="Normal 2 8 28 6" xfId="18767"/>
    <cellStyle name="Normal 2 8 28 7" xfId="18768"/>
    <cellStyle name="Normal 2 8 28 8" xfId="18769"/>
    <cellStyle name="Normal 2 8 28 9" xfId="18770"/>
    <cellStyle name="Normal 2 8 29" xfId="5021"/>
    <cellStyle name="Normal 2 8 3" xfId="5022"/>
    <cellStyle name="Normal 2 8 3 2" xfId="5023"/>
    <cellStyle name="Normal 2 8 3 3" xfId="5024"/>
    <cellStyle name="Normal 2 8 3 4" xfId="5025"/>
    <cellStyle name="Normal 2 8 3 5" xfId="5026"/>
    <cellStyle name="Normal 2 8 30" xfId="5027"/>
    <cellStyle name="Normal 2 8 31" xfId="5028"/>
    <cellStyle name="Normal 2 8 32" xfId="5029"/>
    <cellStyle name="Normal 2 8 33" xfId="5030"/>
    <cellStyle name="Normal 2 8 34" xfId="5031"/>
    <cellStyle name="Normal 2 8 35" xfId="18771"/>
    <cellStyle name="Normal 2 8 36" xfId="18772"/>
    <cellStyle name="Normal 2 8 37" xfId="18773"/>
    <cellStyle name="Normal 2 8 38" xfId="18774"/>
    <cellStyle name="Normal 2 8 39" xfId="18775"/>
    <cellStyle name="Normal 2 8 4" xfId="5032"/>
    <cellStyle name="Normal 2 8 4 2" xfId="5033"/>
    <cellStyle name="Normal 2 8 4 3" xfId="5034"/>
    <cellStyle name="Normal 2 8 4 4" xfId="5035"/>
    <cellStyle name="Normal 2 8 4 5" xfId="5036"/>
    <cellStyle name="Normal 2 8 40" xfId="18776"/>
    <cellStyle name="Normal 2 8 41" xfId="18777"/>
    <cellStyle name="Normal 2 8 42" xfId="18778"/>
    <cellStyle name="Normal 2 8 43" xfId="18779"/>
    <cellStyle name="Normal 2 8 44" xfId="18780"/>
    <cellStyle name="Normal 2 8 45" xfId="18781"/>
    <cellStyle name="Normal 2 8 46" xfId="18782"/>
    <cellStyle name="Normal 2 8 47" xfId="18783"/>
    <cellStyle name="Normal 2 8 48" xfId="18784"/>
    <cellStyle name="Normal 2 8 49" xfId="18785"/>
    <cellStyle name="Normal 2 8 5" xfId="5037"/>
    <cellStyle name="Normal 2 8 5 2" xfId="5038"/>
    <cellStyle name="Normal 2 8 5 3" xfId="5039"/>
    <cellStyle name="Normal 2 8 5 4" xfId="5040"/>
    <cellStyle name="Normal 2 8 5 5" xfId="5041"/>
    <cellStyle name="Normal 2 8 50" xfId="18786"/>
    <cellStyle name="Normal 2 8 51" xfId="18787"/>
    <cellStyle name="Normal 2 8 52" xfId="18788"/>
    <cellStyle name="Normal 2 8 53" xfId="18789"/>
    <cellStyle name="Normal 2 8 54" xfId="18790"/>
    <cellStyle name="Normal 2 8 55" xfId="18791"/>
    <cellStyle name="Normal 2 8 6" xfId="5042"/>
    <cellStyle name="Normal 2 8 6 2" xfId="5043"/>
    <cellStyle name="Normal 2 8 6 3" xfId="5044"/>
    <cellStyle name="Normal 2 8 6 4" xfId="5045"/>
    <cellStyle name="Normal 2 8 6 5" xfId="5046"/>
    <cellStyle name="Normal 2 8 7" xfId="5047"/>
    <cellStyle name="Normal 2 8 7 2" xfId="5048"/>
    <cellStyle name="Normal 2 8 7 3" xfId="5049"/>
    <cellStyle name="Normal 2 8 7 4" xfId="5050"/>
    <cellStyle name="Normal 2 8 7 5" xfId="5051"/>
    <cellStyle name="Normal 2 8 8" xfId="5052"/>
    <cellStyle name="Normal 2 8 8 2" xfId="5053"/>
    <cellStyle name="Normal 2 8 8 3" xfId="5054"/>
    <cellStyle name="Normal 2 8 8 4" xfId="5055"/>
    <cellStyle name="Normal 2 8 8 5" xfId="5056"/>
    <cellStyle name="Normal 2 8 9" xfId="5057"/>
    <cellStyle name="Normal 2 8 9 2" xfId="5058"/>
    <cellStyle name="Normal 2 8 9 3" xfId="5059"/>
    <cellStyle name="Normal 2 8 9 4" xfId="5060"/>
    <cellStyle name="Normal 2 8 9 5" xfId="5061"/>
    <cellStyle name="Normal 2 9" xfId="5062"/>
    <cellStyle name="Normal 2 9 10" xfId="5063"/>
    <cellStyle name="Normal 2 9 11" xfId="5064"/>
    <cellStyle name="Normal 2 9 12" xfId="5065"/>
    <cellStyle name="Normal 2 9 13" xfId="18792"/>
    <cellStyle name="Normal 2 9 14" xfId="18793"/>
    <cellStyle name="Normal 2 9 15" xfId="18794"/>
    <cellStyle name="Normal 2 9 16" xfId="18795"/>
    <cellStyle name="Normal 2 9 17" xfId="18796"/>
    <cellStyle name="Normal 2 9 18" xfId="18797"/>
    <cellStyle name="Normal 2 9 19" xfId="18798"/>
    <cellStyle name="Normal 2 9 2" xfId="5066"/>
    <cellStyle name="Normal 2 9 20" xfId="18799"/>
    <cellStyle name="Normal 2 9 21" xfId="18800"/>
    <cellStyle name="Normal 2 9 22" xfId="18801"/>
    <cellStyle name="Normal 2 9 23" xfId="18802"/>
    <cellStyle name="Normal 2 9 24" xfId="18803"/>
    <cellStyle name="Normal 2 9 25" xfId="18804"/>
    <cellStyle name="Normal 2 9 26" xfId="18805"/>
    <cellStyle name="Normal 2 9 27" xfId="18806"/>
    <cellStyle name="Normal 2 9 28" xfId="18807"/>
    <cellStyle name="Normal 2 9 29" xfId="18808"/>
    <cellStyle name="Normal 2 9 3" xfId="5067"/>
    <cellStyle name="Normal 2 9 30" xfId="18809"/>
    <cellStyle name="Normal 2 9 31" xfId="18810"/>
    <cellStyle name="Normal 2 9 32" xfId="18811"/>
    <cellStyle name="Normal 2 9 33" xfId="18812"/>
    <cellStyle name="Normal 2 9 4" xfId="5068"/>
    <cellStyle name="Normal 2 9 5" xfId="5069"/>
    <cellStyle name="Normal 2 9 6" xfId="5070"/>
    <cellStyle name="Normal 2 9 6 10" xfId="18813"/>
    <cellStyle name="Normal 2 9 6 11" xfId="18814"/>
    <cellStyle name="Normal 2 9 6 12" xfId="18815"/>
    <cellStyle name="Normal 2 9 6 13" xfId="18816"/>
    <cellStyle name="Normal 2 9 6 14" xfId="18817"/>
    <cellStyle name="Normal 2 9 6 15" xfId="18818"/>
    <cellStyle name="Normal 2 9 6 16" xfId="18819"/>
    <cellStyle name="Normal 2 9 6 17" xfId="18820"/>
    <cellStyle name="Normal 2 9 6 18" xfId="18821"/>
    <cellStyle name="Normal 2 9 6 19" xfId="18822"/>
    <cellStyle name="Normal 2 9 6 2" xfId="18823"/>
    <cellStyle name="Normal 2 9 6 20" xfId="18824"/>
    <cellStyle name="Normal 2 9 6 21" xfId="18825"/>
    <cellStyle name="Normal 2 9 6 22" xfId="18826"/>
    <cellStyle name="Normal 2 9 6 23" xfId="18827"/>
    <cellStyle name="Normal 2 9 6 3" xfId="18828"/>
    <cellStyle name="Normal 2 9 6 4" xfId="18829"/>
    <cellStyle name="Normal 2 9 6 5" xfId="18830"/>
    <cellStyle name="Normal 2 9 6 6" xfId="18831"/>
    <cellStyle name="Normal 2 9 6 7" xfId="18832"/>
    <cellStyle name="Normal 2 9 6 8" xfId="18833"/>
    <cellStyle name="Normal 2 9 6 9" xfId="18834"/>
    <cellStyle name="Normal 2 9 7" xfId="5071"/>
    <cellStyle name="Normal 2 9 8" xfId="5072"/>
    <cellStyle name="Normal 2 9 9" xfId="5073"/>
    <cellStyle name="Normal 2_Aceh Tamiang D.1 +, 2003" xfId="5074"/>
    <cellStyle name="Normal 20" xfId="5075"/>
    <cellStyle name="Normal 20 10" xfId="5076"/>
    <cellStyle name="Normal 20 11" xfId="18835"/>
    <cellStyle name="Normal 20 12" xfId="18836"/>
    <cellStyle name="Normal 20 13" xfId="18837"/>
    <cellStyle name="Normal 20 14" xfId="18838"/>
    <cellStyle name="Normal 20 15" xfId="18839"/>
    <cellStyle name="Normal 20 16" xfId="18840"/>
    <cellStyle name="Normal 20 17" xfId="18841"/>
    <cellStyle name="Normal 20 18" xfId="18842"/>
    <cellStyle name="Normal 20 19" xfId="18843"/>
    <cellStyle name="Normal 20 2" xfId="5077"/>
    <cellStyle name="Normal 20 2 10" xfId="18844"/>
    <cellStyle name="Normal 20 2 11" xfId="18845"/>
    <cellStyle name="Normal 20 2 12" xfId="18846"/>
    <cellStyle name="Normal 20 2 13" xfId="18847"/>
    <cellStyle name="Normal 20 2 14" xfId="18848"/>
    <cellStyle name="Normal 20 2 15" xfId="18849"/>
    <cellStyle name="Normal 20 2 16" xfId="18850"/>
    <cellStyle name="Normal 20 2 17" xfId="18851"/>
    <cellStyle name="Normal 20 2 18" xfId="18852"/>
    <cellStyle name="Normal 20 2 19" xfId="18853"/>
    <cellStyle name="Normal 20 2 2" xfId="18854"/>
    <cellStyle name="Normal 20 2 20" xfId="18855"/>
    <cellStyle name="Normal 20 2 21" xfId="18856"/>
    <cellStyle name="Normal 20 2 22" xfId="18857"/>
    <cellStyle name="Normal 20 2 23" xfId="18858"/>
    <cellStyle name="Normal 20 2 3" xfId="18859"/>
    <cellStyle name="Normal 20 2 4" xfId="18860"/>
    <cellStyle name="Normal 20 2 5" xfId="18861"/>
    <cellStyle name="Normal 20 2 6" xfId="18862"/>
    <cellStyle name="Normal 20 2 7" xfId="18863"/>
    <cellStyle name="Normal 20 2 8" xfId="18864"/>
    <cellStyle name="Normal 20 2 9" xfId="18865"/>
    <cellStyle name="Normal 20 20" xfId="18866"/>
    <cellStyle name="Normal 20 21" xfId="18867"/>
    <cellStyle name="Normal 20 22" xfId="18868"/>
    <cellStyle name="Normal 20 23" xfId="18869"/>
    <cellStyle name="Normal 20 24" xfId="18870"/>
    <cellStyle name="Normal 20 25" xfId="18871"/>
    <cellStyle name="Normal 20 26" xfId="18872"/>
    <cellStyle name="Normal 20 27" xfId="18873"/>
    <cellStyle name="Normal 20 28" xfId="18874"/>
    <cellStyle name="Normal 20 29" xfId="18875"/>
    <cellStyle name="Normal 20 3" xfId="5078"/>
    <cellStyle name="Normal 20 30" xfId="18876"/>
    <cellStyle name="Normal 20 31" xfId="18877"/>
    <cellStyle name="Normal 20 4" xfId="5079"/>
    <cellStyle name="Normal 20 5" xfId="5080"/>
    <cellStyle name="Normal 20 6" xfId="5081"/>
    <cellStyle name="Normal 20 7" xfId="5082"/>
    <cellStyle name="Normal 20 8" xfId="5083"/>
    <cellStyle name="Normal 20 9" xfId="5084"/>
    <cellStyle name="Normal 21" xfId="5085"/>
    <cellStyle name="Normal 21 10" xfId="5086"/>
    <cellStyle name="Normal 21 11" xfId="18878"/>
    <cellStyle name="Normal 21 12" xfId="18879"/>
    <cellStyle name="Normal 21 13" xfId="18880"/>
    <cellStyle name="Normal 21 14" xfId="18881"/>
    <cellStyle name="Normal 21 15" xfId="18882"/>
    <cellStyle name="Normal 21 16" xfId="18883"/>
    <cellStyle name="Normal 21 17" xfId="18884"/>
    <cellStyle name="Normal 21 18" xfId="18885"/>
    <cellStyle name="Normal 21 19" xfId="18886"/>
    <cellStyle name="Normal 21 2" xfId="5087"/>
    <cellStyle name="Normal 21 2 10" xfId="5088"/>
    <cellStyle name="Normal 21 2 11" xfId="5089"/>
    <cellStyle name="Normal 21 2 12" xfId="5090"/>
    <cellStyle name="Normal 21 2 13" xfId="5091"/>
    <cellStyle name="Normal 21 2 14" xfId="5092"/>
    <cellStyle name="Normal 21 2 15" xfId="5093"/>
    <cellStyle name="Normal 21 2 16" xfId="5094"/>
    <cellStyle name="Normal 21 2 17" xfId="5095"/>
    <cellStyle name="Normal 21 2 18" xfId="5096"/>
    <cellStyle name="Normal 21 2 19" xfId="5097"/>
    <cellStyle name="Normal 21 2 2" xfId="5098"/>
    <cellStyle name="Normal 21 2 20" xfId="5099"/>
    <cellStyle name="Normal 21 2 21" xfId="5100"/>
    <cellStyle name="Normal 21 2 22" xfId="5101"/>
    <cellStyle name="Normal 21 2 23" xfId="5102"/>
    <cellStyle name="Normal 21 2 24" xfId="5103"/>
    <cellStyle name="Normal 21 2 25" xfId="5104"/>
    <cellStyle name="Normal 21 2 26" xfId="5105"/>
    <cellStyle name="Normal 21 2 27" xfId="5106"/>
    <cellStyle name="Normal 21 2 28" xfId="5107"/>
    <cellStyle name="Normal 21 2 29" xfId="5108"/>
    <cellStyle name="Normal 21 2 3" xfId="5109"/>
    <cellStyle name="Normal 21 2 30" xfId="5110"/>
    <cellStyle name="Normal 21 2 31" xfId="5111"/>
    <cellStyle name="Normal 21 2 32" xfId="5112"/>
    <cellStyle name="Normal 21 2 33" xfId="5113"/>
    <cellStyle name="Normal 21 2 34" xfId="5114"/>
    <cellStyle name="Normal 21 2 35" xfId="5115"/>
    <cellStyle name="Normal 21 2 36" xfId="5116"/>
    <cellStyle name="Normal 21 2 37" xfId="5117"/>
    <cellStyle name="Normal 21 2 38" xfId="5118"/>
    <cellStyle name="Normal 21 2 39" xfId="5119"/>
    <cellStyle name="Normal 21 2 4" xfId="5120"/>
    <cellStyle name="Normal 21 2 40" xfId="5121"/>
    <cellStyle name="Normal 21 2 41" xfId="5122"/>
    <cellStyle name="Normal 21 2 42" xfId="5123"/>
    <cellStyle name="Normal 21 2 43" xfId="5124"/>
    <cellStyle name="Normal 21 2 44" xfId="5125"/>
    <cellStyle name="Normal 21 2 5" xfId="5126"/>
    <cellStyle name="Normal 21 2 6" xfId="5127"/>
    <cellStyle name="Normal 21 2 7" xfId="5128"/>
    <cellStyle name="Normal 21 2 8" xfId="5129"/>
    <cellStyle name="Normal 21 2 9" xfId="5130"/>
    <cellStyle name="Normal 21 20" xfId="18887"/>
    <cellStyle name="Normal 21 21" xfId="18888"/>
    <cellStyle name="Normal 21 22" xfId="18889"/>
    <cellStyle name="Normal 21 23" xfId="18890"/>
    <cellStyle name="Normal 21 24" xfId="18891"/>
    <cellStyle name="Normal 21 25" xfId="18892"/>
    <cellStyle name="Normal 21 26" xfId="18893"/>
    <cellStyle name="Normal 21 27" xfId="18894"/>
    <cellStyle name="Normal 21 28" xfId="18895"/>
    <cellStyle name="Normal 21 29" xfId="18896"/>
    <cellStyle name="Normal 21 3" xfId="5131"/>
    <cellStyle name="Normal 21 3 10" xfId="18897"/>
    <cellStyle name="Normal 21 3 11" xfId="18898"/>
    <cellStyle name="Normal 21 3 12" xfId="18899"/>
    <cellStyle name="Normal 21 3 13" xfId="18900"/>
    <cellStyle name="Normal 21 3 14" xfId="18901"/>
    <cellStyle name="Normal 21 3 15" xfId="18902"/>
    <cellStyle name="Normal 21 3 16" xfId="18903"/>
    <cellStyle name="Normal 21 3 17" xfId="18904"/>
    <cellStyle name="Normal 21 3 18" xfId="18905"/>
    <cellStyle name="Normal 21 3 19" xfId="18906"/>
    <cellStyle name="Normal 21 3 2" xfId="18907"/>
    <cellStyle name="Normal 21 3 20" xfId="18908"/>
    <cellStyle name="Normal 21 3 21" xfId="18909"/>
    <cellStyle name="Normal 21 3 22" xfId="18910"/>
    <cellStyle name="Normal 21 3 23" xfId="18911"/>
    <cellStyle name="Normal 21 3 3" xfId="18912"/>
    <cellStyle name="Normal 21 3 4" xfId="18913"/>
    <cellStyle name="Normal 21 3 5" xfId="18914"/>
    <cellStyle name="Normal 21 3 6" xfId="18915"/>
    <cellStyle name="Normal 21 3 7" xfId="18916"/>
    <cellStyle name="Normal 21 3 8" xfId="18917"/>
    <cellStyle name="Normal 21 3 9" xfId="18918"/>
    <cellStyle name="Normal 21 30" xfId="18919"/>
    <cellStyle name="Normal 21 31" xfId="18920"/>
    <cellStyle name="Normal 21 4" xfId="5132"/>
    <cellStyle name="Normal 21 5" xfId="5133"/>
    <cellStyle name="Normal 21 6" xfId="5134"/>
    <cellStyle name="Normal 21 7" xfId="5135"/>
    <cellStyle name="Normal 21 8" xfId="5136"/>
    <cellStyle name="Normal 21 9" xfId="5137"/>
    <cellStyle name="Normal 21_Aceh Utara (BINA MARGA)" xfId="5138"/>
    <cellStyle name="Normal 22" xfId="5139"/>
    <cellStyle name="Normal 22 10" xfId="5140"/>
    <cellStyle name="Normal 22 11" xfId="18921"/>
    <cellStyle name="Normal 22 12" xfId="18922"/>
    <cellStyle name="Normal 22 13" xfId="18923"/>
    <cellStyle name="Normal 22 14" xfId="18924"/>
    <cellStyle name="Normal 22 15" xfId="18925"/>
    <cellStyle name="Normal 22 16" xfId="18926"/>
    <cellStyle name="Normal 22 17" xfId="18927"/>
    <cellStyle name="Normal 22 18" xfId="18928"/>
    <cellStyle name="Normal 22 19" xfId="18929"/>
    <cellStyle name="Normal 22 2" xfId="5141"/>
    <cellStyle name="Normal 22 2 10" xfId="18930"/>
    <cellStyle name="Normal 22 2 11" xfId="18931"/>
    <cellStyle name="Normal 22 2 12" xfId="18932"/>
    <cellStyle name="Normal 22 2 13" xfId="18933"/>
    <cellStyle name="Normal 22 2 14" xfId="18934"/>
    <cellStyle name="Normal 22 2 15" xfId="18935"/>
    <cellStyle name="Normal 22 2 16" xfId="18936"/>
    <cellStyle name="Normal 22 2 17" xfId="18937"/>
    <cellStyle name="Normal 22 2 18" xfId="18938"/>
    <cellStyle name="Normal 22 2 19" xfId="18939"/>
    <cellStyle name="Normal 22 2 2" xfId="18940"/>
    <cellStyle name="Normal 22 2 20" xfId="18941"/>
    <cellStyle name="Normal 22 2 21" xfId="18942"/>
    <cellStyle name="Normal 22 2 22" xfId="18943"/>
    <cellStyle name="Normal 22 2 23" xfId="18944"/>
    <cellStyle name="Normal 22 2 3" xfId="18945"/>
    <cellStyle name="Normal 22 2 4" xfId="18946"/>
    <cellStyle name="Normal 22 2 5" xfId="18947"/>
    <cellStyle name="Normal 22 2 6" xfId="18948"/>
    <cellStyle name="Normal 22 2 7" xfId="18949"/>
    <cellStyle name="Normal 22 2 8" xfId="18950"/>
    <cellStyle name="Normal 22 2 9" xfId="18951"/>
    <cellStyle name="Normal 22 20" xfId="18952"/>
    <cellStyle name="Normal 22 21" xfId="18953"/>
    <cellStyle name="Normal 22 22" xfId="18954"/>
    <cellStyle name="Normal 22 23" xfId="18955"/>
    <cellStyle name="Normal 22 24" xfId="18956"/>
    <cellStyle name="Normal 22 25" xfId="18957"/>
    <cellStyle name="Normal 22 26" xfId="18958"/>
    <cellStyle name="Normal 22 27" xfId="18959"/>
    <cellStyle name="Normal 22 28" xfId="18960"/>
    <cellStyle name="Normal 22 29" xfId="18961"/>
    <cellStyle name="Normal 22 3" xfId="5142"/>
    <cellStyle name="Normal 22 30" xfId="18962"/>
    <cellStyle name="Normal 22 31" xfId="18963"/>
    <cellStyle name="Normal 22 4" xfId="5143"/>
    <cellStyle name="Normal 22 5" xfId="5144"/>
    <cellStyle name="Normal 22 6" xfId="5145"/>
    <cellStyle name="Normal 22 7" xfId="5146"/>
    <cellStyle name="Normal 22 8" xfId="5147"/>
    <cellStyle name="Normal 22 9" xfId="5148"/>
    <cellStyle name="Normal 23" xfId="5149"/>
    <cellStyle name="Normal 23 10" xfId="5150"/>
    <cellStyle name="Normal 23 11" xfId="18964"/>
    <cellStyle name="Normal 23 12" xfId="18965"/>
    <cellStyle name="Normal 23 13" xfId="18966"/>
    <cellStyle name="Normal 23 14" xfId="18967"/>
    <cellStyle name="Normal 23 15" xfId="18968"/>
    <cellStyle name="Normal 23 16" xfId="18969"/>
    <cellStyle name="Normal 23 17" xfId="18970"/>
    <cellStyle name="Normal 23 18" xfId="18971"/>
    <cellStyle name="Normal 23 19" xfId="18972"/>
    <cellStyle name="Normal 23 2" xfId="5151"/>
    <cellStyle name="Normal 23 2 10" xfId="5152"/>
    <cellStyle name="Normal 23 2 11" xfId="5153"/>
    <cellStyle name="Normal 23 2 12" xfId="5154"/>
    <cellStyle name="Normal 23 2 13" xfId="5155"/>
    <cellStyle name="Normal 23 2 14" xfId="5156"/>
    <cellStyle name="Normal 23 2 15" xfId="5157"/>
    <cellStyle name="Normal 23 2 16" xfId="5158"/>
    <cellStyle name="Normal 23 2 17" xfId="5159"/>
    <cellStyle name="Normal 23 2 18" xfId="5160"/>
    <cellStyle name="Normal 23 2 19" xfId="5161"/>
    <cellStyle name="Normal 23 2 2" xfId="5162"/>
    <cellStyle name="Normal 23 2 20" xfId="5163"/>
    <cellStyle name="Normal 23 2 21" xfId="5164"/>
    <cellStyle name="Normal 23 2 22" xfId="5165"/>
    <cellStyle name="Normal 23 2 23" xfId="5166"/>
    <cellStyle name="Normal 23 2 24" xfId="5167"/>
    <cellStyle name="Normal 23 2 25" xfId="5168"/>
    <cellStyle name="Normal 23 2 26" xfId="5169"/>
    <cellStyle name="Normal 23 2 27" xfId="5170"/>
    <cellStyle name="Normal 23 2 28" xfId="5171"/>
    <cellStyle name="Normal 23 2 29" xfId="5172"/>
    <cellStyle name="Normal 23 2 3" xfId="5173"/>
    <cellStyle name="Normal 23 2 30" xfId="5174"/>
    <cellStyle name="Normal 23 2 31" xfId="5175"/>
    <cellStyle name="Normal 23 2 32" xfId="5176"/>
    <cellStyle name="Normal 23 2 33" xfId="5177"/>
    <cellStyle name="Normal 23 2 34" xfId="5178"/>
    <cellStyle name="Normal 23 2 35" xfId="5179"/>
    <cellStyle name="Normal 23 2 36" xfId="5180"/>
    <cellStyle name="Normal 23 2 37" xfId="5181"/>
    <cellStyle name="Normal 23 2 38" xfId="5182"/>
    <cellStyle name="Normal 23 2 39" xfId="5183"/>
    <cellStyle name="Normal 23 2 4" xfId="5184"/>
    <cellStyle name="Normal 23 2 40" xfId="5185"/>
    <cellStyle name="Normal 23 2 41" xfId="5186"/>
    <cellStyle name="Normal 23 2 42" xfId="5187"/>
    <cellStyle name="Normal 23 2 43" xfId="5188"/>
    <cellStyle name="Normal 23 2 44" xfId="5189"/>
    <cellStyle name="Normal 23 2 5" xfId="5190"/>
    <cellStyle name="Normal 23 2 6" xfId="5191"/>
    <cellStyle name="Normal 23 2 7" xfId="5192"/>
    <cellStyle name="Normal 23 2 8" xfId="5193"/>
    <cellStyle name="Normal 23 2 9" xfId="5194"/>
    <cellStyle name="Normal 23 20" xfId="18973"/>
    <cellStyle name="Normal 23 21" xfId="18974"/>
    <cellStyle name="Normal 23 22" xfId="18975"/>
    <cellStyle name="Normal 23 23" xfId="18976"/>
    <cellStyle name="Normal 23 24" xfId="18977"/>
    <cellStyle name="Normal 23 25" xfId="18978"/>
    <cellStyle name="Normal 23 26" xfId="18979"/>
    <cellStyle name="Normal 23 27" xfId="18980"/>
    <cellStyle name="Normal 23 28" xfId="18981"/>
    <cellStyle name="Normal 23 29" xfId="18982"/>
    <cellStyle name="Normal 23 3" xfId="5195"/>
    <cellStyle name="Normal 23 3 10" xfId="18983"/>
    <cellStyle name="Normal 23 3 11" xfId="18984"/>
    <cellStyle name="Normal 23 3 12" xfId="18985"/>
    <cellStyle name="Normal 23 3 13" xfId="18986"/>
    <cellStyle name="Normal 23 3 14" xfId="18987"/>
    <cellStyle name="Normal 23 3 15" xfId="18988"/>
    <cellStyle name="Normal 23 3 16" xfId="18989"/>
    <cellStyle name="Normal 23 3 17" xfId="18990"/>
    <cellStyle name="Normal 23 3 18" xfId="18991"/>
    <cellStyle name="Normal 23 3 19" xfId="18992"/>
    <cellStyle name="Normal 23 3 2" xfId="5196"/>
    <cellStyle name="Normal 23 3 2 10" xfId="18993"/>
    <cellStyle name="Normal 23 3 2 11" xfId="18994"/>
    <cellStyle name="Normal 23 3 2 12" xfId="18995"/>
    <cellStyle name="Normal 23 3 2 13" xfId="18996"/>
    <cellStyle name="Normal 23 3 2 14" xfId="18997"/>
    <cellStyle name="Normal 23 3 2 15" xfId="18998"/>
    <cellStyle name="Normal 23 3 2 16" xfId="18999"/>
    <cellStyle name="Normal 23 3 2 17" xfId="19000"/>
    <cellStyle name="Normal 23 3 2 18" xfId="19001"/>
    <cellStyle name="Normal 23 3 2 19" xfId="19002"/>
    <cellStyle name="Normal 23 3 2 2" xfId="19003"/>
    <cellStyle name="Normal 23 3 2 20" xfId="19004"/>
    <cellStyle name="Normal 23 3 2 21" xfId="19005"/>
    <cellStyle name="Normal 23 3 2 22" xfId="19006"/>
    <cellStyle name="Normal 23 3 2 23" xfId="19007"/>
    <cellStyle name="Normal 23 3 2 3" xfId="19008"/>
    <cellStyle name="Normal 23 3 2 4" xfId="19009"/>
    <cellStyle name="Normal 23 3 2 5" xfId="19010"/>
    <cellStyle name="Normal 23 3 2 6" xfId="19011"/>
    <cellStyle name="Normal 23 3 2 7" xfId="19012"/>
    <cellStyle name="Normal 23 3 2 8" xfId="19013"/>
    <cellStyle name="Normal 23 3 2 9" xfId="19014"/>
    <cellStyle name="Normal 23 3 20" xfId="19015"/>
    <cellStyle name="Normal 23 3 21" xfId="19016"/>
    <cellStyle name="Normal 23 3 22" xfId="19017"/>
    <cellStyle name="Normal 23 3 23" xfId="19018"/>
    <cellStyle name="Normal 23 3 24" xfId="19019"/>
    <cellStyle name="Normal 23 3 3" xfId="19020"/>
    <cellStyle name="Normal 23 3 4" xfId="19021"/>
    <cellStyle name="Normal 23 3 5" xfId="19022"/>
    <cellStyle name="Normal 23 3 6" xfId="19023"/>
    <cellStyle name="Normal 23 3 7" xfId="19024"/>
    <cellStyle name="Normal 23 3 8" xfId="19025"/>
    <cellStyle name="Normal 23 3 9" xfId="19026"/>
    <cellStyle name="Normal 23 30" xfId="19027"/>
    <cellStyle name="Normal 23 31" xfId="19028"/>
    <cellStyle name="Normal 23 4" xfId="5197"/>
    <cellStyle name="Normal 23 4 10" xfId="19029"/>
    <cellStyle name="Normal 23 4 11" xfId="19030"/>
    <cellStyle name="Normal 23 4 12" xfId="19031"/>
    <cellStyle name="Normal 23 4 13" xfId="19032"/>
    <cellStyle name="Normal 23 4 14" xfId="19033"/>
    <cellStyle name="Normal 23 4 15" xfId="19034"/>
    <cellStyle name="Normal 23 4 16" xfId="19035"/>
    <cellStyle name="Normal 23 4 17" xfId="19036"/>
    <cellStyle name="Normal 23 4 18" xfId="19037"/>
    <cellStyle name="Normal 23 4 19" xfId="19038"/>
    <cellStyle name="Normal 23 4 2" xfId="19039"/>
    <cellStyle name="Normal 23 4 20" xfId="19040"/>
    <cellStyle name="Normal 23 4 21" xfId="19041"/>
    <cellStyle name="Normal 23 4 22" xfId="19042"/>
    <cellStyle name="Normal 23 4 23" xfId="19043"/>
    <cellStyle name="Normal 23 4 3" xfId="19044"/>
    <cellStyle name="Normal 23 4 4" xfId="19045"/>
    <cellStyle name="Normal 23 4 5" xfId="19046"/>
    <cellStyle name="Normal 23 4 6" xfId="19047"/>
    <cellStyle name="Normal 23 4 7" xfId="19048"/>
    <cellStyle name="Normal 23 4 8" xfId="19049"/>
    <cellStyle name="Normal 23 4 9" xfId="19050"/>
    <cellStyle name="Normal 23 5" xfId="5198"/>
    <cellStyle name="Normal 23 6" xfId="5199"/>
    <cellStyle name="Normal 23 7" xfId="5200"/>
    <cellStyle name="Normal 23 8" xfId="5201"/>
    <cellStyle name="Normal 23 9" xfId="5202"/>
    <cellStyle name="Normal 23_D.1 PENGAIRAN KONSTRUKSI-MEI (1-5)" xfId="5203"/>
    <cellStyle name="Normal 24" xfId="5204"/>
    <cellStyle name="Normal 24 10" xfId="5205"/>
    <cellStyle name="Normal 24 11" xfId="19051"/>
    <cellStyle name="Normal 24 12" xfId="19052"/>
    <cellStyle name="Normal 24 13" xfId="19053"/>
    <cellStyle name="Normal 24 14" xfId="19054"/>
    <cellStyle name="Normal 24 15" xfId="19055"/>
    <cellStyle name="Normal 24 16" xfId="19056"/>
    <cellStyle name="Normal 24 17" xfId="19057"/>
    <cellStyle name="Normal 24 18" xfId="19058"/>
    <cellStyle name="Normal 24 19" xfId="19059"/>
    <cellStyle name="Normal 24 2" xfId="5206"/>
    <cellStyle name="Normal 24 2 10" xfId="19060"/>
    <cellStyle name="Normal 24 2 11" xfId="19061"/>
    <cellStyle name="Normal 24 2 12" xfId="19062"/>
    <cellStyle name="Normal 24 2 13" xfId="19063"/>
    <cellStyle name="Normal 24 2 14" xfId="19064"/>
    <cellStyle name="Normal 24 2 15" xfId="19065"/>
    <cellStyle name="Normal 24 2 16" xfId="19066"/>
    <cellStyle name="Normal 24 2 17" xfId="19067"/>
    <cellStyle name="Normal 24 2 18" xfId="19068"/>
    <cellStyle name="Normal 24 2 19" xfId="19069"/>
    <cellStyle name="Normal 24 2 2" xfId="19070"/>
    <cellStyle name="Normal 24 2 20" xfId="19071"/>
    <cellStyle name="Normal 24 2 21" xfId="19072"/>
    <cellStyle name="Normal 24 2 22" xfId="19073"/>
    <cellStyle name="Normal 24 2 23" xfId="19074"/>
    <cellStyle name="Normal 24 2 3" xfId="19075"/>
    <cellStyle name="Normal 24 2 4" xfId="19076"/>
    <cellStyle name="Normal 24 2 5" xfId="19077"/>
    <cellStyle name="Normal 24 2 6" xfId="19078"/>
    <cellStyle name="Normal 24 2 7" xfId="19079"/>
    <cellStyle name="Normal 24 2 8" xfId="19080"/>
    <cellStyle name="Normal 24 2 9" xfId="19081"/>
    <cellStyle name="Normal 24 20" xfId="19082"/>
    <cellStyle name="Normal 24 21" xfId="19083"/>
    <cellStyle name="Normal 24 22" xfId="19084"/>
    <cellStyle name="Normal 24 23" xfId="19085"/>
    <cellStyle name="Normal 24 24" xfId="19086"/>
    <cellStyle name="Normal 24 25" xfId="19087"/>
    <cellStyle name="Normal 24 26" xfId="19088"/>
    <cellStyle name="Normal 24 27" xfId="19089"/>
    <cellStyle name="Normal 24 28" xfId="19090"/>
    <cellStyle name="Normal 24 29" xfId="19091"/>
    <cellStyle name="Normal 24 3" xfId="5207"/>
    <cellStyle name="Normal 24 30" xfId="19092"/>
    <cellStyle name="Normal 24 31" xfId="19093"/>
    <cellStyle name="Normal 24 4" xfId="5208"/>
    <cellStyle name="Normal 24 5" xfId="5209"/>
    <cellStyle name="Normal 24 6" xfId="5210"/>
    <cellStyle name="Normal 24 7" xfId="5211"/>
    <cellStyle name="Normal 24 8" xfId="5212"/>
    <cellStyle name="Normal 24 9" xfId="5213"/>
    <cellStyle name="Normal 25" xfId="5214"/>
    <cellStyle name="Normal 25 10" xfId="5215"/>
    <cellStyle name="Normal 25 11" xfId="19094"/>
    <cellStyle name="Normal 25 12" xfId="19095"/>
    <cellStyle name="Normal 25 13" xfId="19096"/>
    <cellStyle name="Normal 25 14" xfId="19097"/>
    <cellStyle name="Normal 25 15" xfId="19098"/>
    <cellStyle name="Normal 25 16" xfId="19099"/>
    <cellStyle name="Normal 25 17" xfId="19100"/>
    <cellStyle name="Normal 25 18" xfId="19101"/>
    <cellStyle name="Normal 25 19" xfId="19102"/>
    <cellStyle name="Normal 25 2" xfId="5216"/>
    <cellStyle name="Normal 25 2 10" xfId="19103"/>
    <cellStyle name="Normal 25 2 11" xfId="19104"/>
    <cellStyle name="Normal 25 2 12" xfId="19105"/>
    <cellStyle name="Normal 25 2 13" xfId="19106"/>
    <cellStyle name="Normal 25 2 14" xfId="19107"/>
    <cellStyle name="Normal 25 2 15" xfId="19108"/>
    <cellStyle name="Normal 25 2 16" xfId="19109"/>
    <cellStyle name="Normal 25 2 17" xfId="19110"/>
    <cellStyle name="Normal 25 2 18" xfId="19111"/>
    <cellStyle name="Normal 25 2 19" xfId="19112"/>
    <cellStyle name="Normal 25 2 2" xfId="5217"/>
    <cellStyle name="Normal 25 2 2 10" xfId="19113"/>
    <cellStyle name="Normal 25 2 2 11" xfId="19114"/>
    <cellStyle name="Normal 25 2 2 12" xfId="19115"/>
    <cellStyle name="Normal 25 2 2 13" xfId="19116"/>
    <cellStyle name="Normal 25 2 2 14" xfId="19117"/>
    <cellStyle name="Normal 25 2 2 15" xfId="19118"/>
    <cellStyle name="Normal 25 2 2 16" xfId="19119"/>
    <cellStyle name="Normal 25 2 2 17" xfId="19120"/>
    <cellStyle name="Normal 25 2 2 18" xfId="19121"/>
    <cellStyle name="Normal 25 2 2 19" xfId="19122"/>
    <cellStyle name="Normal 25 2 2 2" xfId="19123"/>
    <cellStyle name="Normal 25 2 2 20" xfId="19124"/>
    <cellStyle name="Normal 25 2 2 21" xfId="19125"/>
    <cellStyle name="Normal 25 2 2 22" xfId="19126"/>
    <cellStyle name="Normal 25 2 2 23" xfId="19127"/>
    <cellStyle name="Normal 25 2 2 3" xfId="19128"/>
    <cellStyle name="Normal 25 2 2 4" xfId="19129"/>
    <cellStyle name="Normal 25 2 2 5" xfId="19130"/>
    <cellStyle name="Normal 25 2 2 6" xfId="19131"/>
    <cellStyle name="Normal 25 2 2 7" xfId="19132"/>
    <cellStyle name="Normal 25 2 2 8" xfId="19133"/>
    <cellStyle name="Normal 25 2 2 9" xfId="19134"/>
    <cellStyle name="Normal 25 2 20" xfId="19135"/>
    <cellStyle name="Normal 25 2 21" xfId="19136"/>
    <cellStyle name="Normal 25 2 22" xfId="19137"/>
    <cellStyle name="Normal 25 2 23" xfId="19138"/>
    <cellStyle name="Normal 25 2 24" xfId="19139"/>
    <cellStyle name="Normal 25 2 25" xfId="19140"/>
    <cellStyle name="Normal 25 2 3" xfId="19141"/>
    <cellStyle name="Normal 25 2 4" xfId="19142"/>
    <cellStyle name="Normal 25 2 5" xfId="19143"/>
    <cellStyle name="Normal 25 2 6" xfId="19144"/>
    <cellStyle name="Normal 25 2 7" xfId="19145"/>
    <cellStyle name="Normal 25 2 8" xfId="19146"/>
    <cellStyle name="Normal 25 2 9" xfId="19147"/>
    <cellStyle name="Normal 25 20" xfId="19148"/>
    <cellStyle name="Normal 25 21" xfId="19149"/>
    <cellStyle name="Normal 25 22" xfId="19150"/>
    <cellStyle name="Normal 25 23" xfId="19151"/>
    <cellStyle name="Normal 25 24" xfId="19152"/>
    <cellStyle name="Normal 25 25" xfId="19153"/>
    <cellStyle name="Normal 25 26" xfId="19154"/>
    <cellStyle name="Normal 25 27" xfId="19155"/>
    <cellStyle name="Normal 25 28" xfId="19156"/>
    <cellStyle name="Normal 25 29" xfId="19157"/>
    <cellStyle name="Normal 25 3" xfId="5218"/>
    <cellStyle name="Normal 25 3 10" xfId="19158"/>
    <cellStyle name="Normal 25 3 11" xfId="19159"/>
    <cellStyle name="Normal 25 3 12" xfId="19160"/>
    <cellStyle name="Normal 25 3 13" xfId="19161"/>
    <cellStyle name="Normal 25 3 14" xfId="19162"/>
    <cellStyle name="Normal 25 3 15" xfId="19163"/>
    <cellStyle name="Normal 25 3 16" xfId="19164"/>
    <cellStyle name="Normal 25 3 17" xfId="19165"/>
    <cellStyle name="Normal 25 3 18" xfId="19166"/>
    <cellStyle name="Normal 25 3 19" xfId="19167"/>
    <cellStyle name="Normal 25 3 2" xfId="19168"/>
    <cellStyle name="Normal 25 3 20" xfId="19169"/>
    <cellStyle name="Normal 25 3 21" xfId="19170"/>
    <cellStyle name="Normal 25 3 22" xfId="19171"/>
    <cellStyle name="Normal 25 3 23" xfId="19172"/>
    <cellStyle name="Normal 25 3 3" xfId="19173"/>
    <cellStyle name="Normal 25 3 4" xfId="19174"/>
    <cellStyle name="Normal 25 3 5" xfId="19175"/>
    <cellStyle name="Normal 25 3 6" xfId="19176"/>
    <cellStyle name="Normal 25 3 7" xfId="19177"/>
    <cellStyle name="Normal 25 3 8" xfId="19178"/>
    <cellStyle name="Normal 25 3 9" xfId="19179"/>
    <cellStyle name="Normal 25 30" xfId="19180"/>
    <cellStyle name="Normal 25 31" xfId="19181"/>
    <cellStyle name="Normal 25 4" xfId="5219"/>
    <cellStyle name="Normal 25 5" xfId="5220"/>
    <cellStyle name="Normal 25 5 2" xfId="19182"/>
    <cellStyle name="Normal 25 5 3" xfId="19183"/>
    <cellStyle name="Normal 25 5 4" xfId="19184"/>
    <cellStyle name="Normal 25 6" xfId="5221"/>
    <cellStyle name="Normal 25 6 2" xfId="19185"/>
    <cellStyle name="Normal 25 6 3" xfId="19186"/>
    <cellStyle name="Normal 25 6 4" xfId="19187"/>
    <cellStyle name="Normal 25 7" xfId="5222"/>
    <cellStyle name="Normal 25 8" xfId="5223"/>
    <cellStyle name="Normal 25 9" xfId="5224"/>
    <cellStyle name="Normal 26" xfId="5225"/>
    <cellStyle name="Normal 26 10" xfId="5226"/>
    <cellStyle name="Normal 26 11" xfId="19188"/>
    <cellStyle name="Normal 26 12" xfId="19189"/>
    <cellStyle name="Normal 26 13" xfId="19190"/>
    <cellStyle name="Normal 26 14" xfId="19191"/>
    <cellStyle name="Normal 26 15" xfId="19192"/>
    <cellStyle name="Normal 26 16" xfId="19193"/>
    <cellStyle name="Normal 26 17" xfId="19194"/>
    <cellStyle name="Normal 26 18" xfId="19195"/>
    <cellStyle name="Normal 26 19" xfId="19196"/>
    <cellStyle name="Normal 26 2" xfId="5227"/>
    <cellStyle name="Normal 26 2 10" xfId="19197"/>
    <cellStyle name="Normal 26 2 11" xfId="19198"/>
    <cellStyle name="Normal 26 2 12" xfId="19199"/>
    <cellStyle name="Normal 26 2 13" xfId="19200"/>
    <cellStyle name="Normal 26 2 14" xfId="19201"/>
    <cellStyle name="Normal 26 2 15" xfId="19202"/>
    <cellStyle name="Normal 26 2 16" xfId="19203"/>
    <cellStyle name="Normal 26 2 17" xfId="19204"/>
    <cellStyle name="Normal 26 2 18" xfId="19205"/>
    <cellStyle name="Normal 26 2 19" xfId="19206"/>
    <cellStyle name="Normal 26 2 2" xfId="19207"/>
    <cellStyle name="Normal 26 2 20" xfId="19208"/>
    <cellStyle name="Normal 26 2 21" xfId="19209"/>
    <cellStyle name="Normal 26 2 22" xfId="19210"/>
    <cellStyle name="Normal 26 2 23" xfId="19211"/>
    <cellStyle name="Normal 26 2 24" xfId="19212"/>
    <cellStyle name="Normal 26 2 25" xfId="19213"/>
    <cellStyle name="Normal 26 2 26" xfId="19214"/>
    <cellStyle name="Normal 26 2 27" xfId="19215"/>
    <cellStyle name="Normal 26 2 28" xfId="19216"/>
    <cellStyle name="Normal 26 2 29" xfId="19217"/>
    <cellStyle name="Normal 26 2 3" xfId="19218"/>
    <cellStyle name="Normal 26 2 30" xfId="19219"/>
    <cellStyle name="Normal 26 2 31" xfId="19220"/>
    <cellStyle name="Normal 26 2 32" xfId="19221"/>
    <cellStyle name="Normal 26 2 33" xfId="19222"/>
    <cellStyle name="Normal 26 2 34" xfId="19223"/>
    <cellStyle name="Normal 26 2 4" xfId="19224"/>
    <cellStyle name="Normal 26 2 5" xfId="19225"/>
    <cellStyle name="Normal 26 2 6" xfId="19226"/>
    <cellStyle name="Normal 26 2 7" xfId="19227"/>
    <cellStyle name="Normal 26 2 8" xfId="19228"/>
    <cellStyle name="Normal 26 2 9" xfId="19229"/>
    <cellStyle name="Normal 26 20" xfId="19230"/>
    <cellStyle name="Normal 26 21" xfId="19231"/>
    <cellStyle name="Normal 26 22" xfId="19232"/>
    <cellStyle name="Normal 26 23" xfId="19233"/>
    <cellStyle name="Normal 26 24" xfId="19234"/>
    <cellStyle name="Normal 26 25" xfId="19235"/>
    <cellStyle name="Normal 26 26" xfId="19236"/>
    <cellStyle name="Normal 26 27" xfId="19237"/>
    <cellStyle name="Normal 26 28" xfId="19238"/>
    <cellStyle name="Normal 26 29" xfId="19239"/>
    <cellStyle name="Normal 26 3" xfId="5228"/>
    <cellStyle name="Normal 26 3 10" xfId="19240"/>
    <cellStyle name="Normal 26 3 11" xfId="19241"/>
    <cellStyle name="Normal 26 3 12" xfId="19242"/>
    <cellStyle name="Normal 26 3 13" xfId="19243"/>
    <cellStyle name="Normal 26 3 14" xfId="19244"/>
    <cellStyle name="Normal 26 3 15" xfId="19245"/>
    <cellStyle name="Normal 26 3 16" xfId="19246"/>
    <cellStyle name="Normal 26 3 17" xfId="19247"/>
    <cellStyle name="Normal 26 3 18" xfId="19248"/>
    <cellStyle name="Normal 26 3 19" xfId="19249"/>
    <cellStyle name="Normal 26 3 2" xfId="19250"/>
    <cellStyle name="Normal 26 3 20" xfId="19251"/>
    <cellStyle name="Normal 26 3 21" xfId="19252"/>
    <cellStyle name="Normal 26 3 22" xfId="19253"/>
    <cellStyle name="Normal 26 3 23" xfId="19254"/>
    <cellStyle name="Normal 26 3 3" xfId="19255"/>
    <cellStyle name="Normal 26 3 4" xfId="19256"/>
    <cellStyle name="Normal 26 3 5" xfId="19257"/>
    <cellStyle name="Normal 26 3 6" xfId="19258"/>
    <cellStyle name="Normal 26 3 7" xfId="19259"/>
    <cellStyle name="Normal 26 3 8" xfId="19260"/>
    <cellStyle name="Normal 26 3 9" xfId="19261"/>
    <cellStyle name="Normal 26 30" xfId="19262"/>
    <cellStyle name="Normal 26 31" xfId="19263"/>
    <cellStyle name="Normal 26 4" xfId="5229"/>
    <cellStyle name="Normal 26 5" xfId="5230"/>
    <cellStyle name="Normal 26 6" xfId="5231"/>
    <cellStyle name="Normal 26 7" xfId="5232"/>
    <cellStyle name="Normal 26 8" xfId="5233"/>
    <cellStyle name="Normal 26 9" xfId="5234"/>
    <cellStyle name="Normal 27" xfId="5235"/>
    <cellStyle name="Normal 27 10" xfId="5236"/>
    <cellStyle name="Normal 27 11" xfId="5237"/>
    <cellStyle name="Normal 27 12" xfId="5238"/>
    <cellStyle name="Normal 27 13" xfId="5239"/>
    <cellStyle name="Normal 27 14" xfId="5240"/>
    <cellStyle name="Normal 27 15" xfId="5241"/>
    <cellStyle name="Normal 27 16" xfId="5242"/>
    <cellStyle name="Normal 27 17" xfId="5243"/>
    <cellStyle name="Normal 27 18" xfId="5244"/>
    <cellStyle name="Normal 27 19" xfId="5245"/>
    <cellStyle name="Normal 27 2" xfId="5246"/>
    <cellStyle name="Normal 27 2 10" xfId="19264"/>
    <cellStyle name="Normal 27 2 11" xfId="19265"/>
    <cellStyle name="Normal 27 2 12" xfId="19266"/>
    <cellStyle name="Normal 27 2 13" xfId="19267"/>
    <cellStyle name="Normal 27 2 14" xfId="19268"/>
    <cellStyle name="Normal 27 2 15" xfId="19269"/>
    <cellStyle name="Normal 27 2 16" xfId="19270"/>
    <cellStyle name="Normal 27 2 17" xfId="19271"/>
    <cellStyle name="Normal 27 2 18" xfId="19272"/>
    <cellStyle name="Normal 27 2 19" xfId="19273"/>
    <cellStyle name="Normal 27 2 2" xfId="19274"/>
    <cellStyle name="Normal 27 2 20" xfId="19275"/>
    <cellStyle name="Normal 27 2 21" xfId="19276"/>
    <cellStyle name="Normal 27 2 22" xfId="19277"/>
    <cellStyle name="Normal 27 2 23" xfId="19278"/>
    <cellStyle name="Normal 27 2 3" xfId="19279"/>
    <cellStyle name="Normal 27 2 4" xfId="19280"/>
    <cellStyle name="Normal 27 2 5" xfId="19281"/>
    <cellStyle name="Normal 27 2 6" xfId="19282"/>
    <cellStyle name="Normal 27 2 7" xfId="19283"/>
    <cellStyle name="Normal 27 2 8" xfId="19284"/>
    <cellStyle name="Normal 27 2 9" xfId="19285"/>
    <cellStyle name="Normal 27 20" xfId="5247"/>
    <cellStyle name="Normal 27 21" xfId="5248"/>
    <cellStyle name="Normal 27 22" xfId="5249"/>
    <cellStyle name="Normal 27 23" xfId="5250"/>
    <cellStyle name="Normal 27 24" xfId="5251"/>
    <cellStyle name="Normal 27 25" xfId="5252"/>
    <cellStyle name="Normal 27 26" xfId="5253"/>
    <cellStyle name="Normal 27 27" xfId="5254"/>
    <cellStyle name="Normal 27 28" xfId="5255"/>
    <cellStyle name="Normal 27 29" xfId="5256"/>
    <cellStyle name="Normal 27 3" xfId="5257"/>
    <cellStyle name="Normal 27 30" xfId="5258"/>
    <cellStyle name="Normal 27 31" xfId="5259"/>
    <cellStyle name="Normal 27 32" xfId="5260"/>
    <cellStyle name="Normal 27 33" xfId="5261"/>
    <cellStyle name="Normal 27 34" xfId="5262"/>
    <cellStyle name="Normal 27 35" xfId="5263"/>
    <cellStyle name="Normal 27 36" xfId="5264"/>
    <cellStyle name="Normal 27 37" xfId="5265"/>
    <cellStyle name="Normal 27 38" xfId="5266"/>
    <cellStyle name="Normal 27 39" xfId="5267"/>
    <cellStyle name="Normal 27 4" xfId="5268"/>
    <cellStyle name="Normal 27 40" xfId="5269"/>
    <cellStyle name="Normal 27 41" xfId="5270"/>
    <cellStyle name="Normal 27 42" xfId="5271"/>
    <cellStyle name="Normal 27 43" xfId="5272"/>
    <cellStyle name="Normal 27 44" xfId="5273"/>
    <cellStyle name="Normal 27 45" xfId="5274"/>
    <cellStyle name="Normal 27 46" xfId="19286"/>
    <cellStyle name="Normal 27 47" xfId="19287"/>
    <cellStyle name="Normal 27 48" xfId="19288"/>
    <cellStyle name="Normal 27 49" xfId="19289"/>
    <cellStyle name="Normal 27 5" xfId="5275"/>
    <cellStyle name="Normal 27 50" xfId="19290"/>
    <cellStyle name="Normal 27 51" xfId="19291"/>
    <cellStyle name="Normal 27 52" xfId="19292"/>
    <cellStyle name="Normal 27 53" xfId="19293"/>
    <cellStyle name="Normal 27 54" xfId="19294"/>
    <cellStyle name="Normal 27 55" xfId="19295"/>
    <cellStyle name="Normal 27 56" xfId="19296"/>
    <cellStyle name="Normal 27 57" xfId="19297"/>
    <cellStyle name="Normal 27 58" xfId="19298"/>
    <cellStyle name="Normal 27 59" xfId="19299"/>
    <cellStyle name="Normal 27 6" xfId="5276"/>
    <cellStyle name="Normal 27 60" xfId="19300"/>
    <cellStyle name="Normal 27 61" xfId="19301"/>
    <cellStyle name="Normal 27 62" xfId="19302"/>
    <cellStyle name="Normal 27 63" xfId="19303"/>
    <cellStyle name="Normal 27 64" xfId="19304"/>
    <cellStyle name="Normal 27 65" xfId="19305"/>
    <cellStyle name="Normal 27 66" xfId="19306"/>
    <cellStyle name="Normal 27 7" xfId="5277"/>
    <cellStyle name="Normal 27 8" xfId="5278"/>
    <cellStyle name="Normal 27 9" xfId="5279"/>
    <cellStyle name="Normal 28" xfId="5280"/>
    <cellStyle name="Normal 28 10" xfId="5281"/>
    <cellStyle name="Normal 28 2" xfId="5282"/>
    <cellStyle name="Normal 28 3" xfId="5283"/>
    <cellStyle name="Normal 28 4" xfId="5284"/>
    <cellStyle name="Normal 28 5" xfId="5285"/>
    <cellStyle name="Normal 28 6" xfId="5286"/>
    <cellStyle name="Normal 28 7" xfId="5287"/>
    <cellStyle name="Normal 28 8" xfId="5288"/>
    <cellStyle name="Normal 28 9" xfId="5289"/>
    <cellStyle name="Normal 28_D1 ++ BMCK ACUT" xfId="5290"/>
    <cellStyle name="Normal 29" xfId="5291"/>
    <cellStyle name="Normal 29 10" xfId="5292"/>
    <cellStyle name="Normal 29 2" xfId="5293"/>
    <cellStyle name="Normal 29 3" xfId="5294"/>
    <cellStyle name="Normal 29 4" xfId="5295"/>
    <cellStyle name="Normal 29 5" xfId="5296"/>
    <cellStyle name="Normal 29 6" xfId="5297"/>
    <cellStyle name="Normal 29 7" xfId="5298"/>
    <cellStyle name="Normal 29 8" xfId="5299"/>
    <cellStyle name="Normal 29 9" xfId="5300"/>
    <cellStyle name="Normal 3" xfId="10"/>
    <cellStyle name="Normal 3 10" xfId="5301"/>
    <cellStyle name="Normal 3 10 2" xfId="5302"/>
    <cellStyle name="Normal 3 10 3" xfId="5303"/>
    <cellStyle name="Normal 3 10 4" xfId="5304"/>
    <cellStyle name="Normal 3 10 5" xfId="5305"/>
    <cellStyle name="Normal 3 10 6" xfId="5306"/>
    <cellStyle name="Normal 3 10 6 2" xfId="5307"/>
    <cellStyle name="Normal 3 10 7" xfId="5308"/>
    <cellStyle name="Normal 3 100" xfId="5309"/>
    <cellStyle name="Normal 3 100 2" xfId="5310"/>
    <cellStyle name="Normal 3 100 2 2" xfId="19307"/>
    <cellStyle name="Normal 3 100 2 3" xfId="19308"/>
    <cellStyle name="Normal 3 100 2 4" xfId="19309"/>
    <cellStyle name="Normal 3 100 3" xfId="5311"/>
    <cellStyle name="Normal 3 100 3 2" xfId="19310"/>
    <cellStyle name="Normal 3 100 3 3" xfId="19311"/>
    <cellStyle name="Normal 3 100 3 4" xfId="19312"/>
    <cellStyle name="Normal 3 100 4" xfId="5312"/>
    <cellStyle name="Normal 3 100 4 2" xfId="19313"/>
    <cellStyle name="Normal 3 100 4 3" xfId="19314"/>
    <cellStyle name="Normal 3 100 4 4" xfId="19315"/>
    <cellStyle name="Normal 3 100 5" xfId="5313"/>
    <cellStyle name="Normal 3 100 5 2" xfId="19316"/>
    <cellStyle name="Normal 3 100 5 3" xfId="19317"/>
    <cellStyle name="Normal 3 100 5 4" xfId="19318"/>
    <cellStyle name="Normal 3 100 6" xfId="19319"/>
    <cellStyle name="Normal 3 100 7" xfId="19320"/>
    <cellStyle name="Normal 3 100 8" xfId="19321"/>
    <cellStyle name="Normal 3 101" xfId="5314"/>
    <cellStyle name="Normal 3 101 2" xfId="19322"/>
    <cellStyle name="Normal 3 101 3" xfId="19323"/>
    <cellStyle name="Normal 3 101 4" xfId="19324"/>
    <cellStyle name="Normal 3 102" xfId="5315"/>
    <cellStyle name="Normal 3 102 2" xfId="19325"/>
    <cellStyle name="Normal 3 102 3" xfId="19326"/>
    <cellStyle name="Normal 3 102 4" xfId="19327"/>
    <cellStyle name="Normal 3 103" xfId="5316"/>
    <cellStyle name="Normal 3 103 2" xfId="19328"/>
    <cellStyle name="Normal 3 103 3" xfId="19329"/>
    <cellStyle name="Normal 3 103 4" xfId="19330"/>
    <cellStyle name="Normal 3 104" xfId="5317"/>
    <cellStyle name="Normal 3 104 2" xfId="19331"/>
    <cellStyle name="Normal 3 104 3" xfId="19332"/>
    <cellStyle name="Normal 3 104 4" xfId="19333"/>
    <cellStyle name="Normal 3 105" xfId="19334"/>
    <cellStyle name="Normal 3 106" xfId="19335"/>
    <cellStyle name="Normal 3 107" xfId="19336"/>
    <cellStyle name="Normal 3 108" xfId="19337"/>
    <cellStyle name="Normal 3 109" xfId="19338"/>
    <cellStyle name="Normal 3 11" xfId="5318"/>
    <cellStyle name="Normal 3 11 2" xfId="5319"/>
    <cellStyle name="Normal 3 11 3" xfId="5320"/>
    <cellStyle name="Normal 3 11 4" xfId="5321"/>
    <cellStyle name="Normal 3 11 5" xfId="5322"/>
    <cellStyle name="Normal 3 11 6" xfId="5323"/>
    <cellStyle name="Normal 3 11 7" xfId="5324"/>
    <cellStyle name="Normal 3 110" xfId="19339"/>
    <cellStyle name="Normal 3 111" xfId="19340"/>
    <cellStyle name="Normal 3 112" xfId="19341"/>
    <cellStyle name="Normal 3 113" xfId="19342"/>
    <cellStyle name="Normal 3 114" xfId="19343"/>
    <cellStyle name="Normal 3 115" xfId="19344"/>
    <cellStyle name="Normal 3 116" xfId="19345"/>
    <cellStyle name="Normal 3 117" xfId="19346"/>
    <cellStyle name="Normal 3 118" xfId="19347"/>
    <cellStyle name="Normal 3 119" xfId="19348"/>
    <cellStyle name="Normal 3 12" xfId="5325"/>
    <cellStyle name="Normal 3 12 2" xfId="5326"/>
    <cellStyle name="Normal 3 12 3" xfId="5327"/>
    <cellStyle name="Normal 3 12 4" xfId="5328"/>
    <cellStyle name="Normal 3 12 5" xfId="5329"/>
    <cellStyle name="Normal 3 12 6" xfId="5330"/>
    <cellStyle name="Normal 3 12 7" xfId="5331"/>
    <cellStyle name="Normal 3 120" xfId="19349"/>
    <cellStyle name="Normal 3 121" xfId="19350"/>
    <cellStyle name="Normal 3 122" xfId="19351"/>
    <cellStyle name="Normal 3 123" xfId="19352"/>
    <cellStyle name="Normal 3 124" xfId="19353"/>
    <cellStyle name="Normal 3 125" xfId="19354"/>
    <cellStyle name="Normal 3 126" xfId="19355"/>
    <cellStyle name="Normal 3 13" xfId="5332"/>
    <cellStyle name="Normal 3 13 2" xfId="5333"/>
    <cellStyle name="Normal 3 13 3" xfId="5334"/>
    <cellStyle name="Normal 3 13 4" xfId="5335"/>
    <cellStyle name="Normal 3 13 5" xfId="5336"/>
    <cellStyle name="Normal 3 13 6" xfId="5337"/>
    <cellStyle name="Normal 3 13 7" xfId="5338"/>
    <cellStyle name="Normal 3 14" xfId="5339"/>
    <cellStyle name="Normal 3 14 2" xfId="5340"/>
    <cellStyle name="Normal 3 14 3" xfId="5341"/>
    <cellStyle name="Normal 3 14 4" xfId="5342"/>
    <cellStyle name="Normal 3 14 5" xfId="5343"/>
    <cellStyle name="Normal 3 14 6" xfId="5344"/>
    <cellStyle name="Normal 3 14 7" xfId="5345"/>
    <cellStyle name="Normal 3 15" xfId="5346"/>
    <cellStyle name="Normal 3 15 2" xfId="5347"/>
    <cellStyle name="Normal 3 15 3" xfId="5348"/>
    <cellStyle name="Normal 3 15 4" xfId="5349"/>
    <cellStyle name="Normal 3 15 5" xfId="5350"/>
    <cellStyle name="Normal 3 15 6" xfId="5351"/>
    <cellStyle name="Normal 3 15 7" xfId="5352"/>
    <cellStyle name="Normal 3 16" xfId="5353"/>
    <cellStyle name="Normal 3 16 2" xfId="5354"/>
    <cellStyle name="Normal 3 16 3" xfId="5355"/>
    <cellStyle name="Normal 3 16 4" xfId="5356"/>
    <cellStyle name="Normal 3 16 5" xfId="5357"/>
    <cellStyle name="Normal 3 16 6" xfId="5358"/>
    <cellStyle name="Normal 3 16 7" xfId="5359"/>
    <cellStyle name="Normal 3 17" xfId="5360"/>
    <cellStyle name="Normal 3 17 2" xfId="5361"/>
    <cellStyle name="Normal 3 17 3" xfId="5362"/>
    <cellStyle name="Normal 3 17 4" xfId="5363"/>
    <cellStyle name="Normal 3 17 5" xfId="5364"/>
    <cellStyle name="Normal 3 17 6" xfId="5365"/>
    <cellStyle name="Normal 3 17 7" xfId="5366"/>
    <cellStyle name="Normal 3 18" xfId="5367"/>
    <cellStyle name="Normal 3 18 2" xfId="5368"/>
    <cellStyle name="Normal 3 18 3" xfId="5369"/>
    <cellStyle name="Normal 3 18 4" xfId="5370"/>
    <cellStyle name="Normal 3 18 5" xfId="5371"/>
    <cellStyle name="Normal 3 18 6" xfId="5372"/>
    <cellStyle name="Normal 3 18 7" xfId="5373"/>
    <cellStyle name="Normal 3 19" xfId="5374"/>
    <cellStyle name="Normal 3 19 2" xfId="5375"/>
    <cellStyle name="Normal 3 19 3" xfId="5376"/>
    <cellStyle name="Normal 3 19 4" xfId="5377"/>
    <cellStyle name="Normal 3 19 5" xfId="5378"/>
    <cellStyle name="Normal 3 19 6" xfId="5379"/>
    <cellStyle name="Normal 3 19 7" xfId="5380"/>
    <cellStyle name="Normal 3 2" xfId="5381"/>
    <cellStyle name="Normal 3 2 10" xfId="5382"/>
    <cellStyle name="Normal 3 2 10 2" xfId="19356"/>
    <cellStyle name="Normal 3 2 10 3" xfId="19357"/>
    <cellStyle name="Normal 3 2 10 4" xfId="19358"/>
    <cellStyle name="Normal 3 2 11" xfId="5383"/>
    <cellStyle name="Normal 3 2 11 2" xfId="19359"/>
    <cellStyle name="Normal 3 2 11 3" xfId="19360"/>
    <cellStyle name="Normal 3 2 11 4" xfId="19361"/>
    <cellStyle name="Normal 3 2 12" xfId="5384"/>
    <cellStyle name="Normal 3 2 12 2" xfId="19362"/>
    <cellStyle name="Normal 3 2 12 3" xfId="19363"/>
    <cellStyle name="Normal 3 2 12 4" xfId="19364"/>
    <cellStyle name="Normal 3 2 13" xfId="19365"/>
    <cellStyle name="Normal 3 2 14" xfId="19366"/>
    <cellStyle name="Normal 3 2 15" xfId="19367"/>
    <cellStyle name="Normal 3 2 16" xfId="19368"/>
    <cellStyle name="Normal 3 2 17" xfId="19369"/>
    <cellStyle name="Normal 3 2 18" xfId="19370"/>
    <cellStyle name="Normal 3 2 19" xfId="19371"/>
    <cellStyle name="Normal 3 2 2" xfId="5385"/>
    <cellStyle name="Normal 3 2 2 10" xfId="5386"/>
    <cellStyle name="Normal 3 2 2 11" xfId="5387"/>
    <cellStyle name="Normal 3 2 2 11 2" xfId="19372"/>
    <cellStyle name="Normal 3 2 2 11 3" xfId="19373"/>
    <cellStyle name="Normal 3 2 2 11 4" xfId="19374"/>
    <cellStyle name="Normal 3 2 2 12" xfId="19375"/>
    <cellStyle name="Normal 3 2 2 13" xfId="19376"/>
    <cellStyle name="Normal 3 2 2 14" xfId="19377"/>
    <cellStyle name="Normal 3 2 2 15" xfId="19378"/>
    <cellStyle name="Normal 3 2 2 16" xfId="19379"/>
    <cellStyle name="Normal 3 2 2 17" xfId="19380"/>
    <cellStyle name="Normal 3 2 2 18" xfId="19381"/>
    <cellStyle name="Normal 3 2 2 19" xfId="19382"/>
    <cellStyle name="Normal 3 2 2 2" xfId="5388"/>
    <cellStyle name="Normal 3 2 2 2 10" xfId="19383"/>
    <cellStyle name="Normal 3 2 2 2 11" xfId="19384"/>
    <cellStyle name="Normal 3 2 2 2 12" xfId="19385"/>
    <cellStyle name="Normal 3 2 2 2 13" xfId="19386"/>
    <cellStyle name="Normal 3 2 2 2 14" xfId="19387"/>
    <cellStyle name="Normal 3 2 2 2 15" xfId="19388"/>
    <cellStyle name="Normal 3 2 2 2 16" xfId="19389"/>
    <cellStyle name="Normal 3 2 2 2 17" xfId="19390"/>
    <cellStyle name="Normal 3 2 2 2 18" xfId="19391"/>
    <cellStyle name="Normal 3 2 2 2 19" xfId="19392"/>
    <cellStyle name="Normal 3 2 2 2 2" xfId="5389"/>
    <cellStyle name="Normal 3 2 2 2 2 10" xfId="19393"/>
    <cellStyle name="Normal 3 2 2 2 2 11" xfId="19394"/>
    <cellStyle name="Normal 3 2 2 2 2 12" xfId="19395"/>
    <cellStyle name="Normal 3 2 2 2 2 13" xfId="19396"/>
    <cellStyle name="Normal 3 2 2 2 2 14" xfId="19397"/>
    <cellStyle name="Normal 3 2 2 2 2 15" xfId="19398"/>
    <cellStyle name="Normal 3 2 2 2 2 16" xfId="19399"/>
    <cellStyle name="Normal 3 2 2 2 2 17" xfId="19400"/>
    <cellStyle name="Normal 3 2 2 2 2 18" xfId="19401"/>
    <cellStyle name="Normal 3 2 2 2 2 19" xfId="19402"/>
    <cellStyle name="Normal 3 2 2 2 2 2" xfId="5390"/>
    <cellStyle name="Normal 3 2 2 2 2 2 10" xfId="19403"/>
    <cellStyle name="Normal 3 2 2 2 2 2 11" xfId="19404"/>
    <cellStyle name="Normal 3 2 2 2 2 2 12" xfId="19405"/>
    <cellStyle name="Normal 3 2 2 2 2 2 13" xfId="19406"/>
    <cellStyle name="Normal 3 2 2 2 2 2 14" xfId="19407"/>
    <cellStyle name="Normal 3 2 2 2 2 2 15" xfId="19408"/>
    <cellStyle name="Normal 3 2 2 2 2 2 16" xfId="19409"/>
    <cellStyle name="Normal 3 2 2 2 2 2 17" xfId="19410"/>
    <cellStyle name="Normal 3 2 2 2 2 2 18" xfId="19411"/>
    <cellStyle name="Normal 3 2 2 2 2 2 19" xfId="19412"/>
    <cellStyle name="Normal 3 2 2 2 2 2 2" xfId="5391"/>
    <cellStyle name="Normal 3 2 2 2 2 2 2 10" xfId="19413"/>
    <cellStyle name="Normal 3 2 2 2 2 2 2 11" xfId="19414"/>
    <cellStyle name="Normal 3 2 2 2 2 2 2 12" xfId="19415"/>
    <cellStyle name="Normal 3 2 2 2 2 2 2 13" xfId="19416"/>
    <cellStyle name="Normal 3 2 2 2 2 2 2 14" xfId="19417"/>
    <cellStyle name="Normal 3 2 2 2 2 2 2 15" xfId="19418"/>
    <cellStyle name="Normal 3 2 2 2 2 2 2 16" xfId="19419"/>
    <cellStyle name="Normal 3 2 2 2 2 2 2 17" xfId="19420"/>
    <cellStyle name="Normal 3 2 2 2 2 2 2 18" xfId="19421"/>
    <cellStyle name="Normal 3 2 2 2 2 2 2 19" xfId="19422"/>
    <cellStyle name="Normal 3 2 2 2 2 2 2 2" xfId="19423"/>
    <cellStyle name="Normal 3 2 2 2 2 2 2 20" xfId="19424"/>
    <cellStyle name="Normal 3 2 2 2 2 2 2 21" xfId="19425"/>
    <cellStyle name="Normal 3 2 2 2 2 2 2 22" xfId="19426"/>
    <cellStyle name="Normal 3 2 2 2 2 2 2 23" xfId="19427"/>
    <cellStyle name="Normal 3 2 2 2 2 2 2 3" xfId="19428"/>
    <cellStyle name="Normal 3 2 2 2 2 2 2 4" xfId="19429"/>
    <cellStyle name="Normal 3 2 2 2 2 2 2 5" xfId="19430"/>
    <cellStyle name="Normal 3 2 2 2 2 2 2 6" xfId="19431"/>
    <cellStyle name="Normal 3 2 2 2 2 2 2 7" xfId="19432"/>
    <cellStyle name="Normal 3 2 2 2 2 2 2 8" xfId="19433"/>
    <cellStyle name="Normal 3 2 2 2 2 2 2 9" xfId="19434"/>
    <cellStyle name="Normal 3 2 2 2 2 2 20" xfId="19435"/>
    <cellStyle name="Normal 3 2 2 2 2 2 21" xfId="19436"/>
    <cellStyle name="Normal 3 2 2 2 2 2 22" xfId="19437"/>
    <cellStyle name="Normal 3 2 2 2 2 2 23" xfId="19438"/>
    <cellStyle name="Normal 3 2 2 2 2 2 3" xfId="19439"/>
    <cellStyle name="Normal 3 2 2 2 2 2 4" xfId="19440"/>
    <cellStyle name="Normal 3 2 2 2 2 2 5" xfId="19441"/>
    <cellStyle name="Normal 3 2 2 2 2 2 6" xfId="19442"/>
    <cellStyle name="Normal 3 2 2 2 2 2 7" xfId="19443"/>
    <cellStyle name="Normal 3 2 2 2 2 2 8" xfId="19444"/>
    <cellStyle name="Normal 3 2 2 2 2 2 9" xfId="19445"/>
    <cellStyle name="Normal 3 2 2 2 2 20" xfId="19446"/>
    <cellStyle name="Normal 3 2 2 2 2 21" xfId="19447"/>
    <cellStyle name="Normal 3 2 2 2 2 22" xfId="19448"/>
    <cellStyle name="Normal 3 2 2 2 2 23" xfId="19449"/>
    <cellStyle name="Normal 3 2 2 2 2 24" xfId="19450"/>
    <cellStyle name="Normal 3 2 2 2 2 3" xfId="5392"/>
    <cellStyle name="Normal 3 2 2 2 2 3 2" xfId="19451"/>
    <cellStyle name="Normal 3 2 2 2 2 3 3" xfId="19452"/>
    <cellStyle name="Normal 3 2 2 2 2 3 4" xfId="19453"/>
    <cellStyle name="Normal 3 2 2 2 2 4" xfId="19454"/>
    <cellStyle name="Normal 3 2 2 2 2 5" xfId="19455"/>
    <cellStyle name="Normal 3 2 2 2 2 6" xfId="19456"/>
    <cellStyle name="Normal 3 2 2 2 2 7" xfId="19457"/>
    <cellStyle name="Normal 3 2 2 2 2 8" xfId="19458"/>
    <cellStyle name="Normal 3 2 2 2 2 9" xfId="19459"/>
    <cellStyle name="Normal 3 2 2 2 20" xfId="19460"/>
    <cellStyle name="Normal 3 2 2 2 21" xfId="19461"/>
    <cellStyle name="Normal 3 2 2 2 22" xfId="19462"/>
    <cellStyle name="Normal 3 2 2 2 23" xfId="19463"/>
    <cellStyle name="Normal 3 2 2 2 24" xfId="19464"/>
    <cellStyle name="Normal 3 2 2 2 25" xfId="19465"/>
    <cellStyle name="Normal 3 2 2 2 3" xfId="5393"/>
    <cellStyle name="Normal 3 2 2 2 3 2" xfId="19466"/>
    <cellStyle name="Normal 3 2 2 2 3 3" xfId="19467"/>
    <cellStyle name="Normal 3 2 2 2 3 4" xfId="19468"/>
    <cellStyle name="Normal 3 2 2 2 4" xfId="5394"/>
    <cellStyle name="Normal 3 2 2 2 4 2" xfId="19469"/>
    <cellStyle name="Normal 3 2 2 2 4 3" xfId="19470"/>
    <cellStyle name="Normal 3 2 2 2 4 4" xfId="19471"/>
    <cellStyle name="Normal 3 2 2 2 5" xfId="19472"/>
    <cellStyle name="Normal 3 2 2 2 6" xfId="19473"/>
    <cellStyle name="Normal 3 2 2 2 7" xfId="19474"/>
    <cellStyle name="Normal 3 2 2 2 8" xfId="19475"/>
    <cellStyle name="Normal 3 2 2 2 9" xfId="19476"/>
    <cellStyle name="Normal 3 2 2 20" xfId="19477"/>
    <cellStyle name="Normal 3 2 2 21" xfId="19478"/>
    <cellStyle name="Normal 3 2 2 22" xfId="19479"/>
    <cellStyle name="Normal 3 2 2 23" xfId="19480"/>
    <cellStyle name="Normal 3 2 2 24" xfId="19481"/>
    <cellStyle name="Normal 3 2 2 25" xfId="19482"/>
    <cellStyle name="Normal 3 2 2 26" xfId="19483"/>
    <cellStyle name="Normal 3 2 2 27" xfId="19484"/>
    <cellStyle name="Normal 3 2 2 28" xfId="19485"/>
    <cellStyle name="Normal 3 2 2 29" xfId="19486"/>
    <cellStyle name="Normal 3 2 2 3" xfId="5395"/>
    <cellStyle name="Normal 3 2 2 3 10" xfId="19487"/>
    <cellStyle name="Normal 3 2 2 3 11" xfId="19488"/>
    <cellStyle name="Normal 3 2 2 3 12" xfId="19489"/>
    <cellStyle name="Normal 3 2 2 3 13" xfId="19490"/>
    <cellStyle name="Normal 3 2 2 3 14" xfId="19491"/>
    <cellStyle name="Normal 3 2 2 3 15" xfId="19492"/>
    <cellStyle name="Normal 3 2 2 3 16" xfId="19493"/>
    <cellStyle name="Normal 3 2 2 3 17" xfId="19494"/>
    <cellStyle name="Normal 3 2 2 3 18" xfId="19495"/>
    <cellStyle name="Normal 3 2 2 3 19" xfId="19496"/>
    <cellStyle name="Normal 3 2 2 3 2" xfId="5396"/>
    <cellStyle name="Normal 3 2 2 3 2 10" xfId="19497"/>
    <cellStyle name="Normal 3 2 2 3 2 11" xfId="19498"/>
    <cellStyle name="Normal 3 2 2 3 2 12" xfId="19499"/>
    <cellStyle name="Normal 3 2 2 3 2 13" xfId="19500"/>
    <cellStyle name="Normal 3 2 2 3 2 14" xfId="19501"/>
    <cellStyle name="Normal 3 2 2 3 2 15" xfId="19502"/>
    <cellStyle name="Normal 3 2 2 3 2 16" xfId="19503"/>
    <cellStyle name="Normal 3 2 2 3 2 17" xfId="19504"/>
    <cellStyle name="Normal 3 2 2 3 2 18" xfId="19505"/>
    <cellStyle name="Normal 3 2 2 3 2 19" xfId="19506"/>
    <cellStyle name="Normal 3 2 2 3 2 2" xfId="19507"/>
    <cellStyle name="Normal 3 2 2 3 2 20" xfId="19508"/>
    <cellStyle name="Normal 3 2 2 3 2 21" xfId="19509"/>
    <cellStyle name="Normal 3 2 2 3 2 22" xfId="19510"/>
    <cellStyle name="Normal 3 2 2 3 2 23" xfId="19511"/>
    <cellStyle name="Normal 3 2 2 3 2 3" xfId="19512"/>
    <cellStyle name="Normal 3 2 2 3 2 4" xfId="19513"/>
    <cellStyle name="Normal 3 2 2 3 2 5" xfId="19514"/>
    <cellStyle name="Normal 3 2 2 3 2 6" xfId="19515"/>
    <cellStyle name="Normal 3 2 2 3 2 7" xfId="19516"/>
    <cellStyle name="Normal 3 2 2 3 2 8" xfId="19517"/>
    <cellStyle name="Normal 3 2 2 3 2 9" xfId="19518"/>
    <cellStyle name="Normal 3 2 2 3 20" xfId="19519"/>
    <cellStyle name="Normal 3 2 2 3 21" xfId="19520"/>
    <cellStyle name="Normal 3 2 2 3 22" xfId="19521"/>
    <cellStyle name="Normal 3 2 2 3 23" xfId="19522"/>
    <cellStyle name="Normal 3 2 2 3 3" xfId="19523"/>
    <cellStyle name="Normal 3 2 2 3 4" xfId="19524"/>
    <cellStyle name="Normal 3 2 2 3 5" xfId="19525"/>
    <cellStyle name="Normal 3 2 2 3 6" xfId="19526"/>
    <cellStyle name="Normal 3 2 2 3 7" xfId="19527"/>
    <cellStyle name="Normal 3 2 2 3 8" xfId="19528"/>
    <cellStyle name="Normal 3 2 2 3 9" xfId="19529"/>
    <cellStyle name="Normal 3 2 2 30" xfId="19530"/>
    <cellStyle name="Normal 3 2 2 31" xfId="19531"/>
    <cellStyle name="Normal 3 2 2 32" xfId="19532"/>
    <cellStyle name="Normal 3 2 2 4" xfId="5397"/>
    <cellStyle name="Normal 3 2 2 5" xfId="5398"/>
    <cellStyle name="Normal 3 2 2 6" xfId="5399"/>
    <cellStyle name="Normal 3 2 2 7" xfId="5400"/>
    <cellStyle name="Normal 3 2 2 8" xfId="5401"/>
    <cellStyle name="Normal 3 2 2 9" xfId="5402"/>
    <cellStyle name="Normal 3 2 20" xfId="19533"/>
    <cellStyle name="Normal 3 2 21" xfId="19534"/>
    <cellStyle name="Normal 3 2 22" xfId="19535"/>
    <cellStyle name="Normal 3 2 23" xfId="19536"/>
    <cellStyle name="Normal 3 2 24" xfId="19537"/>
    <cellStyle name="Normal 3 2 25" xfId="19538"/>
    <cellStyle name="Normal 3 2 26" xfId="19539"/>
    <cellStyle name="Normal 3 2 27" xfId="19540"/>
    <cellStyle name="Normal 3 2 28" xfId="19541"/>
    <cellStyle name="Normal 3 2 29" xfId="19542"/>
    <cellStyle name="Normal 3 2 3" xfId="5403"/>
    <cellStyle name="Normal 3 2 3 10" xfId="5404"/>
    <cellStyle name="Normal 3 2 3 2" xfId="5405"/>
    <cellStyle name="Normal 3 2 3 2 10" xfId="19543"/>
    <cellStyle name="Normal 3 2 3 2 11" xfId="19544"/>
    <cellStyle name="Normal 3 2 3 2 12" xfId="19545"/>
    <cellStyle name="Normal 3 2 3 2 13" xfId="19546"/>
    <cellStyle name="Normal 3 2 3 2 14" xfId="19547"/>
    <cellStyle name="Normal 3 2 3 2 15" xfId="19548"/>
    <cellStyle name="Normal 3 2 3 2 16" xfId="19549"/>
    <cellStyle name="Normal 3 2 3 2 17" xfId="19550"/>
    <cellStyle name="Normal 3 2 3 2 18" xfId="19551"/>
    <cellStyle name="Normal 3 2 3 2 19" xfId="19552"/>
    <cellStyle name="Normal 3 2 3 2 2" xfId="5406"/>
    <cellStyle name="Normal 3 2 3 2 2 10" xfId="19553"/>
    <cellStyle name="Normal 3 2 3 2 2 11" xfId="19554"/>
    <cellStyle name="Normal 3 2 3 2 2 12" xfId="19555"/>
    <cellStyle name="Normal 3 2 3 2 2 13" xfId="19556"/>
    <cellStyle name="Normal 3 2 3 2 2 14" xfId="19557"/>
    <cellStyle name="Normal 3 2 3 2 2 15" xfId="19558"/>
    <cellStyle name="Normal 3 2 3 2 2 16" xfId="19559"/>
    <cellStyle name="Normal 3 2 3 2 2 17" xfId="19560"/>
    <cellStyle name="Normal 3 2 3 2 2 18" xfId="19561"/>
    <cellStyle name="Normal 3 2 3 2 2 19" xfId="19562"/>
    <cellStyle name="Normal 3 2 3 2 2 2" xfId="19563"/>
    <cellStyle name="Normal 3 2 3 2 2 20" xfId="19564"/>
    <cellStyle name="Normal 3 2 3 2 2 21" xfId="19565"/>
    <cellStyle name="Normal 3 2 3 2 2 22" xfId="19566"/>
    <cellStyle name="Normal 3 2 3 2 2 23" xfId="19567"/>
    <cellStyle name="Normal 3 2 3 2 2 3" xfId="19568"/>
    <cellStyle name="Normal 3 2 3 2 2 4" xfId="19569"/>
    <cellStyle name="Normal 3 2 3 2 2 5" xfId="19570"/>
    <cellStyle name="Normal 3 2 3 2 2 6" xfId="19571"/>
    <cellStyle name="Normal 3 2 3 2 2 7" xfId="19572"/>
    <cellStyle name="Normal 3 2 3 2 2 8" xfId="19573"/>
    <cellStyle name="Normal 3 2 3 2 2 9" xfId="19574"/>
    <cellStyle name="Normal 3 2 3 2 20" xfId="19575"/>
    <cellStyle name="Normal 3 2 3 2 21" xfId="19576"/>
    <cellStyle name="Normal 3 2 3 2 22" xfId="19577"/>
    <cellStyle name="Normal 3 2 3 2 23" xfId="19578"/>
    <cellStyle name="Normal 3 2 3 2 3" xfId="19579"/>
    <cellStyle name="Normal 3 2 3 2 4" xfId="19580"/>
    <cellStyle name="Normal 3 2 3 2 5" xfId="19581"/>
    <cellStyle name="Normal 3 2 3 2 6" xfId="19582"/>
    <cellStyle name="Normal 3 2 3 2 7" xfId="19583"/>
    <cellStyle name="Normal 3 2 3 2 8" xfId="19584"/>
    <cellStyle name="Normal 3 2 3 2 9" xfId="19585"/>
    <cellStyle name="Normal 3 2 3 3" xfId="5407"/>
    <cellStyle name="Normal 3 2 3 4" xfId="5408"/>
    <cellStyle name="Normal 3 2 3 5" xfId="5409"/>
    <cellStyle name="Normal 3 2 3 6" xfId="5410"/>
    <cellStyle name="Normal 3 2 3 7" xfId="5411"/>
    <cellStyle name="Normal 3 2 3 8" xfId="5412"/>
    <cellStyle name="Normal 3 2 3 9" xfId="5413"/>
    <cellStyle name="Normal 3 2 30" xfId="19586"/>
    <cellStyle name="Normal 3 2 31" xfId="19587"/>
    <cellStyle name="Normal 3 2 32" xfId="19588"/>
    <cellStyle name="Normal 3 2 33" xfId="19589"/>
    <cellStyle name="Normal 3 2 4" xfId="5414"/>
    <cellStyle name="Normal 3 2 4 2" xfId="5415"/>
    <cellStyle name="Normal 3 2 4 2 10" xfId="19590"/>
    <cellStyle name="Normal 3 2 4 2 11" xfId="19591"/>
    <cellStyle name="Normal 3 2 4 2 12" xfId="19592"/>
    <cellStyle name="Normal 3 2 4 2 13" xfId="19593"/>
    <cellStyle name="Normal 3 2 4 2 14" xfId="19594"/>
    <cellStyle name="Normal 3 2 4 2 15" xfId="19595"/>
    <cellStyle name="Normal 3 2 4 2 16" xfId="19596"/>
    <cellStyle name="Normal 3 2 4 2 17" xfId="19597"/>
    <cellStyle name="Normal 3 2 4 2 18" xfId="19598"/>
    <cellStyle name="Normal 3 2 4 2 19" xfId="19599"/>
    <cellStyle name="Normal 3 2 4 2 2" xfId="5416"/>
    <cellStyle name="Normal 3 2 4 2 2 10" xfId="19600"/>
    <cellStyle name="Normal 3 2 4 2 2 11" xfId="19601"/>
    <cellStyle name="Normal 3 2 4 2 2 12" xfId="19602"/>
    <cellStyle name="Normal 3 2 4 2 2 13" xfId="19603"/>
    <cellStyle name="Normal 3 2 4 2 2 14" xfId="19604"/>
    <cellStyle name="Normal 3 2 4 2 2 15" xfId="19605"/>
    <cellStyle name="Normal 3 2 4 2 2 16" xfId="19606"/>
    <cellStyle name="Normal 3 2 4 2 2 17" xfId="19607"/>
    <cellStyle name="Normal 3 2 4 2 2 18" xfId="19608"/>
    <cellStyle name="Normal 3 2 4 2 2 19" xfId="19609"/>
    <cellStyle name="Normal 3 2 4 2 2 2" xfId="19610"/>
    <cellStyle name="Normal 3 2 4 2 2 20" xfId="19611"/>
    <cellStyle name="Normal 3 2 4 2 2 21" xfId="19612"/>
    <cellStyle name="Normal 3 2 4 2 2 22" xfId="19613"/>
    <cellStyle name="Normal 3 2 4 2 2 23" xfId="19614"/>
    <cellStyle name="Normal 3 2 4 2 2 3" xfId="19615"/>
    <cellStyle name="Normal 3 2 4 2 2 4" xfId="19616"/>
    <cellStyle name="Normal 3 2 4 2 2 5" xfId="19617"/>
    <cellStyle name="Normal 3 2 4 2 2 6" xfId="19618"/>
    <cellStyle name="Normal 3 2 4 2 2 7" xfId="19619"/>
    <cellStyle name="Normal 3 2 4 2 2 8" xfId="19620"/>
    <cellStyle name="Normal 3 2 4 2 2 9" xfId="19621"/>
    <cellStyle name="Normal 3 2 4 2 20" xfId="19622"/>
    <cellStyle name="Normal 3 2 4 2 21" xfId="19623"/>
    <cellStyle name="Normal 3 2 4 2 22" xfId="19624"/>
    <cellStyle name="Normal 3 2 4 2 23" xfId="19625"/>
    <cellStyle name="Normal 3 2 4 2 24" xfId="19626"/>
    <cellStyle name="Normal 3 2 4 2 3" xfId="19627"/>
    <cellStyle name="Normal 3 2 4 2 4" xfId="19628"/>
    <cellStyle name="Normal 3 2 4 2 5" xfId="19629"/>
    <cellStyle name="Normal 3 2 4 2 6" xfId="19630"/>
    <cellStyle name="Normal 3 2 4 2 7" xfId="19631"/>
    <cellStyle name="Normal 3 2 4 2 8" xfId="19632"/>
    <cellStyle name="Normal 3 2 4 2 9" xfId="19633"/>
    <cellStyle name="Normal 3 2 4 3" xfId="5417"/>
    <cellStyle name="Normal 3 2 4 3 10" xfId="19634"/>
    <cellStyle name="Normal 3 2 4 3 11" xfId="19635"/>
    <cellStyle name="Normal 3 2 4 3 12" xfId="19636"/>
    <cellStyle name="Normal 3 2 4 3 13" xfId="19637"/>
    <cellStyle name="Normal 3 2 4 3 14" xfId="19638"/>
    <cellStyle name="Normal 3 2 4 3 15" xfId="19639"/>
    <cellStyle name="Normal 3 2 4 3 16" xfId="19640"/>
    <cellStyle name="Normal 3 2 4 3 17" xfId="19641"/>
    <cellStyle name="Normal 3 2 4 3 18" xfId="19642"/>
    <cellStyle name="Normal 3 2 4 3 19" xfId="19643"/>
    <cellStyle name="Normal 3 2 4 3 2" xfId="19644"/>
    <cellStyle name="Normal 3 2 4 3 20" xfId="19645"/>
    <cellStyle name="Normal 3 2 4 3 21" xfId="19646"/>
    <cellStyle name="Normal 3 2 4 3 22" xfId="19647"/>
    <cellStyle name="Normal 3 2 4 3 23" xfId="19648"/>
    <cellStyle name="Normal 3 2 4 3 3" xfId="19649"/>
    <cellStyle name="Normal 3 2 4 3 4" xfId="19650"/>
    <cellStyle name="Normal 3 2 4 3 5" xfId="19651"/>
    <cellStyle name="Normal 3 2 4 3 6" xfId="19652"/>
    <cellStyle name="Normal 3 2 4 3 7" xfId="19653"/>
    <cellStyle name="Normal 3 2 4 3 8" xfId="19654"/>
    <cellStyle name="Normal 3 2 4 3 9" xfId="19655"/>
    <cellStyle name="Normal 3 2 4 4" xfId="5418"/>
    <cellStyle name="Normal 3 2 4 5" xfId="5419"/>
    <cellStyle name="Normal 3 2 4 6" xfId="5420"/>
    <cellStyle name="Normal 3 2 4 7" xfId="5421"/>
    <cellStyle name="Normal 3 2 4 8" xfId="5422"/>
    <cellStyle name="Normal 3 2 5" xfId="5423"/>
    <cellStyle name="Normal 3 2 6" xfId="5424"/>
    <cellStyle name="Normal 3 2 6 10" xfId="19656"/>
    <cellStyle name="Normal 3 2 6 11" xfId="19657"/>
    <cellStyle name="Normal 3 2 6 12" xfId="19658"/>
    <cellStyle name="Normal 3 2 6 13" xfId="19659"/>
    <cellStyle name="Normal 3 2 6 14" xfId="19660"/>
    <cellStyle name="Normal 3 2 6 15" xfId="19661"/>
    <cellStyle name="Normal 3 2 6 16" xfId="19662"/>
    <cellStyle name="Normal 3 2 6 17" xfId="19663"/>
    <cellStyle name="Normal 3 2 6 18" xfId="19664"/>
    <cellStyle name="Normal 3 2 6 19" xfId="19665"/>
    <cellStyle name="Normal 3 2 6 2" xfId="5425"/>
    <cellStyle name="Normal 3 2 6 2 10" xfId="19666"/>
    <cellStyle name="Normal 3 2 6 2 11" xfId="19667"/>
    <cellStyle name="Normal 3 2 6 2 12" xfId="19668"/>
    <cellStyle name="Normal 3 2 6 2 13" xfId="19669"/>
    <cellStyle name="Normal 3 2 6 2 14" xfId="19670"/>
    <cellStyle name="Normal 3 2 6 2 15" xfId="19671"/>
    <cellStyle name="Normal 3 2 6 2 16" xfId="19672"/>
    <cellStyle name="Normal 3 2 6 2 17" xfId="19673"/>
    <cellStyle name="Normal 3 2 6 2 18" xfId="19674"/>
    <cellStyle name="Normal 3 2 6 2 19" xfId="19675"/>
    <cellStyle name="Normal 3 2 6 2 2" xfId="19676"/>
    <cellStyle name="Normal 3 2 6 2 20" xfId="19677"/>
    <cellStyle name="Normal 3 2 6 2 21" xfId="19678"/>
    <cellStyle name="Normal 3 2 6 2 22" xfId="19679"/>
    <cellStyle name="Normal 3 2 6 2 23" xfId="19680"/>
    <cellStyle name="Normal 3 2 6 2 3" xfId="19681"/>
    <cellStyle name="Normal 3 2 6 2 4" xfId="19682"/>
    <cellStyle name="Normal 3 2 6 2 5" xfId="19683"/>
    <cellStyle name="Normal 3 2 6 2 6" xfId="19684"/>
    <cellStyle name="Normal 3 2 6 2 7" xfId="19685"/>
    <cellStyle name="Normal 3 2 6 2 8" xfId="19686"/>
    <cellStyle name="Normal 3 2 6 2 9" xfId="19687"/>
    <cellStyle name="Normal 3 2 6 20" xfId="19688"/>
    <cellStyle name="Normal 3 2 6 21" xfId="19689"/>
    <cellStyle name="Normal 3 2 6 22" xfId="19690"/>
    <cellStyle name="Normal 3 2 6 23" xfId="19691"/>
    <cellStyle name="Normal 3 2 6 24" xfId="19692"/>
    <cellStyle name="Normal 3 2 6 3" xfId="19693"/>
    <cellStyle name="Normal 3 2 6 4" xfId="19694"/>
    <cellStyle name="Normal 3 2 6 5" xfId="19695"/>
    <cellStyle name="Normal 3 2 6 6" xfId="19696"/>
    <cellStyle name="Normal 3 2 6 7" xfId="19697"/>
    <cellStyle name="Normal 3 2 6 8" xfId="19698"/>
    <cellStyle name="Normal 3 2 6 9" xfId="19699"/>
    <cellStyle name="Normal 3 2 7" xfId="5426"/>
    <cellStyle name="Normal 3 2 7 10" xfId="19700"/>
    <cellStyle name="Normal 3 2 7 11" xfId="19701"/>
    <cellStyle name="Normal 3 2 7 12" xfId="19702"/>
    <cellStyle name="Normal 3 2 7 13" xfId="19703"/>
    <cellStyle name="Normal 3 2 7 14" xfId="19704"/>
    <cellStyle name="Normal 3 2 7 15" xfId="19705"/>
    <cellStyle name="Normal 3 2 7 16" xfId="19706"/>
    <cellStyle name="Normal 3 2 7 17" xfId="19707"/>
    <cellStyle name="Normal 3 2 7 18" xfId="19708"/>
    <cellStyle name="Normal 3 2 7 19" xfId="19709"/>
    <cellStyle name="Normal 3 2 7 2" xfId="19710"/>
    <cellStyle name="Normal 3 2 7 20" xfId="19711"/>
    <cellStyle name="Normal 3 2 7 21" xfId="19712"/>
    <cellStyle name="Normal 3 2 7 22" xfId="19713"/>
    <cellStyle name="Normal 3 2 7 23" xfId="19714"/>
    <cellStyle name="Normal 3 2 7 3" xfId="19715"/>
    <cellStyle name="Normal 3 2 7 4" xfId="19716"/>
    <cellStyle name="Normal 3 2 7 5" xfId="19717"/>
    <cellStyle name="Normal 3 2 7 6" xfId="19718"/>
    <cellStyle name="Normal 3 2 7 7" xfId="19719"/>
    <cellStyle name="Normal 3 2 7 8" xfId="19720"/>
    <cellStyle name="Normal 3 2 7 9" xfId="19721"/>
    <cellStyle name="Normal 3 2 8" xfId="5427"/>
    <cellStyle name="Normal 3 2 8 2" xfId="19722"/>
    <cellStyle name="Normal 3 2 8 3" xfId="19723"/>
    <cellStyle name="Normal 3 2 8 4" xfId="19724"/>
    <cellStyle name="Normal 3 2 9" xfId="5428"/>
    <cellStyle name="Normal 3 2 9 2" xfId="19725"/>
    <cellStyle name="Normal 3 2 9 3" xfId="19726"/>
    <cellStyle name="Normal 3 2 9 4" xfId="19727"/>
    <cellStyle name="Normal 3 2_JULI" xfId="5429"/>
    <cellStyle name="Normal 3 20" xfId="5430"/>
    <cellStyle name="Normal 3 20 2" xfId="5431"/>
    <cellStyle name="Normal 3 20 3" xfId="5432"/>
    <cellStyle name="Normal 3 20 4" xfId="5433"/>
    <cellStyle name="Normal 3 20 5" xfId="5434"/>
    <cellStyle name="Normal 3 20 6" xfId="5435"/>
    <cellStyle name="Normal 3 20 7" xfId="5436"/>
    <cellStyle name="Normal 3 21" xfId="5437"/>
    <cellStyle name="Normal 3 21 2" xfId="5438"/>
    <cellStyle name="Normal 3 21 3" xfId="5439"/>
    <cellStyle name="Normal 3 21 4" xfId="5440"/>
    <cellStyle name="Normal 3 21 5" xfId="5441"/>
    <cellStyle name="Normal 3 21 6" xfId="5442"/>
    <cellStyle name="Normal 3 21 7" xfId="5443"/>
    <cellStyle name="Normal 3 22" xfId="5444"/>
    <cellStyle name="Normal 3 22 2" xfId="5445"/>
    <cellStyle name="Normal 3 22 3" xfId="5446"/>
    <cellStyle name="Normal 3 22 4" xfId="5447"/>
    <cellStyle name="Normal 3 22 5" xfId="5448"/>
    <cellStyle name="Normal 3 22 6" xfId="5449"/>
    <cellStyle name="Normal 3 22 7" xfId="5450"/>
    <cellStyle name="Normal 3 23" xfId="5451"/>
    <cellStyle name="Normal 3 23 2" xfId="5452"/>
    <cellStyle name="Normal 3 23 3" xfId="5453"/>
    <cellStyle name="Normal 3 23 4" xfId="5454"/>
    <cellStyle name="Normal 3 23 5" xfId="5455"/>
    <cellStyle name="Normal 3 23 6" xfId="5456"/>
    <cellStyle name="Normal 3 23 7" xfId="5457"/>
    <cellStyle name="Normal 3 24" xfId="5458"/>
    <cellStyle name="Normal 3 24 2" xfId="5459"/>
    <cellStyle name="Normal 3 24 3" xfId="5460"/>
    <cellStyle name="Normal 3 24 4" xfId="5461"/>
    <cellStyle name="Normal 3 24 5" xfId="5462"/>
    <cellStyle name="Normal 3 24 6" xfId="5463"/>
    <cellStyle name="Normal 3 24 7" xfId="5464"/>
    <cellStyle name="Normal 3 25" xfId="5465"/>
    <cellStyle name="Normal 3 25 2" xfId="5466"/>
    <cellStyle name="Normal 3 25 3" xfId="5467"/>
    <cellStyle name="Normal 3 25 4" xfId="5468"/>
    <cellStyle name="Normal 3 25 5" xfId="5469"/>
    <cellStyle name="Normal 3 25 6" xfId="5470"/>
    <cellStyle name="Normal 3 25 7" xfId="5471"/>
    <cellStyle name="Normal 3 26" xfId="5472"/>
    <cellStyle name="Normal 3 26 2" xfId="5473"/>
    <cellStyle name="Normal 3 26 3" xfId="5474"/>
    <cellStyle name="Normal 3 26 4" xfId="5475"/>
    <cellStyle name="Normal 3 26 5" xfId="5476"/>
    <cellStyle name="Normal 3 26 6" xfId="5477"/>
    <cellStyle name="Normal 3 26 7" xfId="5478"/>
    <cellStyle name="Normal 3 27" xfId="5479"/>
    <cellStyle name="Normal 3 27 10" xfId="19728"/>
    <cellStyle name="Normal 3 27 11" xfId="19729"/>
    <cellStyle name="Normal 3 27 12" xfId="19730"/>
    <cellStyle name="Normal 3 27 13" xfId="19731"/>
    <cellStyle name="Normal 3 27 14" xfId="19732"/>
    <cellStyle name="Normal 3 27 15" xfId="19733"/>
    <cellStyle name="Normal 3 27 16" xfId="19734"/>
    <cellStyle name="Normal 3 27 2" xfId="5480"/>
    <cellStyle name="Normal 3 27 2 10" xfId="19735"/>
    <cellStyle name="Normal 3 27 2 11" xfId="19736"/>
    <cellStyle name="Normal 3 27 2 12" xfId="19737"/>
    <cellStyle name="Normal 3 27 2 2" xfId="19738"/>
    <cellStyle name="Normal 3 27 2 3" xfId="19739"/>
    <cellStyle name="Normal 3 27 2 4" xfId="19740"/>
    <cellStyle name="Normal 3 27 2 5" xfId="19741"/>
    <cellStyle name="Normal 3 27 2 6" xfId="19742"/>
    <cellStyle name="Normal 3 27 2 7" xfId="19743"/>
    <cellStyle name="Normal 3 27 2 8" xfId="19744"/>
    <cellStyle name="Normal 3 27 2 9" xfId="19745"/>
    <cellStyle name="Normal 3 27 3" xfId="5481"/>
    <cellStyle name="Normal 3 27 3 10" xfId="19746"/>
    <cellStyle name="Normal 3 27 3 11" xfId="19747"/>
    <cellStyle name="Normal 3 27 3 12" xfId="19748"/>
    <cellStyle name="Normal 3 27 3 13" xfId="19749"/>
    <cellStyle name="Normal 3 27 3 2" xfId="5482"/>
    <cellStyle name="Normal 3 27 3 2 10" xfId="19750"/>
    <cellStyle name="Normal 3 27 3 2 11" xfId="19751"/>
    <cellStyle name="Normal 3 27 3 2 12" xfId="19752"/>
    <cellStyle name="Normal 3 27 3 2 13" xfId="19753"/>
    <cellStyle name="Normal 3 27 3 2 2" xfId="5483"/>
    <cellStyle name="Normal 3 27 3 2 2 10" xfId="19754"/>
    <cellStyle name="Normal 3 27 3 2 2 11" xfId="19755"/>
    <cellStyle name="Normal 3 27 3 2 2 12" xfId="19756"/>
    <cellStyle name="Normal 3 27 3 2 2 2" xfId="19757"/>
    <cellStyle name="Normal 3 27 3 2 2 3" xfId="19758"/>
    <cellStyle name="Normal 3 27 3 2 2 4" xfId="19759"/>
    <cellStyle name="Normal 3 27 3 2 2 5" xfId="19760"/>
    <cellStyle name="Normal 3 27 3 2 2 6" xfId="19761"/>
    <cellStyle name="Normal 3 27 3 2 2 7" xfId="19762"/>
    <cellStyle name="Normal 3 27 3 2 2 8" xfId="19763"/>
    <cellStyle name="Normal 3 27 3 2 2 9" xfId="19764"/>
    <cellStyle name="Normal 3 27 3 2 3" xfId="19765"/>
    <cellStyle name="Normal 3 27 3 2 4" xfId="19766"/>
    <cellStyle name="Normal 3 27 3 2 5" xfId="19767"/>
    <cellStyle name="Normal 3 27 3 2 6" xfId="19768"/>
    <cellStyle name="Normal 3 27 3 2 7" xfId="19769"/>
    <cellStyle name="Normal 3 27 3 2 8" xfId="19770"/>
    <cellStyle name="Normal 3 27 3 2 9" xfId="19771"/>
    <cellStyle name="Normal 3 27 3 3" xfId="19772"/>
    <cellStyle name="Normal 3 27 3 4" xfId="19773"/>
    <cellStyle name="Normal 3 27 3 5" xfId="19774"/>
    <cellStyle name="Normal 3 27 3 6" xfId="19775"/>
    <cellStyle name="Normal 3 27 3 7" xfId="19776"/>
    <cellStyle name="Normal 3 27 3 8" xfId="19777"/>
    <cellStyle name="Normal 3 27 3 9" xfId="19778"/>
    <cellStyle name="Normal 3 27 4" xfId="5484"/>
    <cellStyle name="Normal 3 27 4 10" xfId="19779"/>
    <cellStyle name="Normal 3 27 4 11" xfId="19780"/>
    <cellStyle name="Normal 3 27 4 12" xfId="19781"/>
    <cellStyle name="Normal 3 27 4 2" xfId="19782"/>
    <cellStyle name="Normal 3 27 4 3" xfId="19783"/>
    <cellStyle name="Normal 3 27 4 4" xfId="19784"/>
    <cellStyle name="Normal 3 27 4 5" xfId="19785"/>
    <cellStyle name="Normal 3 27 4 6" xfId="19786"/>
    <cellStyle name="Normal 3 27 4 7" xfId="19787"/>
    <cellStyle name="Normal 3 27 4 8" xfId="19788"/>
    <cellStyle name="Normal 3 27 4 9" xfId="19789"/>
    <cellStyle name="Normal 3 27 5" xfId="5485"/>
    <cellStyle name="Normal 3 27 5 10" xfId="19790"/>
    <cellStyle name="Normal 3 27 5 11" xfId="19791"/>
    <cellStyle name="Normal 3 27 5 12" xfId="19792"/>
    <cellStyle name="Normal 3 27 5 2" xfId="19793"/>
    <cellStyle name="Normal 3 27 5 3" xfId="19794"/>
    <cellStyle name="Normal 3 27 5 4" xfId="19795"/>
    <cellStyle name="Normal 3 27 5 5" xfId="19796"/>
    <cellStyle name="Normal 3 27 5 6" xfId="19797"/>
    <cellStyle name="Normal 3 27 5 7" xfId="19798"/>
    <cellStyle name="Normal 3 27 5 8" xfId="19799"/>
    <cellStyle name="Normal 3 27 5 9" xfId="19800"/>
    <cellStyle name="Normal 3 27 6" xfId="5486"/>
    <cellStyle name="Normal 3 27 6 10" xfId="19801"/>
    <cellStyle name="Normal 3 27 6 11" xfId="19802"/>
    <cellStyle name="Normal 3 27 6 12" xfId="19803"/>
    <cellStyle name="Normal 3 27 6 13" xfId="19804"/>
    <cellStyle name="Normal 3 27 6 14" xfId="19805"/>
    <cellStyle name="Normal 3 27 6 15" xfId="19806"/>
    <cellStyle name="Normal 3 27 6 16" xfId="19807"/>
    <cellStyle name="Normal 3 27 6 17" xfId="19808"/>
    <cellStyle name="Normal 3 27 6 18" xfId="19809"/>
    <cellStyle name="Normal 3 27 6 19" xfId="19810"/>
    <cellStyle name="Normal 3 27 6 2" xfId="19811"/>
    <cellStyle name="Normal 3 27 6 20" xfId="19812"/>
    <cellStyle name="Normal 3 27 6 21" xfId="19813"/>
    <cellStyle name="Normal 3 27 6 22" xfId="19814"/>
    <cellStyle name="Normal 3 27 6 23" xfId="19815"/>
    <cellStyle name="Normal 3 27 6 3" xfId="19816"/>
    <cellStyle name="Normal 3 27 6 4" xfId="19817"/>
    <cellStyle name="Normal 3 27 6 5" xfId="19818"/>
    <cellStyle name="Normal 3 27 6 6" xfId="19819"/>
    <cellStyle name="Normal 3 27 6 7" xfId="19820"/>
    <cellStyle name="Normal 3 27 6 8" xfId="19821"/>
    <cellStyle name="Normal 3 27 6 9" xfId="19822"/>
    <cellStyle name="Normal 3 27 7" xfId="5487"/>
    <cellStyle name="Normal 3 27 7 10" xfId="19823"/>
    <cellStyle name="Normal 3 27 7 11" xfId="19824"/>
    <cellStyle name="Normal 3 27 7 12" xfId="19825"/>
    <cellStyle name="Normal 3 27 7 13" xfId="19826"/>
    <cellStyle name="Normal 3 27 7 14" xfId="19827"/>
    <cellStyle name="Normal 3 27 7 15" xfId="19828"/>
    <cellStyle name="Normal 3 27 7 16" xfId="19829"/>
    <cellStyle name="Normal 3 27 7 17" xfId="19830"/>
    <cellStyle name="Normal 3 27 7 18" xfId="19831"/>
    <cellStyle name="Normal 3 27 7 19" xfId="19832"/>
    <cellStyle name="Normal 3 27 7 2" xfId="19833"/>
    <cellStyle name="Normal 3 27 7 20" xfId="19834"/>
    <cellStyle name="Normal 3 27 7 21" xfId="19835"/>
    <cellStyle name="Normal 3 27 7 22" xfId="19836"/>
    <cellStyle name="Normal 3 27 7 23" xfId="19837"/>
    <cellStyle name="Normal 3 27 7 3" xfId="19838"/>
    <cellStyle name="Normal 3 27 7 4" xfId="19839"/>
    <cellStyle name="Normal 3 27 7 5" xfId="19840"/>
    <cellStyle name="Normal 3 27 7 6" xfId="19841"/>
    <cellStyle name="Normal 3 27 7 7" xfId="19842"/>
    <cellStyle name="Normal 3 27 7 8" xfId="19843"/>
    <cellStyle name="Normal 3 27 7 9" xfId="19844"/>
    <cellStyle name="Normal 3 27 8" xfId="19845"/>
    <cellStyle name="Normal 3 27 9" xfId="19846"/>
    <cellStyle name="Normal 3 27_A1 Disdik _Aceh _Selatan" xfId="5488"/>
    <cellStyle name="Normal 3 28" xfId="5489"/>
    <cellStyle name="Normal 3 28 10" xfId="19847"/>
    <cellStyle name="Normal 3 28 11" xfId="19848"/>
    <cellStyle name="Normal 3 28 12" xfId="19849"/>
    <cellStyle name="Normal 3 28 13" xfId="19850"/>
    <cellStyle name="Normal 3 28 2" xfId="5490"/>
    <cellStyle name="Normal 3 28 2 10" xfId="19851"/>
    <cellStyle name="Normal 3 28 2 11" xfId="19852"/>
    <cellStyle name="Normal 3 28 2 12" xfId="19853"/>
    <cellStyle name="Normal 3 28 2 2" xfId="19854"/>
    <cellStyle name="Normal 3 28 2 3" xfId="19855"/>
    <cellStyle name="Normal 3 28 2 4" xfId="19856"/>
    <cellStyle name="Normal 3 28 2 5" xfId="19857"/>
    <cellStyle name="Normal 3 28 2 6" xfId="19858"/>
    <cellStyle name="Normal 3 28 2 7" xfId="19859"/>
    <cellStyle name="Normal 3 28 2 8" xfId="19860"/>
    <cellStyle name="Normal 3 28 2 9" xfId="19861"/>
    <cellStyle name="Normal 3 28 3" xfId="5491"/>
    <cellStyle name="Normal 3 28 3 10" xfId="19862"/>
    <cellStyle name="Normal 3 28 3 11" xfId="19863"/>
    <cellStyle name="Normal 3 28 3 12" xfId="19864"/>
    <cellStyle name="Normal 3 28 3 13" xfId="19865"/>
    <cellStyle name="Normal 3 28 3 14" xfId="19866"/>
    <cellStyle name="Normal 3 28 3 15" xfId="19867"/>
    <cellStyle name="Normal 3 28 3 16" xfId="19868"/>
    <cellStyle name="Normal 3 28 3 17" xfId="19869"/>
    <cellStyle name="Normal 3 28 3 18" xfId="19870"/>
    <cellStyle name="Normal 3 28 3 19" xfId="19871"/>
    <cellStyle name="Normal 3 28 3 2" xfId="19872"/>
    <cellStyle name="Normal 3 28 3 20" xfId="19873"/>
    <cellStyle name="Normal 3 28 3 21" xfId="19874"/>
    <cellStyle name="Normal 3 28 3 22" xfId="19875"/>
    <cellStyle name="Normal 3 28 3 23" xfId="19876"/>
    <cellStyle name="Normal 3 28 3 3" xfId="19877"/>
    <cellStyle name="Normal 3 28 3 4" xfId="19878"/>
    <cellStyle name="Normal 3 28 3 5" xfId="19879"/>
    <cellStyle name="Normal 3 28 3 6" xfId="19880"/>
    <cellStyle name="Normal 3 28 3 7" xfId="19881"/>
    <cellStyle name="Normal 3 28 3 8" xfId="19882"/>
    <cellStyle name="Normal 3 28 3 9" xfId="19883"/>
    <cellStyle name="Normal 3 28 4" xfId="5492"/>
    <cellStyle name="Normal 3 28 4 10" xfId="19884"/>
    <cellStyle name="Normal 3 28 4 11" xfId="19885"/>
    <cellStyle name="Normal 3 28 4 12" xfId="19886"/>
    <cellStyle name="Normal 3 28 4 13" xfId="19887"/>
    <cellStyle name="Normal 3 28 4 14" xfId="19888"/>
    <cellStyle name="Normal 3 28 4 15" xfId="19889"/>
    <cellStyle name="Normal 3 28 4 16" xfId="19890"/>
    <cellStyle name="Normal 3 28 4 17" xfId="19891"/>
    <cellStyle name="Normal 3 28 4 18" xfId="19892"/>
    <cellStyle name="Normal 3 28 4 19" xfId="19893"/>
    <cellStyle name="Normal 3 28 4 2" xfId="19894"/>
    <cellStyle name="Normal 3 28 4 20" xfId="19895"/>
    <cellStyle name="Normal 3 28 4 21" xfId="19896"/>
    <cellStyle name="Normal 3 28 4 22" xfId="19897"/>
    <cellStyle name="Normal 3 28 4 23" xfId="19898"/>
    <cellStyle name="Normal 3 28 4 3" xfId="19899"/>
    <cellStyle name="Normal 3 28 4 4" xfId="19900"/>
    <cellStyle name="Normal 3 28 4 5" xfId="19901"/>
    <cellStyle name="Normal 3 28 4 6" xfId="19902"/>
    <cellStyle name="Normal 3 28 4 7" xfId="19903"/>
    <cellStyle name="Normal 3 28 4 8" xfId="19904"/>
    <cellStyle name="Normal 3 28 4 9" xfId="19905"/>
    <cellStyle name="Normal 3 28 5" xfId="19906"/>
    <cellStyle name="Normal 3 28 6" xfId="19907"/>
    <cellStyle name="Normal 3 28 7" xfId="19908"/>
    <cellStyle name="Normal 3 28 8" xfId="19909"/>
    <cellStyle name="Normal 3 28 9" xfId="19910"/>
    <cellStyle name="Normal 3 28_A1 Disdik _Aceh _Selatan" xfId="5493"/>
    <cellStyle name="Normal 3 29" xfId="5494"/>
    <cellStyle name="Normal 3 29 10" xfId="5495"/>
    <cellStyle name="Normal 3 29 11" xfId="19911"/>
    <cellStyle name="Normal 3 29 12" xfId="19912"/>
    <cellStyle name="Normal 3 29 13" xfId="19913"/>
    <cellStyle name="Normal 3 29 14" xfId="19914"/>
    <cellStyle name="Normal 3 29 15" xfId="19915"/>
    <cellStyle name="Normal 3 29 16" xfId="19916"/>
    <cellStyle name="Normal 3 29 17" xfId="19917"/>
    <cellStyle name="Normal 3 29 18" xfId="19918"/>
    <cellStyle name="Normal 3 29 19" xfId="19919"/>
    <cellStyle name="Normal 3 29 2" xfId="5496"/>
    <cellStyle name="Normal 3 29 2 10" xfId="19920"/>
    <cellStyle name="Normal 3 29 2 11" xfId="19921"/>
    <cellStyle name="Normal 3 29 2 12" xfId="19922"/>
    <cellStyle name="Normal 3 29 2 13" xfId="19923"/>
    <cellStyle name="Normal 3 29 2 14" xfId="19924"/>
    <cellStyle name="Normal 3 29 2 15" xfId="19925"/>
    <cellStyle name="Normal 3 29 2 16" xfId="19926"/>
    <cellStyle name="Normal 3 29 2 17" xfId="19927"/>
    <cellStyle name="Normal 3 29 2 18" xfId="19928"/>
    <cellStyle name="Normal 3 29 2 19" xfId="19929"/>
    <cellStyle name="Normal 3 29 2 2" xfId="5497"/>
    <cellStyle name="Normal 3 29 2 2 10" xfId="19930"/>
    <cellStyle name="Normal 3 29 2 2 11" xfId="19931"/>
    <cellStyle name="Normal 3 29 2 2 12" xfId="19932"/>
    <cellStyle name="Normal 3 29 2 2 13" xfId="19933"/>
    <cellStyle name="Normal 3 29 2 2 14" xfId="19934"/>
    <cellStyle name="Normal 3 29 2 2 15" xfId="19935"/>
    <cellStyle name="Normal 3 29 2 2 16" xfId="19936"/>
    <cellStyle name="Normal 3 29 2 2 17" xfId="19937"/>
    <cellStyle name="Normal 3 29 2 2 18" xfId="19938"/>
    <cellStyle name="Normal 3 29 2 2 19" xfId="19939"/>
    <cellStyle name="Normal 3 29 2 2 2" xfId="19940"/>
    <cellStyle name="Normal 3 29 2 2 20" xfId="19941"/>
    <cellStyle name="Normal 3 29 2 2 21" xfId="19942"/>
    <cellStyle name="Normal 3 29 2 2 22" xfId="19943"/>
    <cellStyle name="Normal 3 29 2 2 23" xfId="19944"/>
    <cellStyle name="Normal 3 29 2 2 3" xfId="19945"/>
    <cellStyle name="Normal 3 29 2 2 4" xfId="19946"/>
    <cellStyle name="Normal 3 29 2 2 5" xfId="19947"/>
    <cellStyle name="Normal 3 29 2 2 6" xfId="19948"/>
    <cellStyle name="Normal 3 29 2 2 7" xfId="19949"/>
    <cellStyle name="Normal 3 29 2 2 8" xfId="19950"/>
    <cellStyle name="Normal 3 29 2 2 9" xfId="19951"/>
    <cellStyle name="Normal 3 29 2 20" xfId="19952"/>
    <cellStyle name="Normal 3 29 2 21" xfId="19953"/>
    <cellStyle name="Normal 3 29 2 22" xfId="19954"/>
    <cellStyle name="Normal 3 29 2 23" xfId="19955"/>
    <cellStyle name="Normal 3 29 2 24" xfId="19956"/>
    <cellStyle name="Normal 3 29 2 3" xfId="19957"/>
    <cellStyle name="Normal 3 29 2 4" xfId="19958"/>
    <cellStyle name="Normal 3 29 2 5" xfId="19959"/>
    <cellStyle name="Normal 3 29 2 6" xfId="19960"/>
    <cellStyle name="Normal 3 29 2 7" xfId="19961"/>
    <cellStyle name="Normal 3 29 2 8" xfId="19962"/>
    <cellStyle name="Normal 3 29 2 9" xfId="19963"/>
    <cellStyle name="Normal 3 29 20" xfId="19964"/>
    <cellStyle name="Normal 3 29 21" xfId="19965"/>
    <cellStyle name="Normal 3 29 22" xfId="19966"/>
    <cellStyle name="Normal 3 29 23" xfId="19967"/>
    <cellStyle name="Normal 3 29 24" xfId="19968"/>
    <cellStyle name="Normal 3 29 25" xfId="19969"/>
    <cellStyle name="Normal 3 29 26" xfId="19970"/>
    <cellStyle name="Normal 3 29 27" xfId="19971"/>
    <cellStyle name="Normal 3 29 28" xfId="19972"/>
    <cellStyle name="Normal 3 29 29" xfId="19973"/>
    <cellStyle name="Normal 3 29 3" xfId="5498"/>
    <cellStyle name="Normal 3 29 3 10" xfId="19974"/>
    <cellStyle name="Normal 3 29 3 11" xfId="19975"/>
    <cellStyle name="Normal 3 29 3 12" xfId="19976"/>
    <cellStyle name="Normal 3 29 3 13" xfId="19977"/>
    <cellStyle name="Normal 3 29 3 14" xfId="19978"/>
    <cellStyle name="Normal 3 29 3 15" xfId="19979"/>
    <cellStyle name="Normal 3 29 3 16" xfId="19980"/>
    <cellStyle name="Normal 3 29 3 17" xfId="19981"/>
    <cellStyle name="Normal 3 29 3 18" xfId="19982"/>
    <cellStyle name="Normal 3 29 3 19" xfId="19983"/>
    <cellStyle name="Normal 3 29 3 2" xfId="19984"/>
    <cellStyle name="Normal 3 29 3 20" xfId="19985"/>
    <cellStyle name="Normal 3 29 3 21" xfId="19986"/>
    <cellStyle name="Normal 3 29 3 22" xfId="19987"/>
    <cellStyle name="Normal 3 29 3 23" xfId="19988"/>
    <cellStyle name="Normal 3 29 3 3" xfId="19989"/>
    <cellStyle name="Normal 3 29 3 4" xfId="19990"/>
    <cellStyle name="Normal 3 29 3 5" xfId="19991"/>
    <cellStyle name="Normal 3 29 3 6" xfId="19992"/>
    <cellStyle name="Normal 3 29 3 7" xfId="19993"/>
    <cellStyle name="Normal 3 29 3 8" xfId="19994"/>
    <cellStyle name="Normal 3 29 3 9" xfId="19995"/>
    <cellStyle name="Normal 3 29 30" xfId="19996"/>
    <cellStyle name="Normal 3 29 31" xfId="19997"/>
    <cellStyle name="Normal 3 29 4" xfId="5499"/>
    <cellStyle name="Normal 3 29 5" xfId="5500"/>
    <cellStyle name="Normal 3 29 6" xfId="5501"/>
    <cellStyle name="Normal 3 29 7" xfId="5502"/>
    <cellStyle name="Normal 3 29 8" xfId="5503"/>
    <cellStyle name="Normal 3 29 9" xfId="5504"/>
    <cellStyle name="Normal 3 3" xfId="5505"/>
    <cellStyle name="Normal 3 3 10" xfId="5506"/>
    <cellStyle name="Normal 3 3 11" xfId="5507"/>
    <cellStyle name="Normal 3 3 12" xfId="5508"/>
    <cellStyle name="Normal 3 3 13" xfId="5509"/>
    <cellStyle name="Normal 3 3 13 2" xfId="5510"/>
    <cellStyle name="Normal 3 3 14" xfId="5511"/>
    <cellStyle name="Normal 3 3 15" xfId="19998"/>
    <cellStyle name="Normal 3 3 16" xfId="19999"/>
    <cellStyle name="Normal 3 3 17" xfId="20000"/>
    <cellStyle name="Normal 3 3 18" xfId="20001"/>
    <cellStyle name="Normal 3 3 19" xfId="20002"/>
    <cellStyle name="Normal 3 3 2" xfId="5512"/>
    <cellStyle name="Normal 3 3 2 2" xfId="5513"/>
    <cellStyle name="Normal 3 3 20" xfId="20003"/>
    <cellStyle name="Normal 3 3 21" xfId="20004"/>
    <cellStyle name="Normal 3 3 22" xfId="20005"/>
    <cellStyle name="Normal 3 3 23" xfId="20006"/>
    <cellStyle name="Normal 3 3 24" xfId="20007"/>
    <cellStyle name="Normal 3 3 25" xfId="20008"/>
    <cellStyle name="Normal 3 3 26" xfId="20009"/>
    <cellStyle name="Normal 3 3 27" xfId="20010"/>
    <cellStyle name="Normal 3 3 28" xfId="20011"/>
    <cellStyle name="Normal 3 3 29" xfId="20012"/>
    <cellStyle name="Normal 3 3 3" xfId="5514"/>
    <cellStyle name="Normal 3 3 30" xfId="20013"/>
    <cellStyle name="Normal 3 3 31" xfId="20014"/>
    <cellStyle name="Normal 3 3 32" xfId="20015"/>
    <cellStyle name="Normal 3 3 33" xfId="20016"/>
    <cellStyle name="Normal 3 3 34" xfId="20017"/>
    <cellStyle name="Normal 3 3 35" xfId="20018"/>
    <cellStyle name="Normal 3 3 4" xfId="5515"/>
    <cellStyle name="Normal 3 3 5" xfId="5516"/>
    <cellStyle name="Normal 3 3 6" xfId="5517"/>
    <cellStyle name="Normal 3 3 6 10" xfId="20019"/>
    <cellStyle name="Normal 3 3 6 11" xfId="20020"/>
    <cellStyle name="Normal 3 3 6 12" xfId="20021"/>
    <cellStyle name="Normal 3 3 6 13" xfId="20022"/>
    <cellStyle name="Normal 3 3 6 14" xfId="20023"/>
    <cellStyle name="Normal 3 3 6 15" xfId="20024"/>
    <cellStyle name="Normal 3 3 6 16" xfId="20025"/>
    <cellStyle name="Normal 3 3 6 17" xfId="20026"/>
    <cellStyle name="Normal 3 3 6 18" xfId="20027"/>
    <cellStyle name="Normal 3 3 6 19" xfId="20028"/>
    <cellStyle name="Normal 3 3 6 2" xfId="5518"/>
    <cellStyle name="Normal 3 3 6 2 10" xfId="20029"/>
    <cellStyle name="Normal 3 3 6 2 11" xfId="20030"/>
    <cellStyle name="Normal 3 3 6 2 12" xfId="20031"/>
    <cellStyle name="Normal 3 3 6 2 13" xfId="20032"/>
    <cellStyle name="Normal 3 3 6 2 14" xfId="20033"/>
    <cellStyle name="Normal 3 3 6 2 15" xfId="20034"/>
    <cellStyle name="Normal 3 3 6 2 16" xfId="20035"/>
    <cellStyle name="Normal 3 3 6 2 17" xfId="20036"/>
    <cellStyle name="Normal 3 3 6 2 18" xfId="20037"/>
    <cellStyle name="Normal 3 3 6 2 19" xfId="20038"/>
    <cellStyle name="Normal 3 3 6 2 2" xfId="20039"/>
    <cellStyle name="Normal 3 3 6 2 20" xfId="20040"/>
    <cellStyle name="Normal 3 3 6 2 21" xfId="20041"/>
    <cellStyle name="Normal 3 3 6 2 22" xfId="20042"/>
    <cellStyle name="Normal 3 3 6 2 23" xfId="20043"/>
    <cellStyle name="Normal 3 3 6 2 3" xfId="20044"/>
    <cellStyle name="Normal 3 3 6 2 4" xfId="20045"/>
    <cellStyle name="Normal 3 3 6 2 5" xfId="20046"/>
    <cellStyle name="Normal 3 3 6 2 6" xfId="20047"/>
    <cellStyle name="Normal 3 3 6 2 7" xfId="20048"/>
    <cellStyle name="Normal 3 3 6 2 8" xfId="20049"/>
    <cellStyle name="Normal 3 3 6 2 9" xfId="20050"/>
    <cellStyle name="Normal 3 3 6 20" xfId="20051"/>
    <cellStyle name="Normal 3 3 6 21" xfId="20052"/>
    <cellStyle name="Normal 3 3 6 22" xfId="20053"/>
    <cellStyle name="Normal 3 3 6 23" xfId="20054"/>
    <cellStyle name="Normal 3 3 6 24" xfId="20055"/>
    <cellStyle name="Normal 3 3 6 3" xfId="20056"/>
    <cellStyle name="Normal 3 3 6 4" xfId="20057"/>
    <cellStyle name="Normal 3 3 6 5" xfId="20058"/>
    <cellStyle name="Normal 3 3 6 6" xfId="20059"/>
    <cellStyle name="Normal 3 3 6 7" xfId="20060"/>
    <cellStyle name="Normal 3 3 6 8" xfId="20061"/>
    <cellStyle name="Normal 3 3 6 9" xfId="20062"/>
    <cellStyle name="Normal 3 3 7" xfId="5519"/>
    <cellStyle name="Normal 3 3 7 10" xfId="20063"/>
    <cellStyle name="Normal 3 3 7 11" xfId="20064"/>
    <cellStyle name="Normal 3 3 7 12" xfId="20065"/>
    <cellStyle name="Normal 3 3 7 13" xfId="20066"/>
    <cellStyle name="Normal 3 3 7 14" xfId="20067"/>
    <cellStyle name="Normal 3 3 7 15" xfId="20068"/>
    <cellStyle name="Normal 3 3 7 16" xfId="20069"/>
    <cellStyle name="Normal 3 3 7 17" xfId="20070"/>
    <cellStyle name="Normal 3 3 7 18" xfId="20071"/>
    <cellStyle name="Normal 3 3 7 19" xfId="20072"/>
    <cellStyle name="Normal 3 3 7 2" xfId="20073"/>
    <cellStyle name="Normal 3 3 7 20" xfId="20074"/>
    <cellStyle name="Normal 3 3 7 21" xfId="20075"/>
    <cellStyle name="Normal 3 3 7 22" xfId="20076"/>
    <cellStyle name="Normal 3 3 7 23" xfId="20077"/>
    <cellStyle name="Normal 3 3 7 3" xfId="20078"/>
    <cellStyle name="Normal 3 3 7 4" xfId="20079"/>
    <cellStyle name="Normal 3 3 7 5" xfId="20080"/>
    <cellStyle name="Normal 3 3 7 6" xfId="20081"/>
    <cellStyle name="Normal 3 3 7 7" xfId="20082"/>
    <cellStyle name="Normal 3 3 7 8" xfId="20083"/>
    <cellStyle name="Normal 3 3 7 9" xfId="20084"/>
    <cellStyle name="Normal 3 3 8" xfId="5520"/>
    <cellStyle name="Normal 3 3 8 10" xfId="20085"/>
    <cellStyle name="Normal 3 3 8 11" xfId="20086"/>
    <cellStyle name="Normal 3 3 8 12" xfId="20087"/>
    <cellStyle name="Normal 3 3 8 13" xfId="20088"/>
    <cellStyle name="Normal 3 3 8 14" xfId="20089"/>
    <cellStyle name="Normal 3 3 8 15" xfId="20090"/>
    <cellStyle name="Normal 3 3 8 16" xfId="20091"/>
    <cellStyle name="Normal 3 3 8 17" xfId="20092"/>
    <cellStyle name="Normal 3 3 8 18" xfId="20093"/>
    <cellStyle name="Normal 3 3 8 19" xfId="20094"/>
    <cellStyle name="Normal 3 3 8 2" xfId="20095"/>
    <cellStyle name="Normal 3 3 8 2 2" xfId="20096"/>
    <cellStyle name="Normal 3 3 8 2 2 2" xfId="20097"/>
    <cellStyle name="Normal 3 3 8 2 2 3" xfId="20098"/>
    <cellStyle name="Normal 3 3 8 2 2 4" xfId="20099"/>
    <cellStyle name="Normal 3 3 8 20" xfId="20100"/>
    <cellStyle name="Normal 3 3 8 21" xfId="20101"/>
    <cellStyle name="Normal 3 3 8 22" xfId="20102"/>
    <cellStyle name="Normal 3 3 8 23" xfId="20103"/>
    <cellStyle name="Normal 3 3 8 24" xfId="20104"/>
    <cellStyle name="Normal 3 3 8 3" xfId="20105"/>
    <cellStyle name="Normal 3 3 8 4" xfId="20106"/>
    <cellStyle name="Normal 3 3 8 5" xfId="20107"/>
    <cellStyle name="Normal 3 3 8 6" xfId="20108"/>
    <cellStyle name="Normal 3 3 8 7" xfId="20109"/>
    <cellStyle name="Normal 3 3 8 8" xfId="20110"/>
    <cellStyle name="Normal 3 3 8 9" xfId="20111"/>
    <cellStyle name="Normal 3 3 9" xfId="5521"/>
    <cellStyle name="Normal 3 3 9 10" xfId="20112"/>
    <cellStyle name="Normal 3 3 9 11" xfId="20113"/>
    <cellStyle name="Normal 3 3 9 12" xfId="20114"/>
    <cellStyle name="Normal 3 3 9 13" xfId="20115"/>
    <cellStyle name="Normal 3 3 9 14" xfId="20116"/>
    <cellStyle name="Normal 3 3 9 15" xfId="20117"/>
    <cellStyle name="Normal 3 3 9 16" xfId="20118"/>
    <cellStyle name="Normal 3 3 9 17" xfId="20119"/>
    <cellStyle name="Normal 3 3 9 18" xfId="20120"/>
    <cellStyle name="Normal 3 3 9 19" xfId="20121"/>
    <cellStyle name="Normal 3 3 9 2" xfId="20122"/>
    <cellStyle name="Normal 3 3 9 20" xfId="20123"/>
    <cellStyle name="Normal 3 3 9 21" xfId="20124"/>
    <cellStyle name="Normal 3 3 9 22" xfId="20125"/>
    <cellStyle name="Normal 3 3 9 23" xfId="20126"/>
    <cellStyle name="Normal 3 3 9 3" xfId="20127"/>
    <cellStyle name="Normal 3 3 9 4" xfId="20128"/>
    <cellStyle name="Normal 3 3 9 5" xfId="20129"/>
    <cellStyle name="Normal 3 3 9 6" xfId="20130"/>
    <cellStyle name="Normal 3 3 9 7" xfId="20131"/>
    <cellStyle name="Normal 3 3 9 8" xfId="20132"/>
    <cellStyle name="Normal 3 3 9 9" xfId="20133"/>
    <cellStyle name="Normal 3 30" xfId="5522"/>
    <cellStyle name="Normal 3 30 10" xfId="20134"/>
    <cellStyle name="Normal 3 30 11" xfId="20135"/>
    <cellStyle name="Normal 3 30 12" xfId="20136"/>
    <cellStyle name="Normal 3 30 2" xfId="5523"/>
    <cellStyle name="Normal 3 30 2 10" xfId="20137"/>
    <cellStyle name="Normal 3 30 2 11" xfId="20138"/>
    <cellStyle name="Normal 3 30 2 12" xfId="20139"/>
    <cellStyle name="Normal 3 30 2 13" xfId="20140"/>
    <cellStyle name="Normal 3 30 2 14" xfId="20141"/>
    <cellStyle name="Normal 3 30 2 15" xfId="20142"/>
    <cellStyle name="Normal 3 30 2 16" xfId="20143"/>
    <cellStyle name="Normal 3 30 2 17" xfId="20144"/>
    <cellStyle name="Normal 3 30 2 18" xfId="20145"/>
    <cellStyle name="Normal 3 30 2 19" xfId="20146"/>
    <cellStyle name="Normal 3 30 2 2" xfId="20147"/>
    <cellStyle name="Normal 3 30 2 20" xfId="20148"/>
    <cellStyle name="Normal 3 30 2 21" xfId="20149"/>
    <cellStyle name="Normal 3 30 2 22" xfId="20150"/>
    <cellStyle name="Normal 3 30 2 23" xfId="20151"/>
    <cellStyle name="Normal 3 30 2 3" xfId="20152"/>
    <cellStyle name="Normal 3 30 2 4" xfId="20153"/>
    <cellStyle name="Normal 3 30 2 5" xfId="20154"/>
    <cellStyle name="Normal 3 30 2 6" xfId="20155"/>
    <cellStyle name="Normal 3 30 2 7" xfId="20156"/>
    <cellStyle name="Normal 3 30 2 8" xfId="20157"/>
    <cellStyle name="Normal 3 30 2 9" xfId="20158"/>
    <cellStyle name="Normal 3 30 3" xfId="5524"/>
    <cellStyle name="Normal 3 30 3 10" xfId="20159"/>
    <cellStyle name="Normal 3 30 3 11" xfId="20160"/>
    <cellStyle name="Normal 3 30 3 12" xfId="20161"/>
    <cellStyle name="Normal 3 30 3 13" xfId="20162"/>
    <cellStyle name="Normal 3 30 3 14" xfId="20163"/>
    <cellStyle name="Normal 3 30 3 15" xfId="20164"/>
    <cellStyle name="Normal 3 30 3 16" xfId="20165"/>
    <cellStyle name="Normal 3 30 3 17" xfId="20166"/>
    <cellStyle name="Normal 3 30 3 18" xfId="20167"/>
    <cellStyle name="Normal 3 30 3 19" xfId="20168"/>
    <cellStyle name="Normal 3 30 3 2" xfId="20169"/>
    <cellStyle name="Normal 3 30 3 20" xfId="20170"/>
    <cellStyle name="Normal 3 30 3 21" xfId="20171"/>
    <cellStyle name="Normal 3 30 3 22" xfId="20172"/>
    <cellStyle name="Normal 3 30 3 23" xfId="20173"/>
    <cellStyle name="Normal 3 30 3 3" xfId="20174"/>
    <cellStyle name="Normal 3 30 3 4" xfId="20175"/>
    <cellStyle name="Normal 3 30 3 5" xfId="20176"/>
    <cellStyle name="Normal 3 30 3 6" xfId="20177"/>
    <cellStyle name="Normal 3 30 3 7" xfId="20178"/>
    <cellStyle name="Normal 3 30 3 8" xfId="20179"/>
    <cellStyle name="Normal 3 30 3 9" xfId="20180"/>
    <cellStyle name="Normal 3 30 4" xfId="20181"/>
    <cellStyle name="Normal 3 30 5" xfId="20182"/>
    <cellStyle name="Normal 3 30 6" xfId="20183"/>
    <cellStyle name="Normal 3 30 7" xfId="20184"/>
    <cellStyle name="Normal 3 30 8" xfId="20185"/>
    <cellStyle name="Normal 3 30 9" xfId="20186"/>
    <cellStyle name="Normal 3 31" xfId="5525"/>
    <cellStyle name="Normal 3 31 10" xfId="20187"/>
    <cellStyle name="Normal 3 31 11" xfId="20188"/>
    <cellStyle name="Normal 3 31 12" xfId="20189"/>
    <cellStyle name="Normal 3 31 2" xfId="5526"/>
    <cellStyle name="Normal 3 31 2 10" xfId="20190"/>
    <cellStyle name="Normal 3 31 2 11" xfId="20191"/>
    <cellStyle name="Normal 3 31 2 12" xfId="20192"/>
    <cellStyle name="Normal 3 31 2 13" xfId="20193"/>
    <cellStyle name="Normal 3 31 2 14" xfId="20194"/>
    <cellStyle name="Normal 3 31 2 15" xfId="20195"/>
    <cellStyle name="Normal 3 31 2 16" xfId="20196"/>
    <cellStyle name="Normal 3 31 2 17" xfId="20197"/>
    <cellStyle name="Normal 3 31 2 18" xfId="20198"/>
    <cellStyle name="Normal 3 31 2 19" xfId="20199"/>
    <cellStyle name="Normal 3 31 2 2" xfId="20200"/>
    <cellStyle name="Normal 3 31 2 20" xfId="20201"/>
    <cellStyle name="Normal 3 31 2 21" xfId="20202"/>
    <cellStyle name="Normal 3 31 2 22" xfId="20203"/>
    <cellStyle name="Normal 3 31 2 23" xfId="20204"/>
    <cellStyle name="Normal 3 31 2 3" xfId="20205"/>
    <cellStyle name="Normal 3 31 2 4" xfId="20206"/>
    <cellStyle name="Normal 3 31 2 5" xfId="20207"/>
    <cellStyle name="Normal 3 31 2 6" xfId="20208"/>
    <cellStyle name="Normal 3 31 2 7" xfId="20209"/>
    <cellStyle name="Normal 3 31 2 8" xfId="20210"/>
    <cellStyle name="Normal 3 31 2 9" xfId="20211"/>
    <cellStyle name="Normal 3 31 3" xfId="5527"/>
    <cellStyle name="Normal 3 31 3 10" xfId="20212"/>
    <cellStyle name="Normal 3 31 3 11" xfId="20213"/>
    <cellStyle name="Normal 3 31 3 12" xfId="20214"/>
    <cellStyle name="Normal 3 31 3 13" xfId="20215"/>
    <cellStyle name="Normal 3 31 3 14" xfId="20216"/>
    <cellStyle name="Normal 3 31 3 15" xfId="20217"/>
    <cellStyle name="Normal 3 31 3 16" xfId="20218"/>
    <cellStyle name="Normal 3 31 3 17" xfId="20219"/>
    <cellStyle name="Normal 3 31 3 18" xfId="20220"/>
    <cellStyle name="Normal 3 31 3 19" xfId="20221"/>
    <cellStyle name="Normal 3 31 3 2" xfId="20222"/>
    <cellStyle name="Normal 3 31 3 20" xfId="20223"/>
    <cellStyle name="Normal 3 31 3 21" xfId="20224"/>
    <cellStyle name="Normal 3 31 3 22" xfId="20225"/>
    <cellStyle name="Normal 3 31 3 23" xfId="20226"/>
    <cellStyle name="Normal 3 31 3 3" xfId="20227"/>
    <cellStyle name="Normal 3 31 3 4" xfId="20228"/>
    <cellStyle name="Normal 3 31 3 5" xfId="20229"/>
    <cellStyle name="Normal 3 31 3 6" xfId="20230"/>
    <cellStyle name="Normal 3 31 3 7" xfId="20231"/>
    <cellStyle name="Normal 3 31 3 8" xfId="20232"/>
    <cellStyle name="Normal 3 31 3 9" xfId="20233"/>
    <cellStyle name="Normal 3 31 4" xfId="20234"/>
    <cellStyle name="Normal 3 31 5" xfId="20235"/>
    <cellStyle name="Normal 3 31 6" xfId="20236"/>
    <cellStyle name="Normal 3 31 7" xfId="20237"/>
    <cellStyle name="Normal 3 31 8" xfId="20238"/>
    <cellStyle name="Normal 3 31 9" xfId="20239"/>
    <cellStyle name="Normal 3 32" xfId="5528"/>
    <cellStyle name="Normal 3 32 10" xfId="20240"/>
    <cellStyle name="Normal 3 32 11" xfId="20241"/>
    <cellStyle name="Normal 3 32 12" xfId="20242"/>
    <cellStyle name="Normal 3 32 13" xfId="20243"/>
    <cellStyle name="Normal 3 32 14" xfId="20244"/>
    <cellStyle name="Normal 3 32 15" xfId="20245"/>
    <cellStyle name="Normal 3 32 16" xfId="20246"/>
    <cellStyle name="Normal 3 32 17" xfId="20247"/>
    <cellStyle name="Normal 3 32 18" xfId="20248"/>
    <cellStyle name="Normal 3 32 19" xfId="20249"/>
    <cellStyle name="Normal 3 32 2" xfId="5529"/>
    <cellStyle name="Normal 3 32 2 10" xfId="20250"/>
    <cellStyle name="Normal 3 32 2 11" xfId="20251"/>
    <cellStyle name="Normal 3 32 2 12" xfId="20252"/>
    <cellStyle name="Normal 3 32 2 13" xfId="20253"/>
    <cellStyle name="Normal 3 32 2 14" xfId="20254"/>
    <cellStyle name="Normal 3 32 2 15" xfId="20255"/>
    <cellStyle name="Normal 3 32 2 16" xfId="20256"/>
    <cellStyle name="Normal 3 32 2 17" xfId="20257"/>
    <cellStyle name="Normal 3 32 2 18" xfId="20258"/>
    <cellStyle name="Normal 3 32 2 19" xfId="20259"/>
    <cellStyle name="Normal 3 32 2 2" xfId="20260"/>
    <cellStyle name="Normal 3 32 2 20" xfId="20261"/>
    <cellStyle name="Normal 3 32 2 21" xfId="20262"/>
    <cellStyle name="Normal 3 32 2 22" xfId="20263"/>
    <cellStyle name="Normal 3 32 2 23" xfId="20264"/>
    <cellStyle name="Normal 3 32 2 3" xfId="20265"/>
    <cellStyle name="Normal 3 32 2 4" xfId="20266"/>
    <cellStyle name="Normal 3 32 2 5" xfId="20267"/>
    <cellStyle name="Normal 3 32 2 6" xfId="20268"/>
    <cellStyle name="Normal 3 32 2 7" xfId="20269"/>
    <cellStyle name="Normal 3 32 2 8" xfId="20270"/>
    <cellStyle name="Normal 3 32 2 9" xfId="20271"/>
    <cellStyle name="Normal 3 32 20" xfId="20272"/>
    <cellStyle name="Normal 3 32 21" xfId="20273"/>
    <cellStyle name="Normal 3 32 22" xfId="20274"/>
    <cellStyle name="Normal 3 32 23" xfId="20275"/>
    <cellStyle name="Normal 3 32 24" xfId="20276"/>
    <cellStyle name="Normal 3 32 3" xfId="5530"/>
    <cellStyle name="Normal 3 32 4" xfId="20277"/>
    <cellStyle name="Normal 3 32 5" xfId="20278"/>
    <cellStyle name="Normal 3 32 6" xfId="20279"/>
    <cellStyle name="Normal 3 32 7" xfId="20280"/>
    <cellStyle name="Normal 3 32 8" xfId="20281"/>
    <cellStyle name="Normal 3 32 9" xfId="20282"/>
    <cellStyle name="Normal 3 33" xfId="5531"/>
    <cellStyle name="Normal 3 33 10" xfId="20283"/>
    <cellStyle name="Normal 3 33 11" xfId="20284"/>
    <cellStyle name="Normal 3 33 12" xfId="20285"/>
    <cellStyle name="Normal 3 33 13" xfId="20286"/>
    <cellStyle name="Normal 3 33 14" xfId="20287"/>
    <cellStyle name="Normal 3 33 15" xfId="20288"/>
    <cellStyle name="Normal 3 33 16" xfId="20289"/>
    <cellStyle name="Normal 3 33 17" xfId="20290"/>
    <cellStyle name="Normal 3 33 18" xfId="20291"/>
    <cellStyle name="Normal 3 33 19" xfId="20292"/>
    <cellStyle name="Normal 3 33 2" xfId="20293"/>
    <cellStyle name="Normal 3 33 20" xfId="20294"/>
    <cellStyle name="Normal 3 33 21" xfId="20295"/>
    <cellStyle name="Normal 3 33 22" xfId="20296"/>
    <cellStyle name="Normal 3 33 23" xfId="20297"/>
    <cellStyle name="Normal 3 33 3" xfId="20298"/>
    <cellStyle name="Normal 3 33 4" xfId="20299"/>
    <cellStyle name="Normal 3 33 5" xfId="20300"/>
    <cellStyle name="Normal 3 33 6" xfId="20301"/>
    <cellStyle name="Normal 3 33 7" xfId="20302"/>
    <cellStyle name="Normal 3 33 8" xfId="20303"/>
    <cellStyle name="Normal 3 33 9" xfId="20304"/>
    <cellStyle name="Normal 3 34" xfId="5532"/>
    <cellStyle name="Normal 3 34 10" xfId="20305"/>
    <cellStyle name="Normal 3 34 11" xfId="20306"/>
    <cellStyle name="Normal 3 34 12" xfId="20307"/>
    <cellStyle name="Normal 3 34 13" xfId="20308"/>
    <cellStyle name="Normal 3 34 14" xfId="20309"/>
    <cellStyle name="Normal 3 34 15" xfId="20310"/>
    <cellStyle name="Normal 3 34 16" xfId="20311"/>
    <cellStyle name="Normal 3 34 17" xfId="20312"/>
    <cellStyle name="Normal 3 34 18" xfId="20313"/>
    <cellStyle name="Normal 3 34 19" xfId="20314"/>
    <cellStyle name="Normal 3 34 2" xfId="20315"/>
    <cellStyle name="Normal 3 34 20" xfId="20316"/>
    <cellStyle name="Normal 3 34 21" xfId="20317"/>
    <cellStyle name="Normal 3 34 22" xfId="20318"/>
    <cellStyle name="Normal 3 34 23" xfId="20319"/>
    <cellStyle name="Normal 3 34 3" xfId="20320"/>
    <cellStyle name="Normal 3 34 4" xfId="20321"/>
    <cellStyle name="Normal 3 34 5" xfId="20322"/>
    <cellStyle name="Normal 3 34 6" xfId="20323"/>
    <cellStyle name="Normal 3 34 7" xfId="20324"/>
    <cellStyle name="Normal 3 34 8" xfId="20325"/>
    <cellStyle name="Normal 3 34 9" xfId="20326"/>
    <cellStyle name="Normal 3 35" xfId="5533"/>
    <cellStyle name="Normal 3 35 10" xfId="20327"/>
    <cellStyle name="Normal 3 35 11" xfId="20328"/>
    <cellStyle name="Normal 3 35 12" xfId="20329"/>
    <cellStyle name="Normal 3 35 13" xfId="20330"/>
    <cellStyle name="Normal 3 35 14" xfId="20331"/>
    <cellStyle name="Normal 3 35 15" xfId="20332"/>
    <cellStyle name="Normal 3 35 16" xfId="20333"/>
    <cellStyle name="Normal 3 35 17" xfId="20334"/>
    <cellStyle name="Normal 3 35 18" xfId="20335"/>
    <cellStyle name="Normal 3 35 19" xfId="20336"/>
    <cellStyle name="Normal 3 35 2" xfId="20337"/>
    <cellStyle name="Normal 3 35 20" xfId="20338"/>
    <cellStyle name="Normal 3 35 21" xfId="20339"/>
    <cellStyle name="Normal 3 35 22" xfId="20340"/>
    <cellStyle name="Normal 3 35 23" xfId="20341"/>
    <cellStyle name="Normal 3 35 3" xfId="20342"/>
    <cellStyle name="Normal 3 35 4" xfId="20343"/>
    <cellStyle name="Normal 3 35 5" xfId="20344"/>
    <cellStyle name="Normal 3 35 6" xfId="20345"/>
    <cellStyle name="Normal 3 35 7" xfId="20346"/>
    <cellStyle name="Normal 3 35 8" xfId="20347"/>
    <cellStyle name="Normal 3 35 9" xfId="20348"/>
    <cellStyle name="Normal 3 36" xfId="5534"/>
    <cellStyle name="Normal 3 36 10" xfId="20349"/>
    <cellStyle name="Normal 3 36 11" xfId="20350"/>
    <cellStyle name="Normal 3 36 12" xfId="20351"/>
    <cellStyle name="Normal 3 36 13" xfId="20352"/>
    <cellStyle name="Normal 3 36 14" xfId="20353"/>
    <cellStyle name="Normal 3 36 15" xfId="20354"/>
    <cellStyle name="Normal 3 36 16" xfId="20355"/>
    <cellStyle name="Normal 3 36 17" xfId="20356"/>
    <cellStyle name="Normal 3 36 18" xfId="20357"/>
    <cellStyle name="Normal 3 36 19" xfId="20358"/>
    <cellStyle name="Normal 3 36 2" xfId="20359"/>
    <cellStyle name="Normal 3 36 20" xfId="20360"/>
    <cellStyle name="Normal 3 36 21" xfId="20361"/>
    <cellStyle name="Normal 3 36 22" xfId="20362"/>
    <cellStyle name="Normal 3 36 23" xfId="20363"/>
    <cellStyle name="Normal 3 36 3" xfId="20364"/>
    <cellStyle name="Normal 3 36 4" xfId="20365"/>
    <cellStyle name="Normal 3 36 5" xfId="20366"/>
    <cellStyle name="Normal 3 36 6" xfId="20367"/>
    <cellStyle name="Normal 3 36 7" xfId="20368"/>
    <cellStyle name="Normal 3 36 8" xfId="20369"/>
    <cellStyle name="Normal 3 36 9" xfId="20370"/>
    <cellStyle name="Normal 3 37" xfId="5535"/>
    <cellStyle name="Normal 3 37 10" xfId="20371"/>
    <cellStyle name="Normal 3 37 11" xfId="20372"/>
    <cellStyle name="Normal 3 37 12" xfId="20373"/>
    <cellStyle name="Normal 3 37 13" xfId="20374"/>
    <cellStyle name="Normal 3 37 14" xfId="20375"/>
    <cellStyle name="Normal 3 37 15" xfId="20376"/>
    <cellStyle name="Normal 3 37 16" xfId="20377"/>
    <cellStyle name="Normal 3 37 17" xfId="20378"/>
    <cellStyle name="Normal 3 37 18" xfId="20379"/>
    <cellStyle name="Normal 3 37 19" xfId="20380"/>
    <cellStyle name="Normal 3 37 2" xfId="20381"/>
    <cellStyle name="Normal 3 37 20" xfId="20382"/>
    <cellStyle name="Normal 3 37 21" xfId="20383"/>
    <cellStyle name="Normal 3 37 22" xfId="20384"/>
    <cellStyle name="Normal 3 37 23" xfId="20385"/>
    <cellStyle name="Normal 3 37 24" xfId="20386"/>
    <cellStyle name="Normal 3 37 3" xfId="20387"/>
    <cellStyle name="Normal 3 37 4" xfId="20388"/>
    <cellStyle name="Normal 3 37 5" xfId="20389"/>
    <cellStyle name="Normal 3 37 6" xfId="20390"/>
    <cellStyle name="Normal 3 37 7" xfId="20391"/>
    <cellStyle name="Normal 3 37 8" xfId="20392"/>
    <cellStyle name="Normal 3 37 9" xfId="20393"/>
    <cellStyle name="Normal 3 38" xfId="5536"/>
    <cellStyle name="Normal 3 38 10" xfId="20394"/>
    <cellStyle name="Normal 3 38 11" xfId="20395"/>
    <cellStyle name="Normal 3 38 12" xfId="20396"/>
    <cellStyle name="Normal 3 38 13" xfId="20397"/>
    <cellStyle name="Normal 3 38 14" xfId="20398"/>
    <cellStyle name="Normal 3 38 15" xfId="20399"/>
    <cellStyle name="Normal 3 38 16" xfId="20400"/>
    <cellStyle name="Normal 3 38 17" xfId="20401"/>
    <cellStyle name="Normal 3 38 18" xfId="20402"/>
    <cellStyle name="Normal 3 38 19" xfId="20403"/>
    <cellStyle name="Normal 3 38 2" xfId="20404"/>
    <cellStyle name="Normal 3 38 20" xfId="20405"/>
    <cellStyle name="Normal 3 38 21" xfId="20406"/>
    <cellStyle name="Normal 3 38 22" xfId="20407"/>
    <cellStyle name="Normal 3 38 23" xfId="20408"/>
    <cellStyle name="Normal 3 38 24" xfId="20409"/>
    <cellStyle name="Normal 3 38 25" xfId="20410"/>
    <cellStyle name="Normal 3 38 3" xfId="20411"/>
    <cellStyle name="Normal 3 38 4" xfId="20412"/>
    <cellStyle name="Normal 3 38 5" xfId="20413"/>
    <cellStyle name="Normal 3 38 6" xfId="20414"/>
    <cellStyle name="Normal 3 38 7" xfId="20415"/>
    <cellStyle name="Normal 3 38 8" xfId="20416"/>
    <cellStyle name="Normal 3 38 9" xfId="20417"/>
    <cellStyle name="Normal 3 39" xfId="5537"/>
    <cellStyle name="Normal 3 39 10" xfId="20418"/>
    <cellStyle name="Normal 3 39 11" xfId="20419"/>
    <cellStyle name="Normal 3 39 12" xfId="20420"/>
    <cellStyle name="Normal 3 39 13" xfId="20421"/>
    <cellStyle name="Normal 3 39 14" xfId="20422"/>
    <cellStyle name="Normal 3 39 15" xfId="20423"/>
    <cellStyle name="Normal 3 39 16" xfId="20424"/>
    <cellStyle name="Normal 3 39 17" xfId="20425"/>
    <cellStyle name="Normal 3 39 18" xfId="20426"/>
    <cellStyle name="Normal 3 39 19" xfId="20427"/>
    <cellStyle name="Normal 3 39 2" xfId="20428"/>
    <cellStyle name="Normal 3 39 20" xfId="20429"/>
    <cellStyle name="Normal 3 39 21" xfId="20430"/>
    <cellStyle name="Normal 3 39 22" xfId="20431"/>
    <cellStyle name="Normal 3 39 23" xfId="20432"/>
    <cellStyle name="Normal 3 39 3" xfId="20433"/>
    <cellStyle name="Normal 3 39 4" xfId="20434"/>
    <cellStyle name="Normal 3 39 5" xfId="20435"/>
    <cellStyle name="Normal 3 39 6" xfId="20436"/>
    <cellStyle name="Normal 3 39 7" xfId="20437"/>
    <cellStyle name="Normal 3 39 8" xfId="20438"/>
    <cellStyle name="Normal 3 39 9" xfId="20439"/>
    <cellStyle name="Normal 3 4" xfId="5538"/>
    <cellStyle name="Normal 3 4 10" xfId="5539"/>
    <cellStyle name="Normal 3 4 11" xfId="5540"/>
    <cellStyle name="Normal 3 4 12" xfId="5541"/>
    <cellStyle name="Normal 3 4 13" xfId="20440"/>
    <cellStyle name="Normal 3 4 14" xfId="20441"/>
    <cellStyle name="Normal 3 4 15" xfId="20442"/>
    <cellStyle name="Normal 3 4 16" xfId="20443"/>
    <cellStyle name="Normal 3 4 17" xfId="20444"/>
    <cellStyle name="Normal 3 4 18" xfId="20445"/>
    <cellStyle name="Normal 3 4 19" xfId="20446"/>
    <cellStyle name="Normal 3 4 2" xfId="5542"/>
    <cellStyle name="Normal 3 4 20" xfId="20447"/>
    <cellStyle name="Normal 3 4 21" xfId="20448"/>
    <cellStyle name="Normal 3 4 22" xfId="20449"/>
    <cellStyle name="Normal 3 4 23" xfId="20450"/>
    <cellStyle name="Normal 3 4 24" xfId="20451"/>
    <cellStyle name="Normal 3 4 25" xfId="20452"/>
    <cellStyle name="Normal 3 4 26" xfId="20453"/>
    <cellStyle name="Normal 3 4 27" xfId="20454"/>
    <cellStyle name="Normal 3 4 28" xfId="20455"/>
    <cellStyle name="Normal 3 4 29" xfId="20456"/>
    <cellStyle name="Normal 3 4 3" xfId="5543"/>
    <cellStyle name="Normal 3 4 30" xfId="20457"/>
    <cellStyle name="Normal 3 4 31" xfId="20458"/>
    <cellStyle name="Normal 3 4 32" xfId="20459"/>
    <cellStyle name="Normal 3 4 33" xfId="20460"/>
    <cellStyle name="Normal 3 4 4" xfId="5544"/>
    <cellStyle name="Normal 3 4 5" xfId="5545"/>
    <cellStyle name="Normal 3 4 6" xfId="5546"/>
    <cellStyle name="Normal 3 4 6 10" xfId="20461"/>
    <cellStyle name="Normal 3 4 6 11" xfId="20462"/>
    <cellStyle name="Normal 3 4 6 12" xfId="20463"/>
    <cellStyle name="Normal 3 4 6 13" xfId="20464"/>
    <cellStyle name="Normal 3 4 6 14" xfId="20465"/>
    <cellStyle name="Normal 3 4 6 15" xfId="20466"/>
    <cellStyle name="Normal 3 4 6 16" xfId="20467"/>
    <cellStyle name="Normal 3 4 6 17" xfId="20468"/>
    <cellStyle name="Normal 3 4 6 18" xfId="20469"/>
    <cellStyle name="Normal 3 4 6 19" xfId="20470"/>
    <cellStyle name="Normal 3 4 6 2" xfId="20471"/>
    <cellStyle name="Normal 3 4 6 20" xfId="20472"/>
    <cellStyle name="Normal 3 4 6 21" xfId="20473"/>
    <cellStyle name="Normal 3 4 6 22" xfId="20474"/>
    <cellStyle name="Normal 3 4 6 23" xfId="20475"/>
    <cellStyle name="Normal 3 4 6 3" xfId="20476"/>
    <cellStyle name="Normal 3 4 6 4" xfId="20477"/>
    <cellStyle name="Normal 3 4 6 5" xfId="20478"/>
    <cellStyle name="Normal 3 4 6 6" xfId="20479"/>
    <cellStyle name="Normal 3 4 6 7" xfId="20480"/>
    <cellStyle name="Normal 3 4 6 8" xfId="20481"/>
    <cellStyle name="Normal 3 4 6 9" xfId="20482"/>
    <cellStyle name="Normal 3 4 7" xfId="5547"/>
    <cellStyle name="Normal 3 4 8" xfId="5548"/>
    <cellStyle name="Normal 3 4 9" xfId="5549"/>
    <cellStyle name="Normal 3 40" xfId="5550"/>
    <cellStyle name="Normal 3 40 10" xfId="20483"/>
    <cellStyle name="Normal 3 40 11" xfId="20484"/>
    <cellStyle name="Normal 3 40 12" xfId="20485"/>
    <cellStyle name="Normal 3 40 13" xfId="20486"/>
    <cellStyle name="Normal 3 40 14" xfId="20487"/>
    <cellStyle name="Normal 3 40 15" xfId="20488"/>
    <cellStyle name="Normal 3 40 16" xfId="20489"/>
    <cellStyle name="Normal 3 40 17" xfId="20490"/>
    <cellStyle name="Normal 3 40 18" xfId="20491"/>
    <cellStyle name="Normal 3 40 19" xfId="20492"/>
    <cellStyle name="Normal 3 40 2" xfId="20493"/>
    <cellStyle name="Normal 3 40 2 2" xfId="20494"/>
    <cellStyle name="Normal 3 40 20" xfId="20495"/>
    <cellStyle name="Normal 3 40 21" xfId="20496"/>
    <cellStyle name="Normal 3 40 22" xfId="20497"/>
    <cellStyle name="Normal 3 40 23" xfId="20498"/>
    <cellStyle name="Normal 3 40 3" xfId="20499"/>
    <cellStyle name="Normal 3 40 4" xfId="20500"/>
    <cellStyle name="Normal 3 40 5" xfId="20501"/>
    <cellStyle name="Normal 3 40 6" xfId="20502"/>
    <cellStyle name="Normal 3 40 7" xfId="20503"/>
    <cellStyle name="Normal 3 40 8" xfId="20504"/>
    <cellStyle name="Normal 3 40 9" xfId="20505"/>
    <cellStyle name="Normal 3 41" xfId="5551"/>
    <cellStyle name="Normal 3 41 10" xfId="20506"/>
    <cellStyle name="Normal 3 41 11" xfId="20507"/>
    <cellStyle name="Normal 3 41 12" xfId="20508"/>
    <cellStyle name="Normal 3 41 13" xfId="20509"/>
    <cellStyle name="Normal 3 41 14" xfId="20510"/>
    <cellStyle name="Normal 3 41 15" xfId="20511"/>
    <cellStyle name="Normal 3 41 16" xfId="20512"/>
    <cellStyle name="Normal 3 41 17" xfId="20513"/>
    <cellStyle name="Normal 3 41 18" xfId="20514"/>
    <cellStyle name="Normal 3 41 19" xfId="20515"/>
    <cellStyle name="Normal 3 41 2" xfId="20516"/>
    <cellStyle name="Normal 3 41 20" xfId="20517"/>
    <cellStyle name="Normal 3 41 21" xfId="20518"/>
    <cellStyle name="Normal 3 41 22" xfId="20519"/>
    <cellStyle name="Normal 3 41 23" xfId="20520"/>
    <cellStyle name="Normal 3 41 3" xfId="20521"/>
    <cellStyle name="Normal 3 41 4" xfId="20522"/>
    <cellStyle name="Normal 3 41 5" xfId="20523"/>
    <cellStyle name="Normal 3 41 6" xfId="20524"/>
    <cellStyle name="Normal 3 41 7" xfId="20525"/>
    <cellStyle name="Normal 3 41 8" xfId="20526"/>
    <cellStyle name="Normal 3 41 9" xfId="20527"/>
    <cellStyle name="Normal 3 42" xfId="5552"/>
    <cellStyle name="Normal 3 42 10" xfId="20528"/>
    <cellStyle name="Normal 3 42 11" xfId="20529"/>
    <cellStyle name="Normal 3 42 12" xfId="20530"/>
    <cellStyle name="Normal 3 42 13" xfId="20531"/>
    <cellStyle name="Normal 3 42 14" xfId="20532"/>
    <cellStyle name="Normal 3 42 15" xfId="20533"/>
    <cellStyle name="Normal 3 42 16" xfId="20534"/>
    <cellStyle name="Normal 3 42 17" xfId="20535"/>
    <cellStyle name="Normal 3 42 18" xfId="20536"/>
    <cellStyle name="Normal 3 42 19" xfId="20537"/>
    <cellStyle name="Normal 3 42 2" xfId="20538"/>
    <cellStyle name="Normal 3 42 20" xfId="20539"/>
    <cellStyle name="Normal 3 42 21" xfId="20540"/>
    <cellStyle name="Normal 3 42 22" xfId="20541"/>
    <cellStyle name="Normal 3 42 23" xfId="20542"/>
    <cellStyle name="Normal 3 42 3" xfId="20543"/>
    <cellStyle name="Normal 3 42 4" xfId="20544"/>
    <cellStyle name="Normal 3 42 5" xfId="20545"/>
    <cellStyle name="Normal 3 42 6" xfId="20546"/>
    <cellStyle name="Normal 3 42 7" xfId="20547"/>
    <cellStyle name="Normal 3 42 8" xfId="20548"/>
    <cellStyle name="Normal 3 42 9" xfId="20549"/>
    <cellStyle name="Normal 3 43" xfId="5553"/>
    <cellStyle name="Normal 3 44" xfId="5554"/>
    <cellStyle name="Normal 3 45" xfId="5555"/>
    <cellStyle name="Normal 3 46" xfId="5556"/>
    <cellStyle name="Normal 3 47" xfId="5557"/>
    <cellStyle name="Normal 3 48" xfId="5558"/>
    <cellStyle name="Normal 3 49" xfId="5559"/>
    <cellStyle name="Normal 3 5" xfId="11"/>
    <cellStyle name="Normal 3 5 10" xfId="5560"/>
    <cellStyle name="Normal 3 5 11" xfId="5561"/>
    <cellStyle name="Normal 3 5 12" xfId="5562"/>
    <cellStyle name="Normal 3 5 13" xfId="5563"/>
    <cellStyle name="Normal 3 5 13 2" xfId="20550"/>
    <cellStyle name="Normal 3 5 13 3" xfId="20551"/>
    <cellStyle name="Normal 3 5 13 4" xfId="20552"/>
    <cellStyle name="Normal 3 5 14" xfId="20553"/>
    <cellStyle name="Normal 3 5 15" xfId="20554"/>
    <cellStyle name="Normal 3 5 16" xfId="20555"/>
    <cellStyle name="Normal 3 5 17" xfId="20556"/>
    <cellStyle name="Normal 3 5 18" xfId="20557"/>
    <cellStyle name="Normal 3 5 19" xfId="20558"/>
    <cellStyle name="Normal 3 5 2" xfId="5564"/>
    <cellStyle name="Normal 3 5 2 2" xfId="5565"/>
    <cellStyle name="Normal 3 5 2 3" xfId="5566"/>
    <cellStyle name="Normal 3 5 2 4" xfId="5567"/>
    <cellStyle name="Normal 3 5 2 5" xfId="5568"/>
    <cellStyle name="Normal 3 5 2 6" xfId="5569"/>
    <cellStyle name="Normal 3 5 2 7" xfId="5570"/>
    <cellStyle name="Normal 3 5 2 8" xfId="5571"/>
    <cellStyle name="Normal 3 5 2 9" xfId="5572"/>
    <cellStyle name="Normal 3 5 20" xfId="20559"/>
    <cellStyle name="Normal 3 5 21" xfId="20560"/>
    <cellStyle name="Normal 3 5 22" xfId="20561"/>
    <cellStyle name="Normal 3 5 23" xfId="20562"/>
    <cellStyle name="Normal 3 5 24" xfId="20563"/>
    <cellStyle name="Normal 3 5 25" xfId="20564"/>
    <cellStyle name="Normal 3 5 26" xfId="20565"/>
    <cellStyle name="Normal 3 5 27" xfId="20566"/>
    <cellStyle name="Normal 3 5 28" xfId="20567"/>
    <cellStyle name="Normal 3 5 29" xfId="20568"/>
    <cellStyle name="Normal 3 5 3" xfId="5573"/>
    <cellStyle name="Normal 3 5 30" xfId="20569"/>
    <cellStyle name="Normal 3 5 31" xfId="20570"/>
    <cellStyle name="Normal 3 5 32" xfId="20571"/>
    <cellStyle name="Normal 3 5 33" xfId="20572"/>
    <cellStyle name="Normal 3 5 34" xfId="20573"/>
    <cellStyle name="Normal 3 5 4" xfId="5574"/>
    <cellStyle name="Normal 3 5 5" xfId="5575"/>
    <cellStyle name="Normal 3 5 6" xfId="5576"/>
    <cellStyle name="Normal 3 5 6 10" xfId="20574"/>
    <cellStyle name="Normal 3 5 6 11" xfId="20575"/>
    <cellStyle name="Normal 3 5 6 12" xfId="20576"/>
    <cellStyle name="Normal 3 5 6 13" xfId="20577"/>
    <cellStyle name="Normal 3 5 6 14" xfId="20578"/>
    <cellStyle name="Normal 3 5 6 15" xfId="20579"/>
    <cellStyle name="Normal 3 5 6 16" xfId="20580"/>
    <cellStyle name="Normal 3 5 6 17" xfId="20581"/>
    <cellStyle name="Normal 3 5 6 18" xfId="20582"/>
    <cellStyle name="Normal 3 5 6 19" xfId="20583"/>
    <cellStyle name="Normal 3 5 6 2" xfId="20584"/>
    <cellStyle name="Normal 3 5 6 20" xfId="20585"/>
    <cellStyle name="Normal 3 5 6 21" xfId="20586"/>
    <cellStyle name="Normal 3 5 6 22" xfId="20587"/>
    <cellStyle name="Normal 3 5 6 23" xfId="20588"/>
    <cellStyle name="Normal 3 5 6 3" xfId="20589"/>
    <cellStyle name="Normal 3 5 6 4" xfId="20590"/>
    <cellStyle name="Normal 3 5 6 5" xfId="20591"/>
    <cellStyle name="Normal 3 5 6 6" xfId="20592"/>
    <cellStyle name="Normal 3 5 6 7" xfId="20593"/>
    <cellStyle name="Normal 3 5 6 8" xfId="20594"/>
    <cellStyle name="Normal 3 5 6 9" xfId="20595"/>
    <cellStyle name="Normal 3 5 7" xfId="5577"/>
    <cellStyle name="Normal 3 5 7 10" xfId="20596"/>
    <cellStyle name="Normal 3 5 7 11" xfId="20597"/>
    <cellStyle name="Normal 3 5 7 12" xfId="20598"/>
    <cellStyle name="Normal 3 5 7 13" xfId="20599"/>
    <cellStyle name="Normal 3 5 7 14" xfId="20600"/>
    <cellStyle name="Normal 3 5 7 15" xfId="20601"/>
    <cellStyle name="Normal 3 5 7 16" xfId="20602"/>
    <cellStyle name="Normal 3 5 7 17" xfId="20603"/>
    <cellStyle name="Normal 3 5 7 18" xfId="20604"/>
    <cellStyle name="Normal 3 5 7 19" xfId="20605"/>
    <cellStyle name="Normal 3 5 7 2" xfId="20606"/>
    <cellStyle name="Normal 3 5 7 20" xfId="20607"/>
    <cellStyle name="Normal 3 5 7 21" xfId="20608"/>
    <cellStyle name="Normal 3 5 7 22" xfId="20609"/>
    <cellStyle name="Normal 3 5 7 23" xfId="20610"/>
    <cellStyle name="Normal 3 5 7 3" xfId="20611"/>
    <cellStyle name="Normal 3 5 7 4" xfId="20612"/>
    <cellStyle name="Normal 3 5 7 5" xfId="20613"/>
    <cellStyle name="Normal 3 5 7 6" xfId="20614"/>
    <cellStyle name="Normal 3 5 7 7" xfId="20615"/>
    <cellStyle name="Normal 3 5 7 8" xfId="20616"/>
    <cellStyle name="Normal 3 5 7 9" xfId="20617"/>
    <cellStyle name="Normal 3 5 8" xfId="5578"/>
    <cellStyle name="Normal 3 5 9" xfId="5579"/>
    <cellStyle name="Normal 3 50" xfId="5580"/>
    <cellStyle name="Normal 3 51" xfId="5581"/>
    <cellStyle name="Normal 3 52" xfId="5582"/>
    <cellStyle name="Normal 3 53" xfId="5583"/>
    <cellStyle name="Normal 3 54" xfId="5584"/>
    <cellStyle name="Normal 3 55" xfId="5585"/>
    <cellStyle name="Normal 3 56" xfId="5586"/>
    <cellStyle name="Normal 3 57" xfId="5587"/>
    <cellStyle name="Normal 3 57 2" xfId="20618"/>
    <cellStyle name="Normal 3 57 3" xfId="20619"/>
    <cellStyle name="Normal 3 57 4" xfId="20620"/>
    <cellStyle name="Normal 3 58" xfId="5588"/>
    <cellStyle name="Normal 3 58 2" xfId="20621"/>
    <cellStyle name="Normal 3 58 3" xfId="20622"/>
    <cellStyle name="Normal 3 58 4" xfId="20623"/>
    <cellStyle name="Normal 3 59" xfId="5589"/>
    <cellStyle name="Normal 3 59 2" xfId="20624"/>
    <cellStyle name="Normal 3 59 3" xfId="20625"/>
    <cellStyle name="Normal 3 59 4" xfId="20626"/>
    <cellStyle name="Normal 3 6" xfId="5590"/>
    <cellStyle name="Normal 3 6 10" xfId="5591"/>
    <cellStyle name="Normal 3 6 11" xfId="5592"/>
    <cellStyle name="Normal 3 6 12" xfId="5593"/>
    <cellStyle name="Normal 3 6 2" xfId="5594"/>
    <cellStyle name="Normal 3 6 3" xfId="5595"/>
    <cellStyle name="Normal 3 6 4" xfId="5596"/>
    <cellStyle name="Normal 3 6 5" xfId="5597"/>
    <cellStyle name="Normal 3 6 6" xfId="5598"/>
    <cellStyle name="Normal 3 6 7" xfId="5599"/>
    <cellStyle name="Normal 3 6 8" xfId="5600"/>
    <cellStyle name="Normal 3 6 9" xfId="5601"/>
    <cellStyle name="Normal 3 60" xfId="5602"/>
    <cellStyle name="Normal 3 60 2" xfId="20627"/>
    <cellStyle name="Normal 3 60 3" xfId="20628"/>
    <cellStyle name="Normal 3 60 4" xfId="20629"/>
    <cellStyle name="Normal 3 61" xfId="5603"/>
    <cellStyle name="Normal 3 61 2" xfId="20630"/>
    <cellStyle name="Normal 3 61 3" xfId="20631"/>
    <cellStyle name="Normal 3 61 4" xfId="20632"/>
    <cellStyle name="Normal 3 62" xfId="5604"/>
    <cellStyle name="Normal 3 62 2" xfId="20633"/>
    <cellStyle name="Normal 3 62 3" xfId="20634"/>
    <cellStyle name="Normal 3 62 4" xfId="20635"/>
    <cellStyle name="Normal 3 63" xfId="5605"/>
    <cellStyle name="Normal 3 63 2" xfId="20636"/>
    <cellStyle name="Normal 3 63 3" xfId="20637"/>
    <cellStyle name="Normal 3 63 4" xfId="20638"/>
    <cellStyle name="Normal 3 64" xfId="5606"/>
    <cellStyle name="Normal 3 64 2" xfId="20639"/>
    <cellStyle name="Normal 3 64 3" xfId="20640"/>
    <cellStyle name="Normal 3 64 4" xfId="20641"/>
    <cellStyle name="Normal 3 65" xfId="5607"/>
    <cellStyle name="Normal 3 65 2" xfId="20642"/>
    <cellStyle name="Normal 3 65 3" xfId="20643"/>
    <cellStyle name="Normal 3 65 4" xfId="20644"/>
    <cellStyle name="Normal 3 66" xfId="5608"/>
    <cellStyle name="Normal 3 66 2" xfId="20645"/>
    <cellStyle name="Normal 3 66 3" xfId="20646"/>
    <cellStyle name="Normal 3 66 4" xfId="20647"/>
    <cellStyle name="Normal 3 67" xfId="5609"/>
    <cellStyle name="Normal 3 67 2" xfId="20648"/>
    <cellStyle name="Normal 3 67 3" xfId="20649"/>
    <cellStyle name="Normal 3 67 4" xfId="20650"/>
    <cellStyle name="Normal 3 68" xfId="5610"/>
    <cellStyle name="Normal 3 68 2" xfId="20651"/>
    <cellStyle name="Normal 3 68 3" xfId="20652"/>
    <cellStyle name="Normal 3 68 4" xfId="20653"/>
    <cellStyle name="Normal 3 69" xfId="5611"/>
    <cellStyle name="Normal 3 69 2" xfId="20654"/>
    <cellStyle name="Normal 3 69 3" xfId="20655"/>
    <cellStyle name="Normal 3 69 4" xfId="20656"/>
    <cellStyle name="Normal 3 7" xfId="5612"/>
    <cellStyle name="Normal 3 7 2" xfId="5613"/>
    <cellStyle name="Normal 3 7 3" xfId="5614"/>
    <cellStyle name="Normal 3 7 4" xfId="5615"/>
    <cellStyle name="Normal 3 7 5" xfId="5616"/>
    <cellStyle name="Normal 3 7 6" xfId="5617"/>
    <cellStyle name="Normal 3 7 7" xfId="5618"/>
    <cellStyle name="Normal 3 70" xfId="5619"/>
    <cellStyle name="Normal 3 70 2" xfId="20657"/>
    <cellStyle name="Normal 3 70 3" xfId="20658"/>
    <cellStyle name="Normal 3 70 4" xfId="20659"/>
    <cellStyle name="Normal 3 71" xfId="5620"/>
    <cellStyle name="Normal 3 71 2" xfId="20660"/>
    <cellStyle name="Normal 3 71 3" xfId="20661"/>
    <cellStyle name="Normal 3 71 4" xfId="20662"/>
    <cellStyle name="Normal 3 72" xfId="5621"/>
    <cellStyle name="Normal 3 72 2" xfId="20663"/>
    <cellStyle name="Normal 3 72 3" xfId="20664"/>
    <cellStyle name="Normal 3 72 4" xfId="20665"/>
    <cellStyle name="Normal 3 73" xfId="5622"/>
    <cellStyle name="Normal 3 73 2" xfId="20666"/>
    <cellStyle name="Normal 3 73 3" xfId="20667"/>
    <cellStyle name="Normal 3 73 4" xfId="20668"/>
    <cellStyle name="Normal 3 74" xfId="5623"/>
    <cellStyle name="Normal 3 74 2" xfId="20669"/>
    <cellStyle name="Normal 3 74 3" xfId="20670"/>
    <cellStyle name="Normal 3 74 4" xfId="20671"/>
    <cellStyle name="Normal 3 75" xfId="5624"/>
    <cellStyle name="Normal 3 75 2" xfId="20672"/>
    <cellStyle name="Normal 3 75 3" xfId="20673"/>
    <cellStyle name="Normal 3 75 4" xfId="20674"/>
    <cellStyle name="Normal 3 76" xfId="5625"/>
    <cellStyle name="Normal 3 76 2" xfId="20675"/>
    <cellStyle name="Normal 3 76 3" xfId="20676"/>
    <cellStyle name="Normal 3 76 4" xfId="20677"/>
    <cellStyle name="Normal 3 77" xfId="5626"/>
    <cellStyle name="Normal 3 77 2" xfId="20678"/>
    <cellStyle name="Normal 3 77 3" xfId="20679"/>
    <cellStyle name="Normal 3 77 4" xfId="20680"/>
    <cellStyle name="Normal 3 78" xfId="5627"/>
    <cellStyle name="Normal 3 78 2" xfId="20681"/>
    <cellStyle name="Normal 3 78 3" xfId="20682"/>
    <cellStyle name="Normal 3 78 4" xfId="20683"/>
    <cellStyle name="Normal 3 79" xfId="5628"/>
    <cellStyle name="Normal 3 79 2" xfId="20684"/>
    <cellStyle name="Normal 3 79 3" xfId="20685"/>
    <cellStyle name="Normal 3 79 4" xfId="20686"/>
    <cellStyle name="Normal 3 8" xfId="5629"/>
    <cellStyle name="Normal 3 8 2" xfId="5630"/>
    <cellStyle name="Normal 3 8 3" xfId="5631"/>
    <cellStyle name="Normal 3 8 4" xfId="5632"/>
    <cellStyle name="Normal 3 8 5" xfId="5633"/>
    <cellStyle name="Normal 3 8 6" xfId="5634"/>
    <cellStyle name="Normal 3 8 7" xfId="5635"/>
    <cellStyle name="Normal 3 80" xfId="5636"/>
    <cellStyle name="Normal 3 80 2" xfId="20687"/>
    <cellStyle name="Normal 3 80 3" xfId="20688"/>
    <cellStyle name="Normal 3 80 4" xfId="20689"/>
    <cellStyle name="Normal 3 81" xfId="5637"/>
    <cellStyle name="Normal 3 81 2" xfId="20690"/>
    <cellStyle name="Normal 3 81 3" xfId="20691"/>
    <cellStyle name="Normal 3 81 4" xfId="20692"/>
    <cellStyle name="Normal 3 82" xfId="5638"/>
    <cellStyle name="Normal 3 82 2" xfId="20693"/>
    <cellStyle name="Normal 3 82 3" xfId="20694"/>
    <cellStyle name="Normal 3 82 4" xfId="20695"/>
    <cellStyle name="Normal 3 83" xfId="5639"/>
    <cellStyle name="Normal 3 83 2" xfId="20696"/>
    <cellStyle name="Normal 3 83 3" xfId="20697"/>
    <cellStyle name="Normal 3 83 4" xfId="20698"/>
    <cellStyle name="Normal 3 84" xfId="5640"/>
    <cellStyle name="Normal 3 84 2" xfId="20699"/>
    <cellStyle name="Normal 3 84 3" xfId="20700"/>
    <cellStyle name="Normal 3 84 4" xfId="20701"/>
    <cellStyle name="Normal 3 85" xfId="5641"/>
    <cellStyle name="Normal 3 85 2" xfId="20702"/>
    <cellStyle name="Normal 3 85 3" xfId="20703"/>
    <cellStyle name="Normal 3 85 4" xfId="20704"/>
    <cellStyle name="Normal 3 86" xfId="5642"/>
    <cellStyle name="Normal 3 86 2" xfId="20705"/>
    <cellStyle name="Normal 3 86 3" xfId="20706"/>
    <cellStyle name="Normal 3 86 4" xfId="20707"/>
    <cellStyle name="Normal 3 87" xfId="5643"/>
    <cellStyle name="Normal 3 87 2" xfId="20708"/>
    <cellStyle name="Normal 3 87 3" xfId="20709"/>
    <cellStyle name="Normal 3 87 4" xfId="20710"/>
    <cellStyle name="Normal 3 88" xfId="5644"/>
    <cellStyle name="Normal 3 88 2" xfId="20711"/>
    <cellStyle name="Normal 3 88 3" xfId="20712"/>
    <cellStyle name="Normal 3 88 4" xfId="20713"/>
    <cellStyle name="Normal 3 89" xfId="5645"/>
    <cellStyle name="Normal 3 89 2" xfId="20714"/>
    <cellStyle name="Normal 3 89 3" xfId="20715"/>
    <cellStyle name="Normal 3 89 4" xfId="20716"/>
    <cellStyle name="Normal 3 9" xfId="5646"/>
    <cellStyle name="Normal 3 9 2" xfId="5647"/>
    <cellStyle name="Normal 3 9 3" xfId="5648"/>
    <cellStyle name="Normal 3 9 4" xfId="5649"/>
    <cellStyle name="Normal 3 9 5" xfId="5650"/>
    <cellStyle name="Normal 3 9 6" xfId="5651"/>
    <cellStyle name="Normal 3 9 7" xfId="5652"/>
    <cellStyle name="Normal 3 90" xfId="5653"/>
    <cellStyle name="Normal 3 90 2" xfId="20717"/>
    <cellStyle name="Normal 3 90 3" xfId="20718"/>
    <cellStyle name="Normal 3 90 4" xfId="20719"/>
    <cellStyle name="Normal 3 91" xfId="5654"/>
    <cellStyle name="Normal 3 91 2" xfId="20720"/>
    <cellStyle name="Normal 3 91 3" xfId="20721"/>
    <cellStyle name="Normal 3 91 4" xfId="20722"/>
    <cellStyle name="Normal 3 92" xfId="5655"/>
    <cellStyle name="Normal 3 92 2" xfId="20723"/>
    <cellStyle name="Normal 3 92 3" xfId="20724"/>
    <cellStyle name="Normal 3 92 4" xfId="20725"/>
    <cellStyle name="Normal 3 93" xfId="5656"/>
    <cellStyle name="Normal 3 93 2" xfId="20726"/>
    <cellStyle name="Normal 3 93 3" xfId="20727"/>
    <cellStyle name="Normal 3 93 4" xfId="20728"/>
    <cellStyle name="Normal 3 94" xfId="5657"/>
    <cellStyle name="Normal 3 94 2" xfId="20729"/>
    <cellStyle name="Normal 3 94 3" xfId="20730"/>
    <cellStyle name="Normal 3 94 4" xfId="20731"/>
    <cellStyle name="Normal 3 95" xfId="5658"/>
    <cellStyle name="Normal 3 95 2" xfId="20732"/>
    <cellStyle name="Normal 3 95 3" xfId="20733"/>
    <cellStyle name="Normal 3 95 4" xfId="20734"/>
    <cellStyle name="Normal 3 96" xfId="5659"/>
    <cellStyle name="Normal 3 96 2" xfId="20735"/>
    <cellStyle name="Normal 3 96 3" xfId="20736"/>
    <cellStyle name="Normal 3 96 4" xfId="20737"/>
    <cellStyle name="Normal 3 97" xfId="5660"/>
    <cellStyle name="Normal 3 97 2" xfId="20738"/>
    <cellStyle name="Normal 3 97 3" xfId="20739"/>
    <cellStyle name="Normal 3 97 4" xfId="20740"/>
    <cellStyle name="Normal 3 98" xfId="5661"/>
    <cellStyle name="Normal 3 98 2" xfId="20741"/>
    <cellStyle name="Normal 3 98 3" xfId="20742"/>
    <cellStyle name="Normal 3 98 4" xfId="20743"/>
    <cellStyle name="Normal 3 99" xfId="5662"/>
    <cellStyle name="Normal 3 99 2" xfId="20744"/>
    <cellStyle name="Normal 3 99 3" xfId="20745"/>
    <cellStyle name="Normal 3 99 4" xfId="20746"/>
    <cellStyle name="Normal 3_13. PA.1_Penambahan" xfId="5663"/>
    <cellStyle name="Normal 30" xfId="5664"/>
    <cellStyle name="Normal 30 10" xfId="5665"/>
    <cellStyle name="Normal 30 2" xfId="5666"/>
    <cellStyle name="Normal 30 2 2" xfId="5667"/>
    <cellStyle name="Normal 30 3" xfId="5668"/>
    <cellStyle name="Normal 30 4" xfId="5669"/>
    <cellStyle name="Normal 30 5" xfId="5670"/>
    <cellStyle name="Normal 30 6" xfId="5671"/>
    <cellStyle name="Normal 30 7" xfId="5672"/>
    <cellStyle name="Normal 30 8" xfId="5673"/>
    <cellStyle name="Normal 30 9" xfId="5674"/>
    <cellStyle name="Normal 31" xfId="5675"/>
    <cellStyle name="Normal 31 10" xfId="5676"/>
    <cellStyle name="Normal 31 2" xfId="5677"/>
    <cellStyle name="Normal 31 2 10" xfId="5678"/>
    <cellStyle name="Normal 31 2 11" xfId="5679"/>
    <cellStyle name="Normal 31 2 12" xfId="5680"/>
    <cellStyle name="Normal 31 2 13" xfId="5681"/>
    <cellStyle name="Normal 31 2 14" xfId="5682"/>
    <cellStyle name="Normal 31 2 15" xfId="5683"/>
    <cellStyle name="Normal 31 2 16" xfId="5684"/>
    <cellStyle name="Normal 31 2 17" xfId="5685"/>
    <cellStyle name="Normal 31 2 18" xfId="5686"/>
    <cellStyle name="Normal 31 2 19" xfId="5687"/>
    <cellStyle name="Normal 31 2 2" xfId="5688"/>
    <cellStyle name="Normal 31 2 20" xfId="5689"/>
    <cellStyle name="Normal 31 2 21" xfId="5690"/>
    <cellStyle name="Normal 31 2 22" xfId="5691"/>
    <cellStyle name="Normal 31 2 23" xfId="5692"/>
    <cellStyle name="Normal 31 2 24" xfId="5693"/>
    <cellStyle name="Normal 31 2 25" xfId="5694"/>
    <cellStyle name="Normal 31 2 26" xfId="5695"/>
    <cellStyle name="Normal 31 2 27" xfId="5696"/>
    <cellStyle name="Normal 31 2 28" xfId="5697"/>
    <cellStyle name="Normal 31 2 29" xfId="5698"/>
    <cellStyle name="Normal 31 2 3" xfId="5699"/>
    <cellStyle name="Normal 31 2 30" xfId="5700"/>
    <cellStyle name="Normal 31 2 31" xfId="5701"/>
    <cellStyle name="Normal 31 2 32" xfId="5702"/>
    <cellStyle name="Normal 31 2 33" xfId="5703"/>
    <cellStyle name="Normal 31 2 34" xfId="5704"/>
    <cellStyle name="Normal 31 2 35" xfId="5705"/>
    <cellStyle name="Normal 31 2 36" xfId="5706"/>
    <cellStyle name="Normal 31 2 37" xfId="5707"/>
    <cellStyle name="Normal 31 2 38" xfId="5708"/>
    <cellStyle name="Normal 31 2 39" xfId="5709"/>
    <cellStyle name="Normal 31 2 4" xfId="5710"/>
    <cellStyle name="Normal 31 2 40" xfId="5711"/>
    <cellStyle name="Normal 31 2 41" xfId="5712"/>
    <cellStyle name="Normal 31 2 42" xfId="5713"/>
    <cellStyle name="Normal 31 2 43" xfId="5714"/>
    <cellStyle name="Normal 31 2 44" xfId="5715"/>
    <cellStyle name="Normal 31 2 5" xfId="5716"/>
    <cellStyle name="Normal 31 2 6" xfId="5717"/>
    <cellStyle name="Normal 31 2 7" xfId="5718"/>
    <cellStyle name="Normal 31 2 8" xfId="5719"/>
    <cellStyle name="Normal 31 2 9" xfId="5720"/>
    <cellStyle name="Normal 31 3" xfId="5721"/>
    <cellStyle name="Normal 31 3 10" xfId="20747"/>
    <cellStyle name="Normal 31 3 11" xfId="20748"/>
    <cellStyle name="Normal 31 3 12" xfId="20749"/>
    <cellStyle name="Normal 31 3 13" xfId="20750"/>
    <cellStyle name="Normal 31 3 14" xfId="20751"/>
    <cellStyle name="Normal 31 3 15" xfId="20752"/>
    <cellStyle name="Normal 31 3 16" xfId="20753"/>
    <cellStyle name="Normal 31 3 17" xfId="20754"/>
    <cellStyle name="Normal 31 3 18" xfId="20755"/>
    <cellStyle name="Normal 31 3 19" xfId="20756"/>
    <cellStyle name="Normal 31 3 2" xfId="20757"/>
    <cellStyle name="Normal 31 3 20" xfId="20758"/>
    <cellStyle name="Normal 31 3 21" xfId="20759"/>
    <cellStyle name="Normal 31 3 22" xfId="20760"/>
    <cellStyle name="Normal 31 3 23" xfId="20761"/>
    <cellStyle name="Normal 31 3 3" xfId="20762"/>
    <cellStyle name="Normal 31 3 4" xfId="20763"/>
    <cellStyle name="Normal 31 3 5" xfId="20764"/>
    <cellStyle name="Normal 31 3 6" xfId="20765"/>
    <cellStyle name="Normal 31 3 7" xfId="20766"/>
    <cellStyle name="Normal 31 3 8" xfId="20767"/>
    <cellStyle name="Normal 31 3 9" xfId="20768"/>
    <cellStyle name="Normal 31 4" xfId="5722"/>
    <cellStyle name="Normal 31 4 10" xfId="20769"/>
    <cellStyle name="Normal 31 4 11" xfId="20770"/>
    <cellStyle name="Normal 31 4 12" xfId="20771"/>
    <cellStyle name="Normal 31 4 13" xfId="20772"/>
    <cellStyle name="Normal 31 4 14" xfId="20773"/>
    <cellStyle name="Normal 31 4 15" xfId="20774"/>
    <cellStyle name="Normal 31 4 16" xfId="20775"/>
    <cellStyle name="Normal 31 4 17" xfId="20776"/>
    <cellStyle name="Normal 31 4 18" xfId="20777"/>
    <cellStyle name="Normal 31 4 19" xfId="20778"/>
    <cellStyle name="Normal 31 4 2" xfId="5723"/>
    <cellStyle name="Normal 31 4 2 10" xfId="20779"/>
    <cellStyle name="Normal 31 4 2 11" xfId="20780"/>
    <cellStyle name="Normal 31 4 2 12" xfId="20781"/>
    <cellStyle name="Normal 31 4 2 13" xfId="20782"/>
    <cellStyle name="Normal 31 4 2 14" xfId="20783"/>
    <cellStyle name="Normal 31 4 2 15" xfId="20784"/>
    <cellStyle name="Normal 31 4 2 16" xfId="20785"/>
    <cellStyle name="Normal 31 4 2 17" xfId="20786"/>
    <cellStyle name="Normal 31 4 2 18" xfId="20787"/>
    <cellStyle name="Normal 31 4 2 19" xfId="20788"/>
    <cellStyle name="Normal 31 4 2 2" xfId="5724"/>
    <cellStyle name="Normal 31 4 2 2 10" xfId="20789"/>
    <cellStyle name="Normal 31 4 2 2 11" xfId="20790"/>
    <cellStyle name="Normal 31 4 2 2 12" xfId="20791"/>
    <cellStyle name="Normal 31 4 2 2 13" xfId="20792"/>
    <cellStyle name="Normal 31 4 2 2 14" xfId="20793"/>
    <cellStyle name="Normal 31 4 2 2 15" xfId="20794"/>
    <cellStyle name="Normal 31 4 2 2 16" xfId="20795"/>
    <cellStyle name="Normal 31 4 2 2 17" xfId="20796"/>
    <cellStyle name="Normal 31 4 2 2 18" xfId="20797"/>
    <cellStyle name="Normal 31 4 2 2 19" xfId="20798"/>
    <cellStyle name="Normal 31 4 2 2 2" xfId="20799"/>
    <cellStyle name="Normal 31 4 2 2 20" xfId="20800"/>
    <cellStyle name="Normal 31 4 2 2 21" xfId="20801"/>
    <cellStyle name="Normal 31 4 2 2 22" xfId="20802"/>
    <cellStyle name="Normal 31 4 2 2 23" xfId="20803"/>
    <cellStyle name="Normal 31 4 2 2 3" xfId="20804"/>
    <cellStyle name="Normal 31 4 2 2 4" xfId="20805"/>
    <cellStyle name="Normal 31 4 2 2 5" xfId="20806"/>
    <cellStyle name="Normal 31 4 2 2 6" xfId="20807"/>
    <cellStyle name="Normal 31 4 2 2 7" xfId="20808"/>
    <cellStyle name="Normal 31 4 2 2 8" xfId="20809"/>
    <cellStyle name="Normal 31 4 2 2 9" xfId="20810"/>
    <cellStyle name="Normal 31 4 2 20" xfId="20811"/>
    <cellStyle name="Normal 31 4 2 21" xfId="20812"/>
    <cellStyle name="Normal 31 4 2 22" xfId="20813"/>
    <cellStyle name="Normal 31 4 2 23" xfId="20814"/>
    <cellStyle name="Normal 31 4 2 24" xfId="20815"/>
    <cellStyle name="Normal 31 4 2 25" xfId="20816"/>
    <cellStyle name="Normal 31 4 2 26" xfId="20817"/>
    <cellStyle name="Normal 31 4 2 3" xfId="5725"/>
    <cellStyle name="Normal 31 4 2 3 10" xfId="20818"/>
    <cellStyle name="Normal 31 4 2 3 11" xfId="20819"/>
    <cellStyle name="Normal 31 4 2 3 12" xfId="20820"/>
    <cellStyle name="Normal 31 4 2 3 13" xfId="20821"/>
    <cellStyle name="Normal 31 4 2 3 14" xfId="20822"/>
    <cellStyle name="Normal 31 4 2 3 15" xfId="20823"/>
    <cellStyle name="Normal 31 4 2 3 16" xfId="20824"/>
    <cellStyle name="Normal 31 4 2 3 17" xfId="20825"/>
    <cellStyle name="Normal 31 4 2 3 18" xfId="20826"/>
    <cellStyle name="Normal 31 4 2 3 19" xfId="20827"/>
    <cellStyle name="Normal 31 4 2 3 2" xfId="5726"/>
    <cellStyle name="Normal 31 4 2 3 2 10" xfId="20828"/>
    <cellStyle name="Normal 31 4 2 3 2 10 2" xfId="20829"/>
    <cellStyle name="Normal 31 4 2 3 2 11" xfId="20830"/>
    <cellStyle name="Normal 31 4 2 3 2 11 2" xfId="20831"/>
    <cellStyle name="Normal 31 4 2 3 2 12" xfId="20832"/>
    <cellStyle name="Normal 31 4 2 3 2 13" xfId="20833"/>
    <cellStyle name="Normal 31 4 2 3 2 14" xfId="20834"/>
    <cellStyle name="Normal 31 4 2 3 2 15" xfId="20835"/>
    <cellStyle name="Normal 31 4 2 3 2 16" xfId="20836"/>
    <cellStyle name="Normal 31 4 2 3 2 17" xfId="20837"/>
    <cellStyle name="Normal 31 4 2 3 2 18" xfId="20838"/>
    <cellStyle name="Normal 31 4 2 3 2 19" xfId="20839"/>
    <cellStyle name="Normal 31 4 2 3 2 2" xfId="20840"/>
    <cellStyle name="Normal 31 4 2 3 2 20" xfId="20841"/>
    <cellStyle name="Normal 31 4 2 3 2 21" xfId="20842"/>
    <cellStyle name="Normal 31 4 2 3 2 22" xfId="20843"/>
    <cellStyle name="Normal 31 4 2 3 2 23" xfId="20844"/>
    <cellStyle name="Normal 31 4 2 3 2 24" xfId="20845"/>
    <cellStyle name="Normal 31 4 2 3 2 25" xfId="20846"/>
    <cellStyle name="Normal 31 4 2 3 2 26" xfId="20847"/>
    <cellStyle name="Normal 31 4 2 3 2 27" xfId="20848"/>
    <cellStyle name="Normal 31 4 2 3 2 28" xfId="20849"/>
    <cellStyle name="Normal 31 4 2 3 2 29" xfId="20850"/>
    <cellStyle name="Normal 31 4 2 3 2 3" xfId="20851"/>
    <cellStyle name="Normal 31 4 2 3 2 30" xfId="20852"/>
    <cellStyle name="Normal 31 4 2 3 2 31" xfId="20853"/>
    <cellStyle name="Normal 31 4 2 3 2 4" xfId="20854"/>
    <cellStyle name="Normal 31 4 2 3 2 5" xfId="20855"/>
    <cellStyle name="Normal 31 4 2 3 2 6" xfId="20856"/>
    <cellStyle name="Normal 31 4 2 3 2 6 2" xfId="20857"/>
    <cellStyle name="Normal 31 4 2 3 2 7" xfId="20858"/>
    <cellStyle name="Normal 31 4 2 3 2 7 2" xfId="20859"/>
    <cellStyle name="Normal 31 4 2 3 2 7 2 2" xfId="20860"/>
    <cellStyle name="Normal 31 4 2 3 2 7 3" xfId="20861"/>
    <cellStyle name="Normal 31 4 2 3 2 7 4" xfId="20862"/>
    <cellStyle name="Normal 31 4 2 3 2 8" xfId="20863"/>
    <cellStyle name="Normal 31 4 2 3 2 8 2" xfId="20864"/>
    <cellStyle name="Normal 31 4 2 3 2 8 2 2" xfId="20865"/>
    <cellStyle name="Normal 31 4 2 3 2 8 3" xfId="20866"/>
    <cellStyle name="Normal 31 4 2 3 2 9" xfId="20867"/>
    <cellStyle name="Normal 31 4 2 3 2 9 2" xfId="20868"/>
    <cellStyle name="Normal 31 4 2 3 20" xfId="20869"/>
    <cellStyle name="Normal 31 4 2 3 21" xfId="20870"/>
    <cellStyle name="Normal 31 4 2 3 22" xfId="20871"/>
    <cellStyle name="Normal 31 4 2 3 23" xfId="20872"/>
    <cellStyle name="Normal 31 4 2 3 24" xfId="20873"/>
    <cellStyle name="Normal 31 4 2 3 3" xfId="20874"/>
    <cellStyle name="Normal 31 4 2 3 4" xfId="20875"/>
    <cellStyle name="Normal 31 4 2 3 5" xfId="20876"/>
    <cellStyle name="Normal 31 4 2 3 6" xfId="20877"/>
    <cellStyle name="Normal 31 4 2 3 7" xfId="20878"/>
    <cellStyle name="Normal 31 4 2 3 8" xfId="20879"/>
    <cellStyle name="Normal 31 4 2 3 9" xfId="20880"/>
    <cellStyle name="Normal 31 4 2 4" xfId="5727"/>
    <cellStyle name="Normal 31 4 2 4 10" xfId="20881"/>
    <cellStyle name="Normal 31 4 2 4 11" xfId="20882"/>
    <cellStyle name="Normal 31 4 2 4 12" xfId="20883"/>
    <cellStyle name="Normal 31 4 2 4 13" xfId="20884"/>
    <cellStyle name="Normal 31 4 2 4 14" xfId="20885"/>
    <cellStyle name="Normal 31 4 2 4 15" xfId="20886"/>
    <cellStyle name="Normal 31 4 2 4 16" xfId="20887"/>
    <cellStyle name="Normal 31 4 2 4 17" xfId="20888"/>
    <cellStyle name="Normal 31 4 2 4 18" xfId="20889"/>
    <cellStyle name="Normal 31 4 2 4 19" xfId="20890"/>
    <cellStyle name="Normal 31 4 2 4 2" xfId="20891"/>
    <cellStyle name="Normal 31 4 2 4 20" xfId="20892"/>
    <cellStyle name="Normal 31 4 2 4 21" xfId="20893"/>
    <cellStyle name="Normal 31 4 2 4 22" xfId="20894"/>
    <cellStyle name="Normal 31 4 2 4 23" xfId="20895"/>
    <cellStyle name="Normal 31 4 2 4 3" xfId="20896"/>
    <cellStyle name="Normal 31 4 2 4 4" xfId="20897"/>
    <cellStyle name="Normal 31 4 2 4 5" xfId="20898"/>
    <cellStyle name="Normal 31 4 2 4 6" xfId="20899"/>
    <cellStyle name="Normal 31 4 2 4 7" xfId="20900"/>
    <cellStyle name="Normal 31 4 2 4 8" xfId="20901"/>
    <cellStyle name="Normal 31 4 2 4 9" xfId="20902"/>
    <cellStyle name="Normal 31 4 2 5" xfId="20903"/>
    <cellStyle name="Normal 31 4 2 6" xfId="20904"/>
    <cellStyle name="Normal 31 4 2 7" xfId="20905"/>
    <cellStyle name="Normal 31 4 2 8" xfId="20906"/>
    <cellStyle name="Normal 31 4 2 9" xfId="20907"/>
    <cellStyle name="Normal 31 4 20" xfId="20908"/>
    <cellStyle name="Normal 31 4 21" xfId="20909"/>
    <cellStyle name="Normal 31 4 22" xfId="20910"/>
    <cellStyle name="Normal 31 4 23" xfId="20911"/>
    <cellStyle name="Normal 31 4 24" xfId="20912"/>
    <cellStyle name="Normal 31 4 25" xfId="20913"/>
    <cellStyle name="Normal 31 4 26" xfId="20914"/>
    <cellStyle name="Normal 31 4 27" xfId="20915"/>
    <cellStyle name="Normal 31 4 28" xfId="20916"/>
    <cellStyle name="Normal 31 4 29" xfId="20917"/>
    <cellStyle name="Normal 31 4 3" xfId="5728"/>
    <cellStyle name="Normal 31 4 3 10" xfId="20918"/>
    <cellStyle name="Normal 31 4 3 11" xfId="20919"/>
    <cellStyle name="Normal 31 4 3 12" xfId="20920"/>
    <cellStyle name="Normal 31 4 3 13" xfId="20921"/>
    <cellStyle name="Normal 31 4 3 14" xfId="20922"/>
    <cellStyle name="Normal 31 4 3 15" xfId="20923"/>
    <cellStyle name="Normal 31 4 3 16" xfId="20924"/>
    <cellStyle name="Normal 31 4 3 17" xfId="20925"/>
    <cellStyle name="Normal 31 4 3 18" xfId="20926"/>
    <cellStyle name="Normal 31 4 3 19" xfId="20927"/>
    <cellStyle name="Normal 31 4 3 2" xfId="5729"/>
    <cellStyle name="Normal 31 4 3 2 10" xfId="20928"/>
    <cellStyle name="Normal 31 4 3 2 11" xfId="20929"/>
    <cellStyle name="Normal 31 4 3 2 12" xfId="20930"/>
    <cellStyle name="Normal 31 4 3 2 13" xfId="20931"/>
    <cellStyle name="Normal 31 4 3 2 14" xfId="20932"/>
    <cellStyle name="Normal 31 4 3 2 15" xfId="20933"/>
    <cellStyle name="Normal 31 4 3 2 16" xfId="20934"/>
    <cellStyle name="Normal 31 4 3 2 17" xfId="20935"/>
    <cellStyle name="Normal 31 4 3 2 18" xfId="20936"/>
    <cellStyle name="Normal 31 4 3 2 19" xfId="20937"/>
    <cellStyle name="Normal 31 4 3 2 2" xfId="20938"/>
    <cellStyle name="Normal 31 4 3 2 20" xfId="20939"/>
    <cellStyle name="Normal 31 4 3 2 21" xfId="20940"/>
    <cellStyle name="Normal 31 4 3 2 22" xfId="20941"/>
    <cellStyle name="Normal 31 4 3 2 23" xfId="20942"/>
    <cellStyle name="Normal 31 4 3 2 3" xfId="20943"/>
    <cellStyle name="Normal 31 4 3 2 4" xfId="20944"/>
    <cellStyle name="Normal 31 4 3 2 5" xfId="20945"/>
    <cellStyle name="Normal 31 4 3 2 6" xfId="20946"/>
    <cellStyle name="Normal 31 4 3 2 7" xfId="20947"/>
    <cellStyle name="Normal 31 4 3 2 8" xfId="20948"/>
    <cellStyle name="Normal 31 4 3 2 9" xfId="20949"/>
    <cellStyle name="Normal 31 4 3 20" xfId="20950"/>
    <cellStyle name="Normal 31 4 3 21" xfId="20951"/>
    <cellStyle name="Normal 31 4 3 22" xfId="20952"/>
    <cellStyle name="Normal 31 4 3 23" xfId="20953"/>
    <cellStyle name="Normal 31 4 3 24" xfId="20954"/>
    <cellStyle name="Normal 31 4 3 3" xfId="20955"/>
    <cellStyle name="Normal 31 4 3 4" xfId="20956"/>
    <cellStyle name="Normal 31 4 3 5" xfId="20957"/>
    <cellStyle name="Normal 31 4 3 6" xfId="20958"/>
    <cellStyle name="Normal 31 4 3 7" xfId="20959"/>
    <cellStyle name="Normal 31 4 3 8" xfId="20960"/>
    <cellStyle name="Normal 31 4 3 9" xfId="20961"/>
    <cellStyle name="Normal 31 4 4" xfId="5730"/>
    <cellStyle name="Normal 31 4 4 10" xfId="20962"/>
    <cellStyle name="Normal 31 4 4 11" xfId="20963"/>
    <cellStyle name="Normal 31 4 4 12" xfId="20964"/>
    <cellStyle name="Normal 31 4 4 13" xfId="20965"/>
    <cellStyle name="Normal 31 4 4 14" xfId="20966"/>
    <cellStyle name="Normal 31 4 4 15" xfId="20967"/>
    <cellStyle name="Normal 31 4 4 16" xfId="20968"/>
    <cellStyle name="Normal 31 4 4 17" xfId="20969"/>
    <cellStyle name="Normal 31 4 4 18" xfId="20970"/>
    <cellStyle name="Normal 31 4 4 19" xfId="20971"/>
    <cellStyle name="Normal 31 4 4 2" xfId="5731"/>
    <cellStyle name="Normal 31 4 4 2 10" xfId="20972"/>
    <cellStyle name="Normal 31 4 4 2 11" xfId="20973"/>
    <cellStyle name="Normal 31 4 4 2 12" xfId="20974"/>
    <cellStyle name="Normal 31 4 4 2 13" xfId="20975"/>
    <cellStyle name="Normal 31 4 4 2 14" xfId="20976"/>
    <cellStyle name="Normal 31 4 4 2 15" xfId="20977"/>
    <cellStyle name="Normal 31 4 4 2 16" xfId="20978"/>
    <cellStyle name="Normal 31 4 4 2 17" xfId="20979"/>
    <cellStyle name="Normal 31 4 4 2 18" xfId="20980"/>
    <cellStyle name="Normal 31 4 4 2 19" xfId="20981"/>
    <cellStyle name="Normal 31 4 4 2 2" xfId="20982"/>
    <cellStyle name="Normal 31 4 4 2 2 2" xfId="20983"/>
    <cellStyle name="Normal 31 4 4 2 2 2 2" xfId="20984"/>
    <cellStyle name="Normal 31 4 4 2 2 2 2 2" xfId="20985"/>
    <cellStyle name="Normal 31 4 4 2 20" xfId="20986"/>
    <cellStyle name="Normal 31 4 4 2 21" xfId="20987"/>
    <cellStyle name="Normal 31 4 4 2 22" xfId="20988"/>
    <cellStyle name="Normal 31 4 4 2 23" xfId="20989"/>
    <cellStyle name="Normal 31 4 4 2 24" xfId="20990"/>
    <cellStyle name="Normal 31 4 4 2 25" xfId="20991"/>
    <cellStyle name="Normal 31 4 4 2 26" xfId="20992"/>
    <cellStyle name="Normal 31 4 4 2 27" xfId="20993"/>
    <cellStyle name="Normal 31 4 4 2 28" xfId="20994"/>
    <cellStyle name="Normal 31 4 4 2 29" xfId="20995"/>
    <cellStyle name="Normal 31 4 4 2 3" xfId="20996"/>
    <cellStyle name="Normal 31 4 4 2 30" xfId="20997"/>
    <cellStyle name="Normal 31 4 4 2 4" xfId="20998"/>
    <cellStyle name="Normal 31 4 4 2 5" xfId="20999"/>
    <cellStyle name="Normal 31 4 4 2 6" xfId="21000"/>
    <cellStyle name="Normal 31 4 4 2 6 2" xfId="21001"/>
    <cellStyle name="Normal 31 4 4 2 7" xfId="21002"/>
    <cellStyle name="Normal 31 4 4 2 8" xfId="21003"/>
    <cellStyle name="Normal 31 4 4 2 8 2" xfId="21004"/>
    <cellStyle name="Normal 31 4 4 2 9" xfId="21005"/>
    <cellStyle name="Normal 31 4 4 20" xfId="21006"/>
    <cellStyle name="Normal 31 4 4 21" xfId="21007"/>
    <cellStyle name="Normal 31 4 4 22" xfId="21008"/>
    <cellStyle name="Normal 31 4 4 23" xfId="21009"/>
    <cellStyle name="Normal 31 4 4 24" xfId="21010"/>
    <cellStyle name="Normal 31 4 4 25" xfId="21011"/>
    <cellStyle name="Normal 31 4 4 3" xfId="21012"/>
    <cellStyle name="Normal 31 4 4 4" xfId="21013"/>
    <cellStyle name="Normal 31 4 4 5" xfId="21014"/>
    <cellStyle name="Normal 31 4 4 6" xfId="21015"/>
    <cellStyle name="Normal 31 4 4 7" xfId="21016"/>
    <cellStyle name="Normal 31 4 4 8" xfId="21017"/>
    <cellStyle name="Normal 31 4 4 9" xfId="21018"/>
    <cellStyle name="Normal 31 4 5" xfId="5732"/>
    <cellStyle name="Normal 31 4 5 10" xfId="21019"/>
    <cellStyle name="Normal 31 4 5 11" xfId="21020"/>
    <cellStyle name="Normal 31 4 5 12" xfId="21021"/>
    <cellStyle name="Normal 31 4 5 13" xfId="21022"/>
    <cellStyle name="Normal 31 4 5 14" xfId="21023"/>
    <cellStyle name="Normal 31 4 5 15" xfId="21024"/>
    <cellStyle name="Normal 31 4 5 16" xfId="21025"/>
    <cellStyle name="Normal 31 4 5 17" xfId="21026"/>
    <cellStyle name="Normal 31 4 5 18" xfId="21027"/>
    <cellStyle name="Normal 31 4 5 19" xfId="21028"/>
    <cellStyle name="Normal 31 4 5 2" xfId="21029"/>
    <cellStyle name="Normal 31 4 5 20" xfId="21030"/>
    <cellStyle name="Normal 31 4 5 21" xfId="21031"/>
    <cellStyle name="Normal 31 4 5 22" xfId="21032"/>
    <cellStyle name="Normal 31 4 5 23" xfId="21033"/>
    <cellStyle name="Normal 31 4 5 3" xfId="21034"/>
    <cellStyle name="Normal 31 4 5 4" xfId="21035"/>
    <cellStyle name="Normal 31 4 5 5" xfId="21036"/>
    <cellStyle name="Normal 31 4 5 6" xfId="21037"/>
    <cellStyle name="Normal 31 4 5 7" xfId="21038"/>
    <cellStyle name="Normal 31 4 5 8" xfId="21039"/>
    <cellStyle name="Normal 31 4 5 9" xfId="21040"/>
    <cellStyle name="Normal 31 4 6" xfId="5733"/>
    <cellStyle name="Normal 31 4 6 10" xfId="21041"/>
    <cellStyle name="Normal 31 4 6 11" xfId="21042"/>
    <cellStyle name="Normal 31 4 6 12" xfId="21043"/>
    <cellStyle name="Normal 31 4 6 13" xfId="21044"/>
    <cellStyle name="Normal 31 4 6 14" xfId="21045"/>
    <cellStyle name="Normal 31 4 6 15" xfId="21046"/>
    <cellStyle name="Normal 31 4 6 16" xfId="21047"/>
    <cellStyle name="Normal 31 4 6 17" xfId="21048"/>
    <cellStyle name="Normal 31 4 6 18" xfId="21049"/>
    <cellStyle name="Normal 31 4 6 19" xfId="21050"/>
    <cellStyle name="Normal 31 4 6 2" xfId="21051"/>
    <cellStyle name="Normal 31 4 6 20" xfId="21052"/>
    <cellStyle name="Normal 31 4 6 21" xfId="21053"/>
    <cellStyle name="Normal 31 4 6 22" xfId="21054"/>
    <cellStyle name="Normal 31 4 6 23" xfId="21055"/>
    <cellStyle name="Normal 31 4 6 24" xfId="21056"/>
    <cellStyle name="Normal 31 4 6 25" xfId="21057"/>
    <cellStyle name="Normal 31 4 6 26" xfId="21058"/>
    <cellStyle name="Normal 31 4 6 3" xfId="21059"/>
    <cellStyle name="Normal 31 4 6 4" xfId="21060"/>
    <cellStyle name="Normal 31 4 6 5" xfId="21061"/>
    <cellStyle name="Normal 31 4 6 6" xfId="21062"/>
    <cellStyle name="Normal 31 4 6 7" xfId="21063"/>
    <cellStyle name="Normal 31 4 6 8" xfId="21064"/>
    <cellStyle name="Normal 31 4 6 9" xfId="21065"/>
    <cellStyle name="Normal 31 4 7" xfId="21066"/>
    <cellStyle name="Normal 31 4 8" xfId="21067"/>
    <cellStyle name="Normal 31 4 8 2" xfId="21068"/>
    <cellStyle name="Normal 31 4 8 2 2" xfId="21069"/>
    <cellStyle name="Normal 31 4 8 3" xfId="21070"/>
    <cellStyle name="Normal 31 4 8 3 2" xfId="21071"/>
    <cellStyle name="Normal 31 4 9" xfId="21072"/>
    <cellStyle name="Normal 31 5" xfId="5734"/>
    <cellStyle name="Normal 31 6" xfId="5735"/>
    <cellStyle name="Normal 31 7" xfId="5736"/>
    <cellStyle name="Normal 31 8" xfId="5737"/>
    <cellStyle name="Normal 31 9" xfId="5738"/>
    <cellStyle name="Normal 31_FINAL MINGGU PAGI 71 JAN  10 DESK DPRAa" xfId="5739"/>
    <cellStyle name="Normal 32" xfId="5740"/>
    <cellStyle name="Normal 32 10" xfId="5741"/>
    <cellStyle name="Normal 32 11" xfId="5742"/>
    <cellStyle name="Normal 32 12" xfId="5743"/>
    <cellStyle name="Normal 32 13" xfId="5744"/>
    <cellStyle name="Normal 32 14" xfId="5745"/>
    <cellStyle name="Normal 32 15" xfId="5746"/>
    <cellStyle name="Normal 32 16" xfId="5747"/>
    <cellStyle name="Normal 32 17" xfId="5748"/>
    <cellStyle name="Normal 32 2" xfId="5749"/>
    <cellStyle name="Normal 32 2 10" xfId="21073"/>
    <cellStyle name="Normal 32 2 11" xfId="21074"/>
    <cellStyle name="Normal 32 2 12" xfId="21075"/>
    <cellStyle name="Normal 32 2 13" xfId="21076"/>
    <cellStyle name="Normal 32 2 14" xfId="21077"/>
    <cellStyle name="Normal 32 2 15" xfId="21078"/>
    <cellStyle name="Normal 32 2 16" xfId="21079"/>
    <cellStyle name="Normal 32 2 17" xfId="21080"/>
    <cellStyle name="Normal 32 2 18" xfId="21081"/>
    <cellStyle name="Normal 32 2 19" xfId="21082"/>
    <cellStyle name="Normal 32 2 2" xfId="21083"/>
    <cellStyle name="Normal 32 2 20" xfId="21084"/>
    <cellStyle name="Normal 32 2 21" xfId="21085"/>
    <cellStyle name="Normal 32 2 22" xfId="21086"/>
    <cellStyle name="Normal 32 2 23" xfId="21087"/>
    <cellStyle name="Normal 32 2 3" xfId="21088"/>
    <cellStyle name="Normal 32 2 4" xfId="21089"/>
    <cellStyle name="Normal 32 2 5" xfId="21090"/>
    <cellStyle name="Normal 32 2 6" xfId="21091"/>
    <cellStyle name="Normal 32 2 7" xfId="21092"/>
    <cellStyle name="Normal 32 2 8" xfId="21093"/>
    <cellStyle name="Normal 32 2 9" xfId="21094"/>
    <cellStyle name="Normal 32 3" xfId="5750"/>
    <cellStyle name="Normal 32 3 10" xfId="21095"/>
    <cellStyle name="Normal 32 3 11" xfId="21096"/>
    <cellStyle name="Normal 32 3 12" xfId="21097"/>
    <cellStyle name="Normal 32 3 13" xfId="21098"/>
    <cellStyle name="Normal 32 3 14" xfId="21099"/>
    <cellStyle name="Normal 32 3 15" xfId="21100"/>
    <cellStyle name="Normal 32 3 16" xfId="21101"/>
    <cellStyle name="Normal 32 3 17" xfId="21102"/>
    <cellStyle name="Normal 32 3 18" xfId="21103"/>
    <cellStyle name="Normal 32 3 19" xfId="21104"/>
    <cellStyle name="Normal 32 3 2" xfId="21105"/>
    <cellStyle name="Normal 32 3 20" xfId="21106"/>
    <cellStyle name="Normal 32 3 21" xfId="21107"/>
    <cellStyle name="Normal 32 3 22" xfId="21108"/>
    <cellStyle name="Normal 32 3 23" xfId="21109"/>
    <cellStyle name="Normal 32 3 3" xfId="21110"/>
    <cellStyle name="Normal 32 3 4" xfId="21111"/>
    <cellStyle name="Normal 32 3 5" xfId="21112"/>
    <cellStyle name="Normal 32 3 6" xfId="21113"/>
    <cellStyle name="Normal 32 3 7" xfId="21114"/>
    <cellStyle name="Normal 32 3 8" xfId="21115"/>
    <cellStyle name="Normal 32 3 9" xfId="21116"/>
    <cellStyle name="Normal 32 4" xfId="5751"/>
    <cellStyle name="Normal 32 5" xfId="5752"/>
    <cellStyle name="Normal 32 6" xfId="5753"/>
    <cellStyle name="Normal 32 7" xfId="5754"/>
    <cellStyle name="Normal 32 8" xfId="5755"/>
    <cellStyle name="Normal 32 9" xfId="5756"/>
    <cellStyle name="Normal 33" xfId="5757"/>
    <cellStyle name="Normal 33 10" xfId="5758"/>
    <cellStyle name="Normal 33 11" xfId="5759"/>
    <cellStyle name="Normal 33 12" xfId="5760"/>
    <cellStyle name="Normal 33 13" xfId="5761"/>
    <cellStyle name="Normal 33 14" xfId="5762"/>
    <cellStyle name="Normal 33 15" xfId="5763"/>
    <cellStyle name="Normal 33 16" xfId="5764"/>
    <cellStyle name="Normal 33 17" xfId="5765"/>
    <cellStyle name="Normal 33 18" xfId="5766"/>
    <cellStyle name="Normal 33 19" xfId="5767"/>
    <cellStyle name="Normal 33 2" xfId="5768"/>
    <cellStyle name="Normal 33 2 10" xfId="21117"/>
    <cellStyle name="Normal 33 2 11" xfId="21118"/>
    <cellStyle name="Normal 33 2 12" xfId="21119"/>
    <cellStyle name="Normal 33 2 13" xfId="21120"/>
    <cellStyle name="Normal 33 2 14" xfId="21121"/>
    <cellStyle name="Normal 33 2 15" xfId="21122"/>
    <cellStyle name="Normal 33 2 16" xfId="21123"/>
    <cellStyle name="Normal 33 2 17" xfId="21124"/>
    <cellStyle name="Normal 33 2 18" xfId="21125"/>
    <cellStyle name="Normal 33 2 19" xfId="21126"/>
    <cellStyle name="Normal 33 2 2" xfId="21127"/>
    <cellStyle name="Normal 33 2 20" xfId="21128"/>
    <cellStyle name="Normal 33 2 21" xfId="21129"/>
    <cellStyle name="Normal 33 2 22" xfId="21130"/>
    <cellStyle name="Normal 33 2 23" xfId="21131"/>
    <cellStyle name="Normal 33 2 3" xfId="21132"/>
    <cellStyle name="Normal 33 2 4" xfId="21133"/>
    <cellStyle name="Normal 33 2 5" xfId="21134"/>
    <cellStyle name="Normal 33 2 6" xfId="21135"/>
    <cellStyle name="Normal 33 2 7" xfId="21136"/>
    <cellStyle name="Normal 33 2 8" xfId="21137"/>
    <cellStyle name="Normal 33 2 9" xfId="21138"/>
    <cellStyle name="Normal 33 20" xfId="5769"/>
    <cellStyle name="Normal 33 21" xfId="5770"/>
    <cellStyle name="Normal 33 22" xfId="5771"/>
    <cellStyle name="Normal 33 23" xfId="5772"/>
    <cellStyle name="Normal 33 24" xfId="5773"/>
    <cellStyle name="Normal 33 25" xfId="5774"/>
    <cellStyle name="Normal 33 26" xfId="5775"/>
    <cellStyle name="Normal 33 27" xfId="5776"/>
    <cellStyle name="Normal 33 28" xfId="5777"/>
    <cellStyle name="Normal 33 29" xfId="5778"/>
    <cellStyle name="Normal 33 3" xfId="5779"/>
    <cellStyle name="Normal 33 3 10" xfId="21139"/>
    <cellStyle name="Normal 33 3 11" xfId="21140"/>
    <cellStyle name="Normal 33 3 12" xfId="21141"/>
    <cellStyle name="Normal 33 3 13" xfId="21142"/>
    <cellStyle name="Normal 33 3 14" xfId="21143"/>
    <cellStyle name="Normal 33 3 15" xfId="21144"/>
    <cellStyle name="Normal 33 3 16" xfId="21145"/>
    <cellStyle name="Normal 33 3 17" xfId="21146"/>
    <cellStyle name="Normal 33 3 18" xfId="21147"/>
    <cellStyle name="Normal 33 3 19" xfId="21148"/>
    <cellStyle name="Normal 33 3 2" xfId="21149"/>
    <cellStyle name="Normal 33 3 20" xfId="21150"/>
    <cellStyle name="Normal 33 3 21" xfId="21151"/>
    <cellStyle name="Normal 33 3 22" xfId="21152"/>
    <cellStyle name="Normal 33 3 23" xfId="21153"/>
    <cellStyle name="Normal 33 3 3" xfId="21154"/>
    <cellStyle name="Normal 33 3 4" xfId="21155"/>
    <cellStyle name="Normal 33 3 5" xfId="21156"/>
    <cellStyle name="Normal 33 3 6" xfId="21157"/>
    <cellStyle name="Normal 33 3 7" xfId="21158"/>
    <cellStyle name="Normal 33 3 8" xfId="21159"/>
    <cellStyle name="Normal 33 3 9" xfId="21160"/>
    <cellStyle name="Normal 33 30" xfId="5780"/>
    <cellStyle name="Normal 33 31" xfId="5781"/>
    <cellStyle name="Normal 33 32" xfId="5782"/>
    <cellStyle name="Normal 33 33" xfId="5783"/>
    <cellStyle name="Normal 33 34" xfId="5784"/>
    <cellStyle name="Normal 33 35" xfId="5785"/>
    <cellStyle name="Normal 33 36" xfId="5786"/>
    <cellStyle name="Normal 33 37" xfId="5787"/>
    <cellStyle name="Normal 33 38" xfId="5788"/>
    <cellStyle name="Normal 33 39" xfId="5789"/>
    <cellStyle name="Normal 33 4" xfId="5790"/>
    <cellStyle name="Normal 33 40" xfId="5791"/>
    <cellStyle name="Normal 33 41" xfId="5792"/>
    <cellStyle name="Normal 33 42" xfId="5793"/>
    <cellStyle name="Normal 33 43" xfId="5794"/>
    <cellStyle name="Normal 33 44" xfId="5795"/>
    <cellStyle name="Normal 33 45" xfId="5796"/>
    <cellStyle name="Normal 33 46" xfId="5797"/>
    <cellStyle name="Normal 33 47" xfId="5798"/>
    <cellStyle name="Normal 33 48" xfId="21161"/>
    <cellStyle name="Normal 33 49" xfId="21162"/>
    <cellStyle name="Normal 33 5" xfId="5799"/>
    <cellStyle name="Normal 33 50" xfId="21163"/>
    <cellStyle name="Normal 33 51" xfId="21164"/>
    <cellStyle name="Normal 33 52" xfId="21165"/>
    <cellStyle name="Normal 33 53" xfId="21166"/>
    <cellStyle name="Normal 33 54" xfId="21167"/>
    <cellStyle name="Normal 33 55" xfId="21168"/>
    <cellStyle name="Normal 33 56" xfId="21169"/>
    <cellStyle name="Normal 33 57" xfId="21170"/>
    <cellStyle name="Normal 33 58" xfId="21171"/>
    <cellStyle name="Normal 33 59" xfId="21172"/>
    <cellStyle name="Normal 33 6" xfId="5800"/>
    <cellStyle name="Normal 33 60" xfId="21173"/>
    <cellStyle name="Normal 33 61" xfId="21174"/>
    <cellStyle name="Normal 33 62" xfId="21175"/>
    <cellStyle name="Normal 33 63" xfId="21176"/>
    <cellStyle name="Normal 33 64" xfId="21177"/>
    <cellStyle name="Normal 33 65" xfId="21178"/>
    <cellStyle name="Normal 33 66" xfId="21179"/>
    <cellStyle name="Normal 33 67" xfId="21180"/>
    <cellStyle name="Normal 33 68" xfId="21181"/>
    <cellStyle name="Normal 33 7" xfId="5801"/>
    <cellStyle name="Normal 33 8" xfId="5802"/>
    <cellStyle name="Normal 33 9" xfId="5803"/>
    <cellStyle name="Normal 34" xfId="5804"/>
    <cellStyle name="Normal 34 10" xfId="5805"/>
    <cellStyle name="Normal 34 11" xfId="5806"/>
    <cellStyle name="Normal 34 12" xfId="5807"/>
    <cellStyle name="Normal 34 13" xfId="5808"/>
    <cellStyle name="Normal 34 14" xfId="5809"/>
    <cellStyle name="Normal 34 15" xfId="5810"/>
    <cellStyle name="Normal 34 16" xfId="5811"/>
    <cellStyle name="Normal 34 17" xfId="5812"/>
    <cellStyle name="Normal 34 18" xfId="5813"/>
    <cellStyle name="Normal 34 19" xfId="5814"/>
    <cellStyle name="Normal 34 2" xfId="5815"/>
    <cellStyle name="Normal 34 20" xfId="5816"/>
    <cellStyle name="Normal 34 21" xfId="5817"/>
    <cellStyle name="Normal 34 22" xfId="5818"/>
    <cellStyle name="Normal 34 23" xfId="5819"/>
    <cellStyle name="Normal 34 24" xfId="5820"/>
    <cellStyle name="Normal 34 25" xfId="5821"/>
    <cellStyle name="Normal 34 26" xfId="5822"/>
    <cellStyle name="Normal 34 27" xfId="5823"/>
    <cellStyle name="Normal 34 28" xfId="5824"/>
    <cellStyle name="Normal 34 29" xfId="5825"/>
    <cellStyle name="Normal 34 3" xfId="5826"/>
    <cellStyle name="Normal 34 30" xfId="5827"/>
    <cellStyle name="Normal 34 31" xfId="5828"/>
    <cellStyle name="Normal 34 32" xfId="5829"/>
    <cellStyle name="Normal 34 33" xfId="5830"/>
    <cellStyle name="Normal 34 34" xfId="5831"/>
    <cellStyle name="Normal 34 35" xfId="5832"/>
    <cellStyle name="Normal 34 36" xfId="5833"/>
    <cellStyle name="Normal 34 37" xfId="5834"/>
    <cellStyle name="Normal 34 38" xfId="5835"/>
    <cellStyle name="Normal 34 39" xfId="5836"/>
    <cellStyle name="Normal 34 4" xfId="5837"/>
    <cellStyle name="Normal 34 40" xfId="5838"/>
    <cellStyle name="Normal 34 41" xfId="5839"/>
    <cellStyle name="Normal 34 42" xfId="5840"/>
    <cellStyle name="Normal 34 43" xfId="5841"/>
    <cellStyle name="Normal 34 44" xfId="5842"/>
    <cellStyle name="Normal 34 45" xfId="21182"/>
    <cellStyle name="Normal 34 46" xfId="21183"/>
    <cellStyle name="Normal 34 47" xfId="21184"/>
    <cellStyle name="Normal 34 48" xfId="21185"/>
    <cellStyle name="Normal 34 49" xfId="21186"/>
    <cellStyle name="Normal 34 5" xfId="5843"/>
    <cellStyle name="Normal 34 50" xfId="21187"/>
    <cellStyle name="Normal 34 51" xfId="21188"/>
    <cellStyle name="Normal 34 52" xfId="21189"/>
    <cellStyle name="Normal 34 53" xfId="21190"/>
    <cellStyle name="Normal 34 54" xfId="21191"/>
    <cellStyle name="Normal 34 55" xfId="21192"/>
    <cellStyle name="Normal 34 56" xfId="21193"/>
    <cellStyle name="Normal 34 57" xfId="21194"/>
    <cellStyle name="Normal 34 58" xfId="21195"/>
    <cellStyle name="Normal 34 59" xfId="21196"/>
    <cellStyle name="Normal 34 6" xfId="5844"/>
    <cellStyle name="Normal 34 60" xfId="21197"/>
    <cellStyle name="Normal 34 61" xfId="21198"/>
    <cellStyle name="Normal 34 62" xfId="21199"/>
    <cellStyle name="Normal 34 63" xfId="21200"/>
    <cellStyle name="Normal 34 64" xfId="21201"/>
    <cellStyle name="Normal 34 65" xfId="21202"/>
    <cellStyle name="Normal 34 7" xfId="5845"/>
    <cellStyle name="Normal 34 8" xfId="5846"/>
    <cellStyle name="Normal 34 9" xfId="5847"/>
    <cellStyle name="Normal 35" xfId="5848"/>
    <cellStyle name="Normal 35 10" xfId="5849"/>
    <cellStyle name="Normal 35 11" xfId="5850"/>
    <cellStyle name="Normal 35 12" xfId="5851"/>
    <cellStyle name="Normal 35 13" xfId="5852"/>
    <cellStyle name="Normal 35 14" xfId="5853"/>
    <cellStyle name="Normal 35 15" xfId="5854"/>
    <cellStyle name="Normal 35 16" xfId="5855"/>
    <cellStyle name="Normal 35 17" xfId="5856"/>
    <cellStyle name="Normal 35 18" xfId="5857"/>
    <cellStyle name="Normal 35 19" xfId="5858"/>
    <cellStyle name="Normal 35 2" xfId="5859"/>
    <cellStyle name="Normal 35 20" xfId="5860"/>
    <cellStyle name="Normal 35 21" xfId="5861"/>
    <cellStyle name="Normal 35 22" xfId="5862"/>
    <cellStyle name="Normal 35 23" xfId="5863"/>
    <cellStyle name="Normal 35 24" xfId="5864"/>
    <cellStyle name="Normal 35 25" xfId="5865"/>
    <cellStyle name="Normal 35 26" xfId="5866"/>
    <cellStyle name="Normal 35 27" xfId="5867"/>
    <cellStyle name="Normal 35 28" xfId="5868"/>
    <cellStyle name="Normal 35 29" xfId="5869"/>
    <cellStyle name="Normal 35 3" xfId="5870"/>
    <cellStyle name="Normal 35 30" xfId="5871"/>
    <cellStyle name="Normal 35 31" xfId="5872"/>
    <cellStyle name="Normal 35 32" xfId="5873"/>
    <cellStyle name="Normal 35 33" xfId="5874"/>
    <cellStyle name="Normal 35 34" xfId="5875"/>
    <cellStyle name="Normal 35 35" xfId="5876"/>
    <cellStyle name="Normal 35 36" xfId="5877"/>
    <cellStyle name="Normal 35 37" xfId="5878"/>
    <cellStyle name="Normal 35 38" xfId="5879"/>
    <cellStyle name="Normal 35 39" xfId="5880"/>
    <cellStyle name="Normal 35 4" xfId="5881"/>
    <cellStyle name="Normal 35 40" xfId="5882"/>
    <cellStyle name="Normal 35 41" xfId="5883"/>
    <cellStyle name="Normal 35 42" xfId="5884"/>
    <cellStyle name="Normal 35 43" xfId="5885"/>
    <cellStyle name="Normal 35 44" xfId="5886"/>
    <cellStyle name="Normal 35 45" xfId="21203"/>
    <cellStyle name="Normal 35 46" xfId="21204"/>
    <cellStyle name="Normal 35 47" xfId="21205"/>
    <cellStyle name="Normal 35 48" xfId="21206"/>
    <cellStyle name="Normal 35 49" xfId="21207"/>
    <cellStyle name="Normal 35 5" xfId="5887"/>
    <cellStyle name="Normal 35 50" xfId="21208"/>
    <cellStyle name="Normal 35 51" xfId="21209"/>
    <cellStyle name="Normal 35 52" xfId="21210"/>
    <cellStyle name="Normal 35 53" xfId="21211"/>
    <cellStyle name="Normal 35 54" xfId="21212"/>
    <cellStyle name="Normal 35 55" xfId="21213"/>
    <cellStyle name="Normal 35 56" xfId="21214"/>
    <cellStyle name="Normal 35 57" xfId="21215"/>
    <cellStyle name="Normal 35 58" xfId="21216"/>
    <cellStyle name="Normal 35 59" xfId="21217"/>
    <cellStyle name="Normal 35 6" xfId="5888"/>
    <cellStyle name="Normal 35 60" xfId="21218"/>
    <cellStyle name="Normal 35 61" xfId="21219"/>
    <cellStyle name="Normal 35 62" xfId="21220"/>
    <cellStyle name="Normal 35 63" xfId="21221"/>
    <cellStyle name="Normal 35 64" xfId="21222"/>
    <cellStyle name="Normal 35 65" xfId="21223"/>
    <cellStyle name="Normal 35 7" xfId="5889"/>
    <cellStyle name="Normal 35 8" xfId="5890"/>
    <cellStyle name="Normal 35 9" xfId="5891"/>
    <cellStyle name="Normal 36" xfId="5892"/>
    <cellStyle name="Normal 36 10" xfId="5893"/>
    <cellStyle name="Normal 36 11" xfId="5894"/>
    <cellStyle name="Normal 36 12" xfId="5895"/>
    <cellStyle name="Normal 36 13" xfId="5896"/>
    <cellStyle name="Normal 36 14" xfId="5897"/>
    <cellStyle name="Normal 36 15" xfId="5898"/>
    <cellStyle name="Normal 36 16" xfId="5899"/>
    <cellStyle name="Normal 36 17" xfId="5900"/>
    <cellStyle name="Normal 36 18" xfId="5901"/>
    <cellStyle name="Normal 36 19" xfId="5902"/>
    <cellStyle name="Normal 36 2" xfId="5903"/>
    <cellStyle name="Normal 36 2 10" xfId="21224"/>
    <cellStyle name="Normal 36 2 11" xfId="21225"/>
    <cellStyle name="Normal 36 2 12" xfId="21226"/>
    <cellStyle name="Normal 36 2 13" xfId="21227"/>
    <cellStyle name="Normal 36 2 14" xfId="21228"/>
    <cellStyle name="Normal 36 2 15" xfId="21229"/>
    <cellStyle name="Normal 36 2 16" xfId="21230"/>
    <cellStyle name="Normal 36 2 17" xfId="21231"/>
    <cellStyle name="Normal 36 2 18" xfId="21232"/>
    <cellStyle name="Normal 36 2 19" xfId="21233"/>
    <cellStyle name="Normal 36 2 2" xfId="21234"/>
    <cellStyle name="Normal 36 2 20" xfId="21235"/>
    <cellStyle name="Normal 36 2 21" xfId="21236"/>
    <cellStyle name="Normal 36 2 22" xfId="21237"/>
    <cellStyle name="Normal 36 2 23" xfId="21238"/>
    <cellStyle name="Normal 36 2 3" xfId="21239"/>
    <cellStyle name="Normal 36 2 4" xfId="21240"/>
    <cellStyle name="Normal 36 2 5" xfId="21241"/>
    <cellStyle name="Normal 36 2 6" xfId="21242"/>
    <cellStyle name="Normal 36 2 7" xfId="21243"/>
    <cellStyle name="Normal 36 2 8" xfId="21244"/>
    <cellStyle name="Normal 36 2 9" xfId="21245"/>
    <cellStyle name="Normal 36 20" xfId="5904"/>
    <cellStyle name="Normal 36 21" xfId="5905"/>
    <cellStyle name="Normal 36 22" xfId="5906"/>
    <cellStyle name="Normal 36 23" xfId="5907"/>
    <cellStyle name="Normal 36 24" xfId="5908"/>
    <cellStyle name="Normal 36 25" xfId="5909"/>
    <cellStyle name="Normal 36 26" xfId="5910"/>
    <cellStyle name="Normal 36 27" xfId="5911"/>
    <cellStyle name="Normal 36 28" xfId="5912"/>
    <cellStyle name="Normal 36 29" xfId="5913"/>
    <cellStyle name="Normal 36 3" xfId="5914"/>
    <cellStyle name="Normal 36 3 10" xfId="21246"/>
    <cellStyle name="Normal 36 3 11" xfId="21247"/>
    <cellStyle name="Normal 36 3 12" xfId="21248"/>
    <cellStyle name="Normal 36 3 13" xfId="21249"/>
    <cellStyle name="Normal 36 3 14" xfId="21250"/>
    <cellStyle name="Normal 36 3 15" xfId="21251"/>
    <cellStyle name="Normal 36 3 16" xfId="21252"/>
    <cellStyle name="Normal 36 3 17" xfId="21253"/>
    <cellStyle name="Normal 36 3 18" xfId="21254"/>
    <cellStyle name="Normal 36 3 19" xfId="21255"/>
    <cellStyle name="Normal 36 3 2" xfId="21256"/>
    <cellStyle name="Normal 36 3 20" xfId="21257"/>
    <cellStyle name="Normal 36 3 21" xfId="21258"/>
    <cellStyle name="Normal 36 3 22" xfId="21259"/>
    <cellStyle name="Normal 36 3 23" xfId="21260"/>
    <cellStyle name="Normal 36 3 3" xfId="21261"/>
    <cellStyle name="Normal 36 3 4" xfId="21262"/>
    <cellStyle name="Normal 36 3 5" xfId="21263"/>
    <cellStyle name="Normal 36 3 6" xfId="21264"/>
    <cellStyle name="Normal 36 3 7" xfId="21265"/>
    <cellStyle name="Normal 36 3 8" xfId="21266"/>
    <cellStyle name="Normal 36 3 9" xfId="21267"/>
    <cellStyle name="Normal 36 30" xfId="5915"/>
    <cellStyle name="Normal 36 31" xfId="5916"/>
    <cellStyle name="Normal 36 32" xfId="5917"/>
    <cellStyle name="Normal 36 33" xfId="5918"/>
    <cellStyle name="Normal 36 34" xfId="5919"/>
    <cellStyle name="Normal 36 35" xfId="5920"/>
    <cellStyle name="Normal 36 36" xfId="5921"/>
    <cellStyle name="Normal 36 37" xfId="5922"/>
    <cellStyle name="Normal 36 38" xfId="5923"/>
    <cellStyle name="Normal 36 39" xfId="5924"/>
    <cellStyle name="Normal 36 4" xfId="5925"/>
    <cellStyle name="Normal 36 40" xfId="5926"/>
    <cellStyle name="Normal 36 41" xfId="5927"/>
    <cellStyle name="Normal 36 42" xfId="5928"/>
    <cellStyle name="Normal 36 43" xfId="5929"/>
    <cellStyle name="Normal 36 44" xfId="5930"/>
    <cellStyle name="Normal 36 45" xfId="5931"/>
    <cellStyle name="Normal 36 46" xfId="21268"/>
    <cellStyle name="Normal 36 47" xfId="21269"/>
    <cellStyle name="Normal 36 48" xfId="21270"/>
    <cellStyle name="Normal 36 49" xfId="21271"/>
    <cellStyle name="Normal 36 5" xfId="5932"/>
    <cellStyle name="Normal 36 50" xfId="21272"/>
    <cellStyle name="Normal 36 51" xfId="21273"/>
    <cellStyle name="Normal 36 52" xfId="21274"/>
    <cellStyle name="Normal 36 53" xfId="21275"/>
    <cellStyle name="Normal 36 54" xfId="21276"/>
    <cellStyle name="Normal 36 55" xfId="21277"/>
    <cellStyle name="Normal 36 56" xfId="21278"/>
    <cellStyle name="Normal 36 57" xfId="21279"/>
    <cellStyle name="Normal 36 58" xfId="21280"/>
    <cellStyle name="Normal 36 59" xfId="21281"/>
    <cellStyle name="Normal 36 6" xfId="5933"/>
    <cellStyle name="Normal 36 60" xfId="21282"/>
    <cellStyle name="Normal 36 61" xfId="21283"/>
    <cellStyle name="Normal 36 62" xfId="21284"/>
    <cellStyle name="Normal 36 63" xfId="21285"/>
    <cellStyle name="Normal 36 64" xfId="21286"/>
    <cellStyle name="Normal 36 65" xfId="21287"/>
    <cellStyle name="Normal 36 66" xfId="21288"/>
    <cellStyle name="Normal 36 7" xfId="5934"/>
    <cellStyle name="Normal 36 8" xfId="5935"/>
    <cellStyle name="Normal 36 9" xfId="5936"/>
    <cellStyle name="Normal 37" xfId="5937"/>
    <cellStyle name="Normal 37 10" xfId="21289"/>
    <cellStyle name="Normal 37 11" xfId="21290"/>
    <cellStyle name="Normal 37 12" xfId="21291"/>
    <cellStyle name="Normal 37 13" xfId="21292"/>
    <cellStyle name="Normal 37 14" xfId="21293"/>
    <cellStyle name="Normal 37 15" xfId="21294"/>
    <cellStyle name="Normal 37 16" xfId="21295"/>
    <cellStyle name="Normal 37 17" xfId="21296"/>
    <cellStyle name="Normal 37 18" xfId="21297"/>
    <cellStyle name="Normal 37 19" xfId="21298"/>
    <cellStyle name="Normal 37 2" xfId="5938"/>
    <cellStyle name="Normal 37 2 10" xfId="21299"/>
    <cellStyle name="Normal 37 2 11" xfId="21300"/>
    <cellStyle name="Normal 37 2 12" xfId="21301"/>
    <cellStyle name="Normal 37 2 13" xfId="21302"/>
    <cellStyle name="Normal 37 2 14" xfId="21303"/>
    <cellStyle name="Normal 37 2 15" xfId="21304"/>
    <cellStyle name="Normal 37 2 16" xfId="21305"/>
    <cellStyle name="Normal 37 2 17" xfId="21306"/>
    <cellStyle name="Normal 37 2 18" xfId="21307"/>
    <cellStyle name="Normal 37 2 19" xfId="21308"/>
    <cellStyle name="Normal 37 2 2" xfId="21309"/>
    <cellStyle name="Normal 37 2 20" xfId="21310"/>
    <cellStyle name="Normal 37 2 21" xfId="21311"/>
    <cellStyle name="Normal 37 2 22" xfId="21312"/>
    <cellStyle name="Normal 37 2 23" xfId="21313"/>
    <cellStyle name="Normal 37 2 3" xfId="21314"/>
    <cellStyle name="Normal 37 2 4" xfId="21315"/>
    <cellStyle name="Normal 37 2 5" xfId="21316"/>
    <cellStyle name="Normal 37 2 6" xfId="21317"/>
    <cellStyle name="Normal 37 2 7" xfId="21318"/>
    <cellStyle name="Normal 37 2 8" xfId="21319"/>
    <cellStyle name="Normal 37 2 9" xfId="21320"/>
    <cellStyle name="Normal 37 20" xfId="21321"/>
    <cellStyle name="Normal 37 21" xfId="21322"/>
    <cellStyle name="Normal 37 22" xfId="21323"/>
    <cellStyle name="Normal 37 23" xfId="21324"/>
    <cellStyle name="Normal 37 24" xfId="21325"/>
    <cellStyle name="Normal 37 25" xfId="21326"/>
    <cellStyle name="Normal 37 3" xfId="5939"/>
    <cellStyle name="Normal 37 4" xfId="5940"/>
    <cellStyle name="Normal 37 5" xfId="21327"/>
    <cellStyle name="Normal 37 6" xfId="21328"/>
    <cellStyle name="Normal 37 7" xfId="21329"/>
    <cellStyle name="Normal 37 8" xfId="21330"/>
    <cellStyle name="Normal 37 9" xfId="21331"/>
    <cellStyle name="Normal 38" xfId="5941"/>
    <cellStyle name="Normal 38 10" xfId="21332"/>
    <cellStyle name="Normal 38 11" xfId="21333"/>
    <cellStyle name="Normal 38 12" xfId="21334"/>
    <cellStyle name="Normal 38 13" xfId="21335"/>
    <cellStyle name="Normal 38 14" xfId="21336"/>
    <cellStyle name="Normal 38 15" xfId="21337"/>
    <cellStyle name="Normal 38 16" xfId="21338"/>
    <cellStyle name="Normal 38 17" xfId="21339"/>
    <cellStyle name="Normal 38 18" xfId="21340"/>
    <cellStyle name="Normal 38 19" xfId="21341"/>
    <cellStyle name="Normal 38 2" xfId="5942"/>
    <cellStyle name="Normal 38 2 10" xfId="21342"/>
    <cellStyle name="Normal 38 2 11" xfId="21343"/>
    <cellStyle name="Normal 38 2 12" xfId="21344"/>
    <cellStyle name="Normal 38 2 13" xfId="21345"/>
    <cellStyle name="Normal 38 2 14" xfId="21346"/>
    <cellStyle name="Normal 38 2 15" xfId="21347"/>
    <cellStyle name="Normal 38 2 16" xfId="21348"/>
    <cellStyle name="Normal 38 2 17" xfId="21349"/>
    <cellStyle name="Normal 38 2 18" xfId="21350"/>
    <cellStyle name="Normal 38 2 19" xfId="21351"/>
    <cellStyle name="Normal 38 2 2" xfId="21352"/>
    <cellStyle name="Normal 38 2 20" xfId="21353"/>
    <cellStyle name="Normal 38 2 21" xfId="21354"/>
    <cellStyle name="Normal 38 2 22" xfId="21355"/>
    <cellStyle name="Normal 38 2 23" xfId="21356"/>
    <cellStyle name="Normal 38 2 3" xfId="21357"/>
    <cellStyle name="Normal 38 2 4" xfId="21358"/>
    <cellStyle name="Normal 38 2 5" xfId="21359"/>
    <cellStyle name="Normal 38 2 6" xfId="21360"/>
    <cellStyle name="Normal 38 2 7" xfId="21361"/>
    <cellStyle name="Normal 38 2 8" xfId="21362"/>
    <cellStyle name="Normal 38 2 9" xfId="21363"/>
    <cellStyle name="Normal 38 20" xfId="21364"/>
    <cellStyle name="Normal 38 21" xfId="21365"/>
    <cellStyle name="Normal 38 22" xfId="21366"/>
    <cellStyle name="Normal 38 23" xfId="21367"/>
    <cellStyle name="Normal 38 24" xfId="21368"/>
    <cellStyle name="Normal 38 25" xfId="21369"/>
    <cellStyle name="Normal 38 3" xfId="5943"/>
    <cellStyle name="Normal 38 4" xfId="5944"/>
    <cellStyle name="Normal 38 5" xfId="21370"/>
    <cellStyle name="Normal 38 6" xfId="21371"/>
    <cellStyle name="Normal 38 7" xfId="21372"/>
    <cellStyle name="Normal 38 8" xfId="21373"/>
    <cellStyle name="Normal 38 9" xfId="21374"/>
    <cellStyle name="Normal 39" xfId="5945"/>
    <cellStyle name="Normal 39 10" xfId="5946"/>
    <cellStyle name="Normal 39 11" xfId="5947"/>
    <cellStyle name="Normal 39 12" xfId="5948"/>
    <cellStyle name="Normal 39 13" xfId="5949"/>
    <cellStyle name="Normal 39 14" xfId="5950"/>
    <cellStyle name="Normal 39 15" xfId="5951"/>
    <cellStyle name="Normal 39 16" xfId="5952"/>
    <cellStyle name="Normal 39 17" xfId="5953"/>
    <cellStyle name="Normal 39 18" xfId="5954"/>
    <cellStyle name="Normal 39 19" xfId="5955"/>
    <cellStyle name="Normal 39 2" xfId="5956"/>
    <cellStyle name="Normal 39 2 10" xfId="21375"/>
    <cellStyle name="Normal 39 2 11" xfId="21376"/>
    <cellStyle name="Normal 39 2 12" xfId="21377"/>
    <cellStyle name="Normal 39 2 13" xfId="21378"/>
    <cellStyle name="Normal 39 2 14" xfId="21379"/>
    <cellStyle name="Normal 39 2 15" xfId="21380"/>
    <cellStyle name="Normal 39 2 16" xfId="21381"/>
    <cellStyle name="Normal 39 2 17" xfId="21382"/>
    <cellStyle name="Normal 39 2 18" xfId="21383"/>
    <cellStyle name="Normal 39 2 19" xfId="21384"/>
    <cellStyle name="Normal 39 2 2" xfId="5957"/>
    <cellStyle name="Normal 39 2 2 10" xfId="21385"/>
    <cellStyle name="Normal 39 2 2 11" xfId="21386"/>
    <cellStyle name="Normal 39 2 2 12" xfId="21387"/>
    <cellStyle name="Normal 39 2 2 13" xfId="21388"/>
    <cellStyle name="Normal 39 2 2 14" xfId="21389"/>
    <cellStyle name="Normal 39 2 2 15" xfId="21390"/>
    <cellStyle name="Normal 39 2 2 16" xfId="21391"/>
    <cellStyle name="Normal 39 2 2 17" xfId="21392"/>
    <cellStyle name="Normal 39 2 2 18" xfId="21393"/>
    <cellStyle name="Normal 39 2 2 19" xfId="21394"/>
    <cellStyle name="Normal 39 2 2 2" xfId="21395"/>
    <cellStyle name="Normal 39 2 2 20" xfId="21396"/>
    <cellStyle name="Normal 39 2 2 21" xfId="21397"/>
    <cellStyle name="Normal 39 2 2 22" xfId="21398"/>
    <cellStyle name="Normal 39 2 2 23" xfId="21399"/>
    <cellStyle name="Normal 39 2 2 3" xfId="21400"/>
    <cellStyle name="Normal 39 2 2 4" xfId="21401"/>
    <cellStyle name="Normal 39 2 2 5" xfId="21402"/>
    <cellStyle name="Normal 39 2 2 6" xfId="21403"/>
    <cellStyle name="Normal 39 2 2 7" xfId="21404"/>
    <cellStyle name="Normal 39 2 2 8" xfId="21405"/>
    <cellStyle name="Normal 39 2 2 9" xfId="21406"/>
    <cellStyle name="Normal 39 2 20" xfId="21407"/>
    <cellStyle name="Normal 39 2 21" xfId="21408"/>
    <cellStyle name="Normal 39 2 22" xfId="21409"/>
    <cellStyle name="Normal 39 2 23" xfId="21410"/>
    <cellStyle name="Normal 39 2 3" xfId="21411"/>
    <cellStyle name="Normal 39 2 4" xfId="21412"/>
    <cellStyle name="Normal 39 2 5" xfId="21413"/>
    <cellStyle name="Normal 39 2 6" xfId="21414"/>
    <cellStyle name="Normal 39 2 7" xfId="21415"/>
    <cellStyle name="Normal 39 2 8" xfId="21416"/>
    <cellStyle name="Normal 39 2 9" xfId="21417"/>
    <cellStyle name="Normal 39 20" xfId="5958"/>
    <cellStyle name="Normal 39 21" xfId="5959"/>
    <cellStyle name="Normal 39 22" xfId="5960"/>
    <cellStyle name="Normal 39 23" xfId="5961"/>
    <cellStyle name="Normal 39 24" xfId="5962"/>
    <cellStyle name="Normal 39 25" xfId="5963"/>
    <cellStyle name="Normal 39 26" xfId="5964"/>
    <cellStyle name="Normal 39 27" xfId="5965"/>
    <cellStyle name="Normal 39 28" xfId="5966"/>
    <cellStyle name="Normal 39 29" xfId="5967"/>
    <cellStyle name="Normal 39 3" xfId="5968"/>
    <cellStyle name="Normal 39 30" xfId="5969"/>
    <cellStyle name="Normal 39 31" xfId="5970"/>
    <cellStyle name="Normal 39 32" xfId="5971"/>
    <cellStyle name="Normal 39 33" xfId="5972"/>
    <cellStyle name="Normal 39 34" xfId="5973"/>
    <cellStyle name="Normal 39 35" xfId="5974"/>
    <cellStyle name="Normal 39 36" xfId="5975"/>
    <cellStyle name="Normal 39 37" xfId="5976"/>
    <cellStyle name="Normal 39 38" xfId="5977"/>
    <cellStyle name="Normal 39 39" xfId="5978"/>
    <cellStyle name="Normal 39 4" xfId="5979"/>
    <cellStyle name="Normal 39 40" xfId="5980"/>
    <cellStyle name="Normal 39 41" xfId="5981"/>
    <cellStyle name="Normal 39 42" xfId="5982"/>
    <cellStyle name="Normal 39 43" xfId="5983"/>
    <cellStyle name="Normal 39 44" xfId="5984"/>
    <cellStyle name="Normal 39 45" xfId="5985"/>
    <cellStyle name="Normal 39 46" xfId="21418"/>
    <cellStyle name="Normal 39 47" xfId="21419"/>
    <cellStyle name="Normal 39 48" xfId="21420"/>
    <cellStyle name="Normal 39 49" xfId="21421"/>
    <cellStyle name="Normal 39 5" xfId="5986"/>
    <cellStyle name="Normal 39 50" xfId="21422"/>
    <cellStyle name="Normal 39 51" xfId="21423"/>
    <cellStyle name="Normal 39 52" xfId="21424"/>
    <cellStyle name="Normal 39 53" xfId="21425"/>
    <cellStyle name="Normal 39 54" xfId="21426"/>
    <cellStyle name="Normal 39 55" xfId="21427"/>
    <cellStyle name="Normal 39 56" xfId="21428"/>
    <cellStyle name="Normal 39 57" xfId="21429"/>
    <cellStyle name="Normal 39 58" xfId="21430"/>
    <cellStyle name="Normal 39 59" xfId="21431"/>
    <cellStyle name="Normal 39 6" xfId="5987"/>
    <cellStyle name="Normal 39 60" xfId="21432"/>
    <cellStyle name="Normal 39 61" xfId="21433"/>
    <cellStyle name="Normal 39 62" xfId="21434"/>
    <cellStyle name="Normal 39 63" xfId="21435"/>
    <cellStyle name="Normal 39 64" xfId="21436"/>
    <cellStyle name="Normal 39 65" xfId="21437"/>
    <cellStyle name="Normal 39 66" xfId="21438"/>
    <cellStyle name="Normal 39 7" xfId="5988"/>
    <cellStyle name="Normal 39 8" xfId="5989"/>
    <cellStyle name="Normal 39 9" xfId="5990"/>
    <cellStyle name="Normal 4" xfId="5991"/>
    <cellStyle name="Normal 4 10" xfId="5992"/>
    <cellStyle name="Normal 4 11" xfId="5993"/>
    <cellStyle name="Normal 4 12" xfId="5994"/>
    <cellStyle name="Normal 4 13" xfId="5995"/>
    <cellStyle name="Normal 4 14" xfId="5996"/>
    <cellStyle name="Normal 4 15" xfId="5997"/>
    <cellStyle name="Normal 4 2" xfId="5998"/>
    <cellStyle name="Normal 4 2 10" xfId="5999"/>
    <cellStyle name="Normal 4 2 11" xfId="6000"/>
    <cellStyle name="Normal 4 2 12" xfId="6001"/>
    <cellStyle name="Normal 4 2 13" xfId="6002"/>
    <cellStyle name="Normal 4 2 14" xfId="21439"/>
    <cellStyle name="Normal 4 2 15" xfId="21440"/>
    <cellStyle name="Normal 4 2 16" xfId="21441"/>
    <cellStyle name="Normal 4 2 17" xfId="21442"/>
    <cellStyle name="Normal 4 2 18" xfId="21443"/>
    <cellStyle name="Normal 4 2 19" xfId="21444"/>
    <cellStyle name="Normal 4 2 2" xfId="6003"/>
    <cellStyle name="Normal 4 2 2 10" xfId="21445"/>
    <cellStyle name="Normal 4 2 2 11" xfId="21446"/>
    <cellStyle name="Normal 4 2 2 12" xfId="21447"/>
    <cellStyle name="Normal 4 2 2 13" xfId="21448"/>
    <cellStyle name="Normal 4 2 2 14" xfId="21449"/>
    <cellStyle name="Normal 4 2 2 15" xfId="21450"/>
    <cellStyle name="Normal 4 2 2 16" xfId="21451"/>
    <cellStyle name="Normal 4 2 2 17" xfId="21452"/>
    <cellStyle name="Normal 4 2 2 18" xfId="21453"/>
    <cellStyle name="Normal 4 2 2 19" xfId="21454"/>
    <cellStyle name="Normal 4 2 2 2" xfId="6004"/>
    <cellStyle name="Normal 4 2 2 2 10" xfId="21455"/>
    <cellStyle name="Normal 4 2 2 2 11" xfId="21456"/>
    <cellStyle name="Normal 4 2 2 2 12" xfId="21457"/>
    <cellStyle name="Normal 4 2 2 2 13" xfId="21458"/>
    <cellStyle name="Normal 4 2 2 2 14" xfId="21459"/>
    <cellStyle name="Normal 4 2 2 2 15" xfId="21460"/>
    <cellStyle name="Normal 4 2 2 2 16" xfId="21461"/>
    <cellStyle name="Normal 4 2 2 2 17" xfId="21462"/>
    <cellStyle name="Normal 4 2 2 2 18" xfId="21463"/>
    <cellStyle name="Normal 4 2 2 2 19" xfId="21464"/>
    <cellStyle name="Normal 4 2 2 2 2" xfId="21465"/>
    <cellStyle name="Normal 4 2 2 2 20" xfId="21466"/>
    <cellStyle name="Normal 4 2 2 2 21" xfId="21467"/>
    <cellStyle name="Normal 4 2 2 2 22" xfId="21468"/>
    <cellStyle name="Normal 4 2 2 2 23" xfId="21469"/>
    <cellStyle name="Normal 4 2 2 2 3" xfId="21470"/>
    <cellStyle name="Normal 4 2 2 2 4" xfId="21471"/>
    <cellStyle name="Normal 4 2 2 2 5" xfId="21472"/>
    <cellStyle name="Normal 4 2 2 2 6" xfId="21473"/>
    <cellStyle name="Normal 4 2 2 2 7" xfId="21474"/>
    <cellStyle name="Normal 4 2 2 2 8" xfId="21475"/>
    <cellStyle name="Normal 4 2 2 2 9" xfId="21476"/>
    <cellStyle name="Normal 4 2 2 20" xfId="21477"/>
    <cellStyle name="Normal 4 2 2 21" xfId="21478"/>
    <cellStyle name="Normal 4 2 2 22" xfId="21479"/>
    <cellStyle name="Normal 4 2 2 23" xfId="21480"/>
    <cellStyle name="Normal 4 2 2 24" xfId="21481"/>
    <cellStyle name="Normal 4 2 2 25" xfId="21482"/>
    <cellStyle name="Normal 4 2 2 26" xfId="21483"/>
    <cellStyle name="Normal 4 2 2 27" xfId="21484"/>
    <cellStyle name="Normal 4 2 2 3" xfId="6005"/>
    <cellStyle name="Normal 4 2 2 3 10" xfId="21485"/>
    <cellStyle name="Normal 4 2 2 3 11" xfId="21486"/>
    <cellStyle name="Normal 4 2 2 3 12" xfId="21487"/>
    <cellStyle name="Normal 4 2 2 3 13" xfId="21488"/>
    <cellStyle name="Normal 4 2 2 3 14" xfId="21489"/>
    <cellStyle name="Normal 4 2 2 3 15" xfId="21490"/>
    <cellStyle name="Normal 4 2 2 3 16" xfId="21491"/>
    <cellStyle name="Normal 4 2 2 3 17" xfId="21492"/>
    <cellStyle name="Normal 4 2 2 3 18" xfId="21493"/>
    <cellStyle name="Normal 4 2 2 3 19" xfId="21494"/>
    <cellStyle name="Normal 4 2 2 3 2" xfId="21495"/>
    <cellStyle name="Normal 4 2 2 3 20" xfId="21496"/>
    <cellStyle name="Normal 4 2 2 3 21" xfId="21497"/>
    <cellStyle name="Normal 4 2 2 3 22" xfId="21498"/>
    <cellStyle name="Normal 4 2 2 3 23" xfId="21499"/>
    <cellStyle name="Normal 4 2 2 3 3" xfId="21500"/>
    <cellStyle name="Normal 4 2 2 3 4" xfId="21501"/>
    <cellStyle name="Normal 4 2 2 3 5" xfId="21502"/>
    <cellStyle name="Normal 4 2 2 3 6" xfId="21503"/>
    <cellStyle name="Normal 4 2 2 3 7" xfId="21504"/>
    <cellStyle name="Normal 4 2 2 3 8" xfId="21505"/>
    <cellStyle name="Normal 4 2 2 3 9" xfId="21506"/>
    <cellStyle name="Normal 4 2 2 4" xfId="6006"/>
    <cellStyle name="Normal 4 2 2 4 10" xfId="21507"/>
    <cellStyle name="Normal 4 2 2 4 11" xfId="21508"/>
    <cellStyle name="Normal 4 2 2 4 12" xfId="21509"/>
    <cellStyle name="Normal 4 2 2 4 13" xfId="21510"/>
    <cellStyle name="Normal 4 2 2 4 14" xfId="21511"/>
    <cellStyle name="Normal 4 2 2 4 15" xfId="21512"/>
    <cellStyle name="Normal 4 2 2 4 16" xfId="21513"/>
    <cellStyle name="Normal 4 2 2 4 17" xfId="21514"/>
    <cellStyle name="Normal 4 2 2 4 18" xfId="21515"/>
    <cellStyle name="Normal 4 2 2 4 19" xfId="21516"/>
    <cellStyle name="Normal 4 2 2 4 2" xfId="21517"/>
    <cellStyle name="Normal 4 2 2 4 20" xfId="21518"/>
    <cellStyle name="Normal 4 2 2 4 21" xfId="21519"/>
    <cellStyle name="Normal 4 2 2 4 22" xfId="21520"/>
    <cellStyle name="Normal 4 2 2 4 23" xfId="21521"/>
    <cellStyle name="Normal 4 2 2 4 3" xfId="21522"/>
    <cellStyle name="Normal 4 2 2 4 4" xfId="21523"/>
    <cellStyle name="Normal 4 2 2 4 5" xfId="21524"/>
    <cellStyle name="Normal 4 2 2 4 6" xfId="21525"/>
    <cellStyle name="Normal 4 2 2 4 7" xfId="21526"/>
    <cellStyle name="Normal 4 2 2 4 8" xfId="21527"/>
    <cellStyle name="Normal 4 2 2 4 9" xfId="21528"/>
    <cellStyle name="Normal 4 2 2 5" xfId="6007"/>
    <cellStyle name="Normal 4 2 2 5 10" xfId="21529"/>
    <cellStyle name="Normal 4 2 2 5 11" xfId="21530"/>
    <cellStyle name="Normal 4 2 2 5 12" xfId="21531"/>
    <cellStyle name="Normal 4 2 2 5 13" xfId="21532"/>
    <cellStyle name="Normal 4 2 2 5 14" xfId="21533"/>
    <cellStyle name="Normal 4 2 2 5 15" xfId="21534"/>
    <cellStyle name="Normal 4 2 2 5 16" xfId="21535"/>
    <cellStyle name="Normal 4 2 2 5 17" xfId="21536"/>
    <cellStyle name="Normal 4 2 2 5 18" xfId="21537"/>
    <cellStyle name="Normal 4 2 2 5 19" xfId="21538"/>
    <cellStyle name="Normal 4 2 2 5 2" xfId="21539"/>
    <cellStyle name="Normal 4 2 2 5 20" xfId="21540"/>
    <cellStyle name="Normal 4 2 2 5 21" xfId="21541"/>
    <cellStyle name="Normal 4 2 2 5 22" xfId="21542"/>
    <cellStyle name="Normal 4 2 2 5 23" xfId="21543"/>
    <cellStyle name="Normal 4 2 2 5 3" xfId="21544"/>
    <cellStyle name="Normal 4 2 2 5 4" xfId="21545"/>
    <cellStyle name="Normal 4 2 2 5 5" xfId="21546"/>
    <cellStyle name="Normal 4 2 2 5 6" xfId="21547"/>
    <cellStyle name="Normal 4 2 2 5 7" xfId="21548"/>
    <cellStyle name="Normal 4 2 2 5 8" xfId="21549"/>
    <cellStyle name="Normal 4 2 2 5 9" xfId="21550"/>
    <cellStyle name="Normal 4 2 2 6" xfId="21551"/>
    <cellStyle name="Normal 4 2 2 7" xfId="21552"/>
    <cellStyle name="Normal 4 2 2 8" xfId="21553"/>
    <cellStyle name="Normal 4 2 2 9" xfId="21554"/>
    <cellStyle name="Normal 4 2 2_Aceh Tamiang D.1 +, 2003" xfId="6008"/>
    <cellStyle name="Normal 4 2 20" xfId="21555"/>
    <cellStyle name="Normal 4 2 21" xfId="21556"/>
    <cellStyle name="Normal 4 2 22" xfId="21557"/>
    <cellStyle name="Normal 4 2 23" xfId="21558"/>
    <cellStyle name="Normal 4 2 24" xfId="21559"/>
    <cellStyle name="Normal 4 2 25" xfId="21560"/>
    <cellStyle name="Normal 4 2 26" xfId="21561"/>
    <cellStyle name="Normal 4 2 27" xfId="21562"/>
    <cellStyle name="Normal 4 2 28" xfId="21563"/>
    <cellStyle name="Normal 4 2 29" xfId="21564"/>
    <cellStyle name="Normal 4 2 3" xfId="6009"/>
    <cellStyle name="Normal 4 2 3 2" xfId="6010"/>
    <cellStyle name="Normal 4 2 3 2 2" xfId="6011"/>
    <cellStyle name="Normal 4 2 30" xfId="21565"/>
    <cellStyle name="Normal 4 2 31" xfId="21566"/>
    <cellStyle name="Normal 4 2 32" xfId="21567"/>
    <cellStyle name="Normal 4 2 33" xfId="21568"/>
    <cellStyle name="Normal 4 2 34" xfId="21569"/>
    <cellStyle name="Normal 4 2 4" xfId="6012"/>
    <cellStyle name="Normal 4 2 4 10" xfId="21570"/>
    <cellStyle name="Normal 4 2 4 11" xfId="21571"/>
    <cellStyle name="Normal 4 2 4 12" xfId="21572"/>
    <cellStyle name="Normal 4 2 4 13" xfId="21573"/>
    <cellStyle name="Normal 4 2 4 14" xfId="21574"/>
    <cellStyle name="Normal 4 2 4 15" xfId="21575"/>
    <cellStyle name="Normal 4 2 4 16" xfId="21576"/>
    <cellStyle name="Normal 4 2 4 17" xfId="21577"/>
    <cellStyle name="Normal 4 2 4 18" xfId="21578"/>
    <cellStyle name="Normal 4 2 4 19" xfId="21579"/>
    <cellStyle name="Normal 4 2 4 2" xfId="21580"/>
    <cellStyle name="Normal 4 2 4 20" xfId="21581"/>
    <cellStyle name="Normal 4 2 4 21" xfId="21582"/>
    <cellStyle name="Normal 4 2 4 22" xfId="21583"/>
    <cellStyle name="Normal 4 2 4 23" xfId="21584"/>
    <cellStyle name="Normal 4 2 4 3" xfId="21585"/>
    <cellStyle name="Normal 4 2 4 4" xfId="21586"/>
    <cellStyle name="Normal 4 2 4 5" xfId="21587"/>
    <cellStyle name="Normal 4 2 4 6" xfId="21588"/>
    <cellStyle name="Normal 4 2 4 7" xfId="21589"/>
    <cellStyle name="Normal 4 2 4 8" xfId="21590"/>
    <cellStyle name="Normal 4 2 4 9" xfId="21591"/>
    <cellStyle name="Normal 4 2 5" xfId="6013"/>
    <cellStyle name="Normal 4 2 5 10" xfId="21592"/>
    <cellStyle name="Normal 4 2 5 11" xfId="21593"/>
    <cellStyle name="Normal 4 2 5 12" xfId="21594"/>
    <cellStyle name="Normal 4 2 5 13" xfId="21595"/>
    <cellStyle name="Normal 4 2 5 14" xfId="21596"/>
    <cellStyle name="Normal 4 2 5 15" xfId="21597"/>
    <cellStyle name="Normal 4 2 5 16" xfId="21598"/>
    <cellStyle name="Normal 4 2 5 17" xfId="21599"/>
    <cellStyle name="Normal 4 2 5 18" xfId="21600"/>
    <cellStyle name="Normal 4 2 5 19" xfId="21601"/>
    <cellStyle name="Normal 4 2 5 2" xfId="21602"/>
    <cellStyle name="Normal 4 2 5 20" xfId="21603"/>
    <cellStyle name="Normal 4 2 5 21" xfId="21604"/>
    <cellStyle name="Normal 4 2 5 22" xfId="21605"/>
    <cellStyle name="Normal 4 2 5 23" xfId="21606"/>
    <cellStyle name="Normal 4 2 5 3" xfId="21607"/>
    <cellStyle name="Normal 4 2 5 4" xfId="21608"/>
    <cellStyle name="Normal 4 2 5 5" xfId="21609"/>
    <cellStyle name="Normal 4 2 5 6" xfId="21610"/>
    <cellStyle name="Normal 4 2 5 7" xfId="21611"/>
    <cellStyle name="Normal 4 2 5 8" xfId="21612"/>
    <cellStyle name="Normal 4 2 5 9" xfId="21613"/>
    <cellStyle name="Normal 4 2 6" xfId="6014"/>
    <cellStyle name="Normal 4 2 6 10" xfId="21614"/>
    <cellStyle name="Normal 4 2 6 11" xfId="21615"/>
    <cellStyle name="Normal 4 2 6 12" xfId="21616"/>
    <cellStyle name="Normal 4 2 6 13" xfId="21617"/>
    <cellStyle name="Normal 4 2 6 14" xfId="21618"/>
    <cellStyle name="Normal 4 2 6 15" xfId="21619"/>
    <cellStyle name="Normal 4 2 6 16" xfId="21620"/>
    <cellStyle name="Normal 4 2 6 17" xfId="21621"/>
    <cellStyle name="Normal 4 2 6 18" xfId="21622"/>
    <cellStyle name="Normal 4 2 6 19" xfId="21623"/>
    <cellStyle name="Normal 4 2 6 2" xfId="21624"/>
    <cellStyle name="Normal 4 2 6 20" xfId="21625"/>
    <cellStyle name="Normal 4 2 6 21" xfId="21626"/>
    <cellStyle name="Normal 4 2 6 22" xfId="21627"/>
    <cellStyle name="Normal 4 2 6 23" xfId="21628"/>
    <cellStyle name="Normal 4 2 6 3" xfId="21629"/>
    <cellStyle name="Normal 4 2 6 4" xfId="21630"/>
    <cellStyle name="Normal 4 2 6 5" xfId="21631"/>
    <cellStyle name="Normal 4 2 6 6" xfId="21632"/>
    <cellStyle name="Normal 4 2 6 7" xfId="21633"/>
    <cellStyle name="Normal 4 2 6 8" xfId="21634"/>
    <cellStyle name="Normal 4 2 6 9" xfId="21635"/>
    <cellStyle name="Normal 4 2 7" xfId="6015"/>
    <cellStyle name="Normal 4 2 7 10" xfId="21636"/>
    <cellStyle name="Normal 4 2 7 11" xfId="21637"/>
    <cellStyle name="Normal 4 2 7 12" xfId="21638"/>
    <cellStyle name="Normal 4 2 7 13" xfId="21639"/>
    <cellStyle name="Normal 4 2 7 14" xfId="21640"/>
    <cellStyle name="Normal 4 2 7 15" xfId="21641"/>
    <cellStyle name="Normal 4 2 7 16" xfId="21642"/>
    <cellStyle name="Normal 4 2 7 17" xfId="21643"/>
    <cellStyle name="Normal 4 2 7 18" xfId="21644"/>
    <cellStyle name="Normal 4 2 7 19" xfId="21645"/>
    <cellStyle name="Normal 4 2 7 2" xfId="21646"/>
    <cellStyle name="Normal 4 2 7 20" xfId="21647"/>
    <cellStyle name="Normal 4 2 7 21" xfId="21648"/>
    <cellStyle name="Normal 4 2 7 22" xfId="21649"/>
    <cellStyle name="Normal 4 2 7 23" xfId="21650"/>
    <cellStyle name="Normal 4 2 7 3" xfId="21651"/>
    <cellStyle name="Normal 4 2 7 4" xfId="21652"/>
    <cellStyle name="Normal 4 2 7 5" xfId="21653"/>
    <cellStyle name="Normal 4 2 7 6" xfId="21654"/>
    <cellStyle name="Normal 4 2 7 7" xfId="21655"/>
    <cellStyle name="Normal 4 2 7 8" xfId="21656"/>
    <cellStyle name="Normal 4 2 7 9" xfId="21657"/>
    <cellStyle name="Normal 4 2 8" xfId="6016"/>
    <cellStyle name="Normal 4 2 9" xfId="6017"/>
    <cellStyle name="Normal 4 2_Aceh Tamiang D.1 +, 2003" xfId="6018"/>
    <cellStyle name="Normal 4 3" xfId="6019"/>
    <cellStyle name="Normal 4 3 10" xfId="21658"/>
    <cellStyle name="Normal 4 3 11" xfId="21659"/>
    <cellStyle name="Normal 4 3 12" xfId="21660"/>
    <cellStyle name="Normal 4 3 13" xfId="21661"/>
    <cellStyle name="Normal 4 3 14" xfId="21662"/>
    <cellStyle name="Normal 4 3 15" xfId="21663"/>
    <cellStyle name="Normal 4 3 16" xfId="21664"/>
    <cellStyle name="Normal 4 3 17" xfId="21665"/>
    <cellStyle name="Normal 4 3 18" xfId="21666"/>
    <cellStyle name="Normal 4 3 19" xfId="21667"/>
    <cellStyle name="Normal 4 3 2" xfId="6020"/>
    <cellStyle name="Normal 4 3 2 10" xfId="21668"/>
    <cellStyle name="Normal 4 3 2 11" xfId="21669"/>
    <cellStyle name="Normal 4 3 2 12" xfId="21670"/>
    <cellStyle name="Normal 4 3 2 13" xfId="21671"/>
    <cellStyle name="Normal 4 3 2 14" xfId="21672"/>
    <cellStyle name="Normal 4 3 2 15" xfId="21673"/>
    <cellStyle name="Normal 4 3 2 16" xfId="21674"/>
    <cellStyle name="Normal 4 3 2 17" xfId="21675"/>
    <cellStyle name="Normal 4 3 2 18" xfId="21676"/>
    <cellStyle name="Normal 4 3 2 19" xfId="21677"/>
    <cellStyle name="Normal 4 3 2 2" xfId="6021"/>
    <cellStyle name="Normal 4 3 2 20" xfId="21678"/>
    <cellStyle name="Normal 4 3 2 21" xfId="21679"/>
    <cellStyle name="Normal 4 3 2 22" xfId="21680"/>
    <cellStyle name="Normal 4 3 2 23" xfId="21681"/>
    <cellStyle name="Normal 4 3 2 3" xfId="21682"/>
    <cellStyle name="Normal 4 3 2 4" xfId="21683"/>
    <cellStyle name="Normal 4 3 2 5" xfId="21684"/>
    <cellStyle name="Normal 4 3 2 6" xfId="21685"/>
    <cellStyle name="Normal 4 3 2 7" xfId="21686"/>
    <cellStyle name="Normal 4 3 2 8" xfId="21687"/>
    <cellStyle name="Normal 4 3 2 9" xfId="21688"/>
    <cellStyle name="Normal 4 3 20" xfId="21689"/>
    <cellStyle name="Normal 4 3 21" xfId="21690"/>
    <cellStyle name="Normal 4 3 22" xfId="21691"/>
    <cellStyle name="Normal 4 3 23" xfId="21692"/>
    <cellStyle name="Normal 4 3 3" xfId="21693"/>
    <cellStyle name="Normal 4 3 4" xfId="21694"/>
    <cellStyle name="Normal 4 3 5" xfId="21695"/>
    <cellStyle name="Normal 4 3 6" xfId="21696"/>
    <cellStyle name="Normal 4 3 7" xfId="21697"/>
    <cellStyle name="Normal 4 3 8" xfId="21698"/>
    <cellStyle name="Normal 4 3 9" xfId="21699"/>
    <cellStyle name="Normal 4 4" xfId="6022"/>
    <cellStyle name="Normal 4 4 10" xfId="21700"/>
    <cellStyle name="Normal 4 4 11" xfId="21701"/>
    <cellStyle name="Normal 4 4 12" xfId="21702"/>
    <cellStyle name="Normal 4 4 13" xfId="21703"/>
    <cellStyle name="Normal 4 4 14" xfId="21704"/>
    <cellStyle name="Normal 4 4 15" xfId="21705"/>
    <cellStyle name="Normal 4 4 16" xfId="21706"/>
    <cellStyle name="Normal 4 4 17" xfId="21707"/>
    <cellStyle name="Normal 4 4 18" xfId="21708"/>
    <cellStyle name="Normal 4 4 19" xfId="21709"/>
    <cellStyle name="Normal 4 4 2" xfId="21710"/>
    <cellStyle name="Normal 4 4 20" xfId="21711"/>
    <cellStyle name="Normal 4 4 21" xfId="21712"/>
    <cellStyle name="Normal 4 4 22" xfId="21713"/>
    <cellStyle name="Normal 4 4 23" xfId="21714"/>
    <cellStyle name="Normal 4 4 3" xfId="21715"/>
    <cellStyle name="Normal 4 4 4" xfId="21716"/>
    <cellStyle name="Normal 4 4 5" xfId="21717"/>
    <cellStyle name="Normal 4 4 6" xfId="21718"/>
    <cellStyle name="Normal 4 4 7" xfId="21719"/>
    <cellStyle name="Normal 4 4 8" xfId="21720"/>
    <cellStyle name="Normal 4 4 9" xfId="21721"/>
    <cellStyle name="Normal 4 5" xfId="6023"/>
    <cellStyle name="Normal 4 5 10" xfId="21722"/>
    <cellStyle name="Normal 4 5 11" xfId="21723"/>
    <cellStyle name="Normal 4 5 12" xfId="21724"/>
    <cellStyle name="Normal 4 5 13" xfId="21725"/>
    <cellStyle name="Normal 4 5 14" xfId="21726"/>
    <cellStyle name="Normal 4 5 15" xfId="21727"/>
    <cellStyle name="Normal 4 5 16" xfId="21728"/>
    <cellStyle name="Normal 4 5 17" xfId="21729"/>
    <cellStyle name="Normal 4 5 18" xfId="21730"/>
    <cellStyle name="Normal 4 5 19" xfId="21731"/>
    <cellStyle name="Normal 4 5 2" xfId="21732"/>
    <cellStyle name="Normal 4 5 20" xfId="21733"/>
    <cellStyle name="Normal 4 5 21" xfId="21734"/>
    <cellStyle name="Normal 4 5 22" xfId="21735"/>
    <cellStyle name="Normal 4 5 23" xfId="21736"/>
    <cellStyle name="Normal 4 5 3" xfId="21737"/>
    <cellStyle name="Normal 4 5 4" xfId="21738"/>
    <cellStyle name="Normal 4 5 5" xfId="21739"/>
    <cellStyle name="Normal 4 5 6" xfId="21740"/>
    <cellStyle name="Normal 4 5 7" xfId="21741"/>
    <cellStyle name="Normal 4 5 8" xfId="21742"/>
    <cellStyle name="Normal 4 5 9" xfId="21743"/>
    <cellStyle name="Normal 4 6" xfId="6024"/>
    <cellStyle name="Normal 4 6 10" xfId="21744"/>
    <cellStyle name="Normal 4 6 11" xfId="21745"/>
    <cellStyle name="Normal 4 6 12" xfId="21746"/>
    <cellStyle name="Normal 4 6 13" xfId="21747"/>
    <cellStyle name="Normal 4 6 14" xfId="21748"/>
    <cellStyle name="Normal 4 6 15" xfId="21749"/>
    <cellStyle name="Normal 4 6 16" xfId="21750"/>
    <cellStyle name="Normal 4 6 17" xfId="21751"/>
    <cellStyle name="Normal 4 6 18" xfId="21752"/>
    <cellStyle name="Normal 4 6 19" xfId="21753"/>
    <cellStyle name="Normal 4 6 2" xfId="21754"/>
    <cellStyle name="Normal 4 6 20" xfId="21755"/>
    <cellStyle name="Normal 4 6 21" xfId="21756"/>
    <cellStyle name="Normal 4 6 22" xfId="21757"/>
    <cellStyle name="Normal 4 6 23" xfId="21758"/>
    <cellStyle name="Normal 4 6 3" xfId="21759"/>
    <cellStyle name="Normal 4 6 4" xfId="21760"/>
    <cellStyle name="Normal 4 6 5" xfId="21761"/>
    <cellStyle name="Normal 4 6 6" xfId="21762"/>
    <cellStyle name="Normal 4 6 7" xfId="21763"/>
    <cellStyle name="Normal 4 6 8" xfId="21764"/>
    <cellStyle name="Normal 4 6 9" xfId="21765"/>
    <cellStyle name="Normal 4 7" xfId="6025"/>
    <cellStyle name="Normal 4 7 10" xfId="21766"/>
    <cellStyle name="Normal 4 7 11" xfId="21767"/>
    <cellStyle name="Normal 4 7 12" xfId="21768"/>
    <cellStyle name="Normal 4 7 13" xfId="21769"/>
    <cellStyle name="Normal 4 7 14" xfId="21770"/>
    <cellStyle name="Normal 4 7 15" xfId="21771"/>
    <cellStyle name="Normal 4 7 16" xfId="21772"/>
    <cellStyle name="Normal 4 7 17" xfId="21773"/>
    <cellStyle name="Normal 4 7 18" xfId="21774"/>
    <cellStyle name="Normal 4 7 19" xfId="21775"/>
    <cellStyle name="Normal 4 7 2" xfId="21776"/>
    <cellStyle name="Normal 4 7 20" xfId="21777"/>
    <cellStyle name="Normal 4 7 21" xfId="21778"/>
    <cellStyle name="Normal 4 7 22" xfId="21779"/>
    <cellStyle name="Normal 4 7 23" xfId="21780"/>
    <cellStyle name="Normal 4 7 3" xfId="21781"/>
    <cellStyle name="Normal 4 7 4" xfId="21782"/>
    <cellStyle name="Normal 4 7 5" xfId="21783"/>
    <cellStyle name="Normal 4 7 6" xfId="21784"/>
    <cellStyle name="Normal 4 7 7" xfId="21785"/>
    <cellStyle name="Normal 4 7 8" xfId="21786"/>
    <cellStyle name="Normal 4 7 9" xfId="21787"/>
    <cellStyle name="Normal 4 8" xfId="6026"/>
    <cellStyle name="Normal 4 9" xfId="6027"/>
    <cellStyle name="Normal 4_B17 - HASIL DESK DISBUDPAR" xfId="6028"/>
    <cellStyle name="Normal 40" xfId="6029"/>
    <cellStyle name="Normal 40 10" xfId="21788"/>
    <cellStyle name="Normal 40 11" xfId="21789"/>
    <cellStyle name="Normal 40 12" xfId="21790"/>
    <cellStyle name="Normal 40 13" xfId="21791"/>
    <cellStyle name="Normal 40 14" xfId="21792"/>
    <cellStyle name="Normal 40 15" xfId="21793"/>
    <cellStyle name="Normal 40 16" xfId="21794"/>
    <cellStyle name="Normal 40 17" xfId="21795"/>
    <cellStyle name="Normal 40 18" xfId="21796"/>
    <cellStyle name="Normal 40 19" xfId="21797"/>
    <cellStyle name="Normal 40 2" xfId="6030"/>
    <cellStyle name="Normal 40 2 10" xfId="21798"/>
    <cellStyle name="Normal 40 2 11" xfId="21799"/>
    <cellStyle name="Normal 40 2 12" xfId="21800"/>
    <cellStyle name="Normal 40 2 13" xfId="21801"/>
    <cellStyle name="Normal 40 2 14" xfId="21802"/>
    <cellStyle name="Normal 40 2 15" xfId="21803"/>
    <cellStyle name="Normal 40 2 16" xfId="21804"/>
    <cellStyle name="Normal 40 2 17" xfId="21805"/>
    <cellStyle name="Normal 40 2 18" xfId="21806"/>
    <cellStyle name="Normal 40 2 19" xfId="21807"/>
    <cellStyle name="Normal 40 2 2" xfId="21808"/>
    <cellStyle name="Normal 40 2 20" xfId="21809"/>
    <cellStyle name="Normal 40 2 21" xfId="21810"/>
    <cellStyle name="Normal 40 2 22" xfId="21811"/>
    <cellStyle name="Normal 40 2 23" xfId="21812"/>
    <cellStyle name="Normal 40 2 3" xfId="21813"/>
    <cellStyle name="Normal 40 2 4" xfId="21814"/>
    <cellStyle name="Normal 40 2 5" xfId="21815"/>
    <cellStyle name="Normal 40 2 6" xfId="21816"/>
    <cellStyle name="Normal 40 2 7" xfId="21817"/>
    <cellStyle name="Normal 40 2 8" xfId="21818"/>
    <cellStyle name="Normal 40 2 9" xfId="21819"/>
    <cellStyle name="Normal 40 20" xfId="21820"/>
    <cellStyle name="Normal 40 21" xfId="21821"/>
    <cellStyle name="Normal 40 22" xfId="21822"/>
    <cellStyle name="Normal 40 23" xfId="21823"/>
    <cellStyle name="Normal 40 24" xfId="21824"/>
    <cellStyle name="Normal 40 25" xfId="21825"/>
    <cellStyle name="Normal 40 3" xfId="6031"/>
    <cellStyle name="Normal 40 4" xfId="6032"/>
    <cellStyle name="Normal 40 5" xfId="21826"/>
    <cellStyle name="Normal 40 6" xfId="21827"/>
    <cellStyle name="Normal 40 7" xfId="21828"/>
    <cellStyle name="Normal 40 8" xfId="21829"/>
    <cellStyle name="Normal 40 9" xfId="21830"/>
    <cellStyle name="Normal 41" xfId="6033"/>
    <cellStyle name="Normal 41 10" xfId="6034"/>
    <cellStyle name="Normal 41 11" xfId="6035"/>
    <cellStyle name="Normal 41 12" xfId="6036"/>
    <cellStyle name="Normal 41 13" xfId="6037"/>
    <cellStyle name="Normal 41 14" xfId="6038"/>
    <cellStyle name="Normal 41 15" xfId="6039"/>
    <cellStyle name="Normal 41 16" xfId="6040"/>
    <cellStyle name="Normal 41 17" xfId="6041"/>
    <cellStyle name="Normal 41 18" xfId="6042"/>
    <cellStyle name="Normal 41 19" xfId="6043"/>
    <cellStyle name="Normal 41 2" xfId="6044"/>
    <cellStyle name="Normal 41 2 10" xfId="21831"/>
    <cellStyle name="Normal 41 2 11" xfId="21832"/>
    <cellStyle name="Normal 41 2 12" xfId="21833"/>
    <cellStyle name="Normal 41 2 13" xfId="21834"/>
    <cellStyle name="Normal 41 2 14" xfId="21835"/>
    <cellStyle name="Normal 41 2 15" xfId="21836"/>
    <cellStyle name="Normal 41 2 16" xfId="21837"/>
    <cellStyle name="Normal 41 2 17" xfId="21838"/>
    <cellStyle name="Normal 41 2 18" xfId="21839"/>
    <cellStyle name="Normal 41 2 19" xfId="21840"/>
    <cellStyle name="Normal 41 2 2" xfId="6045"/>
    <cellStyle name="Normal 41 2 2 10" xfId="21841"/>
    <cellStyle name="Normal 41 2 2 11" xfId="21842"/>
    <cellStyle name="Normal 41 2 2 12" xfId="21843"/>
    <cellStyle name="Normal 41 2 2 13" xfId="21844"/>
    <cellStyle name="Normal 41 2 2 14" xfId="21845"/>
    <cellStyle name="Normal 41 2 2 15" xfId="21846"/>
    <cellStyle name="Normal 41 2 2 16" xfId="21847"/>
    <cellStyle name="Normal 41 2 2 17" xfId="21848"/>
    <cellStyle name="Normal 41 2 2 18" xfId="21849"/>
    <cellStyle name="Normal 41 2 2 19" xfId="21850"/>
    <cellStyle name="Normal 41 2 2 2" xfId="21851"/>
    <cellStyle name="Normal 41 2 2 20" xfId="21852"/>
    <cellStyle name="Normal 41 2 2 21" xfId="21853"/>
    <cellStyle name="Normal 41 2 2 22" xfId="21854"/>
    <cellStyle name="Normal 41 2 2 23" xfId="21855"/>
    <cellStyle name="Normal 41 2 2 3" xfId="21856"/>
    <cellStyle name="Normal 41 2 2 4" xfId="21857"/>
    <cellStyle name="Normal 41 2 2 5" xfId="21858"/>
    <cellStyle name="Normal 41 2 2 6" xfId="21859"/>
    <cellStyle name="Normal 41 2 2 7" xfId="21860"/>
    <cellStyle name="Normal 41 2 2 8" xfId="21861"/>
    <cellStyle name="Normal 41 2 2 9" xfId="21862"/>
    <cellStyle name="Normal 41 2 20" xfId="21863"/>
    <cellStyle name="Normal 41 2 21" xfId="21864"/>
    <cellStyle name="Normal 41 2 22" xfId="21865"/>
    <cellStyle name="Normal 41 2 23" xfId="21866"/>
    <cellStyle name="Normal 41 2 3" xfId="21867"/>
    <cellStyle name="Normal 41 2 4" xfId="21868"/>
    <cellStyle name="Normal 41 2 5" xfId="21869"/>
    <cellStyle name="Normal 41 2 6" xfId="21870"/>
    <cellStyle name="Normal 41 2 7" xfId="21871"/>
    <cellStyle name="Normal 41 2 8" xfId="21872"/>
    <cellStyle name="Normal 41 2 9" xfId="21873"/>
    <cellStyle name="Normal 41 20" xfId="6046"/>
    <cellStyle name="Normal 41 21" xfId="6047"/>
    <cellStyle name="Normal 41 22" xfId="6048"/>
    <cellStyle name="Normal 41 23" xfId="6049"/>
    <cellStyle name="Normal 41 24" xfId="6050"/>
    <cellStyle name="Normal 41 25" xfId="6051"/>
    <cellStyle name="Normal 41 26" xfId="6052"/>
    <cellStyle name="Normal 41 27" xfId="6053"/>
    <cellStyle name="Normal 41 28" xfId="6054"/>
    <cellStyle name="Normal 41 29" xfId="6055"/>
    <cellStyle name="Normal 41 3" xfId="6056"/>
    <cellStyle name="Normal 41 30" xfId="6057"/>
    <cellStyle name="Normal 41 31" xfId="6058"/>
    <cellStyle name="Normal 41 32" xfId="6059"/>
    <cellStyle name="Normal 41 33" xfId="6060"/>
    <cellStyle name="Normal 41 34" xfId="6061"/>
    <cellStyle name="Normal 41 35" xfId="6062"/>
    <cellStyle name="Normal 41 36" xfId="6063"/>
    <cellStyle name="Normal 41 37" xfId="6064"/>
    <cellStyle name="Normal 41 38" xfId="6065"/>
    <cellStyle name="Normal 41 39" xfId="6066"/>
    <cellStyle name="Normal 41 4" xfId="6067"/>
    <cellStyle name="Normal 41 40" xfId="6068"/>
    <cellStyle name="Normal 41 41" xfId="6069"/>
    <cellStyle name="Normal 41 42" xfId="6070"/>
    <cellStyle name="Normal 41 43" xfId="6071"/>
    <cellStyle name="Normal 41 44" xfId="6072"/>
    <cellStyle name="Normal 41 45" xfId="6073"/>
    <cellStyle name="Normal 41 46" xfId="6074"/>
    <cellStyle name="Normal 41 47" xfId="6075"/>
    <cellStyle name="Normal 41 48" xfId="21874"/>
    <cellStyle name="Normal 41 49" xfId="21875"/>
    <cellStyle name="Normal 41 5" xfId="6076"/>
    <cellStyle name="Normal 41 50" xfId="21876"/>
    <cellStyle name="Normal 41 51" xfId="21877"/>
    <cellStyle name="Normal 41 52" xfId="21878"/>
    <cellStyle name="Normal 41 53" xfId="21879"/>
    <cellStyle name="Normal 41 54" xfId="21880"/>
    <cellStyle name="Normal 41 55" xfId="21881"/>
    <cellStyle name="Normal 41 56" xfId="21882"/>
    <cellStyle name="Normal 41 57" xfId="21883"/>
    <cellStyle name="Normal 41 58" xfId="21884"/>
    <cellStyle name="Normal 41 59" xfId="21885"/>
    <cellStyle name="Normal 41 6" xfId="6077"/>
    <cellStyle name="Normal 41 60" xfId="21886"/>
    <cellStyle name="Normal 41 61" xfId="21887"/>
    <cellStyle name="Normal 41 62" xfId="21888"/>
    <cellStyle name="Normal 41 63" xfId="21889"/>
    <cellStyle name="Normal 41 64" xfId="21890"/>
    <cellStyle name="Normal 41 65" xfId="21891"/>
    <cellStyle name="Normal 41 66" xfId="21892"/>
    <cellStyle name="Normal 41 67" xfId="21893"/>
    <cellStyle name="Normal 41 68" xfId="21894"/>
    <cellStyle name="Normal 41 7" xfId="6078"/>
    <cellStyle name="Normal 41 8" xfId="6079"/>
    <cellStyle name="Normal 41 9" xfId="6080"/>
    <cellStyle name="Normal 42" xfId="6081"/>
    <cellStyle name="Normal 42 10" xfId="6082"/>
    <cellStyle name="Normal 42 10 10" xfId="21895"/>
    <cellStyle name="Normal 42 10 11" xfId="21896"/>
    <cellStyle name="Normal 42 10 12" xfId="21897"/>
    <cellStyle name="Normal 42 10 13" xfId="21898"/>
    <cellStyle name="Normal 42 10 14" xfId="21899"/>
    <cellStyle name="Normal 42 10 15" xfId="21900"/>
    <cellStyle name="Normal 42 10 16" xfId="21901"/>
    <cellStyle name="Normal 42 10 17" xfId="21902"/>
    <cellStyle name="Normal 42 10 18" xfId="21903"/>
    <cellStyle name="Normal 42 10 19" xfId="21904"/>
    <cellStyle name="Normal 42 10 2" xfId="21905"/>
    <cellStyle name="Normal 42 10 20" xfId="21906"/>
    <cellStyle name="Normal 42 10 21" xfId="21907"/>
    <cellStyle name="Normal 42 10 22" xfId="21908"/>
    <cellStyle name="Normal 42 10 23" xfId="21909"/>
    <cellStyle name="Normal 42 10 3" xfId="21910"/>
    <cellStyle name="Normal 42 10 4" xfId="21911"/>
    <cellStyle name="Normal 42 10 5" xfId="21912"/>
    <cellStyle name="Normal 42 10 6" xfId="21913"/>
    <cellStyle name="Normal 42 10 7" xfId="21914"/>
    <cellStyle name="Normal 42 10 8" xfId="21915"/>
    <cellStyle name="Normal 42 10 9" xfId="21916"/>
    <cellStyle name="Normal 42 11" xfId="6083"/>
    <cellStyle name="Normal 42 11 10" xfId="21917"/>
    <cellStyle name="Normal 42 11 11" xfId="21918"/>
    <cellStyle name="Normal 42 11 12" xfId="21919"/>
    <cellStyle name="Normal 42 11 13" xfId="21920"/>
    <cellStyle name="Normal 42 11 14" xfId="21921"/>
    <cellStyle name="Normal 42 11 15" xfId="21922"/>
    <cellStyle name="Normal 42 11 16" xfId="21923"/>
    <cellStyle name="Normal 42 11 17" xfId="21924"/>
    <cellStyle name="Normal 42 11 18" xfId="21925"/>
    <cellStyle name="Normal 42 11 19" xfId="21926"/>
    <cellStyle name="Normal 42 11 2" xfId="21927"/>
    <cellStyle name="Normal 42 11 20" xfId="21928"/>
    <cellStyle name="Normal 42 11 21" xfId="21929"/>
    <cellStyle name="Normal 42 11 22" xfId="21930"/>
    <cellStyle name="Normal 42 11 23" xfId="21931"/>
    <cellStyle name="Normal 42 11 3" xfId="21932"/>
    <cellStyle name="Normal 42 11 4" xfId="21933"/>
    <cellStyle name="Normal 42 11 5" xfId="21934"/>
    <cellStyle name="Normal 42 11 6" xfId="21935"/>
    <cellStyle name="Normal 42 11 7" xfId="21936"/>
    <cellStyle name="Normal 42 11 8" xfId="21937"/>
    <cellStyle name="Normal 42 11 9" xfId="21938"/>
    <cellStyle name="Normal 42 12" xfId="6084"/>
    <cellStyle name="Normal 42 12 10" xfId="21939"/>
    <cellStyle name="Normal 42 12 11" xfId="21940"/>
    <cellStyle name="Normal 42 12 12" xfId="21941"/>
    <cellStyle name="Normal 42 12 13" xfId="21942"/>
    <cellStyle name="Normal 42 12 14" xfId="21943"/>
    <cellStyle name="Normal 42 12 15" xfId="21944"/>
    <cellStyle name="Normal 42 12 16" xfId="21945"/>
    <cellStyle name="Normal 42 12 17" xfId="21946"/>
    <cellStyle name="Normal 42 12 18" xfId="21947"/>
    <cellStyle name="Normal 42 12 19" xfId="21948"/>
    <cellStyle name="Normal 42 12 2" xfId="21949"/>
    <cellStyle name="Normal 42 12 20" xfId="21950"/>
    <cellStyle name="Normal 42 12 21" xfId="21951"/>
    <cellStyle name="Normal 42 12 22" xfId="21952"/>
    <cellStyle name="Normal 42 12 23" xfId="21953"/>
    <cellStyle name="Normal 42 12 3" xfId="21954"/>
    <cellStyle name="Normal 42 12 4" xfId="21955"/>
    <cellStyle name="Normal 42 12 5" xfId="21956"/>
    <cellStyle name="Normal 42 12 6" xfId="21957"/>
    <cellStyle name="Normal 42 12 7" xfId="21958"/>
    <cellStyle name="Normal 42 12 8" xfId="21959"/>
    <cellStyle name="Normal 42 12 9" xfId="21960"/>
    <cellStyle name="Normal 42 13" xfId="6085"/>
    <cellStyle name="Normal 42 13 10" xfId="21961"/>
    <cellStyle name="Normal 42 13 11" xfId="21962"/>
    <cellStyle name="Normal 42 13 12" xfId="21963"/>
    <cellStyle name="Normal 42 13 13" xfId="21964"/>
    <cellStyle name="Normal 42 13 14" xfId="21965"/>
    <cellStyle name="Normal 42 13 15" xfId="21966"/>
    <cellStyle name="Normal 42 13 16" xfId="21967"/>
    <cellStyle name="Normal 42 13 17" xfId="21968"/>
    <cellStyle name="Normal 42 13 18" xfId="21969"/>
    <cellStyle name="Normal 42 13 19" xfId="21970"/>
    <cellStyle name="Normal 42 13 2" xfId="21971"/>
    <cellStyle name="Normal 42 13 20" xfId="21972"/>
    <cellStyle name="Normal 42 13 21" xfId="21973"/>
    <cellStyle name="Normal 42 13 22" xfId="21974"/>
    <cellStyle name="Normal 42 13 23" xfId="21975"/>
    <cellStyle name="Normal 42 13 3" xfId="21976"/>
    <cellStyle name="Normal 42 13 4" xfId="21977"/>
    <cellStyle name="Normal 42 13 5" xfId="21978"/>
    <cellStyle name="Normal 42 13 6" xfId="21979"/>
    <cellStyle name="Normal 42 13 7" xfId="21980"/>
    <cellStyle name="Normal 42 13 8" xfId="21981"/>
    <cellStyle name="Normal 42 13 9" xfId="21982"/>
    <cellStyle name="Normal 42 14" xfId="6086"/>
    <cellStyle name="Normal 42 15" xfId="6087"/>
    <cellStyle name="Normal 42 16" xfId="6088"/>
    <cellStyle name="Normal 42 17" xfId="6089"/>
    <cellStyle name="Normal 42 18" xfId="6090"/>
    <cellStyle name="Normal 42 19" xfId="6091"/>
    <cellStyle name="Normal 42 2" xfId="6092"/>
    <cellStyle name="Normal 42 2 10" xfId="21983"/>
    <cellStyle name="Normal 42 2 11" xfId="21984"/>
    <cellStyle name="Normal 42 2 12" xfId="21985"/>
    <cellStyle name="Normal 42 2 13" xfId="21986"/>
    <cellStyle name="Normal 42 2 14" xfId="21987"/>
    <cellStyle name="Normal 42 2 15" xfId="21988"/>
    <cellStyle name="Normal 42 2 16" xfId="21989"/>
    <cellStyle name="Normal 42 2 17" xfId="21990"/>
    <cellStyle name="Normal 42 2 18" xfId="21991"/>
    <cellStyle name="Normal 42 2 19" xfId="21992"/>
    <cellStyle name="Normal 42 2 2" xfId="21993"/>
    <cellStyle name="Normal 42 2 20" xfId="21994"/>
    <cellStyle name="Normal 42 2 21" xfId="21995"/>
    <cellStyle name="Normal 42 2 22" xfId="21996"/>
    <cellStyle name="Normal 42 2 23" xfId="21997"/>
    <cellStyle name="Normal 42 2 3" xfId="21998"/>
    <cellStyle name="Normal 42 2 4" xfId="21999"/>
    <cellStyle name="Normal 42 2 5" xfId="22000"/>
    <cellStyle name="Normal 42 2 6" xfId="22001"/>
    <cellStyle name="Normal 42 2 7" xfId="22002"/>
    <cellStyle name="Normal 42 2 8" xfId="22003"/>
    <cellStyle name="Normal 42 2 9" xfId="22004"/>
    <cellStyle name="Normal 42 20" xfId="6093"/>
    <cellStyle name="Normal 42 21" xfId="6094"/>
    <cellStyle name="Normal 42 22" xfId="6095"/>
    <cellStyle name="Normal 42 23" xfId="6096"/>
    <cellStyle name="Normal 42 24" xfId="6097"/>
    <cellStyle name="Normal 42 25" xfId="6098"/>
    <cellStyle name="Normal 42 26" xfId="6099"/>
    <cellStyle name="Normal 42 27" xfId="6100"/>
    <cellStyle name="Normal 42 28" xfId="6101"/>
    <cellStyle name="Normal 42 29" xfId="6102"/>
    <cellStyle name="Normal 42 3" xfId="6103"/>
    <cellStyle name="Normal 42 3 10" xfId="22005"/>
    <cellStyle name="Normal 42 3 11" xfId="22006"/>
    <cellStyle name="Normal 42 3 12" xfId="22007"/>
    <cellStyle name="Normal 42 3 13" xfId="22008"/>
    <cellStyle name="Normal 42 3 14" xfId="22009"/>
    <cellStyle name="Normal 42 3 15" xfId="22010"/>
    <cellStyle name="Normal 42 3 16" xfId="22011"/>
    <cellStyle name="Normal 42 3 17" xfId="22012"/>
    <cellStyle name="Normal 42 3 18" xfId="22013"/>
    <cellStyle name="Normal 42 3 19" xfId="22014"/>
    <cellStyle name="Normal 42 3 2" xfId="22015"/>
    <cellStyle name="Normal 42 3 20" xfId="22016"/>
    <cellStyle name="Normal 42 3 21" xfId="22017"/>
    <cellStyle name="Normal 42 3 22" xfId="22018"/>
    <cellStyle name="Normal 42 3 23" xfId="22019"/>
    <cellStyle name="Normal 42 3 3" xfId="22020"/>
    <cellStyle name="Normal 42 3 4" xfId="22021"/>
    <cellStyle name="Normal 42 3 5" xfId="22022"/>
    <cellStyle name="Normal 42 3 6" xfId="22023"/>
    <cellStyle name="Normal 42 3 7" xfId="22024"/>
    <cellStyle name="Normal 42 3 8" xfId="22025"/>
    <cellStyle name="Normal 42 3 9" xfId="22026"/>
    <cellStyle name="Normal 42 30" xfId="6104"/>
    <cellStyle name="Normal 42 31" xfId="6105"/>
    <cellStyle name="Normal 42 32" xfId="6106"/>
    <cellStyle name="Normal 42 33" xfId="6107"/>
    <cellStyle name="Normal 42 34" xfId="6108"/>
    <cellStyle name="Normal 42 35" xfId="6109"/>
    <cellStyle name="Normal 42 36" xfId="6110"/>
    <cellStyle name="Normal 42 37" xfId="6111"/>
    <cellStyle name="Normal 42 38" xfId="6112"/>
    <cellStyle name="Normal 42 39" xfId="6113"/>
    <cellStyle name="Normal 42 4" xfId="6114"/>
    <cellStyle name="Normal 42 4 10" xfId="22027"/>
    <cellStyle name="Normal 42 4 11" xfId="22028"/>
    <cellStyle name="Normal 42 4 12" xfId="22029"/>
    <cellStyle name="Normal 42 4 13" xfId="22030"/>
    <cellStyle name="Normal 42 4 14" xfId="22031"/>
    <cellStyle name="Normal 42 4 15" xfId="22032"/>
    <cellStyle name="Normal 42 4 16" xfId="22033"/>
    <cellStyle name="Normal 42 4 17" xfId="22034"/>
    <cellStyle name="Normal 42 4 18" xfId="22035"/>
    <cellStyle name="Normal 42 4 19" xfId="22036"/>
    <cellStyle name="Normal 42 4 2" xfId="22037"/>
    <cellStyle name="Normal 42 4 20" xfId="22038"/>
    <cellStyle name="Normal 42 4 21" xfId="22039"/>
    <cellStyle name="Normal 42 4 22" xfId="22040"/>
    <cellStyle name="Normal 42 4 23" xfId="22041"/>
    <cellStyle name="Normal 42 4 3" xfId="22042"/>
    <cellStyle name="Normal 42 4 4" xfId="22043"/>
    <cellStyle name="Normal 42 4 5" xfId="22044"/>
    <cellStyle name="Normal 42 4 6" xfId="22045"/>
    <cellStyle name="Normal 42 4 7" xfId="22046"/>
    <cellStyle name="Normal 42 4 8" xfId="22047"/>
    <cellStyle name="Normal 42 4 9" xfId="22048"/>
    <cellStyle name="Normal 42 40" xfId="6115"/>
    <cellStyle name="Normal 42 41" xfId="6116"/>
    <cellStyle name="Normal 42 42" xfId="6117"/>
    <cellStyle name="Normal 42 43" xfId="6118"/>
    <cellStyle name="Normal 42 44" xfId="6119"/>
    <cellStyle name="Normal 42 45" xfId="6120"/>
    <cellStyle name="Normal 42 46" xfId="6121"/>
    <cellStyle name="Normal 42 47" xfId="6122"/>
    <cellStyle name="Normal 42 48" xfId="6123"/>
    <cellStyle name="Normal 42 49" xfId="6124"/>
    <cellStyle name="Normal 42 5" xfId="6125"/>
    <cellStyle name="Normal 42 5 10" xfId="22049"/>
    <cellStyle name="Normal 42 5 11" xfId="22050"/>
    <cellStyle name="Normal 42 5 12" xfId="22051"/>
    <cellStyle name="Normal 42 5 13" xfId="22052"/>
    <cellStyle name="Normal 42 5 14" xfId="22053"/>
    <cellStyle name="Normal 42 5 15" xfId="22054"/>
    <cellStyle name="Normal 42 5 16" xfId="22055"/>
    <cellStyle name="Normal 42 5 17" xfId="22056"/>
    <cellStyle name="Normal 42 5 18" xfId="22057"/>
    <cellStyle name="Normal 42 5 19" xfId="22058"/>
    <cellStyle name="Normal 42 5 2" xfId="22059"/>
    <cellStyle name="Normal 42 5 20" xfId="22060"/>
    <cellStyle name="Normal 42 5 21" xfId="22061"/>
    <cellStyle name="Normal 42 5 22" xfId="22062"/>
    <cellStyle name="Normal 42 5 23" xfId="22063"/>
    <cellStyle name="Normal 42 5 3" xfId="22064"/>
    <cellStyle name="Normal 42 5 4" xfId="22065"/>
    <cellStyle name="Normal 42 5 5" xfId="22066"/>
    <cellStyle name="Normal 42 5 6" xfId="22067"/>
    <cellStyle name="Normal 42 5 7" xfId="22068"/>
    <cellStyle name="Normal 42 5 8" xfId="22069"/>
    <cellStyle name="Normal 42 5 9" xfId="22070"/>
    <cellStyle name="Normal 42 50" xfId="6126"/>
    <cellStyle name="Normal 42 51" xfId="6127"/>
    <cellStyle name="Normal 42 52" xfId="6128"/>
    <cellStyle name="Normal 42 53" xfId="6129"/>
    <cellStyle name="Normal 42 54" xfId="6130"/>
    <cellStyle name="Normal 42 55" xfId="22071"/>
    <cellStyle name="Normal 42 56" xfId="22072"/>
    <cellStyle name="Normal 42 57" xfId="22073"/>
    <cellStyle name="Normal 42 58" xfId="22074"/>
    <cellStyle name="Normal 42 59" xfId="22075"/>
    <cellStyle name="Normal 42 6" xfId="6131"/>
    <cellStyle name="Normal 42 6 10" xfId="22076"/>
    <cellStyle name="Normal 42 6 11" xfId="22077"/>
    <cellStyle name="Normal 42 6 12" xfId="22078"/>
    <cellStyle name="Normal 42 6 13" xfId="22079"/>
    <cellStyle name="Normal 42 6 14" xfId="22080"/>
    <cellStyle name="Normal 42 6 15" xfId="22081"/>
    <cellStyle name="Normal 42 6 16" xfId="22082"/>
    <cellStyle name="Normal 42 6 17" xfId="22083"/>
    <cellStyle name="Normal 42 6 18" xfId="22084"/>
    <cellStyle name="Normal 42 6 19" xfId="22085"/>
    <cellStyle name="Normal 42 6 2" xfId="22086"/>
    <cellStyle name="Normal 42 6 20" xfId="22087"/>
    <cellStyle name="Normal 42 6 21" xfId="22088"/>
    <cellStyle name="Normal 42 6 22" xfId="22089"/>
    <cellStyle name="Normal 42 6 23" xfId="22090"/>
    <cellStyle name="Normal 42 6 3" xfId="22091"/>
    <cellStyle name="Normal 42 6 4" xfId="22092"/>
    <cellStyle name="Normal 42 6 5" xfId="22093"/>
    <cellStyle name="Normal 42 6 6" xfId="22094"/>
    <cellStyle name="Normal 42 6 7" xfId="22095"/>
    <cellStyle name="Normal 42 6 8" xfId="22096"/>
    <cellStyle name="Normal 42 6 9" xfId="22097"/>
    <cellStyle name="Normal 42 60" xfId="22098"/>
    <cellStyle name="Normal 42 61" xfId="22099"/>
    <cellStyle name="Normal 42 62" xfId="22100"/>
    <cellStyle name="Normal 42 63" xfId="22101"/>
    <cellStyle name="Normal 42 64" xfId="22102"/>
    <cellStyle name="Normal 42 65" xfId="22103"/>
    <cellStyle name="Normal 42 66" xfId="22104"/>
    <cellStyle name="Normal 42 67" xfId="22105"/>
    <cellStyle name="Normal 42 68" xfId="22106"/>
    <cellStyle name="Normal 42 69" xfId="22107"/>
    <cellStyle name="Normal 42 7" xfId="6132"/>
    <cellStyle name="Normal 42 7 10" xfId="22108"/>
    <cellStyle name="Normal 42 7 11" xfId="22109"/>
    <cellStyle name="Normal 42 7 12" xfId="22110"/>
    <cellStyle name="Normal 42 7 13" xfId="22111"/>
    <cellStyle name="Normal 42 7 14" xfId="22112"/>
    <cellStyle name="Normal 42 7 15" xfId="22113"/>
    <cellStyle name="Normal 42 7 16" xfId="22114"/>
    <cellStyle name="Normal 42 7 17" xfId="22115"/>
    <cellStyle name="Normal 42 7 18" xfId="22116"/>
    <cellStyle name="Normal 42 7 19" xfId="22117"/>
    <cellStyle name="Normal 42 7 2" xfId="22118"/>
    <cellStyle name="Normal 42 7 20" xfId="22119"/>
    <cellStyle name="Normal 42 7 21" xfId="22120"/>
    <cellStyle name="Normal 42 7 22" xfId="22121"/>
    <cellStyle name="Normal 42 7 23" xfId="22122"/>
    <cellStyle name="Normal 42 7 3" xfId="22123"/>
    <cellStyle name="Normal 42 7 4" xfId="22124"/>
    <cellStyle name="Normal 42 7 5" xfId="22125"/>
    <cellStyle name="Normal 42 7 6" xfId="22126"/>
    <cellStyle name="Normal 42 7 7" xfId="22127"/>
    <cellStyle name="Normal 42 7 8" xfId="22128"/>
    <cellStyle name="Normal 42 7 9" xfId="22129"/>
    <cellStyle name="Normal 42 70" xfId="22130"/>
    <cellStyle name="Normal 42 71" xfId="22131"/>
    <cellStyle name="Normal 42 72" xfId="22132"/>
    <cellStyle name="Normal 42 73" xfId="22133"/>
    <cellStyle name="Normal 42 74" xfId="22134"/>
    <cellStyle name="Normal 42 75" xfId="22135"/>
    <cellStyle name="Normal 42 8" xfId="6133"/>
    <cellStyle name="Normal 42 8 10" xfId="22136"/>
    <cellStyle name="Normal 42 8 11" xfId="22137"/>
    <cellStyle name="Normal 42 8 12" xfId="22138"/>
    <cellStyle name="Normal 42 8 13" xfId="22139"/>
    <cellStyle name="Normal 42 8 14" xfId="22140"/>
    <cellStyle name="Normal 42 8 15" xfId="22141"/>
    <cellStyle name="Normal 42 8 16" xfId="22142"/>
    <cellStyle name="Normal 42 8 17" xfId="22143"/>
    <cellStyle name="Normal 42 8 18" xfId="22144"/>
    <cellStyle name="Normal 42 8 19" xfId="22145"/>
    <cellStyle name="Normal 42 8 2" xfId="22146"/>
    <cellStyle name="Normal 42 8 20" xfId="22147"/>
    <cellStyle name="Normal 42 8 21" xfId="22148"/>
    <cellStyle name="Normal 42 8 22" xfId="22149"/>
    <cellStyle name="Normal 42 8 23" xfId="22150"/>
    <cellStyle name="Normal 42 8 3" xfId="22151"/>
    <cellStyle name="Normal 42 8 4" xfId="22152"/>
    <cellStyle name="Normal 42 8 5" xfId="22153"/>
    <cellStyle name="Normal 42 8 6" xfId="22154"/>
    <cellStyle name="Normal 42 8 7" xfId="22155"/>
    <cellStyle name="Normal 42 8 8" xfId="22156"/>
    <cellStyle name="Normal 42 8 9" xfId="22157"/>
    <cellStyle name="Normal 42 9" xfId="6134"/>
    <cellStyle name="Normal 42 9 10" xfId="22158"/>
    <cellStyle name="Normal 42 9 11" xfId="22159"/>
    <cellStyle name="Normal 42 9 12" xfId="22160"/>
    <cellStyle name="Normal 42 9 13" xfId="22161"/>
    <cellStyle name="Normal 42 9 14" xfId="22162"/>
    <cellStyle name="Normal 42 9 15" xfId="22163"/>
    <cellStyle name="Normal 42 9 16" xfId="22164"/>
    <cellStyle name="Normal 42 9 17" xfId="22165"/>
    <cellStyle name="Normal 42 9 18" xfId="22166"/>
    <cellStyle name="Normal 42 9 19" xfId="22167"/>
    <cellStyle name="Normal 42 9 2" xfId="22168"/>
    <cellStyle name="Normal 42 9 20" xfId="22169"/>
    <cellStyle name="Normal 42 9 21" xfId="22170"/>
    <cellStyle name="Normal 42 9 22" xfId="22171"/>
    <cellStyle name="Normal 42 9 23" xfId="22172"/>
    <cellStyle name="Normal 42 9 3" xfId="22173"/>
    <cellStyle name="Normal 42 9 4" xfId="22174"/>
    <cellStyle name="Normal 42 9 5" xfId="22175"/>
    <cellStyle name="Normal 42 9 6" xfId="22176"/>
    <cellStyle name="Normal 42 9 7" xfId="22177"/>
    <cellStyle name="Normal 42 9 8" xfId="22178"/>
    <cellStyle name="Normal 42 9 9" xfId="22179"/>
    <cellStyle name="Normal 43" xfId="6135"/>
    <cellStyle name="Normal 43 10" xfId="22180"/>
    <cellStyle name="Normal 43 11" xfId="22181"/>
    <cellStyle name="Normal 43 12" xfId="22182"/>
    <cellStyle name="Normal 43 13" xfId="22183"/>
    <cellStyle name="Normal 43 14" xfId="22184"/>
    <cellStyle name="Normal 43 15" xfId="22185"/>
    <cellStyle name="Normal 43 16" xfId="22186"/>
    <cellStyle name="Normal 43 17" xfId="22187"/>
    <cellStyle name="Normal 43 18" xfId="22188"/>
    <cellStyle name="Normal 43 19" xfId="22189"/>
    <cellStyle name="Normal 43 2" xfId="6136"/>
    <cellStyle name="Normal 43 2 10" xfId="22190"/>
    <cellStyle name="Normal 43 2 11" xfId="22191"/>
    <cellStyle name="Normal 43 2 12" xfId="22192"/>
    <cellStyle name="Normal 43 2 13" xfId="22193"/>
    <cellStyle name="Normal 43 2 14" xfId="22194"/>
    <cellStyle name="Normal 43 2 15" xfId="22195"/>
    <cellStyle name="Normal 43 2 16" xfId="22196"/>
    <cellStyle name="Normal 43 2 17" xfId="22197"/>
    <cellStyle name="Normal 43 2 18" xfId="22198"/>
    <cellStyle name="Normal 43 2 19" xfId="22199"/>
    <cellStyle name="Normal 43 2 2" xfId="22200"/>
    <cellStyle name="Normal 43 2 20" xfId="22201"/>
    <cellStyle name="Normal 43 2 21" xfId="22202"/>
    <cellStyle name="Normal 43 2 22" xfId="22203"/>
    <cellStyle name="Normal 43 2 23" xfId="22204"/>
    <cellStyle name="Normal 43 2 3" xfId="22205"/>
    <cellStyle name="Normal 43 2 4" xfId="22206"/>
    <cellStyle name="Normal 43 2 5" xfId="22207"/>
    <cellStyle name="Normal 43 2 6" xfId="22208"/>
    <cellStyle name="Normal 43 2 7" xfId="22209"/>
    <cellStyle name="Normal 43 2 8" xfId="22210"/>
    <cellStyle name="Normal 43 2 9" xfId="22211"/>
    <cellStyle name="Normal 43 20" xfId="22212"/>
    <cellStyle name="Normal 43 21" xfId="22213"/>
    <cellStyle name="Normal 43 22" xfId="22214"/>
    <cellStyle name="Normal 43 23" xfId="22215"/>
    <cellStyle name="Normal 43 24" xfId="22216"/>
    <cellStyle name="Normal 43 25" xfId="22217"/>
    <cellStyle name="Normal 43 3" xfId="6137"/>
    <cellStyle name="Normal 43 4" xfId="6138"/>
    <cellStyle name="Normal 43 5" xfId="22218"/>
    <cellStyle name="Normal 43 6" xfId="22219"/>
    <cellStyle name="Normal 43 7" xfId="22220"/>
    <cellStyle name="Normal 43 8" xfId="22221"/>
    <cellStyle name="Normal 43 9" xfId="22222"/>
    <cellStyle name="Normal 44" xfId="6139"/>
    <cellStyle name="Normal 44 10" xfId="22223"/>
    <cellStyle name="Normal 44 11" xfId="22224"/>
    <cellStyle name="Normal 44 12" xfId="22225"/>
    <cellStyle name="Normal 44 13" xfId="22226"/>
    <cellStyle name="Normal 44 14" xfId="22227"/>
    <cellStyle name="Normal 44 15" xfId="22228"/>
    <cellStyle name="Normal 44 16" xfId="22229"/>
    <cellStyle name="Normal 44 17" xfId="22230"/>
    <cellStyle name="Normal 44 18" xfId="22231"/>
    <cellStyle name="Normal 44 19" xfId="22232"/>
    <cellStyle name="Normal 44 2" xfId="6140"/>
    <cellStyle name="Normal 44 2 10" xfId="22233"/>
    <cellStyle name="Normal 44 2 11" xfId="22234"/>
    <cellStyle name="Normal 44 2 12" xfId="22235"/>
    <cellStyle name="Normal 44 2 13" xfId="22236"/>
    <cellStyle name="Normal 44 2 14" xfId="22237"/>
    <cellStyle name="Normal 44 2 15" xfId="22238"/>
    <cellStyle name="Normal 44 2 16" xfId="22239"/>
    <cellStyle name="Normal 44 2 17" xfId="22240"/>
    <cellStyle name="Normal 44 2 18" xfId="22241"/>
    <cellStyle name="Normal 44 2 19" xfId="22242"/>
    <cellStyle name="Normal 44 2 2" xfId="22243"/>
    <cellStyle name="Normal 44 2 20" xfId="22244"/>
    <cellStyle name="Normal 44 2 21" xfId="22245"/>
    <cellStyle name="Normal 44 2 22" xfId="22246"/>
    <cellStyle name="Normal 44 2 23" xfId="22247"/>
    <cellStyle name="Normal 44 2 3" xfId="22248"/>
    <cellStyle name="Normal 44 2 4" xfId="22249"/>
    <cellStyle name="Normal 44 2 5" xfId="22250"/>
    <cellStyle name="Normal 44 2 6" xfId="22251"/>
    <cellStyle name="Normal 44 2 7" xfId="22252"/>
    <cellStyle name="Normal 44 2 8" xfId="22253"/>
    <cellStyle name="Normal 44 2 9" xfId="22254"/>
    <cellStyle name="Normal 44 20" xfId="22255"/>
    <cellStyle name="Normal 44 21" xfId="22256"/>
    <cellStyle name="Normal 44 22" xfId="22257"/>
    <cellStyle name="Normal 44 23" xfId="22258"/>
    <cellStyle name="Normal 44 24" xfId="22259"/>
    <cellStyle name="Normal 44 25" xfId="22260"/>
    <cellStyle name="Normal 44 26" xfId="22261"/>
    <cellStyle name="Normal 44 27" xfId="22262"/>
    <cellStyle name="Normal 44 28" xfId="22263"/>
    <cellStyle name="Normal 44 29" xfId="22264"/>
    <cellStyle name="Normal 44 3" xfId="6141"/>
    <cellStyle name="Normal 44 3 10" xfId="22265"/>
    <cellStyle name="Normal 44 3 11" xfId="22266"/>
    <cellStyle name="Normal 44 3 12" xfId="22267"/>
    <cellStyle name="Normal 44 3 13" xfId="22268"/>
    <cellStyle name="Normal 44 3 14" xfId="22269"/>
    <cellStyle name="Normal 44 3 15" xfId="22270"/>
    <cellStyle name="Normal 44 3 16" xfId="22271"/>
    <cellStyle name="Normal 44 3 17" xfId="22272"/>
    <cellStyle name="Normal 44 3 18" xfId="22273"/>
    <cellStyle name="Normal 44 3 19" xfId="22274"/>
    <cellStyle name="Normal 44 3 2" xfId="22275"/>
    <cellStyle name="Normal 44 3 20" xfId="22276"/>
    <cellStyle name="Normal 44 3 21" xfId="22277"/>
    <cellStyle name="Normal 44 3 22" xfId="22278"/>
    <cellStyle name="Normal 44 3 23" xfId="22279"/>
    <cellStyle name="Normal 44 3 3" xfId="22280"/>
    <cellStyle name="Normal 44 3 4" xfId="22281"/>
    <cellStyle name="Normal 44 3 5" xfId="22282"/>
    <cellStyle name="Normal 44 3 6" xfId="22283"/>
    <cellStyle name="Normal 44 3 7" xfId="22284"/>
    <cellStyle name="Normal 44 3 8" xfId="22285"/>
    <cellStyle name="Normal 44 3 9" xfId="22286"/>
    <cellStyle name="Normal 44 30" xfId="22287"/>
    <cellStyle name="Normal 44 31" xfId="22288"/>
    <cellStyle name="Normal 44 32" xfId="22289"/>
    <cellStyle name="Normal 44 33" xfId="22290"/>
    <cellStyle name="Normal 44 34" xfId="22291"/>
    <cellStyle name="Normal 44 4" xfId="6142"/>
    <cellStyle name="Normal 44 4 10" xfId="22292"/>
    <cellStyle name="Normal 44 4 11" xfId="22293"/>
    <cellStyle name="Normal 44 4 12" xfId="22294"/>
    <cellStyle name="Normal 44 4 13" xfId="22295"/>
    <cellStyle name="Normal 44 4 14" xfId="22296"/>
    <cellStyle name="Normal 44 4 15" xfId="22297"/>
    <cellStyle name="Normal 44 4 16" xfId="22298"/>
    <cellStyle name="Normal 44 4 17" xfId="22299"/>
    <cellStyle name="Normal 44 4 18" xfId="22300"/>
    <cellStyle name="Normal 44 4 19" xfId="22301"/>
    <cellStyle name="Normal 44 4 2" xfId="22302"/>
    <cellStyle name="Normal 44 4 20" xfId="22303"/>
    <cellStyle name="Normal 44 4 21" xfId="22304"/>
    <cellStyle name="Normal 44 4 22" xfId="22305"/>
    <cellStyle name="Normal 44 4 23" xfId="22306"/>
    <cellStyle name="Normal 44 4 3" xfId="22307"/>
    <cellStyle name="Normal 44 4 4" xfId="22308"/>
    <cellStyle name="Normal 44 4 5" xfId="22309"/>
    <cellStyle name="Normal 44 4 6" xfId="22310"/>
    <cellStyle name="Normal 44 4 7" xfId="22311"/>
    <cellStyle name="Normal 44 4 8" xfId="22312"/>
    <cellStyle name="Normal 44 4 9" xfId="22313"/>
    <cellStyle name="Normal 44 5" xfId="22314"/>
    <cellStyle name="Normal 44 6" xfId="22315"/>
    <cellStyle name="Normal 44 7" xfId="22316"/>
    <cellStyle name="Normal 44 8" xfId="22317"/>
    <cellStyle name="Normal 44 9" xfId="22318"/>
    <cellStyle name="Normal 45" xfId="6143"/>
    <cellStyle name="Normal 45 10" xfId="22319"/>
    <cellStyle name="Normal 45 11" xfId="22320"/>
    <cellStyle name="Normal 45 12" xfId="22321"/>
    <cellStyle name="Normal 45 13" xfId="22322"/>
    <cellStyle name="Normal 45 14" xfId="22323"/>
    <cellStyle name="Normal 45 15" xfId="22324"/>
    <cellStyle name="Normal 45 16" xfId="22325"/>
    <cellStyle name="Normal 45 17" xfId="22326"/>
    <cellStyle name="Normal 45 18" xfId="22327"/>
    <cellStyle name="Normal 45 19" xfId="22328"/>
    <cellStyle name="Normal 45 2" xfId="22329"/>
    <cellStyle name="Normal 45 20" xfId="22330"/>
    <cellStyle name="Normal 45 21" xfId="22331"/>
    <cellStyle name="Normal 45 22" xfId="22332"/>
    <cellStyle name="Normal 45 23" xfId="22333"/>
    <cellStyle name="Normal 45 3" xfId="22334"/>
    <cellStyle name="Normal 45 4" xfId="22335"/>
    <cellStyle name="Normal 45 5" xfId="22336"/>
    <cellStyle name="Normal 45 6" xfId="22337"/>
    <cellStyle name="Normal 45 7" xfId="22338"/>
    <cellStyle name="Normal 45 8" xfId="22339"/>
    <cellStyle name="Normal 45 9" xfId="22340"/>
    <cellStyle name="Normal 46" xfId="6144"/>
    <cellStyle name="Normal 46 10" xfId="22341"/>
    <cellStyle name="Normal 46 11" xfId="22342"/>
    <cellStyle name="Normal 46 12" xfId="22343"/>
    <cellStyle name="Normal 46 13" xfId="22344"/>
    <cellStyle name="Normal 46 14" xfId="22345"/>
    <cellStyle name="Normal 46 15" xfId="22346"/>
    <cellStyle name="Normal 46 16" xfId="22347"/>
    <cellStyle name="Normal 46 17" xfId="22348"/>
    <cellStyle name="Normal 46 18" xfId="22349"/>
    <cellStyle name="Normal 46 19" xfId="22350"/>
    <cellStyle name="Normal 46 2" xfId="6145"/>
    <cellStyle name="Normal 46 2 10" xfId="22351"/>
    <cellStyle name="Normal 46 2 11" xfId="22352"/>
    <cellStyle name="Normal 46 2 12" xfId="22353"/>
    <cellStyle name="Normal 46 2 13" xfId="22354"/>
    <cellStyle name="Normal 46 2 14" xfId="22355"/>
    <cellStyle name="Normal 46 2 15" xfId="22356"/>
    <cellStyle name="Normal 46 2 16" xfId="22357"/>
    <cellStyle name="Normal 46 2 17" xfId="22358"/>
    <cellStyle name="Normal 46 2 18" xfId="22359"/>
    <cellStyle name="Normal 46 2 19" xfId="22360"/>
    <cellStyle name="Normal 46 2 2" xfId="6146"/>
    <cellStyle name="Normal 46 2 2 2" xfId="22361"/>
    <cellStyle name="Normal 46 2 2 3" xfId="22362"/>
    <cellStyle name="Normal 46 2 2 4" xfId="22363"/>
    <cellStyle name="Normal 46 2 20" xfId="22364"/>
    <cellStyle name="Normal 46 2 21" xfId="22365"/>
    <cellStyle name="Normal 46 2 22" xfId="22366"/>
    <cellStyle name="Normal 46 2 23" xfId="22367"/>
    <cellStyle name="Normal 46 2 3" xfId="22368"/>
    <cellStyle name="Normal 46 2 4" xfId="22369"/>
    <cellStyle name="Normal 46 2 5" xfId="22370"/>
    <cellStyle name="Normal 46 2 6" xfId="22371"/>
    <cellStyle name="Normal 46 2 7" xfId="22372"/>
    <cellStyle name="Normal 46 2 8" xfId="22373"/>
    <cellStyle name="Normal 46 2 9" xfId="22374"/>
    <cellStyle name="Normal 46 20" xfId="22375"/>
    <cellStyle name="Normal 46 21" xfId="22376"/>
    <cellStyle name="Normal 46 22" xfId="22377"/>
    <cellStyle name="Normal 46 23" xfId="22378"/>
    <cellStyle name="Normal 46 24" xfId="22379"/>
    <cellStyle name="Normal 46 3" xfId="6147"/>
    <cellStyle name="Normal 46 3 2" xfId="22380"/>
    <cellStyle name="Normal 46 3 3" xfId="22381"/>
    <cellStyle name="Normal 46 3 4" xfId="22382"/>
    <cellStyle name="Normal 46 4" xfId="22383"/>
    <cellStyle name="Normal 46 5" xfId="22384"/>
    <cellStyle name="Normal 46 6" xfId="22385"/>
    <cellStyle name="Normal 46 7" xfId="22386"/>
    <cellStyle name="Normal 46 8" xfId="22387"/>
    <cellStyle name="Normal 46 9" xfId="22388"/>
    <cellStyle name="Normal 47" xfId="6148"/>
    <cellStyle name="Normal 47 10" xfId="22389"/>
    <cellStyle name="Normal 47 11" xfId="22390"/>
    <cellStyle name="Normal 47 12" xfId="22391"/>
    <cellStyle name="Normal 47 13" xfId="22392"/>
    <cellStyle name="Normal 47 14" xfId="22393"/>
    <cellStyle name="Normal 47 15" xfId="22394"/>
    <cellStyle name="Normal 47 16" xfId="22395"/>
    <cellStyle name="Normal 47 17" xfId="22396"/>
    <cellStyle name="Normal 47 18" xfId="22397"/>
    <cellStyle name="Normal 47 19" xfId="22398"/>
    <cellStyle name="Normal 47 2" xfId="6149"/>
    <cellStyle name="Normal 47 2 10" xfId="22399"/>
    <cellStyle name="Normal 47 2 11" xfId="22400"/>
    <cellStyle name="Normal 47 2 12" xfId="22401"/>
    <cellStyle name="Normal 47 2 13" xfId="22402"/>
    <cellStyle name="Normal 47 2 14" xfId="22403"/>
    <cellStyle name="Normal 47 2 15" xfId="22404"/>
    <cellStyle name="Normal 47 2 16" xfId="22405"/>
    <cellStyle name="Normal 47 2 17" xfId="22406"/>
    <cellStyle name="Normal 47 2 18" xfId="22407"/>
    <cellStyle name="Normal 47 2 19" xfId="22408"/>
    <cellStyle name="Normal 47 2 2" xfId="22409"/>
    <cellStyle name="Normal 47 2 20" xfId="22410"/>
    <cellStyle name="Normal 47 2 21" xfId="22411"/>
    <cellStyle name="Normal 47 2 22" xfId="22412"/>
    <cellStyle name="Normal 47 2 23" xfId="22413"/>
    <cellStyle name="Normal 47 2 3" xfId="22414"/>
    <cellStyle name="Normal 47 2 4" xfId="22415"/>
    <cellStyle name="Normal 47 2 5" xfId="22416"/>
    <cellStyle name="Normal 47 2 6" xfId="22417"/>
    <cellStyle name="Normal 47 2 7" xfId="22418"/>
    <cellStyle name="Normal 47 2 8" xfId="22419"/>
    <cellStyle name="Normal 47 2 9" xfId="22420"/>
    <cellStyle name="Normal 47 20" xfId="22421"/>
    <cellStyle name="Normal 47 21" xfId="22422"/>
    <cellStyle name="Normal 47 22" xfId="22423"/>
    <cellStyle name="Normal 47 23" xfId="22424"/>
    <cellStyle name="Normal 47 3" xfId="22425"/>
    <cellStyle name="Normal 47 4" xfId="22426"/>
    <cellStyle name="Normal 47 5" xfId="22427"/>
    <cellStyle name="Normal 47 6" xfId="22428"/>
    <cellStyle name="Normal 47 7" xfId="22429"/>
    <cellStyle name="Normal 47 8" xfId="22430"/>
    <cellStyle name="Normal 47 9" xfId="22431"/>
    <cellStyle name="Normal 48" xfId="6150"/>
    <cellStyle name="Normal 48 10" xfId="22432"/>
    <cellStyle name="Normal 48 11" xfId="22433"/>
    <cellStyle name="Normal 48 12" xfId="22434"/>
    <cellStyle name="Normal 48 13" xfId="22435"/>
    <cellStyle name="Normal 48 14" xfId="22436"/>
    <cellStyle name="Normal 48 15" xfId="22437"/>
    <cellStyle name="Normal 48 16" xfId="22438"/>
    <cellStyle name="Normal 48 17" xfId="22439"/>
    <cellStyle name="Normal 48 18" xfId="22440"/>
    <cellStyle name="Normal 48 19" xfId="22441"/>
    <cellStyle name="Normal 48 2" xfId="22442"/>
    <cellStyle name="Normal 48 20" xfId="22443"/>
    <cellStyle name="Normal 48 21" xfId="22444"/>
    <cellStyle name="Normal 48 22" xfId="22445"/>
    <cellStyle name="Normal 48 23" xfId="22446"/>
    <cellStyle name="Normal 48 3" xfId="22447"/>
    <cellStyle name="Normal 48 4" xfId="22448"/>
    <cellStyle name="Normal 48 5" xfId="22449"/>
    <cellStyle name="Normal 48 6" xfId="22450"/>
    <cellStyle name="Normal 48 7" xfId="22451"/>
    <cellStyle name="Normal 48 8" xfId="22452"/>
    <cellStyle name="Normal 48 9" xfId="22453"/>
    <cellStyle name="Normal 49" xfId="6151"/>
    <cellStyle name="Normal 49 10" xfId="22454"/>
    <cellStyle name="Normal 49 11" xfId="22455"/>
    <cellStyle name="Normal 49 12" xfId="22456"/>
    <cellStyle name="Normal 49 13" xfId="22457"/>
    <cellStyle name="Normal 49 14" xfId="22458"/>
    <cellStyle name="Normal 49 15" xfId="22459"/>
    <cellStyle name="Normal 49 16" xfId="22460"/>
    <cellStyle name="Normal 49 17" xfId="22461"/>
    <cellStyle name="Normal 49 18" xfId="22462"/>
    <cellStyle name="Normal 49 19" xfId="22463"/>
    <cellStyle name="Normal 49 2" xfId="22464"/>
    <cellStyle name="Normal 49 20" xfId="22465"/>
    <cellStyle name="Normal 49 21" xfId="22466"/>
    <cellStyle name="Normal 49 22" xfId="22467"/>
    <cellStyle name="Normal 49 23" xfId="22468"/>
    <cellStyle name="Normal 49 3" xfId="22469"/>
    <cellStyle name="Normal 49 4" xfId="22470"/>
    <cellStyle name="Normal 49 5" xfId="22471"/>
    <cellStyle name="Normal 49 6" xfId="22472"/>
    <cellStyle name="Normal 49 7" xfId="22473"/>
    <cellStyle name="Normal 49 8" xfId="22474"/>
    <cellStyle name="Normal 49 9" xfId="22475"/>
    <cellStyle name="Normal 5" xfId="6152"/>
    <cellStyle name="Normal 5 10" xfId="6153"/>
    <cellStyle name="Normal 5 10 2" xfId="6154"/>
    <cellStyle name="Normal 5 10 3" xfId="6155"/>
    <cellStyle name="Normal 5 10 4" xfId="6156"/>
    <cellStyle name="Normal 5 10 5" xfId="6157"/>
    <cellStyle name="Normal 5 11" xfId="6158"/>
    <cellStyle name="Normal 5 11 2" xfId="6159"/>
    <cellStyle name="Normal 5 11 3" xfId="6160"/>
    <cellStyle name="Normal 5 11 4" xfId="6161"/>
    <cellStyle name="Normal 5 11 5" xfId="6162"/>
    <cellStyle name="Normal 5 12" xfId="6163"/>
    <cellStyle name="Normal 5 12 2" xfId="6164"/>
    <cellStyle name="Normal 5 12 3" xfId="6165"/>
    <cellStyle name="Normal 5 12 4" xfId="6166"/>
    <cellStyle name="Normal 5 12 5" xfId="6167"/>
    <cellStyle name="Normal 5 13" xfId="6168"/>
    <cellStyle name="Normal 5 13 2" xfId="6169"/>
    <cellStyle name="Normal 5 13 3" xfId="6170"/>
    <cellStyle name="Normal 5 13 4" xfId="6171"/>
    <cellStyle name="Normal 5 13 5" xfId="6172"/>
    <cellStyle name="Normal 5 14" xfId="6173"/>
    <cellStyle name="Normal 5 14 2" xfId="6174"/>
    <cellStyle name="Normal 5 14 3" xfId="6175"/>
    <cellStyle name="Normal 5 14 4" xfId="6176"/>
    <cellStyle name="Normal 5 14 5" xfId="6177"/>
    <cellStyle name="Normal 5 15" xfId="6178"/>
    <cellStyle name="Normal 5 15 2" xfId="6179"/>
    <cellStyle name="Normal 5 15 3" xfId="6180"/>
    <cellStyle name="Normal 5 15 4" xfId="6181"/>
    <cellStyle name="Normal 5 15 5" xfId="6182"/>
    <cellStyle name="Normal 5 16" xfId="6183"/>
    <cellStyle name="Normal 5 16 2" xfId="6184"/>
    <cellStyle name="Normal 5 16 2 10" xfId="22476"/>
    <cellStyle name="Normal 5 16 2 11" xfId="22477"/>
    <cellStyle name="Normal 5 16 2 12" xfId="22478"/>
    <cellStyle name="Normal 5 16 2 13" xfId="22479"/>
    <cellStyle name="Normal 5 16 2 14" xfId="22480"/>
    <cellStyle name="Normal 5 16 2 15" xfId="22481"/>
    <cellStyle name="Normal 5 16 2 16" xfId="22482"/>
    <cellStyle name="Normal 5 16 2 17" xfId="22483"/>
    <cellStyle name="Normal 5 16 2 18" xfId="22484"/>
    <cellStyle name="Normal 5 16 2 19" xfId="22485"/>
    <cellStyle name="Normal 5 16 2 2" xfId="22486"/>
    <cellStyle name="Normal 5 16 2 20" xfId="22487"/>
    <cellStyle name="Normal 5 16 2 21" xfId="22488"/>
    <cellStyle name="Normal 5 16 2 22" xfId="22489"/>
    <cellStyle name="Normal 5 16 2 23" xfId="22490"/>
    <cellStyle name="Normal 5 16 2 3" xfId="22491"/>
    <cellStyle name="Normal 5 16 2 4" xfId="22492"/>
    <cellStyle name="Normal 5 16 2 5" xfId="22493"/>
    <cellStyle name="Normal 5 16 2 6" xfId="22494"/>
    <cellStyle name="Normal 5 16 2 7" xfId="22495"/>
    <cellStyle name="Normal 5 16 2 8" xfId="22496"/>
    <cellStyle name="Normal 5 16 2 9" xfId="22497"/>
    <cellStyle name="Normal 5 16 3" xfId="6185"/>
    <cellStyle name="Normal 5 16 3 10" xfId="22498"/>
    <cellStyle name="Normal 5 16 3 11" xfId="22499"/>
    <cellStyle name="Normal 5 16 3 12" xfId="22500"/>
    <cellStyle name="Normal 5 16 3 13" xfId="22501"/>
    <cellStyle name="Normal 5 16 3 14" xfId="22502"/>
    <cellStyle name="Normal 5 16 3 15" xfId="22503"/>
    <cellStyle name="Normal 5 16 3 16" xfId="22504"/>
    <cellStyle name="Normal 5 16 3 17" xfId="22505"/>
    <cellStyle name="Normal 5 16 3 18" xfId="22506"/>
    <cellStyle name="Normal 5 16 3 19" xfId="22507"/>
    <cellStyle name="Normal 5 16 3 2" xfId="22508"/>
    <cellStyle name="Normal 5 16 3 20" xfId="22509"/>
    <cellStyle name="Normal 5 16 3 21" xfId="22510"/>
    <cellStyle name="Normal 5 16 3 22" xfId="22511"/>
    <cellStyle name="Normal 5 16 3 23" xfId="22512"/>
    <cellStyle name="Normal 5 16 3 3" xfId="22513"/>
    <cellStyle name="Normal 5 16 3 4" xfId="22514"/>
    <cellStyle name="Normal 5 16 3 5" xfId="22515"/>
    <cellStyle name="Normal 5 16 3 6" xfId="22516"/>
    <cellStyle name="Normal 5 16 3 7" xfId="22517"/>
    <cellStyle name="Normal 5 16 3 8" xfId="22518"/>
    <cellStyle name="Normal 5 16 3 9" xfId="22519"/>
    <cellStyle name="Normal 5 16 4" xfId="6186"/>
    <cellStyle name="Normal 5 16 5" xfId="6187"/>
    <cellStyle name="Normal 5 16 6" xfId="6188"/>
    <cellStyle name="Normal 5 16 7" xfId="6189"/>
    <cellStyle name="Normal 5 16 8" xfId="6190"/>
    <cellStyle name="Normal 5 17" xfId="6191"/>
    <cellStyle name="Normal 5 18" xfId="6192"/>
    <cellStyle name="Normal 5 19" xfId="6193"/>
    <cellStyle name="Normal 5 2" xfId="6194"/>
    <cellStyle name="Normal 5 2 2" xfId="6195"/>
    <cellStyle name="Normal 5 2 2 2" xfId="6196"/>
    <cellStyle name="Normal 5 2 2 2 2" xfId="6197"/>
    <cellStyle name="Normal 5 2 3" xfId="6198"/>
    <cellStyle name="Normal 5 2 4" xfId="6199"/>
    <cellStyle name="Normal 5 2 5" xfId="6200"/>
    <cellStyle name="Normal 5 2 6" xfId="6201"/>
    <cellStyle name="Normal 5 2 6 2" xfId="6202"/>
    <cellStyle name="Normal 5 2 6 2 2" xfId="6203"/>
    <cellStyle name="Normal 5 2 7" xfId="6204"/>
    <cellStyle name="Normal 5 2 7 10" xfId="22520"/>
    <cellStyle name="Normal 5 2 7 11" xfId="22521"/>
    <cellStyle name="Normal 5 2 7 12" xfId="22522"/>
    <cellStyle name="Normal 5 2 7 13" xfId="22523"/>
    <cellStyle name="Normal 5 2 7 14" xfId="22524"/>
    <cellStyle name="Normal 5 2 7 15" xfId="22525"/>
    <cellStyle name="Normal 5 2 7 16" xfId="22526"/>
    <cellStyle name="Normal 5 2 7 17" xfId="22527"/>
    <cellStyle name="Normal 5 2 7 18" xfId="22528"/>
    <cellStyle name="Normal 5 2 7 19" xfId="22529"/>
    <cellStyle name="Normal 5 2 7 2" xfId="22530"/>
    <cellStyle name="Normal 5 2 7 20" xfId="22531"/>
    <cellStyle name="Normal 5 2 7 21" xfId="22532"/>
    <cellStyle name="Normal 5 2 7 22" xfId="22533"/>
    <cellStyle name="Normal 5 2 7 23" xfId="22534"/>
    <cellStyle name="Normal 5 2 7 3" xfId="22535"/>
    <cellStyle name="Normal 5 2 7 4" xfId="22536"/>
    <cellStyle name="Normal 5 2 7 5" xfId="22537"/>
    <cellStyle name="Normal 5 2 7 6" xfId="22538"/>
    <cellStyle name="Normal 5 2 7 7" xfId="22539"/>
    <cellStyle name="Normal 5 2 7 8" xfId="22540"/>
    <cellStyle name="Normal 5 2 7 9" xfId="22541"/>
    <cellStyle name="Normal 5 2 8" xfId="6205"/>
    <cellStyle name="Normal 5 20" xfId="6206"/>
    <cellStyle name="Normal 5 21" xfId="6207"/>
    <cellStyle name="Normal 5 22" xfId="6208"/>
    <cellStyle name="Normal 5 23" xfId="6209"/>
    <cellStyle name="Normal 5 24" xfId="6210"/>
    <cellStyle name="Normal 5 25" xfId="6211"/>
    <cellStyle name="Normal 5 26" xfId="6212"/>
    <cellStyle name="Normal 5 27" xfId="6213"/>
    <cellStyle name="Normal 5 28" xfId="6214"/>
    <cellStyle name="Normal 5 29" xfId="6215"/>
    <cellStyle name="Normal 5 3" xfId="6216"/>
    <cellStyle name="Normal 5 3 10" xfId="6217"/>
    <cellStyle name="Normal 5 3 11" xfId="6218"/>
    <cellStyle name="Normal 5 3 12" xfId="6219"/>
    <cellStyle name="Normal 5 3 2" xfId="6220"/>
    <cellStyle name="Normal 5 3 3" xfId="6221"/>
    <cellStyle name="Normal 5 3 4" xfId="6222"/>
    <cellStyle name="Normal 5 3 5" xfId="6223"/>
    <cellStyle name="Normal 5 3 6" xfId="6224"/>
    <cellStyle name="Normal 5 3 6 10" xfId="22542"/>
    <cellStyle name="Normal 5 3 6 11" xfId="22543"/>
    <cellStyle name="Normal 5 3 6 12" xfId="22544"/>
    <cellStyle name="Normal 5 3 6 13" xfId="22545"/>
    <cellStyle name="Normal 5 3 6 14" xfId="22546"/>
    <cellStyle name="Normal 5 3 6 15" xfId="22547"/>
    <cellStyle name="Normal 5 3 6 16" xfId="22548"/>
    <cellStyle name="Normal 5 3 6 17" xfId="22549"/>
    <cellStyle name="Normal 5 3 6 18" xfId="22550"/>
    <cellStyle name="Normal 5 3 6 19" xfId="22551"/>
    <cellStyle name="Normal 5 3 6 2" xfId="6225"/>
    <cellStyle name="Normal 5 3 6 20" xfId="22552"/>
    <cellStyle name="Normal 5 3 6 21" xfId="22553"/>
    <cellStyle name="Normal 5 3 6 22" xfId="22554"/>
    <cellStyle name="Normal 5 3 6 23" xfId="22555"/>
    <cellStyle name="Normal 5 3 6 24" xfId="22556"/>
    <cellStyle name="Normal 5 3 6 3" xfId="22557"/>
    <cellStyle name="Normal 5 3 6 4" xfId="22558"/>
    <cellStyle name="Normal 5 3 6 5" xfId="22559"/>
    <cellStyle name="Normal 5 3 6 6" xfId="22560"/>
    <cellStyle name="Normal 5 3 6 7" xfId="22561"/>
    <cellStyle name="Normal 5 3 6 8" xfId="22562"/>
    <cellStyle name="Normal 5 3 6 9" xfId="22563"/>
    <cellStyle name="Normal 5 3 7" xfId="6226"/>
    <cellStyle name="Normal 5 3 8" xfId="6227"/>
    <cellStyle name="Normal 5 3 9" xfId="6228"/>
    <cellStyle name="Normal 5 30" xfId="6229"/>
    <cellStyle name="Normal 5 31" xfId="6230"/>
    <cellStyle name="Normal 5 32" xfId="6231"/>
    <cellStyle name="Normal 5 33" xfId="6232"/>
    <cellStyle name="Normal 5 34" xfId="6233"/>
    <cellStyle name="Normal 5 35" xfId="6234"/>
    <cellStyle name="Normal 5 36" xfId="6235"/>
    <cellStyle name="Normal 5 37" xfId="6236"/>
    <cellStyle name="Normal 5 38" xfId="6237"/>
    <cellStyle name="Normal 5 39" xfId="6238"/>
    <cellStyle name="Normal 5 4" xfId="6239"/>
    <cellStyle name="Normal 5 4 2" xfId="6240"/>
    <cellStyle name="Normal 5 4 3" xfId="6241"/>
    <cellStyle name="Normal 5 4 4" xfId="6242"/>
    <cellStyle name="Normal 5 4 5" xfId="6243"/>
    <cellStyle name="Normal 5 40" xfId="6244"/>
    <cellStyle name="Normal 5 41" xfId="6245"/>
    <cellStyle name="Normal 5 42" xfId="6246"/>
    <cellStyle name="Normal 5 43" xfId="6247"/>
    <cellStyle name="Normal 5 44" xfId="6248"/>
    <cellStyle name="Normal 5 45" xfId="6249"/>
    <cellStyle name="Normal 5 46" xfId="6250"/>
    <cellStyle name="Normal 5 47" xfId="6251"/>
    <cellStyle name="Normal 5 48" xfId="6252"/>
    <cellStyle name="Normal 5 49" xfId="6253"/>
    <cellStyle name="Normal 5 5" xfId="6254"/>
    <cellStyle name="Normal 5 5 2" xfId="6255"/>
    <cellStyle name="Normal 5 5 3" xfId="6256"/>
    <cellStyle name="Normal 5 5 4" xfId="6257"/>
    <cellStyle name="Normal 5 5 5" xfId="6258"/>
    <cellStyle name="Normal 5 50" xfId="6259"/>
    <cellStyle name="Normal 5 51" xfId="6260"/>
    <cellStyle name="Normal 5 52" xfId="6261"/>
    <cellStyle name="Normal 5 53" xfId="6262"/>
    <cellStyle name="Normal 5 54" xfId="6263"/>
    <cellStyle name="Normal 5 55" xfId="6264"/>
    <cellStyle name="Normal 5 56" xfId="6265"/>
    <cellStyle name="Normal 5 57" xfId="6266"/>
    <cellStyle name="Normal 5 58" xfId="6267"/>
    <cellStyle name="Normal 5 59" xfId="6268"/>
    <cellStyle name="Normal 5 6" xfId="6269"/>
    <cellStyle name="Normal 5 6 2" xfId="6270"/>
    <cellStyle name="Normal 5 6 3" xfId="6271"/>
    <cellStyle name="Normal 5 6 4" xfId="6272"/>
    <cellStyle name="Normal 5 6 5" xfId="6273"/>
    <cellStyle name="Normal 5 60" xfId="6274"/>
    <cellStyle name="Normal 5 61" xfId="6275"/>
    <cellStyle name="Normal 5 62" xfId="6276"/>
    <cellStyle name="Normal 5 63" xfId="6277"/>
    <cellStyle name="Normal 5 63 2" xfId="22564"/>
    <cellStyle name="Normal 5 63 3" xfId="22565"/>
    <cellStyle name="Normal 5 63 4" xfId="22566"/>
    <cellStyle name="Normal 5 64" xfId="6278"/>
    <cellStyle name="Normal 5 64 2" xfId="22567"/>
    <cellStyle name="Normal 5 64 3" xfId="22568"/>
    <cellStyle name="Normal 5 64 4" xfId="22569"/>
    <cellStyle name="Normal 5 7" xfId="6279"/>
    <cellStyle name="Normal 5 7 2" xfId="6280"/>
    <cellStyle name="Normal 5 7 3" xfId="6281"/>
    <cellStyle name="Normal 5 7 4" xfId="6282"/>
    <cellStyle name="Normal 5 7 5" xfId="6283"/>
    <cellStyle name="Normal 5 8" xfId="6284"/>
    <cellStyle name="Normal 5 8 2" xfId="6285"/>
    <cellStyle name="Normal 5 8 3" xfId="6286"/>
    <cellStyle name="Normal 5 8 4" xfId="6287"/>
    <cellStyle name="Normal 5 8 5" xfId="6288"/>
    <cellStyle name="Normal 5 9" xfId="6289"/>
    <cellStyle name="Normal 5 9 2" xfId="6290"/>
    <cellStyle name="Normal 5 9 3" xfId="6291"/>
    <cellStyle name="Normal 5 9 4" xfId="6292"/>
    <cellStyle name="Normal 5 9 5" xfId="6293"/>
    <cellStyle name="Normal 5_BMCK ACUT PPTK BUSYANTO" xfId="6294"/>
    <cellStyle name="Normal 50" xfId="6295"/>
    <cellStyle name="Normal 50 10" xfId="22570"/>
    <cellStyle name="Normal 50 11" xfId="22571"/>
    <cellStyle name="Normal 50 12" xfId="22572"/>
    <cellStyle name="Normal 50 13" xfId="22573"/>
    <cellStyle name="Normal 50 14" xfId="22574"/>
    <cellStyle name="Normal 50 15" xfId="22575"/>
    <cellStyle name="Normal 50 16" xfId="22576"/>
    <cellStyle name="Normal 50 17" xfId="22577"/>
    <cellStyle name="Normal 50 18" xfId="22578"/>
    <cellStyle name="Normal 50 19" xfId="22579"/>
    <cellStyle name="Normal 50 2" xfId="22580"/>
    <cellStyle name="Normal 50 20" xfId="22581"/>
    <cellStyle name="Normal 50 21" xfId="22582"/>
    <cellStyle name="Normal 50 22" xfId="22583"/>
    <cellStyle name="Normal 50 23" xfId="22584"/>
    <cellStyle name="Normal 50 3" xfId="22585"/>
    <cellStyle name="Normal 50 4" xfId="22586"/>
    <cellStyle name="Normal 50 5" xfId="22587"/>
    <cellStyle name="Normal 50 6" xfId="22588"/>
    <cellStyle name="Normal 50 7" xfId="22589"/>
    <cellStyle name="Normal 50 8" xfId="22590"/>
    <cellStyle name="Normal 50 9" xfId="22591"/>
    <cellStyle name="Normal 51" xfId="6296"/>
    <cellStyle name="Normal 51 10" xfId="22592"/>
    <cellStyle name="Normal 51 11" xfId="22593"/>
    <cellStyle name="Normal 51 12" xfId="22594"/>
    <cellStyle name="Normal 51 13" xfId="22595"/>
    <cellStyle name="Normal 51 14" xfId="22596"/>
    <cellStyle name="Normal 51 15" xfId="22597"/>
    <cellStyle name="Normal 51 16" xfId="22598"/>
    <cellStyle name="Normal 51 17" xfId="22599"/>
    <cellStyle name="Normal 51 18" xfId="22600"/>
    <cellStyle name="Normal 51 19" xfId="22601"/>
    <cellStyle name="Normal 51 2" xfId="6297"/>
    <cellStyle name="Normal 51 20" xfId="22602"/>
    <cellStyle name="Normal 51 21" xfId="22603"/>
    <cellStyle name="Normal 51 22" xfId="22604"/>
    <cellStyle name="Normal 51 23" xfId="22605"/>
    <cellStyle name="Normal 51 3" xfId="22606"/>
    <cellStyle name="Normal 51 4" xfId="22607"/>
    <cellStyle name="Normal 51 5" xfId="22608"/>
    <cellStyle name="Normal 51 6" xfId="22609"/>
    <cellStyle name="Normal 51 7" xfId="22610"/>
    <cellStyle name="Normal 51 8" xfId="22611"/>
    <cellStyle name="Normal 51 9" xfId="22612"/>
    <cellStyle name="Normal 52" xfId="6298"/>
    <cellStyle name="Normal 52 10" xfId="22613"/>
    <cellStyle name="Normal 52 11" xfId="22614"/>
    <cellStyle name="Normal 52 12" xfId="22615"/>
    <cellStyle name="Normal 52 13" xfId="22616"/>
    <cellStyle name="Normal 52 14" xfId="22617"/>
    <cellStyle name="Normal 52 15" xfId="22618"/>
    <cellStyle name="Normal 52 16" xfId="22619"/>
    <cellStyle name="Normal 52 17" xfId="22620"/>
    <cellStyle name="Normal 52 18" xfId="22621"/>
    <cellStyle name="Normal 52 19" xfId="22622"/>
    <cellStyle name="Normal 52 2" xfId="22623"/>
    <cellStyle name="Normal 52 20" xfId="22624"/>
    <cellStyle name="Normal 52 21" xfId="22625"/>
    <cellStyle name="Normal 52 22" xfId="22626"/>
    <cellStyle name="Normal 52 23" xfId="22627"/>
    <cellStyle name="Normal 52 24" xfId="22628"/>
    <cellStyle name="Normal 52 3" xfId="22629"/>
    <cellStyle name="Normal 52 4" xfId="22630"/>
    <cellStyle name="Normal 52 5" xfId="22631"/>
    <cellStyle name="Normal 52 6" xfId="22632"/>
    <cellStyle name="Normal 52 7" xfId="22633"/>
    <cellStyle name="Normal 52 8" xfId="22634"/>
    <cellStyle name="Normal 52 9" xfId="22635"/>
    <cellStyle name="Normal 53" xfId="6299"/>
    <cellStyle name="Normal 53 10" xfId="22636"/>
    <cellStyle name="Normal 53 11" xfId="22637"/>
    <cellStyle name="Normal 53 12" xfId="22638"/>
    <cellStyle name="Normal 53 13" xfId="22639"/>
    <cellStyle name="Normal 53 14" xfId="22640"/>
    <cellStyle name="Normal 53 15" xfId="22641"/>
    <cellStyle name="Normal 53 16" xfId="22642"/>
    <cellStyle name="Normal 53 17" xfId="22643"/>
    <cellStyle name="Normal 53 18" xfId="22644"/>
    <cellStyle name="Normal 53 19" xfId="22645"/>
    <cellStyle name="Normal 53 2" xfId="22646"/>
    <cellStyle name="Normal 53 20" xfId="22647"/>
    <cellStyle name="Normal 53 21" xfId="22648"/>
    <cellStyle name="Normal 53 22" xfId="22649"/>
    <cellStyle name="Normal 53 23" xfId="22650"/>
    <cellStyle name="Normal 53 3" xfId="22651"/>
    <cellStyle name="Normal 53 4" xfId="22652"/>
    <cellStyle name="Normal 53 5" xfId="22653"/>
    <cellStyle name="Normal 53 6" xfId="22654"/>
    <cellStyle name="Normal 53 7" xfId="22655"/>
    <cellStyle name="Normal 53 8" xfId="22656"/>
    <cellStyle name="Normal 53 9" xfId="22657"/>
    <cellStyle name="Normal 54" xfId="6300"/>
    <cellStyle name="Normal 54 10" xfId="22658"/>
    <cellStyle name="Normal 54 11" xfId="22659"/>
    <cellStyle name="Normal 54 12" xfId="22660"/>
    <cellStyle name="Normal 54 13" xfId="22661"/>
    <cellStyle name="Normal 54 14" xfId="22662"/>
    <cellStyle name="Normal 54 15" xfId="22663"/>
    <cellStyle name="Normal 54 16" xfId="22664"/>
    <cellStyle name="Normal 54 17" xfId="22665"/>
    <cellStyle name="Normal 54 18" xfId="22666"/>
    <cellStyle name="Normal 54 19" xfId="22667"/>
    <cellStyle name="Normal 54 2" xfId="22668"/>
    <cellStyle name="Normal 54 20" xfId="22669"/>
    <cellStyle name="Normal 54 21" xfId="22670"/>
    <cellStyle name="Normal 54 22" xfId="22671"/>
    <cellStyle name="Normal 54 23" xfId="22672"/>
    <cellStyle name="Normal 54 3" xfId="22673"/>
    <cellStyle name="Normal 54 4" xfId="22674"/>
    <cellStyle name="Normal 54 5" xfId="22675"/>
    <cellStyle name="Normal 54 6" xfId="22676"/>
    <cellStyle name="Normal 54 7" xfId="22677"/>
    <cellStyle name="Normal 54 8" xfId="22678"/>
    <cellStyle name="Normal 54 9" xfId="22679"/>
    <cellStyle name="Normal 55" xfId="6301"/>
    <cellStyle name="Normal 55 10" xfId="22680"/>
    <cellStyle name="Normal 55 11" xfId="22681"/>
    <cellStyle name="Normal 55 12" xfId="22682"/>
    <cellStyle name="Normal 55 13" xfId="22683"/>
    <cellStyle name="Normal 55 14" xfId="22684"/>
    <cellStyle name="Normal 55 15" xfId="22685"/>
    <cellStyle name="Normal 55 16" xfId="22686"/>
    <cellStyle name="Normal 55 17" xfId="22687"/>
    <cellStyle name="Normal 55 18" xfId="22688"/>
    <cellStyle name="Normal 55 19" xfId="22689"/>
    <cellStyle name="Normal 55 2" xfId="22690"/>
    <cellStyle name="Normal 55 20" xfId="22691"/>
    <cellStyle name="Normal 55 21" xfId="22692"/>
    <cellStyle name="Normal 55 22" xfId="22693"/>
    <cellStyle name="Normal 55 23" xfId="22694"/>
    <cellStyle name="Normal 55 3" xfId="22695"/>
    <cellStyle name="Normal 55 4" xfId="22696"/>
    <cellStyle name="Normal 55 5" xfId="22697"/>
    <cellStyle name="Normal 55 6" xfId="22698"/>
    <cellStyle name="Normal 55 7" xfId="22699"/>
    <cellStyle name="Normal 55 8" xfId="22700"/>
    <cellStyle name="Normal 55 9" xfId="22701"/>
    <cellStyle name="Normal 56" xfId="6302"/>
    <cellStyle name="Normal 57" xfId="6303"/>
    <cellStyle name="Normal 57 10" xfId="22702"/>
    <cellStyle name="Normal 57 11" xfId="22703"/>
    <cellStyle name="Normal 57 12" xfId="22704"/>
    <cellStyle name="Normal 57 13" xfId="22705"/>
    <cellStyle name="Normal 57 14" xfId="22706"/>
    <cellStyle name="Normal 57 15" xfId="22707"/>
    <cellStyle name="Normal 57 16" xfId="22708"/>
    <cellStyle name="Normal 57 17" xfId="22709"/>
    <cellStyle name="Normal 57 18" xfId="22710"/>
    <cellStyle name="Normal 57 19" xfId="22711"/>
    <cellStyle name="Normal 57 2" xfId="22712"/>
    <cellStyle name="Normal 57 20" xfId="22713"/>
    <cellStyle name="Normal 57 21" xfId="22714"/>
    <cellStyle name="Normal 57 22" xfId="22715"/>
    <cellStyle name="Normal 57 23" xfId="22716"/>
    <cellStyle name="Normal 57 3" xfId="22717"/>
    <cellStyle name="Normal 57 4" xfId="22718"/>
    <cellStyle name="Normal 57 5" xfId="22719"/>
    <cellStyle name="Normal 57 6" xfId="22720"/>
    <cellStyle name="Normal 57 7" xfId="22721"/>
    <cellStyle name="Normal 57 8" xfId="22722"/>
    <cellStyle name="Normal 57 9" xfId="22723"/>
    <cellStyle name="Normal 58" xfId="6304"/>
    <cellStyle name="Normal 58 10" xfId="22724"/>
    <cellStyle name="Normal 58 11" xfId="22725"/>
    <cellStyle name="Normal 58 12" xfId="22726"/>
    <cellStyle name="Normal 58 13" xfId="22727"/>
    <cellStyle name="Normal 58 14" xfId="22728"/>
    <cellStyle name="Normal 58 15" xfId="22729"/>
    <cellStyle name="Normal 58 16" xfId="22730"/>
    <cellStyle name="Normal 58 17" xfId="22731"/>
    <cellStyle name="Normal 58 18" xfId="22732"/>
    <cellStyle name="Normal 58 19" xfId="22733"/>
    <cellStyle name="Normal 58 2" xfId="6305"/>
    <cellStyle name="Normal 58 2 2" xfId="22734"/>
    <cellStyle name="Normal 58 2 3" xfId="22735"/>
    <cellStyle name="Normal 58 2 4" xfId="22736"/>
    <cellStyle name="Normal 58 20" xfId="22737"/>
    <cellStyle name="Normal 58 21" xfId="22738"/>
    <cellStyle name="Normal 58 22" xfId="22739"/>
    <cellStyle name="Normal 58 23" xfId="22740"/>
    <cellStyle name="Normal 58 3" xfId="22741"/>
    <cellStyle name="Normal 58 4" xfId="22742"/>
    <cellStyle name="Normal 58 5" xfId="22743"/>
    <cellStyle name="Normal 58 6" xfId="22744"/>
    <cellStyle name="Normal 58 7" xfId="22745"/>
    <cellStyle name="Normal 58 8" xfId="22746"/>
    <cellStyle name="Normal 58 9" xfId="22747"/>
    <cellStyle name="Normal 59" xfId="6306"/>
    <cellStyle name="Normal 59 10" xfId="22748"/>
    <cellStyle name="Normal 59 11" xfId="22749"/>
    <cellStyle name="Normal 59 12" xfId="22750"/>
    <cellStyle name="Normal 59 13" xfId="22751"/>
    <cellStyle name="Normal 59 14" xfId="22752"/>
    <cellStyle name="Normal 59 15" xfId="22753"/>
    <cellStyle name="Normal 59 16" xfId="22754"/>
    <cellStyle name="Normal 59 17" xfId="22755"/>
    <cellStyle name="Normal 59 18" xfId="22756"/>
    <cellStyle name="Normal 59 19" xfId="22757"/>
    <cellStyle name="Normal 59 2" xfId="22758"/>
    <cellStyle name="Normal 59 20" xfId="22759"/>
    <cellStyle name="Normal 59 21" xfId="22760"/>
    <cellStyle name="Normal 59 22" xfId="22761"/>
    <cellStyle name="Normal 59 23" xfId="22762"/>
    <cellStyle name="Normal 59 3" xfId="22763"/>
    <cellStyle name="Normal 59 4" xfId="22764"/>
    <cellStyle name="Normal 59 5" xfId="22765"/>
    <cellStyle name="Normal 59 6" xfId="22766"/>
    <cellStyle name="Normal 59 7" xfId="22767"/>
    <cellStyle name="Normal 59 8" xfId="22768"/>
    <cellStyle name="Normal 59 9" xfId="22769"/>
    <cellStyle name="Normal 6" xfId="6307"/>
    <cellStyle name="Normal 6 10" xfId="6308"/>
    <cellStyle name="Normal 6 10 10" xfId="6309"/>
    <cellStyle name="Normal 6 10 11" xfId="6310"/>
    <cellStyle name="Normal 6 10 12" xfId="6311"/>
    <cellStyle name="Normal 6 10 2" xfId="6312"/>
    <cellStyle name="Normal 6 10 3" xfId="6313"/>
    <cellStyle name="Normal 6 10 4" xfId="6314"/>
    <cellStyle name="Normal 6 10 5" xfId="6315"/>
    <cellStyle name="Normal 6 10 6" xfId="6316"/>
    <cellStyle name="Normal 6 10 7" xfId="6317"/>
    <cellStyle name="Normal 6 10 8" xfId="6318"/>
    <cellStyle name="Normal 6 10 9" xfId="6319"/>
    <cellStyle name="Normal 6 11" xfId="6320"/>
    <cellStyle name="Normal 6 11 10" xfId="6321"/>
    <cellStyle name="Normal 6 11 11" xfId="6322"/>
    <cellStyle name="Normal 6 11 12" xfId="6323"/>
    <cellStyle name="Normal 6 11 2" xfId="6324"/>
    <cellStyle name="Normal 6 11 3" xfId="6325"/>
    <cellStyle name="Normal 6 11 4" xfId="6326"/>
    <cellStyle name="Normal 6 11 5" xfId="6327"/>
    <cellStyle name="Normal 6 11 6" xfId="6328"/>
    <cellStyle name="Normal 6 11 7" xfId="6329"/>
    <cellStyle name="Normal 6 11 8" xfId="6330"/>
    <cellStyle name="Normal 6 11 9" xfId="6331"/>
    <cellStyle name="Normal 6 12" xfId="6332"/>
    <cellStyle name="Normal 6 12 10" xfId="6333"/>
    <cellStyle name="Normal 6 12 11" xfId="6334"/>
    <cellStyle name="Normal 6 12 12" xfId="6335"/>
    <cellStyle name="Normal 6 12 2" xfId="6336"/>
    <cellStyle name="Normal 6 12 3" xfId="6337"/>
    <cellStyle name="Normal 6 12 4" xfId="6338"/>
    <cellStyle name="Normal 6 12 5" xfId="6339"/>
    <cellStyle name="Normal 6 12 6" xfId="6340"/>
    <cellStyle name="Normal 6 12 7" xfId="6341"/>
    <cellStyle name="Normal 6 12 8" xfId="6342"/>
    <cellStyle name="Normal 6 12 9" xfId="6343"/>
    <cellStyle name="Normal 6 13" xfId="6344"/>
    <cellStyle name="Normal 6 13 10" xfId="6345"/>
    <cellStyle name="Normal 6 13 11" xfId="6346"/>
    <cellStyle name="Normal 6 13 12" xfId="6347"/>
    <cellStyle name="Normal 6 13 2" xfId="6348"/>
    <cellStyle name="Normal 6 13 3" xfId="6349"/>
    <cellStyle name="Normal 6 13 4" xfId="6350"/>
    <cellStyle name="Normal 6 13 5" xfId="6351"/>
    <cellStyle name="Normal 6 13 6" xfId="6352"/>
    <cellStyle name="Normal 6 13 7" xfId="6353"/>
    <cellStyle name="Normal 6 13 8" xfId="6354"/>
    <cellStyle name="Normal 6 13 9" xfId="6355"/>
    <cellStyle name="Normal 6 14" xfId="6356"/>
    <cellStyle name="Normal 6 14 10" xfId="6357"/>
    <cellStyle name="Normal 6 14 11" xfId="6358"/>
    <cellStyle name="Normal 6 14 12" xfId="6359"/>
    <cellStyle name="Normal 6 14 2" xfId="6360"/>
    <cellStyle name="Normal 6 14 3" xfId="6361"/>
    <cellStyle name="Normal 6 14 4" xfId="6362"/>
    <cellStyle name="Normal 6 14 5" xfId="6363"/>
    <cellStyle name="Normal 6 14 6" xfId="6364"/>
    <cellStyle name="Normal 6 14 7" xfId="6365"/>
    <cellStyle name="Normal 6 14 8" xfId="6366"/>
    <cellStyle name="Normal 6 14 9" xfId="6367"/>
    <cellStyle name="Normal 6 15" xfId="6368"/>
    <cellStyle name="Normal 6 15 10" xfId="6369"/>
    <cellStyle name="Normal 6 15 11" xfId="6370"/>
    <cellStyle name="Normal 6 15 12" xfId="6371"/>
    <cellStyle name="Normal 6 15 2" xfId="6372"/>
    <cellStyle name="Normal 6 15 3" xfId="6373"/>
    <cellStyle name="Normal 6 15 4" xfId="6374"/>
    <cellStyle name="Normal 6 15 5" xfId="6375"/>
    <cellStyle name="Normal 6 15 6" xfId="6376"/>
    <cellStyle name="Normal 6 15 7" xfId="6377"/>
    <cellStyle name="Normal 6 15 8" xfId="6378"/>
    <cellStyle name="Normal 6 15 9" xfId="6379"/>
    <cellStyle name="Normal 6 16" xfId="6380"/>
    <cellStyle name="Normal 6 16 2" xfId="6381"/>
    <cellStyle name="Normal 6 16 3" xfId="6382"/>
    <cellStyle name="Normal 6 16 4" xfId="6383"/>
    <cellStyle name="Normal 6 16 5" xfId="6384"/>
    <cellStyle name="Normal 6 16 6" xfId="6385"/>
    <cellStyle name="Normal 6 16 7" xfId="6386"/>
    <cellStyle name="Normal 6 16 8" xfId="6387"/>
    <cellStyle name="Normal 6 17" xfId="6388"/>
    <cellStyle name="Normal 6 17 2" xfId="6389"/>
    <cellStyle name="Normal 6 17 3" xfId="6390"/>
    <cellStyle name="Normal 6 17 4" xfId="6391"/>
    <cellStyle name="Normal 6 17 5" xfId="6392"/>
    <cellStyle name="Normal 6 17 6" xfId="6393"/>
    <cellStyle name="Normal 6 17 7" xfId="6394"/>
    <cellStyle name="Normal 6 17 8" xfId="6395"/>
    <cellStyle name="Normal 6 18" xfId="6396"/>
    <cellStyle name="Normal 6 18 2" xfId="6397"/>
    <cellStyle name="Normal 6 18 3" xfId="6398"/>
    <cellStyle name="Normal 6 18 4" xfId="6399"/>
    <cellStyle name="Normal 6 18 5" xfId="6400"/>
    <cellStyle name="Normal 6 18 6" xfId="6401"/>
    <cellStyle name="Normal 6 18 7" xfId="6402"/>
    <cellStyle name="Normal 6 18 8" xfId="6403"/>
    <cellStyle name="Normal 6 19" xfId="6404"/>
    <cellStyle name="Normal 6 19 2" xfId="6405"/>
    <cellStyle name="Normal 6 19 3" xfId="6406"/>
    <cellStyle name="Normal 6 19 4" xfId="6407"/>
    <cellStyle name="Normal 6 19 5" xfId="6408"/>
    <cellStyle name="Normal 6 19 6" xfId="6409"/>
    <cellStyle name="Normal 6 19 7" xfId="6410"/>
    <cellStyle name="Normal 6 19 8" xfId="6411"/>
    <cellStyle name="Normal 6 2" xfId="6412"/>
    <cellStyle name="Normal 6 2 10" xfId="6413"/>
    <cellStyle name="Normal 6 2 11" xfId="6414"/>
    <cellStyle name="Normal 6 2 12" xfId="6415"/>
    <cellStyle name="Normal 6 2 13" xfId="6416"/>
    <cellStyle name="Normal 6 2 14" xfId="6417"/>
    <cellStyle name="Normal 6 2 15" xfId="6418"/>
    <cellStyle name="Normal 6 2 16" xfId="6419"/>
    <cellStyle name="Normal 6 2 17" xfId="6420"/>
    <cellStyle name="Normal 6 2 18" xfId="6421"/>
    <cellStyle name="Normal 6 2 19" xfId="6422"/>
    <cellStyle name="Normal 6 2 2" xfId="6423"/>
    <cellStyle name="Normal 6 2 2 2" xfId="6424"/>
    <cellStyle name="Normal 6 2 20" xfId="6425"/>
    <cellStyle name="Normal 6 2 21" xfId="6426"/>
    <cellStyle name="Normal 6 2 22" xfId="6427"/>
    <cellStyle name="Normal 6 2 23" xfId="6428"/>
    <cellStyle name="Normal 6 2 24" xfId="6429"/>
    <cellStyle name="Normal 6 2 25" xfId="6430"/>
    <cellStyle name="Normal 6 2 26" xfId="6431"/>
    <cellStyle name="Normal 6 2 27" xfId="6432"/>
    <cellStyle name="Normal 6 2 28" xfId="6433"/>
    <cellStyle name="Normal 6 2 29" xfId="6434"/>
    <cellStyle name="Normal 6 2 3" xfId="6435"/>
    <cellStyle name="Normal 6 2 30" xfId="6436"/>
    <cellStyle name="Normal 6 2 31" xfId="6437"/>
    <cellStyle name="Normal 6 2 32" xfId="6438"/>
    <cellStyle name="Normal 6 2 33" xfId="6439"/>
    <cellStyle name="Normal 6 2 34" xfId="6440"/>
    <cellStyle name="Normal 6 2 35" xfId="6441"/>
    <cellStyle name="Normal 6 2 36" xfId="6442"/>
    <cellStyle name="Normal 6 2 37" xfId="6443"/>
    <cellStyle name="Normal 6 2 38" xfId="6444"/>
    <cellStyle name="Normal 6 2 39" xfId="6445"/>
    <cellStyle name="Normal 6 2 4" xfId="6446"/>
    <cellStyle name="Normal 6 2 40" xfId="6447"/>
    <cellStyle name="Normal 6 2 41" xfId="6448"/>
    <cellStyle name="Normal 6 2 42" xfId="6449"/>
    <cellStyle name="Normal 6 2 43" xfId="6450"/>
    <cellStyle name="Normal 6 2 44" xfId="6451"/>
    <cellStyle name="Normal 6 2 45" xfId="6452"/>
    <cellStyle name="Normal 6 2 46" xfId="6453"/>
    <cellStyle name="Normal 6 2 47" xfId="6454"/>
    <cellStyle name="Normal 6 2 48" xfId="6455"/>
    <cellStyle name="Normal 6 2 49" xfId="6456"/>
    <cellStyle name="Normal 6 2 5" xfId="6457"/>
    <cellStyle name="Normal 6 2 6" xfId="6458"/>
    <cellStyle name="Normal 6 2 6 10" xfId="22770"/>
    <cellStyle name="Normal 6 2 6 11" xfId="22771"/>
    <cellStyle name="Normal 6 2 6 12" xfId="22772"/>
    <cellStyle name="Normal 6 2 6 13" xfId="22773"/>
    <cellStyle name="Normal 6 2 6 14" xfId="22774"/>
    <cellStyle name="Normal 6 2 6 15" xfId="22775"/>
    <cellStyle name="Normal 6 2 6 16" xfId="22776"/>
    <cellStyle name="Normal 6 2 6 17" xfId="22777"/>
    <cellStyle name="Normal 6 2 6 18" xfId="22778"/>
    <cellStyle name="Normal 6 2 6 19" xfId="22779"/>
    <cellStyle name="Normal 6 2 6 2" xfId="6459"/>
    <cellStyle name="Normal 6 2 6 20" xfId="22780"/>
    <cellStyle name="Normal 6 2 6 21" xfId="22781"/>
    <cellStyle name="Normal 6 2 6 22" xfId="22782"/>
    <cellStyle name="Normal 6 2 6 23" xfId="22783"/>
    <cellStyle name="Normal 6 2 6 24" xfId="22784"/>
    <cellStyle name="Normal 6 2 6 3" xfId="22785"/>
    <cellStyle name="Normal 6 2 6 4" xfId="22786"/>
    <cellStyle name="Normal 6 2 6 5" xfId="22787"/>
    <cellStyle name="Normal 6 2 6 6" xfId="22788"/>
    <cellStyle name="Normal 6 2 6 7" xfId="22789"/>
    <cellStyle name="Normal 6 2 6 8" xfId="22790"/>
    <cellStyle name="Normal 6 2 6 9" xfId="22791"/>
    <cellStyle name="Normal 6 2 7" xfId="6460"/>
    <cellStyle name="Normal 6 2 8" xfId="6461"/>
    <cellStyle name="Normal 6 2 9" xfId="6462"/>
    <cellStyle name="Normal 6 20" xfId="6463"/>
    <cellStyle name="Normal 6 20 10" xfId="22792"/>
    <cellStyle name="Normal 6 20 11" xfId="22793"/>
    <cellStyle name="Normal 6 20 12" xfId="22794"/>
    <cellStyle name="Normal 6 20 13" xfId="22795"/>
    <cellStyle name="Normal 6 20 14" xfId="22796"/>
    <cellStyle name="Normal 6 20 15" xfId="22797"/>
    <cellStyle name="Normal 6 20 16" xfId="22798"/>
    <cellStyle name="Normal 6 20 17" xfId="22799"/>
    <cellStyle name="Normal 6 20 18" xfId="22800"/>
    <cellStyle name="Normal 6 20 19" xfId="22801"/>
    <cellStyle name="Normal 6 20 2" xfId="22802"/>
    <cellStyle name="Normal 6 20 20" xfId="22803"/>
    <cellStyle name="Normal 6 20 21" xfId="22804"/>
    <cellStyle name="Normal 6 20 22" xfId="22805"/>
    <cellStyle name="Normal 6 20 23" xfId="22806"/>
    <cellStyle name="Normal 6 20 3" xfId="22807"/>
    <cellStyle name="Normal 6 20 4" xfId="22808"/>
    <cellStyle name="Normal 6 20 5" xfId="22809"/>
    <cellStyle name="Normal 6 20 6" xfId="22810"/>
    <cellStyle name="Normal 6 20 7" xfId="22811"/>
    <cellStyle name="Normal 6 20 8" xfId="22812"/>
    <cellStyle name="Normal 6 20 9" xfId="22813"/>
    <cellStyle name="Normal 6 21" xfId="6464"/>
    <cellStyle name="Normal 6 22" xfId="6465"/>
    <cellStyle name="Normal 6 23" xfId="6466"/>
    <cellStyle name="Normal 6 24" xfId="6467"/>
    <cellStyle name="Normal 6 25" xfId="6468"/>
    <cellStyle name="Normal 6 26" xfId="6469"/>
    <cellStyle name="Normal 6 27" xfId="6470"/>
    <cellStyle name="Normal 6 28" xfId="6471"/>
    <cellStyle name="Normal 6 29" xfId="6472"/>
    <cellStyle name="Normal 6 3" xfId="6473"/>
    <cellStyle name="Normal 6 3 10" xfId="22814"/>
    <cellStyle name="Normal 6 3 11" xfId="22815"/>
    <cellStyle name="Normal 6 3 12" xfId="22816"/>
    <cellStyle name="Normal 6 3 13" xfId="22817"/>
    <cellStyle name="Normal 6 3 14" xfId="22818"/>
    <cellStyle name="Normal 6 3 15" xfId="22819"/>
    <cellStyle name="Normal 6 3 16" xfId="22820"/>
    <cellStyle name="Normal 6 3 17" xfId="22821"/>
    <cellStyle name="Normal 6 3 18" xfId="22822"/>
    <cellStyle name="Normal 6 3 19" xfId="22823"/>
    <cellStyle name="Normal 6 3 2" xfId="6474"/>
    <cellStyle name="Normal 6 3 2 2" xfId="6475"/>
    <cellStyle name="Normal 6 3 20" xfId="22824"/>
    <cellStyle name="Normal 6 3 21" xfId="22825"/>
    <cellStyle name="Normal 6 3 22" xfId="22826"/>
    <cellStyle name="Normal 6 3 23" xfId="22827"/>
    <cellStyle name="Normal 6 3 24" xfId="22828"/>
    <cellStyle name="Normal 6 3 25" xfId="22829"/>
    <cellStyle name="Normal 6 3 26" xfId="22830"/>
    <cellStyle name="Normal 6 3 27" xfId="22831"/>
    <cellStyle name="Normal 6 3 28" xfId="22832"/>
    <cellStyle name="Normal 6 3 29" xfId="22833"/>
    <cellStyle name="Normal 6 3 3" xfId="6476"/>
    <cellStyle name="Normal 6 3 4" xfId="6477"/>
    <cellStyle name="Normal 6 3 5" xfId="6478"/>
    <cellStyle name="Normal 6 3 6" xfId="6479"/>
    <cellStyle name="Normal 6 3 6 10" xfId="22834"/>
    <cellStyle name="Normal 6 3 6 11" xfId="22835"/>
    <cellStyle name="Normal 6 3 6 12" xfId="22836"/>
    <cellStyle name="Normal 6 3 6 13" xfId="22837"/>
    <cellStyle name="Normal 6 3 6 14" xfId="22838"/>
    <cellStyle name="Normal 6 3 6 15" xfId="22839"/>
    <cellStyle name="Normal 6 3 6 16" xfId="22840"/>
    <cellStyle name="Normal 6 3 6 17" xfId="22841"/>
    <cellStyle name="Normal 6 3 6 18" xfId="22842"/>
    <cellStyle name="Normal 6 3 6 19" xfId="22843"/>
    <cellStyle name="Normal 6 3 6 2" xfId="6480"/>
    <cellStyle name="Normal 6 3 6 2 10" xfId="22844"/>
    <cellStyle name="Normal 6 3 6 2 11" xfId="22845"/>
    <cellStyle name="Normal 6 3 6 2 12" xfId="22846"/>
    <cellStyle name="Normal 6 3 6 2 13" xfId="22847"/>
    <cellStyle name="Normal 6 3 6 2 14" xfId="22848"/>
    <cellStyle name="Normal 6 3 6 2 15" xfId="22849"/>
    <cellStyle name="Normal 6 3 6 2 16" xfId="22850"/>
    <cellStyle name="Normal 6 3 6 2 17" xfId="22851"/>
    <cellStyle name="Normal 6 3 6 2 18" xfId="22852"/>
    <cellStyle name="Normal 6 3 6 2 19" xfId="22853"/>
    <cellStyle name="Normal 6 3 6 2 2" xfId="22854"/>
    <cellStyle name="Normal 6 3 6 2 20" xfId="22855"/>
    <cellStyle name="Normal 6 3 6 2 21" xfId="22856"/>
    <cellStyle name="Normal 6 3 6 2 22" xfId="22857"/>
    <cellStyle name="Normal 6 3 6 2 23" xfId="22858"/>
    <cellStyle name="Normal 6 3 6 2 3" xfId="22859"/>
    <cellStyle name="Normal 6 3 6 2 4" xfId="22860"/>
    <cellStyle name="Normal 6 3 6 2 5" xfId="22861"/>
    <cellStyle name="Normal 6 3 6 2 6" xfId="22862"/>
    <cellStyle name="Normal 6 3 6 2 7" xfId="22863"/>
    <cellStyle name="Normal 6 3 6 2 8" xfId="22864"/>
    <cellStyle name="Normal 6 3 6 2 9" xfId="22865"/>
    <cellStyle name="Normal 6 3 6 20" xfId="22866"/>
    <cellStyle name="Normal 6 3 6 21" xfId="22867"/>
    <cellStyle name="Normal 6 3 6 22" xfId="22868"/>
    <cellStyle name="Normal 6 3 6 23" xfId="22869"/>
    <cellStyle name="Normal 6 3 6 24" xfId="22870"/>
    <cellStyle name="Normal 6 3 6 3" xfId="22871"/>
    <cellStyle name="Normal 6 3 6 4" xfId="22872"/>
    <cellStyle name="Normal 6 3 6 5" xfId="22873"/>
    <cellStyle name="Normal 6 3 6 6" xfId="22874"/>
    <cellStyle name="Normal 6 3 6 7" xfId="22875"/>
    <cellStyle name="Normal 6 3 6 8" xfId="22876"/>
    <cellStyle name="Normal 6 3 6 9" xfId="22877"/>
    <cellStyle name="Normal 6 3 7" xfId="22878"/>
    <cellStyle name="Normal 6 3 8" xfId="22879"/>
    <cellStyle name="Normal 6 3 9" xfId="22880"/>
    <cellStyle name="Normal 6 30" xfId="6481"/>
    <cellStyle name="Normal 6 31" xfId="6482"/>
    <cellStyle name="Normal 6 4" xfId="6483"/>
    <cellStyle name="Normal 6 4 10" xfId="6484"/>
    <cellStyle name="Normal 6 4 11" xfId="6485"/>
    <cellStyle name="Normal 6 4 12" xfId="6486"/>
    <cellStyle name="Normal 6 4 2" xfId="6487"/>
    <cellStyle name="Normal 6 4 3" xfId="6488"/>
    <cellStyle name="Normal 6 4 4" xfId="6489"/>
    <cellStyle name="Normal 6 4 5" xfId="6490"/>
    <cellStyle name="Normal 6 4 6" xfId="6491"/>
    <cellStyle name="Normal 6 4 7" xfId="6492"/>
    <cellStyle name="Normal 6 4 8" xfId="6493"/>
    <cellStyle name="Normal 6 4 9" xfId="6494"/>
    <cellStyle name="Normal 6 5" xfId="6495"/>
    <cellStyle name="Normal 6 5 10" xfId="6496"/>
    <cellStyle name="Normal 6 5 11" xfId="6497"/>
    <cellStyle name="Normal 6 5 12" xfId="6498"/>
    <cellStyle name="Normal 6 5 2" xfId="6499"/>
    <cellStyle name="Normal 6 5 3" xfId="6500"/>
    <cellStyle name="Normal 6 5 4" xfId="6501"/>
    <cellStyle name="Normal 6 5 5" xfId="6502"/>
    <cellStyle name="Normal 6 5 6" xfId="6503"/>
    <cellStyle name="Normal 6 5 7" xfId="6504"/>
    <cellStyle name="Normal 6 5 8" xfId="6505"/>
    <cellStyle name="Normal 6 5 9" xfId="6506"/>
    <cellStyle name="Normal 6 6" xfId="6507"/>
    <cellStyle name="Normal 6 6 10" xfId="6508"/>
    <cellStyle name="Normal 6 6 11" xfId="6509"/>
    <cellStyle name="Normal 6 6 12" xfId="6510"/>
    <cellStyle name="Normal 6 6 2" xfId="6511"/>
    <cellStyle name="Normal 6 6 3" xfId="6512"/>
    <cellStyle name="Normal 6 6 4" xfId="6513"/>
    <cellStyle name="Normal 6 6 5" xfId="6514"/>
    <cellStyle name="Normal 6 6 6" xfId="6515"/>
    <cellStyle name="Normal 6 6 7" xfId="6516"/>
    <cellStyle name="Normal 6 6 8" xfId="6517"/>
    <cellStyle name="Normal 6 6 9" xfId="6518"/>
    <cellStyle name="Normal 6 7" xfId="6519"/>
    <cellStyle name="Normal 6 7 10" xfId="6520"/>
    <cellStyle name="Normal 6 7 11" xfId="6521"/>
    <cellStyle name="Normal 6 7 12" xfId="6522"/>
    <cellStyle name="Normal 6 7 2" xfId="6523"/>
    <cellStyle name="Normal 6 7 3" xfId="6524"/>
    <cellStyle name="Normal 6 7 4" xfId="6525"/>
    <cellStyle name="Normal 6 7 5" xfId="6526"/>
    <cellStyle name="Normal 6 7 6" xfId="6527"/>
    <cellStyle name="Normal 6 7 7" xfId="6528"/>
    <cellStyle name="Normal 6 7 8" xfId="6529"/>
    <cellStyle name="Normal 6 7 9" xfId="6530"/>
    <cellStyle name="Normal 6 8" xfId="6531"/>
    <cellStyle name="Normal 6 8 10" xfId="6532"/>
    <cellStyle name="Normal 6 8 11" xfId="6533"/>
    <cellStyle name="Normal 6 8 12" xfId="6534"/>
    <cellStyle name="Normal 6 8 2" xfId="6535"/>
    <cellStyle name="Normal 6 8 3" xfId="6536"/>
    <cellStyle name="Normal 6 8 4" xfId="6537"/>
    <cellStyle name="Normal 6 8 5" xfId="6538"/>
    <cellStyle name="Normal 6 8 6" xfId="6539"/>
    <cellStyle name="Normal 6 8 7" xfId="6540"/>
    <cellStyle name="Normal 6 8 8" xfId="6541"/>
    <cellStyle name="Normal 6 8 9" xfId="6542"/>
    <cellStyle name="Normal 6 9" xfId="6543"/>
    <cellStyle name="Normal 6 9 10" xfId="6544"/>
    <cellStyle name="Normal 6 9 11" xfId="6545"/>
    <cellStyle name="Normal 6 9 12" xfId="6546"/>
    <cellStyle name="Normal 6 9 2" xfId="6547"/>
    <cellStyle name="Normal 6 9 3" xfId="6548"/>
    <cellStyle name="Normal 6 9 4" xfId="6549"/>
    <cellStyle name="Normal 6 9 5" xfId="6550"/>
    <cellStyle name="Normal 6 9 6" xfId="6551"/>
    <cellStyle name="Normal 6 9 7" xfId="6552"/>
    <cellStyle name="Normal 6 9 8" xfId="6553"/>
    <cellStyle name="Normal 6 9 9" xfId="6554"/>
    <cellStyle name="Normal 6_@REKAP Aspirasi RAPBA 2011 (09-04-2011) (Aspirasi SEMUA)" xfId="6555"/>
    <cellStyle name="Normal 60" xfId="6556"/>
    <cellStyle name="Normal 60 10" xfId="22881"/>
    <cellStyle name="Normal 60 11" xfId="22882"/>
    <cellStyle name="Normal 60 12" xfId="22883"/>
    <cellStyle name="Normal 60 13" xfId="22884"/>
    <cellStyle name="Normal 60 14" xfId="22885"/>
    <cellStyle name="Normal 60 15" xfId="22886"/>
    <cellStyle name="Normal 60 16" xfId="22887"/>
    <cellStyle name="Normal 60 17" xfId="22888"/>
    <cellStyle name="Normal 60 18" xfId="22889"/>
    <cellStyle name="Normal 60 19" xfId="22890"/>
    <cellStyle name="Normal 60 2" xfId="22891"/>
    <cellStyle name="Normal 60 20" xfId="22892"/>
    <cellStyle name="Normal 60 21" xfId="22893"/>
    <cellStyle name="Normal 60 22" xfId="22894"/>
    <cellStyle name="Normal 60 23" xfId="22895"/>
    <cellStyle name="Normal 60 3" xfId="22896"/>
    <cellStyle name="Normal 60 4" xfId="22897"/>
    <cellStyle name="Normal 60 5" xfId="22898"/>
    <cellStyle name="Normal 60 6" xfId="22899"/>
    <cellStyle name="Normal 60 7" xfId="22900"/>
    <cellStyle name="Normal 60 8" xfId="22901"/>
    <cellStyle name="Normal 60 9" xfId="22902"/>
    <cellStyle name="Normal 61" xfId="6557"/>
    <cellStyle name="Normal 61 10" xfId="22903"/>
    <cellStyle name="Normal 61 11" xfId="22904"/>
    <cellStyle name="Normal 61 12" xfId="22905"/>
    <cellStyle name="Normal 61 13" xfId="22906"/>
    <cellStyle name="Normal 61 14" xfId="22907"/>
    <cellStyle name="Normal 61 15" xfId="22908"/>
    <cellStyle name="Normal 61 16" xfId="22909"/>
    <cellStyle name="Normal 61 17" xfId="22910"/>
    <cellStyle name="Normal 61 18" xfId="22911"/>
    <cellStyle name="Normal 61 19" xfId="22912"/>
    <cellStyle name="Normal 61 2" xfId="22913"/>
    <cellStyle name="Normal 61 20" xfId="22914"/>
    <cellStyle name="Normal 61 21" xfId="22915"/>
    <cellStyle name="Normal 61 22" xfId="22916"/>
    <cellStyle name="Normal 61 23" xfId="22917"/>
    <cellStyle name="Normal 61 3" xfId="22918"/>
    <cellStyle name="Normal 61 4" xfId="22919"/>
    <cellStyle name="Normal 61 5" xfId="22920"/>
    <cellStyle name="Normal 61 6" xfId="22921"/>
    <cellStyle name="Normal 61 7" xfId="22922"/>
    <cellStyle name="Normal 61 8" xfId="22923"/>
    <cellStyle name="Normal 61 9" xfId="22924"/>
    <cellStyle name="Normal 62" xfId="6558"/>
    <cellStyle name="Normal 62 2" xfId="22925"/>
    <cellStyle name="Normal 62 3" xfId="22926"/>
    <cellStyle name="Normal 62 4" xfId="22927"/>
    <cellStyle name="Normal 63" xfId="6559"/>
    <cellStyle name="Normal 63 2" xfId="22928"/>
    <cellStyle name="Normal 63 3" xfId="22929"/>
    <cellStyle name="Normal 63 4" xfId="22930"/>
    <cellStyle name="Normal 64" xfId="6560"/>
    <cellStyle name="Normal 64 10" xfId="22931"/>
    <cellStyle name="Normal 64 11" xfId="22932"/>
    <cellStyle name="Normal 64 12" xfId="22933"/>
    <cellStyle name="Normal 64 13" xfId="22934"/>
    <cellStyle name="Normal 64 14" xfId="22935"/>
    <cellStyle name="Normal 64 15" xfId="22936"/>
    <cellStyle name="Normal 64 16" xfId="22937"/>
    <cellStyle name="Normal 64 17" xfId="22938"/>
    <cellStyle name="Normal 64 18" xfId="22939"/>
    <cellStyle name="Normal 64 19" xfId="22940"/>
    <cellStyle name="Normal 64 2" xfId="22941"/>
    <cellStyle name="Normal 64 20" xfId="22942"/>
    <cellStyle name="Normal 64 21" xfId="22943"/>
    <cellStyle name="Normal 64 22" xfId="22944"/>
    <cellStyle name="Normal 64 23" xfId="22945"/>
    <cellStyle name="Normal 64 3" xfId="22946"/>
    <cellStyle name="Normal 64 4" xfId="22947"/>
    <cellStyle name="Normal 64 5" xfId="22948"/>
    <cellStyle name="Normal 64 6" xfId="22949"/>
    <cellStyle name="Normal 64 7" xfId="22950"/>
    <cellStyle name="Normal 64 8" xfId="22951"/>
    <cellStyle name="Normal 64 9" xfId="22952"/>
    <cellStyle name="Normal 65" xfId="6561"/>
    <cellStyle name="Normal 65 10" xfId="22953"/>
    <cellStyle name="Normal 65 11" xfId="22954"/>
    <cellStyle name="Normal 65 12" xfId="22955"/>
    <cellStyle name="Normal 65 13" xfId="22956"/>
    <cellStyle name="Normal 65 14" xfId="22957"/>
    <cellStyle name="Normal 65 15" xfId="22958"/>
    <cellStyle name="Normal 65 16" xfId="22959"/>
    <cellStyle name="Normal 65 17" xfId="22960"/>
    <cellStyle name="Normal 65 18" xfId="22961"/>
    <cellStyle name="Normal 65 19" xfId="22962"/>
    <cellStyle name="Normal 65 2" xfId="22963"/>
    <cellStyle name="Normal 65 20" xfId="22964"/>
    <cellStyle name="Normal 65 21" xfId="22965"/>
    <cellStyle name="Normal 65 22" xfId="22966"/>
    <cellStyle name="Normal 65 23" xfId="22967"/>
    <cellStyle name="Normal 65 3" xfId="22968"/>
    <cellStyle name="Normal 65 4" xfId="22969"/>
    <cellStyle name="Normal 65 5" xfId="22970"/>
    <cellStyle name="Normal 65 6" xfId="22971"/>
    <cellStyle name="Normal 65 7" xfId="22972"/>
    <cellStyle name="Normal 65 8" xfId="22973"/>
    <cellStyle name="Normal 65 9" xfId="22974"/>
    <cellStyle name="Normal 66" xfId="6562"/>
    <cellStyle name="Normal 66 2" xfId="22975"/>
    <cellStyle name="Normal 66 3" xfId="22976"/>
    <cellStyle name="Normal 66 4" xfId="22977"/>
    <cellStyle name="Normal 67" xfId="6563"/>
    <cellStyle name="Normal 67 2" xfId="22978"/>
    <cellStyle name="Normal 67 3" xfId="22979"/>
    <cellStyle name="Normal 67 4" xfId="22980"/>
    <cellStyle name="Normal 68" xfId="6564"/>
    <cellStyle name="Normal 68 2" xfId="22981"/>
    <cellStyle name="Normal 68 3" xfId="22982"/>
    <cellStyle name="Normal 68 4" xfId="22983"/>
    <cellStyle name="Normal 69" xfId="6565"/>
    <cellStyle name="Normal 69 10" xfId="22984"/>
    <cellStyle name="Normal 69 11" xfId="22985"/>
    <cellStyle name="Normal 69 12" xfId="22986"/>
    <cellStyle name="Normal 69 13" xfId="22987"/>
    <cellStyle name="Normal 69 14" xfId="22988"/>
    <cellStyle name="Normal 69 15" xfId="22989"/>
    <cellStyle name="Normal 69 16" xfId="22990"/>
    <cellStyle name="Normal 69 17" xfId="22991"/>
    <cellStyle name="Normal 69 18" xfId="22992"/>
    <cellStyle name="Normal 69 19" xfId="22993"/>
    <cellStyle name="Normal 69 2" xfId="22994"/>
    <cellStyle name="Normal 69 20" xfId="22995"/>
    <cellStyle name="Normal 69 21" xfId="22996"/>
    <cellStyle name="Normal 69 22" xfId="22997"/>
    <cellStyle name="Normal 69 23" xfId="22998"/>
    <cellStyle name="Normal 69 3" xfId="22999"/>
    <cellStyle name="Normal 69 4" xfId="23000"/>
    <cellStyle name="Normal 69 5" xfId="23001"/>
    <cellStyle name="Normal 69 6" xfId="23002"/>
    <cellStyle name="Normal 69 7" xfId="23003"/>
    <cellStyle name="Normal 69 8" xfId="23004"/>
    <cellStyle name="Normal 69 9" xfId="23005"/>
    <cellStyle name="Normal 7" xfId="6566"/>
    <cellStyle name="Normal 7 10" xfId="6567"/>
    <cellStyle name="Normal 7 10 2" xfId="6568"/>
    <cellStyle name="Normal 7 10 3" xfId="6569"/>
    <cellStyle name="Normal 7 10 4" xfId="6570"/>
    <cellStyle name="Normal 7 10 5" xfId="6571"/>
    <cellStyle name="Normal 7 11" xfId="6572"/>
    <cellStyle name="Normal 7 11 2" xfId="6573"/>
    <cellStyle name="Normal 7 11 3" xfId="6574"/>
    <cellStyle name="Normal 7 11 4" xfId="6575"/>
    <cellStyle name="Normal 7 11 5" xfId="6576"/>
    <cellStyle name="Normal 7 12" xfId="6577"/>
    <cellStyle name="Normal 7 12 2" xfId="6578"/>
    <cellStyle name="Normal 7 12 3" xfId="6579"/>
    <cellStyle name="Normal 7 12 4" xfId="6580"/>
    <cellStyle name="Normal 7 12 5" xfId="6581"/>
    <cellStyle name="Normal 7 13" xfId="6582"/>
    <cellStyle name="Normal 7 13 2" xfId="6583"/>
    <cellStyle name="Normal 7 13 3" xfId="6584"/>
    <cellStyle name="Normal 7 13 4" xfId="6585"/>
    <cellStyle name="Normal 7 13 5" xfId="6586"/>
    <cellStyle name="Normal 7 14" xfId="6587"/>
    <cellStyle name="Normal 7 14 2" xfId="6588"/>
    <cellStyle name="Normal 7 14 3" xfId="6589"/>
    <cellStyle name="Normal 7 14 4" xfId="6590"/>
    <cellStyle name="Normal 7 14 5" xfId="6591"/>
    <cellStyle name="Normal 7 15" xfId="6592"/>
    <cellStyle name="Normal 7 15 2" xfId="6593"/>
    <cellStyle name="Normal 7 15 3" xfId="6594"/>
    <cellStyle name="Normal 7 15 4" xfId="6595"/>
    <cellStyle name="Normal 7 15 5" xfId="6596"/>
    <cellStyle name="Normal 7 16" xfId="6597"/>
    <cellStyle name="Normal 7 16 10" xfId="23006"/>
    <cellStyle name="Normal 7 16 11" xfId="23007"/>
    <cellStyle name="Normal 7 16 12" xfId="23008"/>
    <cellStyle name="Normal 7 16 13" xfId="23009"/>
    <cellStyle name="Normal 7 16 14" xfId="23010"/>
    <cellStyle name="Normal 7 16 15" xfId="23011"/>
    <cellStyle name="Normal 7 16 16" xfId="23012"/>
    <cellStyle name="Normal 7 16 17" xfId="23013"/>
    <cellStyle name="Normal 7 16 18" xfId="23014"/>
    <cellStyle name="Normal 7 16 19" xfId="23015"/>
    <cellStyle name="Normal 7 16 2" xfId="23016"/>
    <cellStyle name="Normal 7 16 20" xfId="23017"/>
    <cellStyle name="Normal 7 16 21" xfId="23018"/>
    <cellStyle name="Normal 7 16 22" xfId="23019"/>
    <cellStyle name="Normal 7 16 23" xfId="23020"/>
    <cellStyle name="Normal 7 16 3" xfId="23021"/>
    <cellStyle name="Normal 7 16 4" xfId="23022"/>
    <cellStyle name="Normal 7 16 5" xfId="23023"/>
    <cellStyle name="Normal 7 16 6" xfId="23024"/>
    <cellStyle name="Normal 7 16 7" xfId="23025"/>
    <cellStyle name="Normal 7 16 8" xfId="23026"/>
    <cellStyle name="Normal 7 16 9" xfId="23027"/>
    <cellStyle name="Normal 7 17" xfId="6598"/>
    <cellStyle name="Normal 7 17 10" xfId="23028"/>
    <cellStyle name="Normal 7 17 11" xfId="23029"/>
    <cellStyle name="Normal 7 17 12" xfId="23030"/>
    <cellStyle name="Normal 7 17 13" xfId="23031"/>
    <cellStyle name="Normal 7 17 14" xfId="23032"/>
    <cellStyle name="Normal 7 17 15" xfId="23033"/>
    <cellStyle name="Normal 7 17 16" xfId="23034"/>
    <cellStyle name="Normal 7 17 17" xfId="23035"/>
    <cellStyle name="Normal 7 17 18" xfId="23036"/>
    <cellStyle name="Normal 7 17 19" xfId="23037"/>
    <cellStyle name="Normal 7 17 2" xfId="23038"/>
    <cellStyle name="Normal 7 17 20" xfId="23039"/>
    <cellStyle name="Normal 7 17 21" xfId="23040"/>
    <cellStyle name="Normal 7 17 22" xfId="23041"/>
    <cellStyle name="Normal 7 17 23" xfId="23042"/>
    <cellStyle name="Normal 7 17 3" xfId="23043"/>
    <cellStyle name="Normal 7 17 4" xfId="23044"/>
    <cellStyle name="Normal 7 17 5" xfId="23045"/>
    <cellStyle name="Normal 7 17 6" xfId="23046"/>
    <cellStyle name="Normal 7 17 7" xfId="23047"/>
    <cellStyle name="Normal 7 17 8" xfId="23048"/>
    <cellStyle name="Normal 7 17 9" xfId="23049"/>
    <cellStyle name="Normal 7 18" xfId="6599"/>
    <cellStyle name="Normal 7 18 10" xfId="23050"/>
    <cellStyle name="Normal 7 18 11" xfId="23051"/>
    <cellStyle name="Normal 7 18 12" xfId="23052"/>
    <cellStyle name="Normal 7 18 13" xfId="23053"/>
    <cellStyle name="Normal 7 18 14" xfId="23054"/>
    <cellStyle name="Normal 7 18 15" xfId="23055"/>
    <cellStyle name="Normal 7 18 16" xfId="23056"/>
    <cellStyle name="Normal 7 18 17" xfId="23057"/>
    <cellStyle name="Normal 7 18 18" xfId="23058"/>
    <cellStyle name="Normal 7 18 19" xfId="23059"/>
    <cellStyle name="Normal 7 18 2" xfId="23060"/>
    <cellStyle name="Normal 7 18 20" xfId="23061"/>
    <cellStyle name="Normal 7 18 21" xfId="23062"/>
    <cellStyle name="Normal 7 18 22" xfId="23063"/>
    <cellStyle name="Normal 7 18 23" xfId="23064"/>
    <cellStyle name="Normal 7 18 3" xfId="23065"/>
    <cellStyle name="Normal 7 18 4" xfId="23066"/>
    <cellStyle name="Normal 7 18 5" xfId="23067"/>
    <cellStyle name="Normal 7 18 6" xfId="23068"/>
    <cellStyle name="Normal 7 18 7" xfId="23069"/>
    <cellStyle name="Normal 7 18 8" xfId="23070"/>
    <cellStyle name="Normal 7 18 9" xfId="23071"/>
    <cellStyle name="Normal 7 19" xfId="6600"/>
    <cellStyle name="Normal 7 19 10" xfId="23072"/>
    <cellStyle name="Normal 7 19 11" xfId="23073"/>
    <cellStyle name="Normal 7 19 12" xfId="23074"/>
    <cellStyle name="Normal 7 19 13" xfId="23075"/>
    <cellStyle name="Normal 7 19 14" xfId="23076"/>
    <cellStyle name="Normal 7 19 15" xfId="23077"/>
    <cellStyle name="Normal 7 19 16" xfId="23078"/>
    <cellStyle name="Normal 7 19 17" xfId="23079"/>
    <cellStyle name="Normal 7 19 18" xfId="23080"/>
    <cellStyle name="Normal 7 19 19" xfId="23081"/>
    <cellStyle name="Normal 7 19 2" xfId="23082"/>
    <cellStyle name="Normal 7 19 20" xfId="23083"/>
    <cellStyle name="Normal 7 19 21" xfId="23084"/>
    <cellStyle name="Normal 7 19 22" xfId="23085"/>
    <cellStyle name="Normal 7 19 23" xfId="23086"/>
    <cellStyle name="Normal 7 19 3" xfId="23087"/>
    <cellStyle name="Normal 7 19 4" xfId="23088"/>
    <cellStyle name="Normal 7 19 5" xfId="23089"/>
    <cellStyle name="Normal 7 19 6" xfId="23090"/>
    <cellStyle name="Normal 7 19 7" xfId="23091"/>
    <cellStyle name="Normal 7 19 8" xfId="23092"/>
    <cellStyle name="Normal 7 19 9" xfId="23093"/>
    <cellStyle name="Normal 7 2" xfId="6601"/>
    <cellStyle name="Normal 7 2 10" xfId="6602"/>
    <cellStyle name="Normal 7 2 11" xfId="6603"/>
    <cellStyle name="Normal 7 2 12" xfId="6604"/>
    <cellStyle name="Normal 7 2 13" xfId="6605"/>
    <cellStyle name="Normal 7 2 13 10" xfId="23094"/>
    <cellStyle name="Normal 7 2 13 11" xfId="23095"/>
    <cellStyle name="Normal 7 2 13 12" xfId="23096"/>
    <cellStyle name="Normal 7 2 13 13" xfId="23097"/>
    <cellStyle name="Normal 7 2 13 14" xfId="23098"/>
    <cellStyle name="Normal 7 2 13 15" xfId="23099"/>
    <cellStyle name="Normal 7 2 13 16" xfId="23100"/>
    <cellStyle name="Normal 7 2 13 17" xfId="23101"/>
    <cellStyle name="Normal 7 2 13 18" xfId="23102"/>
    <cellStyle name="Normal 7 2 13 19" xfId="23103"/>
    <cellStyle name="Normal 7 2 13 2" xfId="6606"/>
    <cellStyle name="Normal 7 2 13 2 10" xfId="23104"/>
    <cellStyle name="Normal 7 2 13 2 11" xfId="23105"/>
    <cellStyle name="Normal 7 2 13 2 12" xfId="23106"/>
    <cellStyle name="Normal 7 2 13 2 13" xfId="23107"/>
    <cellStyle name="Normal 7 2 13 2 14" xfId="23108"/>
    <cellStyle name="Normal 7 2 13 2 15" xfId="23109"/>
    <cellStyle name="Normal 7 2 13 2 16" xfId="23110"/>
    <cellStyle name="Normal 7 2 13 2 17" xfId="23111"/>
    <cellStyle name="Normal 7 2 13 2 18" xfId="23112"/>
    <cellStyle name="Normal 7 2 13 2 19" xfId="23113"/>
    <cellStyle name="Normal 7 2 13 2 2" xfId="23114"/>
    <cellStyle name="Normal 7 2 13 2 20" xfId="23115"/>
    <cellStyle name="Normal 7 2 13 2 21" xfId="23116"/>
    <cellStyle name="Normal 7 2 13 2 22" xfId="23117"/>
    <cellStyle name="Normal 7 2 13 2 23" xfId="23118"/>
    <cellStyle name="Normal 7 2 13 2 3" xfId="23119"/>
    <cellStyle name="Normal 7 2 13 2 4" xfId="23120"/>
    <cellStyle name="Normal 7 2 13 2 5" xfId="23121"/>
    <cellStyle name="Normal 7 2 13 2 6" xfId="23122"/>
    <cellStyle name="Normal 7 2 13 2 7" xfId="23123"/>
    <cellStyle name="Normal 7 2 13 2 8" xfId="23124"/>
    <cellStyle name="Normal 7 2 13 2 9" xfId="23125"/>
    <cellStyle name="Normal 7 2 13 20" xfId="23126"/>
    <cellStyle name="Normal 7 2 13 21" xfId="23127"/>
    <cellStyle name="Normal 7 2 13 22" xfId="23128"/>
    <cellStyle name="Normal 7 2 13 23" xfId="23129"/>
    <cellStyle name="Normal 7 2 13 24" xfId="23130"/>
    <cellStyle name="Normal 7 2 13 3" xfId="23131"/>
    <cellStyle name="Normal 7 2 13 4" xfId="23132"/>
    <cellStyle name="Normal 7 2 13 5" xfId="23133"/>
    <cellStyle name="Normal 7 2 13 6" xfId="23134"/>
    <cellStyle name="Normal 7 2 13 7" xfId="23135"/>
    <cellStyle name="Normal 7 2 13 8" xfId="23136"/>
    <cellStyle name="Normal 7 2 13 9" xfId="23137"/>
    <cellStyle name="Normal 7 2 14" xfId="6607"/>
    <cellStyle name="Normal 7 2 15" xfId="23138"/>
    <cellStyle name="Normal 7 2 16" xfId="23139"/>
    <cellStyle name="Normal 7 2 17" xfId="23140"/>
    <cellStyle name="Normal 7 2 18" xfId="23141"/>
    <cellStyle name="Normal 7 2 19" xfId="23142"/>
    <cellStyle name="Normal 7 2 2" xfId="6608"/>
    <cellStyle name="Normal 7 2 2 10" xfId="23143"/>
    <cellStyle name="Normal 7 2 2 11" xfId="23144"/>
    <cellStyle name="Normal 7 2 2 12" xfId="23145"/>
    <cellStyle name="Normal 7 2 2 13" xfId="23146"/>
    <cellStyle name="Normal 7 2 2 14" xfId="23147"/>
    <cellStyle name="Normal 7 2 2 15" xfId="23148"/>
    <cellStyle name="Normal 7 2 2 16" xfId="23149"/>
    <cellStyle name="Normal 7 2 2 17" xfId="23150"/>
    <cellStyle name="Normal 7 2 2 18" xfId="23151"/>
    <cellStyle name="Normal 7 2 2 19" xfId="23152"/>
    <cellStyle name="Normal 7 2 2 2" xfId="6609"/>
    <cellStyle name="Normal 7 2 2 2 10" xfId="23153"/>
    <cellStyle name="Normal 7 2 2 2 11" xfId="23154"/>
    <cellStyle name="Normal 7 2 2 2 12" xfId="23155"/>
    <cellStyle name="Normal 7 2 2 2 13" xfId="23156"/>
    <cellStyle name="Normal 7 2 2 2 14" xfId="23157"/>
    <cellStyle name="Normal 7 2 2 2 15" xfId="23158"/>
    <cellStyle name="Normal 7 2 2 2 16" xfId="23159"/>
    <cellStyle name="Normal 7 2 2 2 17" xfId="23160"/>
    <cellStyle name="Normal 7 2 2 2 18" xfId="23161"/>
    <cellStyle name="Normal 7 2 2 2 19" xfId="23162"/>
    <cellStyle name="Normal 7 2 2 2 2" xfId="23163"/>
    <cellStyle name="Normal 7 2 2 2 20" xfId="23164"/>
    <cellStyle name="Normal 7 2 2 2 21" xfId="23165"/>
    <cellStyle name="Normal 7 2 2 2 22" xfId="23166"/>
    <cellStyle name="Normal 7 2 2 2 23" xfId="23167"/>
    <cellStyle name="Normal 7 2 2 2 3" xfId="23168"/>
    <cellStyle name="Normal 7 2 2 2 4" xfId="23169"/>
    <cellStyle name="Normal 7 2 2 2 5" xfId="23170"/>
    <cellStyle name="Normal 7 2 2 2 6" xfId="23171"/>
    <cellStyle name="Normal 7 2 2 2 7" xfId="23172"/>
    <cellStyle name="Normal 7 2 2 2 8" xfId="23173"/>
    <cellStyle name="Normal 7 2 2 2 9" xfId="23174"/>
    <cellStyle name="Normal 7 2 2 20" xfId="23175"/>
    <cellStyle name="Normal 7 2 2 21" xfId="23176"/>
    <cellStyle name="Normal 7 2 2 22" xfId="23177"/>
    <cellStyle name="Normal 7 2 2 23" xfId="23178"/>
    <cellStyle name="Normal 7 2 2 24" xfId="23179"/>
    <cellStyle name="Normal 7 2 2 3" xfId="23180"/>
    <cellStyle name="Normal 7 2 2 4" xfId="23181"/>
    <cellStyle name="Normal 7 2 2 5" xfId="23182"/>
    <cellStyle name="Normal 7 2 2 6" xfId="23183"/>
    <cellStyle name="Normal 7 2 2 7" xfId="23184"/>
    <cellStyle name="Normal 7 2 2 8" xfId="23185"/>
    <cellStyle name="Normal 7 2 2 9" xfId="23186"/>
    <cellStyle name="Normal 7 2 20" xfId="23187"/>
    <cellStyle name="Normal 7 2 21" xfId="23188"/>
    <cellStyle name="Normal 7 2 22" xfId="23189"/>
    <cellStyle name="Normal 7 2 23" xfId="23190"/>
    <cellStyle name="Normal 7 2 24" xfId="23191"/>
    <cellStyle name="Normal 7 2 25" xfId="23192"/>
    <cellStyle name="Normal 7 2 26" xfId="23193"/>
    <cellStyle name="Normal 7 2 27" xfId="23194"/>
    <cellStyle name="Normal 7 2 28" xfId="23195"/>
    <cellStyle name="Normal 7 2 29" xfId="23196"/>
    <cellStyle name="Normal 7 2 3" xfId="6610"/>
    <cellStyle name="Normal 7 2 3 2" xfId="6611"/>
    <cellStyle name="Normal 7 2 3 2 10" xfId="23197"/>
    <cellStyle name="Normal 7 2 3 2 11" xfId="23198"/>
    <cellStyle name="Normal 7 2 3 2 12" xfId="23199"/>
    <cellStyle name="Normal 7 2 3 2 13" xfId="23200"/>
    <cellStyle name="Normal 7 2 3 2 14" xfId="23201"/>
    <cellStyle name="Normal 7 2 3 2 15" xfId="23202"/>
    <cellStyle name="Normal 7 2 3 2 16" xfId="23203"/>
    <cellStyle name="Normal 7 2 3 2 17" xfId="23204"/>
    <cellStyle name="Normal 7 2 3 2 18" xfId="23205"/>
    <cellStyle name="Normal 7 2 3 2 19" xfId="23206"/>
    <cellStyle name="Normal 7 2 3 2 2" xfId="6612"/>
    <cellStyle name="Normal 7 2 3 2 2 10" xfId="23207"/>
    <cellStyle name="Normal 7 2 3 2 2 11" xfId="23208"/>
    <cellStyle name="Normal 7 2 3 2 2 12" xfId="23209"/>
    <cellStyle name="Normal 7 2 3 2 2 13" xfId="23210"/>
    <cellStyle name="Normal 7 2 3 2 2 14" xfId="23211"/>
    <cellStyle name="Normal 7 2 3 2 2 15" xfId="23212"/>
    <cellStyle name="Normal 7 2 3 2 2 16" xfId="23213"/>
    <cellStyle name="Normal 7 2 3 2 2 17" xfId="23214"/>
    <cellStyle name="Normal 7 2 3 2 2 18" xfId="23215"/>
    <cellStyle name="Normal 7 2 3 2 2 19" xfId="23216"/>
    <cellStyle name="Normal 7 2 3 2 2 2" xfId="23217"/>
    <cellStyle name="Normal 7 2 3 2 2 20" xfId="23218"/>
    <cellStyle name="Normal 7 2 3 2 2 21" xfId="23219"/>
    <cellStyle name="Normal 7 2 3 2 2 22" xfId="23220"/>
    <cellStyle name="Normal 7 2 3 2 2 23" xfId="23221"/>
    <cellStyle name="Normal 7 2 3 2 2 3" xfId="23222"/>
    <cellStyle name="Normal 7 2 3 2 2 4" xfId="23223"/>
    <cellStyle name="Normal 7 2 3 2 2 5" xfId="23224"/>
    <cellStyle name="Normal 7 2 3 2 2 6" xfId="23225"/>
    <cellStyle name="Normal 7 2 3 2 2 7" xfId="23226"/>
    <cellStyle name="Normal 7 2 3 2 2 8" xfId="23227"/>
    <cellStyle name="Normal 7 2 3 2 2 9" xfId="23228"/>
    <cellStyle name="Normal 7 2 3 2 20" xfId="23229"/>
    <cellStyle name="Normal 7 2 3 2 21" xfId="23230"/>
    <cellStyle name="Normal 7 2 3 2 22" xfId="23231"/>
    <cellStyle name="Normal 7 2 3 2 23" xfId="23232"/>
    <cellStyle name="Normal 7 2 3 2 24" xfId="23233"/>
    <cellStyle name="Normal 7 2 3 2 3" xfId="23234"/>
    <cellStyle name="Normal 7 2 3 2 4" xfId="23235"/>
    <cellStyle name="Normal 7 2 3 2 5" xfId="23236"/>
    <cellStyle name="Normal 7 2 3 2 6" xfId="23237"/>
    <cellStyle name="Normal 7 2 3 2 7" xfId="23238"/>
    <cellStyle name="Normal 7 2 3 2 8" xfId="23239"/>
    <cellStyle name="Normal 7 2 3 2 9" xfId="23240"/>
    <cellStyle name="Normal 7 2 30" xfId="23241"/>
    <cellStyle name="Normal 7 2 31" xfId="23242"/>
    <cellStyle name="Normal 7 2 32" xfId="23243"/>
    <cellStyle name="Normal 7 2 33" xfId="23244"/>
    <cellStyle name="Normal 7 2 34" xfId="23245"/>
    <cellStyle name="Normal 7 2 35" xfId="23246"/>
    <cellStyle name="Normal 7 2 4" xfId="6613"/>
    <cellStyle name="Normal 7 2 4 2" xfId="6614"/>
    <cellStyle name="Normal 7 2 4 2 10" xfId="23247"/>
    <cellStyle name="Normal 7 2 4 2 11" xfId="23248"/>
    <cellStyle name="Normal 7 2 4 2 12" xfId="23249"/>
    <cellStyle name="Normal 7 2 4 2 13" xfId="23250"/>
    <cellStyle name="Normal 7 2 4 2 14" xfId="23251"/>
    <cellStyle name="Normal 7 2 4 2 15" xfId="23252"/>
    <cellStyle name="Normal 7 2 4 2 16" xfId="23253"/>
    <cellStyle name="Normal 7 2 4 2 17" xfId="23254"/>
    <cellStyle name="Normal 7 2 4 2 18" xfId="23255"/>
    <cellStyle name="Normal 7 2 4 2 19" xfId="23256"/>
    <cellStyle name="Normal 7 2 4 2 2" xfId="23257"/>
    <cellStyle name="Normal 7 2 4 2 20" xfId="23258"/>
    <cellStyle name="Normal 7 2 4 2 21" xfId="23259"/>
    <cellStyle name="Normal 7 2 4 2 22" xfId="23260"/>
    <cellStyle name="Normal 7 2 4 2 23" xfId="23261"/>
    <cellStyle name="Normal 7 2 4 2 3" xfId="23262"/>
    <cellStyle name="Normal 7 2 4 2 4" xfId="23263"/>
    <cellStyle name="Normal 7 2 4 2 5" xfId="23264"/>
    <cellStyle name="Normal 7 2 4 2 6" xfId="23265"/>
    <cellStyle name="Normal 7 2 4 2 7" xfId="23266"/>
    <cellStyle name="Normal 7 2 4 2 8" xfId="23267"/>
    <cellStyle name="Normal 7 2 4 2 9" xfId="23268"/>
    <cellStyle name="Normal 7 2 5" xfId="6615"/>
    <cellStyle name="Normal 7 2 6" xfId="6616"/>
    <cellStyle name="Normal 7 2 6 10" xfId="23269"/>
    <cellStyle name="Normal 7 2 6 11" xfId="23270"/>
    <cellStyle name="Normal 7 2 6 12" xfId="23271"/>
    <cellStyle name="Normal 7 2 6 13" xfId="23272"/>
    <cellStyle name="Normal 7 2 6 14" xfId="23273"/>
    <cellStyle name="Normal 7 2 6 15" xfId="23274"/>
    <cellStyle name="Normal 7 2 6 16" xfId="23275"/>
    <cellStyle name="Normal 7 2 6 17" xfId="23276"/>
    <cellStyle name="Normal 7 2 6 18" xfId="23277"/>
    <cellStyle name="Normal 7 2 6 19" xfId="23278"/>
    <cellStyle name="Normal 7 2 6 2" xfId="6617"/>
    <cellStyle name="Normal 7 2 6 2 10" xfId="23279"/>
    <cellStyle name="Normal 7 2 6 2 11" xfId="23280"/>
    <cellStyle name="Normal 7 2 6 2 12" xfId="23281"/>
    <cellStyle name="Normal 7 2 6 2 13" xfId="23282"/>
    <cellStyle name="Normal 7 2 6 2 14" xfId="23283"/>
    <cellStyle name="Normal 7 2 6 2 15" xfId="23284"/>
    <cellStyle name="Normal 7 2 6 2 16" xfId="23285"/>
    <cellStyle name="Normal 7 2 6 2 17" xfId="23286"/>
    <cellStyle name="Normal 7 2 6 2 18" xfId="23287"/>
    <cellStyle name="Normal 7 2 6 2 19" xfId="23288"/>
    <cellStyle name="Normal 7 2 6 2 2" xfId="6618"/>
    <cellStyle name="Normal 7 2 6 2 2 10" xfId="23289"/>
    <cellStyle name="Normal 7 2 6 2 2 11" xfId="23290"/>
    <cellStyle name="Normal 7 2 6 2 2 12" xfId="23291"/>
    <cellStyle name="Normal 7 2 6 2 2 13" xfId="23292"/>
    <cellStyle name="Normal 7 2 6 2 2 14" xfId="23293"/>
    <cellStyle name="Normal 7 2 6 2 2 15" xfId="23294"/>
    <cellStyle name="Normal 7 2 6 2 2 16" xfId="23295"/>
    <cellStyle name="Normal 7 2 6 2 2 17" xfId="23296"/>
    <cellStyle name="Normal 7 2 6 2 2 18" xfId="23297"/>
    <cellStyle name="Normal 7 2 6 2 2 19" xfId="23298"/>
    <cellStyle name="Normal 7 2 6 2 2 2" xfId="23299"/>
    <cellStyle name="Normal 7 2 6 2 2 20" xfId="23300"/>
    <cellStyle name="Normal 7 2 6 2 2 21" xfId="23301"/>
    <cellStyle name="Normal 7 2 6 2 2 22" xfId="23302"/>
    <cellStyle name="Normal 7 2 6 2 2 23" xfId="23303"/>
    <cellStyle name="Normal 7 2 6 2 2 3" xfId="23304"/>
    <cellStyle name="Normal 7 2 6 2 2 4" xfId="23305"/>
    <cellStyle name="Normal 7 2 6 2 2 5" xfId="23306"/>
    <cellStyle name="Normal 7 2 6 2 2 6" xfId="23307"/>
    <cellStyle name="Normal 7 2 6 2 2 7" xfId="23308"/>
    <cellStyle name="Normal 7 2 6 2 2 8" xfId="23309"/>
    <cellStyle name="Normal 7 2 6 2 2 9" xfId="23310"/>
    <cellStyle name="Normal 7 2 6 2 20" xfId="23311"/>
    <cellStyle name="Normal 7 2 6 2 21" xfId="23312"/>
    <cellStyle name="Normal 7 2 6 2 22" xfId="23313"/>
    <cellStyle name="Normal 7 2 6 2 23" xfId="23314"/>
    <cellStyle name="Normal 7 2 6 2 24" xfId="23315"/>
    <cellStyle name="Normal 7 2 6 2 3" xfId="23316"/>
    <cellStyle name="Normal 7 2 6 2 4" xfId="23317"/>
    <cellStyle name="Normal 7 2 6 2 5" xfId="23318"/>
    <cellStyle name="Normal 7 2 6 2 6" xfId="23319"/>
    <cellStyle name="Normal 7 2 6 2 7" xfId="23320"/>
    <cellStyle name="Normal 7 2 6 2 8" xfId="23321"/>
    <cellStyle name="Normal 7 2 6 2 9" xfId="23322"/>
    <cellStyle name="Normal 7 2 6 20" xfId="23323"/>
    <cellStyle name="Normal 7 2 6 21" xfId="23324"/>
    <cellStyle name="Normal 7 2 6 22" xfId="23325"/>
    <cellStyle name="Normal 7 2 6 23" xfId="23326"/>
    <cellStyle name="Normal 7 2 6 24" xfId="23327"/>
    <cellStyle name="Normal 7 2 6 3" xfId="23328"/>
    <cellStyle name="Normal 7 2 6 4" xfId="23329"/>
    <cellStyle name="Normal 7 2 6 5" xfId="23330"/>
    <cellStyle name="Normal 7 2 6 6" xfId="23331"/>
    <cellStyle name="Normal 7 2 6 7" xfId="23332"/>
    <cellStyle name="Normal 7 2 6 8" xfId="23333"/>
    <cellStyle name="Normal 7 2 6 9" xfId="23334"/>
    <cellStyle name="Normal 7 2 7" xfId="6619"/>
    <cellStyle name="Normal 7 2 7 10" xfId="23335"/>
    <cellStyle name="Normal 7 2 7 11" xfId="23336"/>
    <cellStyle name="Normal 7 2 7 12" xfId="23337"/>
    <cellStyle name="Normal 7 2 7 13" xfId="23338"/>
    <cellStyle name="Normal 7 2 7 14" xfId="23339"/>
    <cellStyle name="Normal 7 2 7 15" xfId="23340"/>
    <cellStyle name="Normal 7 2 7 16" xfId="23341"/>
    <cellStyle name="Normal 7 2 7 17" xfId="23342"/>
    <cellStyle name="Normal 7 2 7 18" xfId="23343"/>
    <cellStyle name="Normal 7 2 7 19" xfId="23344"/>
    <cellStyle name="Normal 7 2 7 2" xfId="23345"/>
    <cellStyle name="Normal 7 2 7 20" xfId="23346"/>
    <cellStyle name="Normal 7 2 7 21" xfId="23347"/>
    <cellStyle name="Normal 7 2 7 22" xfId="23348"/>
    <cellStyle name="Normal 7 2 7 23" xfId="23349"/>
    <cellStyle name="Normal 7 2 7 3" xfId="23350"/>
    <cellStyle name="Normal 7 2 7 4" xfId="23351"/>
    <cellStyle name="Normal 7 2 7 5" xfId="23352"/>
    <cellStyle name="Normal 7 2 7 6" xfId="23353"/>
    <cellStyle name="Normal 7 2 7 7" xfId="23354"/>
    <cellStyle name="Normal 7 2 7 8" xfId="23355"/>
    <cellStyle name="Normal 7 2 7 9" xfId="23356"/>
    <cellStyle name="Normal 7 2 8" xfId="6620"/>
    <cellStyle name="Normal 7 2 8 10" xfId="23357"/>
    <cellStyle name="Normal 7 2 8 11" xfId="23358"/>
    <cellStyle name="Normal 7 2 8 12" xfId="23359"/>
    <cellStyle name="Normal 7 2 8 13" xfId="23360"/>
    <cellStyle name="Normal 7 2 8 14" xfId="23361"/>
    <cellStyle name="Normal 7 2 8 15" xfId="23362"/>
    <cellStyle name="Normal 7 2 8 16" xfId="23363"/>
    <cellStyle name="Normal 7 2 8 17" xfId="23364"/>
    <cellStyle name="Normal 7 2 8 18" xfId="23365"/>
    <cellStyle name="Normal 7 2 8 19" xfId="23366"/>
    <cellStyle name="Normal 7 2 8 2" xfId="23367"/>
    <cellStyle name="Normal 7 2 8 20" xfId="23368"/>
    <cellStyle name="Normal 7 2 8 21" xfId="23369"/>
    <cellStyle name="Normal 7 2 8 22" xfId="23370"/>
    <cellStyle name="Normal 7 2 8 23" xfId="23371"/>
    <cellStyle name="Normal 7 2 8 3" xfId="23372"/>
    <cellStyle name="Normal 7 2 8 4" xfId="23373"/>
    <cellStyle name="Normal 7 2 8 5" xfId="23374"/>
    <cellStyle name="Normal 7 2 8 6" xfId="23375"/>
    <cellStyle name="Normal 7 2 8 7" xfId="23376"/>
    <cellStyle name="Normal 7 2 8 8" xfId="23377"/>
    <cellStyle name="Normal 7 2 8 9" xfId="23378"/>
    <cellStyle name="Normal 7 2 9" xfId="6621"/>
    <cellStyle name="Normal 7 20" xfId="6622"/>
    <cellStyle name="Normal 7 20 10" xfId="23379"/>
    <cellStyle name="Normal 7 20 11" xfId="23380"/>
    <cellStyle name="Normal 7 20 12" xfId="23381"/>
    <cellStyle name="Normal 7 20 13" xfId="23382"/>
    <cellStyle name="Normal 7 20 14" xfId="23383"/>
    <cellStyle name="Normal 7 20 15" xfId="23384"/>
    <cellStyle name="Normal 7 20 16" xfId="23385"/>
    <cellStyle name="Normal 7 20 17" xfId="23386"/>
    <cellStyle name="Normal 7 20 18" xfId="23387"/>
    <cellStyle name="Normal 7 20 19" xfId="23388"/>
    <cellStyle name="Normal 7 20 2" xfId="6623"/>
    <cellStyle name="Normal 7 20 2 10" xfId="23389"/>
    <cellStyle name="Normal 7 20 2 11" xfId="23390"/>
    <cellStyle name="Normal 7 20 2 12" xfId="23391"/>
    <cellStyle name="Normal 7 20 2 13" xfId="23392"/>
    <cellStyle name="Normal 7 20 2 14" xfId="23393"/>
    <cellStyle name="Normal 7 20 2 15" xfId="23394"/>
    <cellStyle name="Normal 7 20 2 16" xfId="23395"/>
    <cellStyle name="Normal 7 20 2 17" xfId="23396"/>
    <cellStyle name="Normal 7 20 2 18" xfId="23397"/>
    <cellStyle name="Normal 7 20 2 19" xfId="23398"/>
    <cellStyle name="Normal 7 20 2 2" xfId="6624"/>
    <cellStyle name="Normal 7 20 2 2 10" xfId="23399"/>
    <cellStyle name="Normal 7 20 2 2 11" xfId="23400"/>
    <cellStyle name="Normal 7 20 2 2 12" xfId="23401"/>
    <cellStyle name="Normal 7 20 2 2 13" xfId="23402"/>
    <cellStyle name="Normal 7 20 2 2 14" xfId="23403"/>
    <cellStyle name="Normal 7 20 2 2 15" xfId="23404"/>
    <cellStyle name="Normal 7 20 2 2 16" xfId="23405"/>
    <cellStyle name="Normal 7 20 2 2 17" xfId="23406"/>
    <cellStyle name="Normal 7 20 2 2 18" xfId="23407"/>
    <cellStyle name="Normal 7 20 2 2 19" xfId="23408"/>
    <cellStyle name="Normal 7 20 2 2 2" xfId="23409"/>
    <cellStyle name="Normal 7 20 2 2 2 2" xfId="23410"/>
    <cellStyle name="Normal 7 20 2 2 2 3" xfId="23411"/>
    <cellStyle name="Normal 7 20 2 2 2 4" xfId="23412"/>
    <cellStyle name="Normal 7 20 2 2 2 5" xfId="23413"/>
    <cellStyle name="Normal 7 20 2 2 2 5 2" xfId="23414"/>
    <cellStyle name="Normal 7 20 2 2 2 6" xfId="23415"/>
    <cellStyle name="Normal 7 20 2 2 2 6 2" xfId="23416"/>
    <cellStyle name="Normal 7 20 2 2 2 7" xfId="23417"/>
    <cellStyle name="Normal 7 20 2 2 2 8" xfId="23418"/>
    <cellStyle name="Normal 7 20 2 2 20" xfId="23419"/>
    <cellStyle name="Normal 7 20 2 2 21" xfId="23420"/>
    <cellStyle name="Normal 7 20 2 2 22" xfId="23421"/>
    <cellStyle name="Normal 7 20 2 2 23" xfId="23422"/>
    <cellStyle name="Normal 7 20 2 2 24" xfId="23423"/>
    <cellStyle name="Normal 7 20 2 2 3" xfId="23424"/>
    <cellStyle name="Normal 7 20 2 2 4" xfId="23425"/>
    <cellStyle name="Normal 7 20 2 2 5" xfId="23426"/>
    <cellStyle name="Normal 7 20 2 2 6" xfId="23427"/>
    <cellStyle name="Normal 7 20 2 2 7" xfId="23428"/>
    <cellStyle name="Normal 7 20 2 2 8" xfId="23429"/>
    <cellStyle name="Normal 7 20 2 2 9" xfId="23430"/>
    <cellStyle name="Normal 7 20 2 20" xfId="23431"/>
    <cellStyle name="Normal 7 20 2 21" xfId="23432"/>
    <cellStyle name="Normal 7 20 2 22" xfId="23433"/>
    <cellStyle name="Normal 7 20 2 23" xfId="23434"/>
    <cellStyle name="Normal 7 20 2 24" xfId="23435"/>
    <cellStyle name="Normal 7 20 2 25" xfId="23436"/>
    <cellStyle name="Normal 7 20 2 26" xfId="23437"/>
    <cellStyle name="Normal 7 20 2 3" xfId="6625"/>
    <cellStyle name="Normal 7 20 2 3 10" xfId="23438"/>
    <cellStyle name="Normal 7 20 2 3 11" xfId="23439"/>
    <cellStyle name="Normal 7 20 2 3 12" xfId="23440"/>
    <cellStyle name="Normal 7 20 2 3 13" xfId="23441"/>
    <cellStyle name="Normal 7 20 2 3 14" xfId="23442"/>
    <cellStyle name="Normal 7 20 2 3 15" xfId="23443"/>
    <cellStyle name="Normal 7 20 2 3 16" xfId="23444"/>
    <cellStyle name="Normal 7 20 2 3 17" xfId="23445"/>
    <cellStyle name="Normal 7 20 2 3 18" xfId="23446"/>
    <cellStyle name="Normal 7 20 2 3 19" xfId="23447"/>
    <cellStyle name="Normal 7 20 2 3 2" xfId="23448"/>
    <cellStyle name="Normal 7 20 2 3 20" xfId="23449"/>
    <cellStyle name="Normal 7 20 2 3 21" xfId="23450"/>
    <cellStyle name="Normal 7 20 2 3 22" xfId="23451"/>
    <cellStyle name="Normal 7 20 2 3 23" xfId="23452"/>
    <cellStyle name="Normal 7 20 2 3 24" xfId="23453"/>
    <cellStyle name="Normal 7 20 2 3 25" xfId="23454"/>
    <cellStyle name="Normal 7 20 2 3 26" xfId="23455"/>
    <cellStyle name="Normal 7 20 2 3 27" xfId="23456"/>
    <cellStyle name="Normal 7 20 2 3 28" xfId="23457"/>
    <cellStyle name="Normal 7 20 2 3 3" xfId="23458"/>
    <cellStyle name="Normal 7 20 2 3 4" xfId="23459"/>
    <cellStyle name="Normal 7 20 2 3 5" xfId="23460"/>
    <cellStyle name="Normal 7 20 2 3 5 2" xfId="23461"/>
    <cellStyle name="Normal 7 20 2 3 6" xfId="23462"/>
    <cellStyle name="Normal 7 20 2 3 6 2" xfId="23463"/>
    <cellStyle name="Normal 7 20 2 3 7" xfId="23464"/>
    <cellStyle name="Normal 7 20 2 3 8" xfId="23465"/>
    <cellStyle name="Normal 7 20 2 3 9" xfId="23466"/>
    <cellStyle name="Normal 7 20 2 4" xfId="23467"/>
    <cellStyle name="Normal 7 20 2 5" xfId="23468"/>
    <cellStyle name="Normal 7 20 2 6" xfId="23469"/>
    <cellStyle name="Normal 7 20 2 7" xfId="23470"/>
    <cellStyle name="Normal 7 20 2 8" xfId="23471"/>
    <cellStyle name="Normal 7 20 2 9" xfId="23472"/>
    <cellStyle name="Normal 7 20 20" xfId="23473"/>
    <cellStyle name="Normal 7 20 21" xfId="23474"/>
    <cellStyle name="Normal 7 20 22" xfId="23475"/>
    <cellStyle name="Normal 7 20 23" xfId="23476"/>
    <cellStyle name="Normal 7 20 24" xfId="23477"/>
    <cellStyle name="Normal 7 20 3" xfId="23478"/>
    <cellStyle name="Normal 7 20 4" xfId="23479"/>
    <cellStyle name="Normal 7 20 5" xfId="23480"/>
    <cellStyle name="Normal 7 20 6" xfId="23481"/>
    <cellStyle name="Normal 7 20 7" xfId="23482"/>
    <cellStyle name="Normal 7 20 8" xfId="23483"/>
    <cellStyle name="Normal 7 20 9" xfId="23484"/>
    <cellStyle name="Normal 7 21" xfId="6626"/>
    <cellStyle name="Normal 7 21 10" xfId="23485"/>
    <cellStyle name="Normal 7 21 11" xfId="23486"/>
    <cellStyle name="Normal 7 21 12" xfId="23487"/>
    <cellStyle name="Normal 7 21 13" xfId="23488"/>
    <cellStyle name="Normal 7 21 14" xfId="23489"/>
    <cellStyle name="Normal 7 21 15" xfId="23490"/>
    <cellStyle name="Normal 7 21 16" xfId="23491"/>
    <cellStyle name="Normal 7 21 17" xfId="23492"/>
    <cellStyle name="Normal 7 21 18" xfId="23493"/>
    <cellStyle name="Normal 7 21 19" xfId="23494"/>
    <cellStyle name="Normal 7 21 2" xfId="23495"/>
    <cellStyle name="Normal 7 21 20" xfId="23496"/>
    <cellStyle name="Normal 7 21 21" xfId="23497"/>
    <cellStyle name="Normal 7 21 22" xfId="23498"/>
    <cellStyle name="Normal 7 21 23" xfId="23499"/>
    <cellStyle name="Normal 7 21 3" xfId="23500"/>
    <cellStyle name="Normal 7 21 4" xfId="23501"/>
    <cellStyle name="Normal 7 21 5" xfId="23502"/>
    <cellStyle name="Normal 7 21 6" xfId="23503"/>
    <cellStyle name="Normal 7 21 7" xfId="23504"/>
    <cellStyle name="Normal 7 21 8" xfId="23505"/>
    <cellStyle name="Normal 7 21 9" xfId="23506"/>
    <cellStyle name="Normal 7 22" xfId="6627"/>
    <cellStyle name="Normal 7 23" xfId="6628"/>
    <cellStyle name="Normal 7 24" xfId="6629"/>
    <cellStyle name="Normal 7 25" xfId="6630"/>
    <cellStyle name="Normal 7 26" xfId="6631"/>
    <cellStyle name="Normal 7 27" xfId="6632"/>
    <cellStyle name="Normal 7 27 2" xfId="23507"/>
    <cellStyle name="Normal 7 27 3" xfId="23508"/>
    <cellStyle name="Normal 7 27 4" xfId="23509"/>
    <cellStyle name="Normal 7 28" xfId="6633"/>
    <cellStyle name="Normal 7 29" xfId="23510"/>
    <cellStyle name="Normal 7 3" xfId="6634"/>
    <cellStyle name="Normal 7 3 10" xfId="6635"/>
    <cellStyle name="Normal 7 3 11" xfId="6636"/>
    <cellStyle name="Normal 7 3 12" xfId="6637"/>
    <cellStyle name="Normal 7 3 2" xfId="6638"/>
    <cellStyle name="Normal 7 3 3" xfId="6639"/>
    <cellStyle name="Normal 7 3 4" xfId="6640"/>
    <cellStyle name="Normal 7 3 5" xfId="6641"/>
    <cellStyle name="Normal 7 3 6" xfId="6642"/>
    <cellStyle name="Normal 7 3 6 10" xfId="23511"/>
    <cellStyle name="Normal 7 3 6 11" xfId="23512"/>
    <cellStyle name="Normal 7 3 6 12" xfId="23513"/>
    <cellStyle name="Normal 7 3 6 13" xfId="23514"/>
    <cellStyle name="Normal 7 3 6 14" xfId="23515"/>
    <cellStyle name="Normal 7 3 6 15" xfId="23516"/>
    <cellStyle name="Normal 7 3 6 16" xfId="23517"/>
    <cellStyle name="Normal 7 3 6 17" xfId="23518"/>
    <cellStyle name="Normal 7 3 6 18" xfId="23519"/>
    <cellStyle name="Normal 7 3 6 19" xfId="23520"/>
    <cellStyle name="Normal 7 3 6 2" xfId="23521"/>
    <cellStyle name="Normal 7 3 6 20" xfId="23522"/>
    <cellStyle name="Normal 7 3 6 21" xfId="23523"/>
    <cellStyle name="Normal 7 3 6 22" xfId="23524"/>
    <cellStyle name="Normal 7 3 6 23" xfId="23525"/>
    <cellStyle name="Normal 7 3 6 3" xfId="23526"/>
    <cellStyle name="Normal 7 3 6 4" xfId="23527"/>
    <cellStyle name="Normal 7 3 6 5" xfId="23528"/>
    <cellStyle name="Normal 7 3 6 6" xfId="23529"/>
    <cellStyle name="Normal 7 3 6 7" xfId="23530"/>
    <cellStyle name="Normal 7 3 6 8" xfId="23531"/>
    <cellStyle name="Normal 7 3 6 9" xfId="23532"/>
    <cellStyle name="Normal 7 3 7" xfId="6643"/>
    <cellStyle name="Normal 7 3 8" xfId="6644"/>
    <cellStyle name="Normal 7 3 9" xfId="6645"/>
    <cellStyle name="Normal 7 30" xfId="23533"/>
    <cellStyle name="Normal 7 31" xfId="23534"/>
    <cellStyle name="Normal 7 32" xfId="23535"/>
    <cellStyle name="Normal 7 33" xfId="23536"/>
    <cellStyle name="Normal 7 34" xfId="23537"/>
    <cellStyle name="Normal 7 35" xfId="23538"/>
    <cellStyle name="Normal 7 36" xfId="23539"/>
    <cellStyle name="Normal 7 37" xfId="23540"/>
    <cellStyle name="Normal 7 38" xfId="23541"/>
    <cellStyle name="Normal 7 39" xfId="23542"/>
    <cellStyle name="Normal 7 4" xfId="6646"/>
    <cellStyle name="Normal 7 4 2" xfId="6647"/>
    <cellStyle name="Normal 7 4 3" xfId="6648"/>
    <cellStyle name="Normal 7 4 4" xfId="6649"/>
    <cellStyle name="Normal 7 4 5" xfId="6650"/>
    <cellStyle name="Normal 7 4 6" xfId="6651"/>
    <cellStyle name="Normal 7 4 6 10" xfId="23543"/>
    <cellStyle name="Normal 7 4 6 11" xfId="23544"/>
    <cellStyle name="Normal 7 4 6 12" xfId="23545"/>
    <cellStyle name="Normal 7 4 6 13" xfId="23546"/>
    <cellStyle name="Normal 7 4 6 14" xfId="23547"/>
    <cellStyle name="Normal 7 4 6 15" xfId="23548"/>
    <cellStyle name="Normal 7 4 6 16" xfId="23549"/>
    <cellStyle name="Normal 7 4 6 17" xfId="23550"/>
    <cellStyle name="Normal 7 4 6 18" xfId="23551"/>
    <cellStyle name="Normal 7 4 6 19" xfId="23552"/>
    <cellStyle name="Normal 7 4 6 2" xfId="23553"/>
    <cellStyle name="Normal 7 4 6 20" xfId="23554"/>
    <cellStyle name="Normal 7 4 6 21" xfId="23555"/>
    <cellStyle name="Normal 7 4 6 22" xfId="23556"/>
    <cellStyle name="Normal 7 4 6 23" xfId="23557"/>
    <cellStyle name="Normal 7 4 6 3" xfId="23558"/>
    <cellStyle name="Normal 7 4 6 4" xfId="23559"/>
    <cellStyle name="Normal 7 4 6 5" xfId="23560"/>
    <cellStyle name="Normal 7 4 6 6" xfId="23561"/>
    <cellStyle name="Normal 7 4 6 7" xfId="23562"/>
    <cellStyle name="Normal 7 4 6 8" xfId="23563"/>
    <cellStyle name="Normal 7 4 6 9" xfId="23564"/>
    <cellStyle name="Normal 7 40" xfId="23565"/>
    <cellStyle name="Normal 7 41" xfId="23566"/>
    <cellStyle name="Normal 7 42" xfId="23567"/>
    <cellStyle name="Normal 7 43" xfId="23568"/>
    <cellStyle name="Normal 7 44" xfId="23569"/>
    <cellStyle name="Normal 7 45" xfId="23570"/>
    <cellStyle name="Normal 7 46" xfId="23571"/>
    <cellStyle name="Normal 7 47" xfId="23572"/>
    <cellStyle name="Normal 7 48" xfId="23573"/>
    <cellStyle name="Normal 7 49" xfId="23574"/>
    <cellStyle name="Normal 7 5" xfId="6652"/>
    <cellStyle name="Normal 7 5 2" xfId="6653"/>
    <cellStyle name="Normal 7 5 2 2" xfId="6654"/>
    <cellStyle name="Normal 7 5 2 2 10" xfId="23575"/>
    <cellStyle name="Normal 7 5 2 2 11" xfId="23576"/>
    <cellStyle name="Normal 7 5 2 2 12" xfId="23577"/>
    <cellStyle name="Normal 7 5 2 2 13" xfId="23578"/>
    <cellStyle name="Normal 7 5 2 2 14" xfId="23579"/>
    <cellStyle name="Normal 7 5 2 2 15" xfId="23580"/>
    <cellStyle name="Normal 7 5 2 2 16" xfId="23581"/>
    <cellStyle name="Normal 7 5 2 2 17" xfId="23582"/>
    <cellStyle name="Normal 7 5 2 2 18" xfId="23583"/>
    <cellStyle name="Normal 7 5 2 2 19" xfId="23584"/>
    <cellStyle name="Normal 7 5 2 2 2" xfId="23585"/>
    <cellStyle name="Normal 7 5 2 2 20" xfId="23586"/>
    <cellStyle name="Normal 7 5 2 2 21" xfId="23587"/>
    <cellStyle name="Normal 7 5 2 2 22" xfId="23588"/>
    <cellStyle name="Normal 7 5 2 2 23" xfId="23589"/>
    <cellStyle name="Normal 7 5 2 2 3" xfId="23590"/>
    <cellStyle name="Normal 7 5 2 2 4" xfId="23591"/>
    <cellStyle name="Normal 7 5 2 2 5" xfId="23592"/>
    <cellStyle name="Normal 7 5 2 2 6" xfId="23593"/>
    <cellStyle name="Normal 7 5 2 2 7" xfId="23594"/>
    <cellStyle name="Normal 7 5 2 2 8" xfId="23595"/>
    <cellStyle name="Normal 7 5 2 2 9" xfId="23596"/>
    <cellStyle name="Normal 7 5 3" xfId="6655"/>
    <cellStyle name="Normal 7 5 4" xfId="6656"/>
    <cellStyle name="Normal 7 5 5" xfId="6657"/>
    <cellStyle name="Normal 7 5 6" xfId="6658"/>
    <cellStyle name="Normal 7 5 6 10" xfId="23597"/>
    <cellStyle name="Normal 7 5 6 11" xfId="23598"/>
    <cellStyle name="Normal 7 5 6 12" xfId="23599"/>
    <cellStyle name="Normal 7 5 6 13" xfId="23600"/>
    <cellStyle name="Normal 7 5 6 14" xfId="23601"/>
    <cellStyle name="Normal 7 5 6 15" xfId="23602"/>
    <cellStyle name="Normal 7 5 6 16" xfId="23603"/>
    <cellStyle name="Normal 7 5 6 17" xfId="23604"/>
    <cellStyle name="Normal 7 5 6 18" xfId="23605"/>
    <cellStyle name="Normal 7 5 6 19" xfId="23606"/>
    <cellStyle name="Normal 7 5 6 2" xfId="6659"/>
    <cellStyle name="Normal 7 5 6 2 10" xfId="23607"/>
    <cellStyle name="Normal 7 5 6 2 11" xfId="23608"/>
    <cellStyle name="Normal 7 5 6 2 12" xfId="23609"/>
    <cellStyle name="Normal 7 5 6 2 13" xfId="23610"/>
    <cellStyle name="Normal 7 5 6 2 14" xfId="23611"/>
    <cellStyle name="Normal 7 5 6 2 15" xfId="23612"/>
    <cellStyle name="Normal 7 5 6 2 16" xfId="23613"/>
    <cellStyle name="Normal 7 5 6 2 17" xfId="23614"/>
    <cellStyle name="Normal 7 5 6 2 18" xfId="23615"/>
    <cellStyle name="Normal 7 5 6 2 19" xfId="23616"/>
    <cellStyle name="Normal 7 5 6 2 2" xfId="23617"/>
    <cellStyle name="Normal 7 5 6 2 20" xfId="23618"/>
    <cellStyle name="Normal 7 5 6 2 21" xfId="23619"/>
    <cellStyle name="Normal 7 5 6 2 22" xfId="23620"/>
    <cellStyle name="Normal 7 5 6 2 23" xfId="23621"/>
    <cellStyle name="Normal 7 5 6 2 3" xfId="23622"/>
    <cellStyle name="Normal 7 5 6 2 4" xfId="23623"/>
    <cellStyle name="Normal 7 5 6 2 5" xfId="23624"/>
    <cellStyle name="Normal 7 5 6 2 6" xfId="23625"/>
    <cellStyle name="Normal 7 5 6 2 7" xfId="23626"/>
    <cellStyle name="Normal 7 5 6 2 8" xfId="23627"/>
    <cellStyle name="Normal 7 5 6 2 9" xfId="23628"/>
    <cellStyle name="Normal 7 5 6 20" xfId="23629"/>
    <cellStyle name="Normal 7 5 6 21" xfId="23630"/>
    <cellStyle name="Normal 7 5 6 22" xfId="23631"/>
    <cellStyle name="Normal 7 5 6 23" xfId="23632"/>
    <cellStyle name="Normal 7 5 6 24" xfId="23633"/>
    <cellStyle name="Normal 7 5 6 3" xfId="23634"/>
    <cellStyle name="Normal 7 5 6 4" xfId="23635"/>
    <cellStyle name="Normal 7 5 6 5" xfId="23636"/>
    <cellStyle name="Normal 7 5 6 6" xfId="23637"/>
    <cellStyle name="Normal 7 5 6 7" xfId="23638"/>
    <cellStyle name="Normal 7 5 6 8" xfId="23639"/>
    <cellStyle name="Normal 7 5 6 9" xfId="23640"/>
    <cellStyle name="Normal 7 5 7" xfId="6660"/>
    <cellStyle name="Normal 7 5 7 10" xfId="23641"/>
    <cellStyle name="Normal 7 5 7 11" xfId="23642"/>
    <cellStyle name="Normal 7 5 7 12" xfId="23643"/>
    <cellStyle name="Normal 7 5 7 13" xfId="23644"/>
    <cellStyle name="Normal 7 5 7 14" xfId="23645"/>
    <cellStyle name="Normal 7 5 7 15" xfId="23646"/>
    <cellStyle name="Normal 7 5 7 16" xfId="23647"/>
    <cellStyle name="Normal 7 5 7 17" xfId="23648"/>
    <cellStyle name="Normal 7 5 7 18" xfId="23649"/>
    <cellStyle name="Normal 7 5 7 19" xfId="23650"/>
    <cellStyle name="Normal 7 5 7 2" xfId="23651"/>
    <cellStyle name="Normal 7 5 7 20" xfId="23652"/>
    <cellStyle name="Normal 7 5 7 21" xfId="23653"/>
    <cellStyle name="Normal 7 5 7 22" xfId="23654"/>
    <cellStyle name="Normal 7 5 7 23" xfId="23655"/>
    <cellStyle name="Normal 7 5 7 3" xfId="23656"/>
    <cellStyle name="Normal 7 5 7 4" xfId="23657"/>
    <cellStyle name="Normal 7 5 7 5" xfId="23658"/>
    <cellStyle name="Normal 7 5 7 6" xfId="23659"/>
    <cellStyle name="Normal 7 5 7 7" xfId="23660"/>
    <cellStyle name="Normal 7 5 7 8" xfId="23661"/>
    <cellStyle name="Normal 7 5 7 9" xfId="23662"/>
    <cellStyle name="Normal 7 6" xfId="6661"/>
    <cellStyle name="Normal 7 6 2" xfId="6662"/>
    <cellStyle name="Normal 7 6 3" xfId="6663"/>
    <cellStyle name="Normal 7 6 4" xfId="6664"/>
    <cellStyle name="Normal 7 6 5" xfId="6665"/>
    <cellStyle name="Normal 7 6 6" xfId="6666"/>
    <cellStyle name="Normal 7 7" xfId="6667"/>
    <cellStyle name="Normal 7 7 2" xfId="6668"/>
    <cellStyle name="Normal 7 7 3" xfId="6669"/>
    <cellStyle name="Normal 7 7 4" xfId="6670"/>
    <cellStyle name="Normal 7 7 5" xfId="6671"/>
    <cellStyle name="Normal 7 8" xfId="6672"/>
    <cellStyle name="Normal 7 8 2" xfId="6673"/>
    <cellStyle name="Normal 7 8 3" xfId="6674"/>
    <cellStyle name="Normal 7 8 4" xfId="6675"/>
    <cellStyle name="Normal 7 8 5" xfId="6676"/>
    <cellStyle name="Normal 7 9" xfId="6677"/>
    <cellStyle name="Normal 7 9 2" xfId="6678"/>
    <cellStyle name="Normal 7 9 3" xfId="6679"/>
    <cellStyle name="Normal 7 9 4" xfId="6680"/>
    <cellStyle name="Normal 7 9 5" xfId="6681"/>
    <cellStyle name="Normal 7_B.2 BMCK" xfId="6682"/>
    <cellStyle name="Normal 70" xfId="6683"/>
    <cellStyle name="Normal 70 10" xfId="23663"/>
    <cellStyle name="Normal 70 11" xfId="23664"/>
    <cellStyle name="Normal 70 12" xfId="23665"/>
    <cellStyle name="Normal 70 13" xfId="23666"/>
    <cellStyle name="Normal 70 14" xfId="23667"/>
    <cellStyle name="Normal 70 15" xfId="23668"/>
    <cellStyle name="Normal 70 16" xfId="23669"/>
    <cellStyle name="Normal 70 17" xfId="23670"/>
    <cellStyle name="Normal 70 18" xfId="23671"/>
    <cellStyle name="Normal 70 19" xfId="23672"/>
    <cellStyle name="Normal 70 2" xfId="23673"/>
    <cellStyle name="Normal 70 20" xfId="23674"/>
    <cellStyle name="Normal 70 21" xfId="23675"/>
    <cellStyle name="Normal 70 22" xfId="23676"/>
    <cellStyle name="Normal 70 23" xfId="23677"/>
    <cellStyle name="Normal 70 3" xfId="23678"/>
    <cellStyle name="Normal 70 4" xfId="23679"/>
    <cellStyle name="Normal 70 5" xfId="23680"/>
    <cellStyle name="Normal 70 6" xfId="23681"/>
    <cellStyle name="Normal 70 7" xfId="23682"/>
    <cellStyle name="Normal 70 8" xfId="23683"/>
    <cellStyle name="Normal 70 9" xfId="23684"/>
    <cellStyle name="Normal 71" xfId="6684"/>
    <cellStyle name="Normal 71 10" xfId="23685"/>
    <cellStyle name="Normal 71 11" xfId="23686"/>
    <cellStyle name="Normal 71 12" xfId="23687"/>
    <cellStyle name="Normal 71 13" xfId="23688"/>
    <cellStyle name="Normal 71 14" xfId="23689"/>
    <cellStyle name="Normal 71 15" xfId="23690"/>
    <cellStyle name="Normal 71 16" xfId="23691"/>
    <cellStyle name="Normal 71 17" xfId="23692"/>
    <cellStyle name="Normal 71 18" xfId="23693"/>
    <cellStyle name="Normal 71 19" xfId="23694"/>
    <cellStyle name="Normal 71 2" xfId="23695"/>
    <cellStyle name="Normal 71 20" xfId="23696"/>
    <cellStyle name="Normal 71 21" xfId="23697"/>
    <cellStyle name="Normal 71 22" xfId="23698"/>
    <cellStyle name="Normal 71 23" xfId="23699"/>
    <cellStyle name="Normal 71 3" xfId="23700"/>
    <cellStyle name="Normal 71 4" xfId="23701"/>
    <cellStyle name="Normal 71 5" xfId="23702"/>
    <cellStyle name="Normal 71 6" xfId="23703"/>
    <cellStyle name="Normal 71 7" xfId="23704"/>
    <cellStyle name="Normal 71 8" xfId="23705"/>
    <cellStyle name="Normal 71 9" xfId="23706"/>
    <cellStyle name="Normal 72" xfId="6685"/>
    <cellStyle name="Normal 73" xfId="6686"/>
    <cellStyle name="Normal 74" xfId="6687"/>
    <cellStyle name="Normal 75" xfId="6688"/>
    <cellStyle name="Normal 76" xfId="6689"/>
    <cellStyle name="Normal 77" xfId="6690"/>
    <cellStyle name="Normal 78" xfId="6691"/>
    <cellStyle name="Normal 79" xfId="6692"/>
    <cellStyle name="Normal 8" xfId="6693"/>
    <cellStyle name="Normal 8 10" xfId="6694"/>
    <cellStyle name="Normal 8 10 2" xfId="6695"/>
    <cellStyle name="Normal 8 10 3" xfId="6696"/>
    <cellStyle name="Normal 8 10 4" xfId="6697"/>
    <cellStyle name="Normal 8 10 5" xfId="6698"/>
    <cellStyle name="Normal 8 11" xfId="6699"/>
    <cellStyle name="Normal 8 11 2" xfId="6700"/>
    <cellStyle name="Normal 8 11 3" xfId="6701"/>
    <cellStyle name="Normal 8 11 4" xfId="6702"/>
    <cellStyle name="Normal 8 11 5" xfId="6703"/>
    <cellStyle name="Normal 8 12" xfId="6704"/>
    <cellStyle name="Normal 8 12 2" xfId="6705"/>
    <cellStyle name="Normal 8 12 3" xfId="6706"/>
    <cellStyle name="Normal 8 12 4" xfId="6707"/>
    <cellStyle name="Normal 8 12 5" xfId="6708"/>
    <cellStyle name="Normal 8 13" xfId="6709"/>
    <cellStyle name="Normal 8 13 2" xfId="6710"/>
    <cellStyle name="Normal 8 13 3" xfId="6711"/>
    <cellStyle name="Normal 8 13 4" xfId="6712"/>
    <cellStyle name="Normal 8 13 5" xfId="6713"/>
    <cellStyle name="Normal 8 14" xfId="6714"/>
    <cellStyle name="Normal 8 14 2" xfId="6715"/>
    <cellStyle name="Normal 8 14 3" xfId="6716"/>
    <cellStyle name="Normal 8 14 4" xfId="6717"/>
    <cellStyle name="Normal 8 14 5" xfId="6718"/>
    <cellStyle name="Normal 8 15" xfId="6719"/>
    <cellStyle name="Normal 8 15 2" xfId="6720"/>
    <cellStyle name="Normal 8 15 3" xfId="6721"/>
    <cellStyle name="Normal 8 15 4" xfId="6722"/>
    <cellStyle name="Normal 8 15 5" xfId="6723"/>
    <cellStyle name="Normal 8 16" xfId="6724"/>
    <cellStyle name="Normal 8 16 10" xfId="23707"/>
    <cellStyle name="Normal 8 16 11" xfId="23708"/>
    <cellStyle name="Normal 8 16 12" xfId="23709"/>
    <cellStyle name="Normal 8 16 13" xfId="23710"/>
    <cellStyle name="Normal 8 16 14" xfId="23711"/>
    <cellStyle name="Normal 8 16 15" xfId="23712"/>
    <cellStyle name="Normal 8 16 16" xfId="23713"/>
    <cellStyle name="Normal 8 16 17" xfId="23714"/>
    <cellStyle name="Normal 8 16 18" xfId="23715"/>
    <cellStyle name="Normal 8 16 19" xfId="23716"/>
    <cellStyle name="Normal 8 16 2" xfId="6725"/>
    <cellStyle name="Normal 8 16 2 10" xfId="23717"/>
    <cellStyle name="Normal 8 16 2 11" xfId="23718"/>
    <cellStyle name="Normal 8 16 2 12" xfId="23719"/>
    <cellStyle name="Normal 8 16 2 13" xfId="23720"/>
    <cellStyle name="Normal 8 16 2 14" xfId="23721"/>
    <cellStyle name="Normal 8 16 2 15" xfId="23722"/>
    <cellStyle name="Normal 8 16 2 16" xfId="23723"/>
    <cellStyle name="Normal 8 16 2 17" xfId="23724"/>
    <cellStyle name="Normal 8 16 2 18" xfId="23725"/>
    <cellStyle name="Normal 8 16 2 19" xfId="23726"/>
    <cellStyle name="Normal 8 16 2 2" xfId="23727"/>
    <cellStyle name="Normal 8 16 2 20" xfId="23728"/>
    <cellStyle name="Normal 8 16 2 21" xfId="23729"/>
    <cellStyle name="Normal 8 16 2 22" xfId="23730"/>
    <cellStyle name="Normal 8 16 2 23" xfId="23731"/>
    <cellStyle name="Normal 8 16 2 3" xfId="23732"/>
    <cellStyle name="Normal 8 16 2 4" xfId="23733"/>
    <cellStyle name="Normal 8 16 2 5" xfId="23734"/>
    <cellStyle name="Normal 8 16 2 6" xfId="23735"/>
    <cellStyle name="Normal 8 16 2 7" xfId="23736"/>
    <cellStyle name="Normal 8 16 2 8" xfId="23737"/>
    <cellStyle name="Normal 8 16 2 9" xfId="23738"/>
    <cellStyle name="Normal 8 16 20" xfId="23739"/>
    <cellStyle name="Normal 8 16 21" xfId="23740"/>
    <cellStyle name="Normal 8 16 22" xfId="23741"/>
    <cellStyle name="Normal 8 16 23" xfId="23742"/>
    <cellStyle name="Normal 8 16 24" xfId="23743"/>
    <cellStyle name="Normal 8 16 25" xfId="23744"/>
    <cellStyle name="Normal 8 16 26" xfId="23745"/>
    <cellStyle name="Normal 8 16 27" xfId="23746"/>
    <cellStyle name="Normal 8 16 3" xfId="6726"/>
    <cellStyle name="Normal 8 16 3 10" xfId="23747"/>
    <cellStyle name="Normal 8 16 3 11" xfId="23748"/>
    <cellStyle name="Normal 8 16 3 12" xfId="23749"/>
    <cellStyle name="Normal 8 16 3 13" xfId="23750"/>
    <cellStyle name="Normal 8 16 3 14" xfId="23751"/>
    <cellStyle name="Normal 8 16 3 15" xfId="23752"/>
    <cellStyle name="Normal 8 16 3 16" xfId="23753"/>
    <cellStyle name="Normal 8 16 3 17" xfId="23754"/>
    <cellStyle name="Normal 8 16 3 18" xfId="23755"/>
    <cellStyle name="Normal 8 16 3 19" xfId="23756"/>
    <cellStyle name="Normal 8 16 3 2" xfId="23757"/>
    <cellStyle name="Normal 8 16 3 20" xfId="23758"/>
    <cellStyle name="Normal 8 16 3 21" xfId="23759"/>
    <cellStyle name="Normal 8 16 3 22" xfId="23760"/>
    <cellStyle name="Normal 8 16 3 23" xfId="23761"/>
    <cellStyle name="Normal 8 16 3 3" xfId="23762"/>
    <cellStyle name="Normal 8 16 3 4" xfId="23763"/>
    <cellStyle name="Normal 8 16 3 5" xfId="23764"/>
    <cellStyle name="Normal 8 16 3 6" xfId="23765"/>
    <cellStyle name="Normal 8 16 3 7" xfId="23766"/>
    <cellStyle name="Normal 8 16 3 8" xfId="23767"/>
    <cellStyle name="Normal 8 16 3 9" xfId="23768"/>
    <cellStyle name="Normal 8 16 4" xfId="6727"/>
    <cellStyle name="Normal 8 16 4 10" xfId="23769"/>
    <cellStyle name="Normal 8 16 4 11" xfId="23770"/>
    <cellStyle name="Normal 8 16 4 12" xfId="23771"/>
    <cellStyle name="Normal 8 16 4 13" xfId="23772"/>
    <cellStyle name="Normal 8 16 4 14" xfId="23773"/>
    <cellStyle name="Normal 8 16 4 15" xfId="23774"/>
    <cellStyle name="Normal 8 16 4 16" xfId="23775"/>
    <cellStyle name="Normal 8 16 4 17" xfId="23776"/>
    <cellStyle name="Normal 8 16 4 18" xfId="23777"/>
    <cellStyle name="Normal 8 16 4 19" xfId="23778"/>
    <cellStyle name="Normal 8 16 4 2" xfId="23779"/>
    <cellStyle name="Normal 8 16 4 20" xfId="23780"/>
    <cellStyle name="Normal 8 16 4 21" xfId="23781"/>
    <cellStyle name="Normal 8 16 4 22" xfId="23782"/>
    <cellStyle name="Normal 8 16 4 23" xfId="23783"/>
    <cellStyle name="Normal 8 16 4 3" xfId="23784"/>
    <cellStyle name="Normal 8 16 4 4" xfId="23785"/>
    <cellStyle name="Normal 8 16 4 5" xfId="23786"/>
    <cellStyle name="Normal 8 16 4 6" xfId="23787"/>
    <cellStyle name="Normal 8 16 4 7" xfId="23788"/>
    <cellStyle name="Normal 8 16 4 8" xfId="23789"/>
    <cellStyle name="Normal 8 16 4 9" xfId="23790"/>
    <cellStyle name="Normal 8 16 5" xfId="6728"/>
    <cellStyle name="Normal 8 16 5 10" xfId="23791"/>
    <cellStyle name="Normal 8 16 5 11" xfId="23792"/>
    <cellStyle name="Normal 8 16 5 12" xfId="23793"/>
    <cellStyle name="Normal 8 16 5 13" xfId="23794"/>
    <cellStyle name="Normal 8 16 5 14" xfId="23795"/>
    <cellStyle name="Normal 8 16 5 15" xfId="23796"/>
    <cellStyle name="Normal 8 16 5 16" xfId="23797"/>
    <cellStyle name="Normal 8 16 5 17" xfId="23798"/>
    <cellStyle name="Normal 8 16 5 18" xfId="23799"/>
    <cellStyle name="Normal 8 16 5 19" xfId="23800"/>
    <cellStyle name="Normal 8 16 5 2" xfId="23801"/>
    <cellStyle name="Normal 8 16 5 20" xfId="23802"/>
    <cellStyle name="Normal 8 16 5 21" xfId="23803"/>
    <cellStyle name="Normal 8 16 5 22" xfId="23804"/>
    <cellStyle name="Normal 8 16 5 23" xfId="23805"/>
    <cellStyle name="Normal 8 16 5 3" xfId="23806"/>
    <cellStyle name="Normal 8 16 5 4" xfId="23807"/>
    <cellStyle name="Normal 8 16 5 5" xfId="23808"/>
    <cellStyle name="Normal 8 16 5 6" xfId="23809"/>
    <cellStyle name="Normal 8 16 5 7" xfId="23810"/>
    <cellStyle name="Normal 8 16 5 8" xfId="23811"/>
    <cellStyle name="Normal 8 16 5 9" xfId="23812"/>
    <cellStyle name="Normal 8 16 6" xfId="23813"/>
    <cellStyle name="Normal 8 16 7" xfId="23814"/>
    <cellStyle name="Normal 8 16 8" xfId="23815"/>
    <cellStyle name="Normal 8 16 9" xfId="23816"/>
    <cellStyle name="Normal 8 16_Aceh Tamiang D.1 +, 2003" xfId="6729"/>
    <cellStyle name="Normal 8 17" xfId="6730"/>
    <cellStyle name="Normal 8 17 10" xfId="23817"/>
    <cellStyle name="Normal 8 17 11" xfId="23818"/>
    <cellStyle name="Normal 8 17 12" xfId="23819"/>
    <cellStyle name="Normal 8 17 13" xfId="23820"/>
    <cellStyle name="Normal 8 17 14" xfId="23821"/>
    <cellStyle name="Normal 8 17 15" xfId="23822"/>
    <cellStyle name="Normal 8 17 16" xfId="23823"/>
    <cellStyle name="Normal 8 17 17" xfId="23824"/>
    <cellStyle name="Normal 8 17 18" xfId="23825"/>
    <cellStyle name="Normal 8 17 19" xfId="23826"/>
    <cellStyle name="Normal 8 17 2" xfId="23827"/>
    <cellStyle name="Normal 8 17 20" xfId="23828"/>
    <cellStyle name="Normal 8 17 21" xfId="23829"/>
    <cellStyle name="Normal 8 17 22" xfId="23830"/>
    <cellStyle name="Normal 8 17 23" xfId="23831"/>
    <cellStyle name="Normal 8 17 3" xfId="23832"/>
    <cellStyle name="Normal 8 17 4" xfId="23833"/>
    <cellStyle name="Normal 8 17 5" xfId="23834"/>
    <cellStyle name="Normal 8 17 6" xfId="23835"/>
    <cellStyle name="Normal 8 17 7" xfId="23836"/>
    <cellStyle name="Normal 8 17 8" xfId="23837"/>
    <cellStyle name="Normal 8 17 9" xfId="23838"/>
    <cellStyle name="Normal 8 18" xfId="6731"/>
    <cellStyle name="Normal 8 18 10" xfId="23839"/>
    <cellStyle name="Normal 8 18 11" xfId="23840"/>
    <cellStyle name="Normal 8 18 12" xfId="23841"/>
    <cellStyle name="Normal 8 18 13" xfId="23842"/>
    <cellStyle name="Normal 8 18 14" xfId="23843"/>
    <cellStyle name="Normal 8 18 15" xfId="23844"/>
    <cellStyle name="Normal 8 18 16" xfId="23845"/>
    <cellStyle name="Normal 8 18 17" xfId="23846"/>
    <cellStyle name="Normal 8 18 18" xfId="23847"/>
    <cellStyle name="Normal 8 18 19" xfId="23848"/>
    <cellStyle name="Normal 8 18 2" xfId="23849"/>
    <cellStyle name="Normal 8 18 20" xfId="23850"/>
    <cellStyle name="Normal 8 18 21" xfId="23851"/>
    <cellStyle name="Normal 8 18 22" xfId="23852"/>
    <cellStyle name="Normal 8 18 23" xfId="23853"/>
    <cellStyle name="Normal 8 18 3" xfId="23854"/>
    <cellStyle name="Normal 8 18 4" xfId="23855"/>
    <cellStyle name="Normal 8 18 5" xfId="23856"/>
    <cellStyle name="Normal 8 18 6" xfId="23857"/>
    <cellStyle name="Normal 8 18 7" xfId="23858"/>
    <cellStyle name="Normal 8 18 8" xfId="23859"/>
    <cellStyle name="Normal 8 18 9" xfId="23860"/>
    <cellStyle name="Normal 8 19" xfId="6732"/>
    <cellStyle name="Normal 8 19 10" xfId="23861"/>
    <cellStyle name="Normal 8 19 11" xfId="23862"/>
    <cellStyle name="Normal 8 19 12" xfId="23863"/>
    <cellStyle name="Normal 8 19 13" xfId="23864"/>
    <cellStyle name="Normal 8 19 14" xfId="23865"/>
    <cellStyle name="Normal 8 19 15" xfId="23866"/>
    <cellStyle name="Normal 8 19 16" xfId="23867"/>
    <cellStyle name="Normal 8 19 17" xfId="23868"/>
    <cellStyle name="Normal 8 19 18" xfId="23869"/>
    <cellStyle name="Normal 8 19 19" xfId="23870"/>
    <cellStyle name="Normal 8 19 2" xfId="23871"/>
    <cellStyle name="Normal 8 19 20" xfId="23872"/>
    <cellStyle name="Normal 8 19 21" xfId="23873"/>
    <cellStyle name="Normal 8 19 22" xfId="23874"/>
    <cellStyle name="Normal 8 19 23" xfId="23875"/>
    <cellStyle name="Normal 8 19 3" xfId="23876"/>
    <cellStyle name="Normal 8 19 4" xfId="23877"/>
    <cellStyle name="Normal 8 19 5" xfId="23878"/>
    <cellStyle name="Normal 8 19 6" xfId="23879"/>
    <cellStyle name="Normal 8 19 7" xfId="23880"/>
    <cellStyle name="Normal 8 19 8" xfId="23881"/>
    <cellStyle name="Normal 8 19 9" xfId="23882"/>
    <cellStyle name="Normal 8 2" xfId="6733"/>
    <cellStyle name="Normal 8 2 10" xfId="6734"/>
    <cellStyle name="Normal 8 2 10 2" xfId="23883"/>
    <cellStyle name="Normal 8 2 10 3" xfId="23884"/>
    <cellStyle name="Normal 8 2 10 4" xfId="23885"/>
    <cellStyle name="Normal 8 2 11" xfId="6735"/>
    <cellStyle name="Normal 8 2 11 2" xfId="23886"/>
    <cellStyle name="Normal 8 2 11 3" xfId="23887"/>
    <cellStyle name="Normal 8 2 11 4" xfId="23888"/>
    <cellStyle name="Normal 8 2 12" xfId="6736"/>
    <cellStyle name="Normal 8 2 12 2" xfId="23889"/>
    <cellStyle name="Normal 8 2 12 3" xfId="23890"/>
    <cellStyle name="Normal 8 2 12 4" xfId="23891"/>
    <cellStyle name="Normal 8 2 13" xfId="23892"/>
    <cellStyle name="Normal 8 2 14" xfId="23893"/>
    <cellStyle name="Normal 8 2 15" xfId="23894"/>
    <cellStyle name="Normal 8 2 16" xfId="23895"/>
    <cellStyle name="Normal 8 2 17" xfId="23896"/>
    <cellStyle name="Normal 8 2 18" xfId="23897"/>
    <cellStyle name="Normal 8 2 19" xfId="23898"/>
    <cellStyle name="Normal 8 2 2" xfId="6737"/>
    <cellStyle name="Normal 8 2 2 10" xfId="23899"/>
    <cellStyle name="Normal 8 2 2 11" xfId="23900"/>
    <cellStyle name="Normal 8 2 2 12" xfId="23901"/>
    <cellStyle name="Normal 8 2 2 13" xfId="23902"/>
    <cellStyle name="Normal 8 2 2 14" xfId="23903"/>
    <cellStyle name="Normal 8 2 2 15" xfId="23904"/>
    <cellStyle name="Normal 8 2 2 16" xfId="23905"/>
    <cellStyle name="Normal 8 2 2 17" xfId="23906"/>
    <cellStyle name="Normal 8 2 2 18" xfId="23907"/>
    <cellStyle name="Normal 8 2 2 19" xfId="23908"/>
    <cellStyle name="Normal 8 2 2 2" xfId="6738"/>
    <cellStyle name="Normal 8 2 2 2 10" xfId="23909"/>
    <cellStyle name="Normal 8 2 2 2 11" xfId="23910"/>
    <cellStyle name="Normal 8 2 2 2 12" xfId="23911"/>
    <cellStyle name="Normal 8 2 2 2 13" xfId="23912"/>
    <cellStyle name="Normal 8 2 2 2 14" xfId="23913"/>
    <cellStyle name="Normal 8 2 2 2 15" xfId="23914"/>
    <cellStyle name="Normal 8 2 2 2 16" xfId="23915"/>
    <cellStyle name="Normal 8 2 2 2 17" xfId="23916"/>
    <cellStyle name="Normal 8 2 2 2 18" xfId="23917"/>
    <cellStyle name="Normal 8 2 2 2 19" xfId="23918"/>
    <cellStyle name="Normal 8 2 2 2 2" xfId="6739"/>
    <cellStyle name="Normal 8 2 2 2 2 10" xfId="23919"/>
    <cellStyle name="Normal 8 2 2 2 2 11" xfId="23920"/>
    <cellStyle name="Normal 8 2 2 2 2 12" xfId="23921"/>
    <cellStyle name="Normal 8 2 2 2 2 13" xfId="23922"/>
    <cellStyle name="Normal 8 2 2 2 2 14" xfId="23923"/>
    <cellStyle name="Normal 8 2 2 2 2 15" xfId="23924"/>
    <cellStyle name="Normal 8 2 2 2 2 16" xfId="23925"/>
    <cellStyle name="Normal 8 2 2 2 2 17" xfId="23926"/>
    <cellStyle name="Normal 8 2 2 2 2 18" xfId="23927"/>
    <cellStyle name="Normal 8 2 2 2 2 19" xfId="23928"/>
    <cellStyle name="Normal 8 2 2 2 2 2" xfId="23929"/>
    <cellStyle name="Normal 8 2 2 2 2 20" xfId="23930"/>
    <cellStyle name="Normal 8 2 2 2 2 21" xfId="23931"/>
    <cellStyle name="Normal 8 2 2 2 2 22" xfId="23932"/>
    <cellStyle name="Normal 8 2 2 2 2 23" xfId="23933"/>
    <cellStyle name="Normal 8 2 2 2 2 3" xfId="23934"/>
    <cellStyle name="Normal 8 2 2 2 2 4" xfId="23935"/>
    <cellStyle name="Normal 8 2 2 2 2 5" xfId="23936"/>
    <cellStyle name="Normal 8 2 2 2 2 6" xfId="23937"/>
    <cellStyle name="Normal 8 2 2 2 2 7" xfId="23938"/>
    <cellStyle name="Normal 8 2 2 2 2 8" xfId="23939"/>
    <cellStyle name="Normal 8 2 2 2 2 9" xfId="23940"/>
    <cellStyle name="Normal 8 2 2 2 20" xfId="23941"/>
    <cellStyle name="Normal 8 2 2 2 21" xfId="23942"/>
    <cellStyle name="Normal 8 2 2 2 22" xfId="23943"/>
    <cellStyle name="Normal 8 2 2 2 23" xfId="23944"/>
    <cellStyle name="Normal 8 2 2 2 24" xfId="23945"/>
    <cellStyle name="Normal 8 2 2 2 3" xfId="23946"/>
    <cellStyle name="Normal 8 2 2 2 4" xfId="23947"/>
    <cellStyle name="Normal 8 2 2 2 5" xfId="23948"/>
    <cellStyle name="Normal 8 2 2 2 6" xfId="23949"/>
    <cellStyle name="Normal 8 2 2 2 7" xfId="23950"/>
    <cellStyle name="Normal 8 2 2 2 8" xfId="23951"/>
    <cellStyle name="Normal 8 2 2 2 9" xfId="23952"/>
    <cellStyle name="Normal 8 2 2 2_Aceh Tamiang D.1 +, 2003" xfId="6740"/>
    <cellStyle name="Normal 8 2 2 20" xfId="23953"/>
    <cellStyle name="Normal 8 2 2 21" xfId="23954"/>
    <cellStyle name="Normal 8 2 2 22" xfId="23955"/>
    <cellStyle name="Normal 8 2 2 23" xfId="23956"/>
    <cellStyle name="Normal 8 2 2 24" xfId="23957"/>
    <cellStyle name="Normal 8 2 2 25" xfId="23958"/>
    <cellStyle name="Normal 8 2 2 26" xfId="23959"/>
    <cellStyle name="Normal 8 2 2 27" xfId="23960"/>
    <cellStyle name="Normal 8 2 2 28" xfId="23961"/>
    <cellStyle name="Normal 8 2 2 3" xfId="6741"/>
    <cellStyle name="Normal 8 2 2 3 10" xfId="23962"/>
    <cellStyle name="Normal 8 2 2 3 11" xfId="23963"/>
    <cellStyle name="Normal 8 2 2 3 12" xfId="23964"/>
    <cellStyle name="Normal 8 2 2 3 13" xfId="23965"/>
    <cellStyle name="Normal 8 2 2 3 14" xfId="23966"/>
    <cellStyle name="Normal 8 2 2 3 15" xfId="23967"/>
    <cellStyle name="Normal 8 2 2 3 16" xfId="23968"/>
    <cellStyle name="Normal 8 2 2 3 17" xfId="23969"/>
    <cellStyle name="Normal 8 2 2 3 18" xfId="23970"/>
    <cellStyle name="Normal 8 2 2 3 19" xfId="23971"/>
    <cellStyle name="Normal 8 2 2 3 2" xfId="23972"/>
    <cellStyle name="Normal 8 2 2 3 20" xfId="23973"/>
    <cellStyle name="Normal 8 2 2 3 21" xfId="23974"/>
    <cellStyle name="Normal 8 2 2 3 22" xfId="23975"/>
    <cellStyle name="Normal 8 2 2 3 23" xfId="23976"/>
    <cellStyle name="Normal 8 2 2 3 3" xfId="23977"/>
    <cellStyle name="Normal 8 2 2 3 4" xfId="23978"/>
    <cellStyle name="Normal 8 2 2 3 5" xfId="23979"/>
    <cellStyle name="Normal 8 2 2 3 6" xfId="23980"/>
    <cellStyle name="Normal 8 2 2 3 7" xfId="23981"/>
    <cellStyle name="Normal 8 2 2 3 8" xfId="23982"/>
    <cellStyle name="Normal 8 2 2 3 9" xfId="23983"/>
    <cellStyle name="Normal 8 2 2 4" xfId="6742"/>
    <cellStyle name="Normal 8 2 2 4 10" xfId="23984"/>
    <cellStyle name="Normal 8 2 2 4 11" xfId="23985"/>
    <cellStyle name="Normal 8 2 2 4 12" xfId="23986"/>
    <cellStyle name="Normal 8 2 2 4 13" xfId="23987"/>
    <cellStyle name="Normal 8 2 2 4 14" xfId="23988"/>
    <cellStyle name="Normal 8 2 2 4 15" xfId="23989"/>
    <cellStyle name="Normal 8 2 2 4 16" xfId="23990"/>
    <cellStyle name="Normal 8 2 2 4 17" xfId="23991"/>
    <cellStyle name="Normal 8 2 2 4 18" xfId="23992"/>
    <cellStyle name="Normal 8 2 2 4 19" xfId="23993"/>
    <cellStyle name="Normal 8 2 2 4 2" xfId="23994"/>
    <cellStyle name="Normal 8 2 2 4 20" xfId="23995"/>
    <cellStyle name="Normal 8 2 2 4 21" xfId="23996"/>
    <cellStyle name="Normal 8 2 2 4 22" xfId="23997"/>
    <cellStyle name="Normal 8 2 2 4 23" xfId="23998"/>
    <cellStyle name="Normal 8 2 2 4 3" xfId="23999"/>
    <cellStyle name="Normal 8 2 2 4 4" xfId="24000"/>
    <cellStyle name="Normal 8 2 2 4 5" xfId="24001"/>
    <cellStyle name="Normal 8 2 2 4 6" xfId="24002"/>
    <cellStyle name="Normal 8 2 2 4 7" xfId="24003"/>
    <cellStyle name="Normal 8 2 2 4 8" xfId="24004"/>
    <cellStyle name="Normal 8 2 2 4 9" xfId="24005"/>
    <cellStyle name="Normal 8 2 2 5" xfId="6743"/>
    <cellStyle name="Normal 8 2 2 5 10" xfId="24006"/>
    <cellStyle name="Normal 8 2 2 5 11" xfId="24007"/>
    <cellStyle name="Normal 8 2 2 5 12" xfId="24008"/>
    <cellStyle name="Normal 8 2 2 5 13" xfId="24009"/>
    <cellStyle name="Normal 8 2 2 5 14" xfId="24010"/>
    <cellStyle name="Normal 8 2 2 5 15" xfId="24011"/>
    <cellStyle name="Normal 8 2 2 5 16" xfId="24012"/>
    <cellStyle name="Normal 8 2 2 5 17" xfId="24013"/>
    <cellStyle name="Normal 8 2 2 5 18" xfId="24014"/>
    <cellStyle name="Normal 8 2 2 5 19" xfId="24015"/>
    <cellStyle name="Normal 8 2 2 5 2" xfId="24016"/>
    <cellStyle name="Normal 8 2 2 5 20" xfId="24017"/>
    <cellStyle name="Normal 8 2 2 5 21" xfId="24018"/>
    <cellStyle name="Normal 8 2 2 5 22" xfId="24019"/>
    <cellStyle name="Normal 8 2 2 5 23" xfId="24020"/>
    <cellStyle name="Normal 8 2 2 5 3" xfId="24021"/>
    <cellStyle name="Normal 8 2 2 5 4" xfId="24022"/>
    <cellStyle name="Normal 8 2 2 5 5" xfId="24023"/>
    <cellStyle name="Normal 8 2 2 5 6" xfId="24024"/>
    <cellStyle name="Normal 8 2 2 5 7" xfId="24025"/>
    <cellStyle name="Normal 8 2 2 5 8" xfId="24026"/>
    <cellStyle name="Normal 8 2 2 5 9" xfId="24027"/>
    <cellStyle name="Normal 8 2 2 6" xfId="6744"/>
    <cellStyle name="Normal 8 2 2 6 10" xfId="24028"/>
    <cellStyle name="Normal 8 2 2 6 11" xfId="24029"/>
    <cellStyle name="Normal 8 2 2 6 12" xfId="24030"/>
    <cellStyle name="Normal 8 2 2 6 13" xfId="24031"/>
    <cellStyle name="Normal 8 2 2 6 14" xfId="24032"/>
    <cellStyle name="Normal 8 2 2 6 15" xfId="24033"/>
    <cellStyle name="Normal 8 2 2 6 16" xfId="24034"/>
    <cellStyle name="Normal 8 2 2 6 17" xfId="24035"/>
    <cellStyle name="Normal 8 2 2 6 18" xfId="24036"/>
    <cellStyle name="Normal 8 2 2 6 19" xfId="24037"/>
    <cellStyle name="Normal 8 2 2 6 2" xfId="24038"/>
    <cellStyle name="Normal 8 2 2 6 20" xfId="24039"/>
    <cellStyle name="Normal 8 2 2 6 21" xfId="24040"/>
    <cellStyle name="Normal 8 2 2 6 22" xfId="24041"/>
    <cellStyle name="Normal 8 2 2 6 23" xfId="24042"/>
    <cellStyle name="Normal 8 2 2 6 3" xfId="24043"/>
    <cellStyle name="Normal 8 2 2 6 4" xfId="24044"/>
    <cellStyle name="Normal 8 2 2 6 5" xfId="24045"/>
    <cellStyle name="Normal 8 2 2 6 6" xfId="24046"/>
    <cellStyle name="Normal 8 2 2 6 7" xfId="24047"/>
    <cellStyle name="Normal 8 2 2 6 8" xfId="24048"/>
    <cellStyle name="Normal 8 2 2 6 9" xfId="24049"/>
    <cellStyle name="Normal 8 2 2 7" xfId="24050"/>
    <cellStyle name="Normal 8 2 2 8" xfId="24051"/>
    <cellStyle name="Normal 8 2 2 9" xfId="24052"/>
    <cellStyle name="Normal 8 2 2_Aceh Tamiang D.1 +, 2003" xfId="6745"/>
    <cellStyle name="Normal 8 2 20" xfId="24053"/>
    <cellStyle name="Normal 8 2 21" xfId="24054"/>
    <cellStyle name="Normal 8 2 22" xfId="24055"/>
    <cellStyle name="Normal 8 2 23" xfId="24056"/>
    <cellStyle name="Normal 8 2 24" xfId="24057"/>
    <cellStyle name="Normal 8 2 25" xfId="24058"/>
    <cellStyle name="Normal 8 2 26" xfId="24059"/>
    <cellStyle name="Normal 8 2 27" xfId="24060"/>
    <cellStyle name="Normal 8 2 28" xfId="24061"/>
    <cellStyle name="Normal 8 2 29" xfId="24062"/>
    <cellStyle name="Normal 8 2 3" xfId="6746"/>
    <cellStyle name="Normal 8 2 30" xfId="24063"/>
    <cellStyle name="Normal 8 2 31" xfId="24064"/>
    <cellStyle name="Normal 8 2 32" xfId="24065"/>
    <cellStyle name="Normal 8 2 33" xfId="24066"/>
    <cellStyle name="Normal 8 2 4" xfId="6747"/>
    <cellStyle name="Normal 8 2 5" xfId="6748"/>
    <cellStyle name="Normal 8 2 6" xfId="6749"/>
    <cellStyle name="Normal 8 2 6 10" xfId="24067"/>
    <cellStyle name="Normal 8 2 6 11" xfId="24068"/>
    <cellStyle name="Normal 8 2 6 12" xfId="24069"/>
    <cellStyle name="Normal 8 2 6 13" xfId="24070"/>
    <cellStyle name="Normal 8 2 6 14" xfId="24071"/>
    <cellStyle name="Normal 8 2 6 15" xfId="24072"/>
    <cellStyle name="Normal 8 2 6 16" xfId="24073"/>
    <cellStyle name="Normal 8 2 6 17" xfId="24074"/>
    <cellStyle name="Normal 8 2 6 18" xfId="24075"/>
    <cellStyle name="Normal 8 2 6 19" xfId="24076"/>
    <cellStyle name="Normal 8 2 6 2" xfId="6750"/>
    <cellStyle name="Normal 8 2 6 2 10" xfId="24077"/>
    <cellStyle name="Normal 8 2 6 2 11" xfId="24078"/>
    <cellStyle name="Normal 8 2 6 2 12" xfId="24079"/>
    <cellStyle name="Normal 8 2 6 2 13" xfId="24080"/>
    <cellStyle name="Normal 8 2 6 2 14" xfId="24081"/>
    <cellStyle name="Normal 8 2 6 2 15" xfId="24082"/>
    <cellStyle name="Normal 8 2 6 2 16" xfId="24083"/>
    <cellStyle name="Normal 8 2 6 2 17" xfId="24084"/>
    <cellStyle name="Normal 8 2 6 2 18" xfId="24085"/>
    <cellStyle name="Normal 8 2 6 2 19" xfId="24086"/>
    <cellStyle name="Normal 8 2 6 2 2" xfId="24087"/>
    <cellStyle name="Normal 8 2 6 2 20" xfId="24088"/>
    <cellStyle name="Normal 8 2 6 2 21" xfId="24089"/>
    <cellStyle name="Normal 8 2 6 2 22" xfId="24090"/>
    <cellStyle name="Normal 8 2 6 2 23" xfId="24091"/>
    <cellStyle name="Normal 8 2 6 2 3" xfId="24092"/>
    <cellStyle name="Normal 8 2 6 2 4" xfId="24093"/>
    <cellStyle name="Normal 8 2 6 2 5" xfId="24094"/>
    <cellStyle name="Normal 8 2 6 2 6" xfId="24095"/>
    <cellStyle name="Normal 8 2 6 2 7" xfId="24096"/>
    <cellStyle name="Normal 8 2 6 2 8" xfId="24097"/>
    <cellStyle name="Normal 8 2 6 2 9" xfId="24098"/>
    <cellStyle name="Normal 8 2 6 20" xfId="24099"/>
    <cellStyle name="Normal 8 2 6 21" xfId="24100"/>
    <cellStyle name="Normal 8 2 6 22" xfId="24101"/>
    <cellStyle name="Normal 8 2 6 23" xfId="24102"/>
    <cellStyle name="Normal 8 2 6 24" xfId="24103"/>
    <cellStyle name="Normal 8 2 6 3" xfId="24104"/>
    <cellStyle name="Normal 8 2 6 4" xfId="24105"/>
    <cellStyle name="Normal 8 2 6 5" xfId="24106"/>
    <cellStyle name="Normal 8 2 6 6" xfId="24107"/>
    <cellStyle name="Normal 8 2 6 7" xfId="24108"/>
    <cellStyle name="Normal 8 2 6 8" xfId="24109"/>
    <cellStyle name="Normal 8 2 6 9" xfId="24110"/>
    <cellStyle name="Normal 8 2 7" xfId="6751"/>
    <cellStyle name="Normal 8 2 7 10" xfId="24111"/>
    <cellStyle name="Normal 8 2 7 11" xfId="24112"/>
    <cellStyle name="Normal 8 2 7 12" xfId="24113"/>
    <cellStyle name="Normal 8 2 7 13" xfId="24114"/>
    <cellStyle name="Normal 8 2 7 14" xfId="24115"/>
    <cellStyle name="Normal 8 2 7 15" xfId="24116"/>
    <cellStyle name="Normal 8 2 7 16" xfId="24117"/>
    <cellStyle name="Normal 8 2 7 17" xfId="24118"/>
    <cellStyle name="Normal 8 2 7 18" xfId="24119"/>
    <cellStyle name="Normal 8 2 7 19" xfId="24120"/>
    <cellStyle name="Normal 8 2 7 2" xfId="24121"/>
    <cellStyle name="Normal 8 2 7 20" xfId="24122"/>
    <cellStyle name="Normal 8 2 7 21" xfId="24123"/>
    <cellStyle name="Normal 8 2 7 22" xfId="24124"/>
    <cellStyle name="Normal 8 2 7 23" xfId="24125"/>
    <cellStyle name="Normal 8 2 7 3" xfId="24126"/>
    <cellStyle name="Normal 8 2 7 4" xfId="24127"/>
    <cellStyle name="Normal 8 2 7 5" xfId="24128"/>
    <cellStyle name="Normal 8 2 7 6" xfId="24129"/>
    <cellStyle name="Normal 8 2 7 7" xfId="24130"/>
    <cellStyle name="Normal 8 2 7 8" xfId="24131"/>
    <cellStyle name="Normal 8 2 7 9" xfId="24132"/>
    <cellStyle name="Normal 8 2 8" xfId="6752"/>
    <cellStyle name="Normal 8 2 8 2" xfId="24133"/>
    <cellStyle name="Normal 8 2 8 3" xfId="24134"/>
    <cellStyle name="Normal 8 2 8 4" xfId="24135"/>
    <cellStyle name="Normal 8 2 9" xfId="6753"/>
    <cellStyle name="Normal 8 2 9 2" xfId="24136"/>
    <cellStyle name="Normal 8 2 9 3" xfId="24137"/>
    <cellStyle name="Normal 8 2 9 4" xfId="24138"/>
    <cellStyle name="Normal 8 20" xfId="6754"/>
    <cellStyle name="Normal 8 20 10" xfId="24139"/>
    <cellStyle name="Normal 8 20 11" xfId="24140"/>
    <cellStyle name="Normal 8 20 12" xfId="24141"/>
    <cellStyle name="Normal 8 20 13" xfId="24142"/>
    <cellStyle name="Normal 8 20 14" xfId="24143"/>
    <cellStyle name="Normal 8 20 15" xfId="24144"/>
    <cellStyle name="Normal 8 20 16" xfId="24145"/>
    <cellStyle name="Normal 8 20 17" xfId="24146"/>
    <cellStyle name="Normal 8 20 18" xfId="24147"/>
    <cellStyle name="Normal 8 20 19" xfId="24148"/>
    <cellStyle name="Normal 8 20 2" xfId="24149"/>
    <cellStyle name="Normal 8 20 20" xfId="24150"/>
    <cellStyle name="Normal 8 20 21" xfId="24151"/>
    <cellStyle name="Normal 8 20 22" xfId="24152"/>
    <cellStyle name="Normal 8 20 23" xfId="24153"/>
    <cellStyle name="Normal 8 20 3" xfId="24154"/>
    <cellStyle name="Normal 8 20 4" xfId="24155"/>
    <cellStyle name="Normal 8 20 5" xfId="24156"/>
    <cellStyle name="Normal 8 20 6" xfId="24157"/>
    <cellStyle name="Normal 8 20 7" xfId="24158"/>
    <cellStyle name="Normal 8 20 8" xfId="24159"/>
    <cellStyle name="Normal 8 20 9" xfId="24160"/>
    <cellStyle name="Normal 8 21" xfId="6755"/>
    <cellStyle name="Normal 8 21 10" xfId="24161"/>
    <cellStyle name="Normal 8 21 11" xfId="24162"/>
    <cellStyle name="Normal 8 21 12" xfId="24163"/>
    <cellStyle name="Normal 8 21 13" xfId="24164"/>
    <cellStyle name="Normal 8 21 14" xfId="24165"/>
    <cellStyle name="Normal 8 21 15" xfId="24166"/>
    <cellStyle name="Normal 8 21 16" xfId="24167"/>
    <cellStyle name="Normal 8 21 17" xfId="24168"/>
    <cellStyle name="Normal 8 21 18" xfId="24169"/>
    <cellStyle name="Normal 8 21 19" xfId="24170"/>
    <cellStyle name="Normal 8 21 2" xfId="24171"/>
    <cellStyle name="Normal 8 21 20" xfId="24172"/>
    <cellStyle name="Normal 8 21 21" xfId="24173"/>
    <cellStyle name="Normal 8 21 22" xfId="24174"/>
    <cellStyle name="Normal 8 21 23" xfId="24175"/>
    <cellStyle name="Normal 8 21 3" xfId="24176"/>
    <cellStyle name="Normal 8 21 4" xfId="24177"/>
    <cellStyle name="Normal 8 21 5" xfId="24178"/>
    <cellStyle name="Normal 8 21 6" xfId="24179"/>
    <cellStyle name="Normal 8 21 7" xfId="24180"/>
    <cellStyle name="Normal 8 21 8" xfId="24181"/>
    <cellStyle name="Normal 8 21 9" xfId="24182"/>
    <cellStyle name="Normal 8 22" xfId="6756"/>
    <cellStyle name="Normal 8 22 10" xfId="24183"/>
    <cellStyle name="Normal 8 22 11" xfId="24184"/>
    <cellStyle name="Normal 8 22 12" xfId="24185"/>
    <cellStyle name="Normal 8 22 13" xfId="24186"/>
    <cellStyle name="Normal 8 22 14" xfId="24187"/>
    <cellStyle name="Normal 8 22 15" xfId="24188"/>
    <cellStyle name="Normal 8 22 16" xfId="24189"/>
    <cellStyle name="Normal 8 22 17" xfId="24190"/>
    <cellStyle name="Normal 8 22 18" xfId="24191"/>
    <cellStyle name="Normal 8 22 19" xfId="24192"/>
    <cellStyle name="Normal 8 22 2" xfId="24193"/>
    <cellStyle name="Normal 8 22 20" xfId="24194"/>
    <cellStyle name="Normal 8 22 21" xfId="24195"/>
    <cellStyle name="Normal 8 22 22" xfId="24196"/>
    <cellStyle name="Normal 8 22 23" xfId="24197"/>
    <cellStyle name="Normal 8 22 3" xfId="24198"/>
    <cellStyle name="Normal 8 22 4" xfId="24199"/>
    <cellStyle name="Normal 8 22 5" xfId="24200"/>
    <cellStyle name="Normal 8 22 6" xfId="24201"/>
    <cellStyle name="Normal 8 22 7" xfId="24202"/>
    <cellStyle name="Normal 8 22 8" xfId="24203"/>
    <cellStyle name="Normal 8 22 9" xfId="24204"/>
    <cellStyle name="Normal 8 23" xfId="6757"/>
    <cellStyle name="Normal 8 23 10" xfId="24205"/>
    <cellStyle name="Normal 8 23 11" xfId="24206"/>
    <cellStyle name="Normal 8 23 12" xfId="24207"/>
    <cellStyle name="Normal 8 23 13" xfId="24208"/>
    <cellStyle name="Normal 8 23 14" xfId="24209"/>
    <cellStyle name="Normal 8 23 15" xfId="24210"/>
    <cellStyle name="Normal 8 23 16" xfId="24211"/>
    <cellStyle name="Normal 8 23 17" xfId="24212"/>
    <cellStyle name="Normal 8 23 18" xfId="24213"/>
    <cellStyle name="Normal 8 23 19" xfId="24214"/>
    <cellStyle name="Normal 8 23 2" xfId="24215"/>
    <cellStyle name="Normal 8 23 20" xfId="24216"/>
    <cellStyle name="Normal 8 23 21" xfId="24217"/>
    <cellStyle name="Normal 8 23 22" xfId="24218"/>
    <cellStyle name="Normal 8 23 23" xfId="24219"/>
    <cellStyle name="Normal 8 23 3" xfId="24220"/>
    <cellStyle name="Normal 8 23 4" xfId="24221"/>
    <cellStyle name="Normal 8 23 5" xfId="24222"/>
    <cellStyle name="Normal 8 23 6" xfId="24223"/>
    <cellStyle name="Normal 8 23 7" xfId="24224"/>
    <cellStyle name="Normal 8 23 8" xfId="24225"/>
    <cellStyle name="Normal 8 23 9" xfId="24226"/>
    <cellStyle name="Normal 8 24" xfId="6758"/>
    <cellStyle name="Normal 8 24 10" xfId="24227"/>
    <cellStyle name="Normal 8 24 11" xfId="24228"/>
    <cellStyle name="Normal 8 24 12" xfId="24229"/>
    <cellStyle name="Normal 8 24 13" xfId="24230"/>
    <cellStyle name="Normal 8 24 14" xfId="24231"/>
    <cellStyle name="Normal 8 24 15" xfId="24232"/>
    <cellStyle name="Normal 8 24 16" xfId="24233"/>
    <cellStyle name="Normal 8 24 17" xfId="24234"/>
    <cellStyle name="Normal 8 24 18" xfId="24235"/>
    <cellStyle name="Normal 8 24 19" xfId="24236"/>
    <cellStyle name="Normal 8 24 2" xfId="24237"/>
    <cellStyle name="Normal 8 24 20" xfId="24238"/>
    <cellStyle name="Normal 8 24 21" xfId="24239"/>
    <cellStyle name="Normal 8 24 22" xfId="24240"/>
    <cellStyle name="Normal 8 24 23" xfId="24241"/>
    <cellStyle name="Normal 8 24 3" xfId="24242"/>
    <cellStyle name="Normal 8 24 4" xfId="24243"/>
    <cellStyle name="Normal 8 24 5" xfId="24244"/>
    <cellStyle name="Normal 8 24 6" xfId="24245"/>
    <cellStyle name="Normal 8 24 7" xfId="24246"/>
    <cellStyle name="Normal 8 24 8" xfId="24247"/>
    <cellStyle name="Normal 8 24 9" xfId="24248"/>
    <cellStyle name="Normal 8 25" xfId="6759"/>
    <cellStyle name="Normal 8 25 10" xfId="24249"/>
    <cellStyle name="Normal 8 25 11" xfId="24250"/>
    <cellStyle name="Normal 8 25 12" xfId="24251"/>
    <cellStyle name="Normal 8 25 13" xfId="24252"/>
    <cellStyle name="Normal 8 25 14" xfId="24253"/>
    <cellStyle name="Normal 8 25 15" xfId="24254"/>
    <cellStyle name="Normal 8 25 16" xfId="24255"/>
    <cellStyle name="Normal 8 25 17" xfId="24256"/>
    <cellStyle name="Normal 8 25 18" xfId="24257"/>
    <cellStyle name="Normal 8 25 19" xfId="24258"/>
    <cellStyle name="Normal 8 25 2" xfId="24259"/>
    <cellStyle name="Normal 8 25 20" xfId="24260"/>
    <cellStyle name="Normal 8 25 21" xfId="24261"/>
    <cellStyle name="Normal 8 25 22" xfId="24262"/>
    <cellStyle name="Normal 8 25 23" xfId="24263"/>
    <cellStyle name="Normal 8 25 3" xfId="24264"/>
    <cellStyle name="Normal 8 25 4" xfId="24265"/>
    <cellStyle name="Normal 8 25 5" xfId="24266"/>
    <cellStyle name="Normal 8 25 6" xfId="24267"/>
    <cellStyle name="Normal 8 25 7" xfId="24268"/>
    <cellStyle name="Normal 8 25 8" xfId="24269"/>
    <cellStyle name="Normal 8 25 9" xfId="24270"/>
    <cellStyle name="Normal 8 26" xfId="6760"/>
    <cellStyle name="Normal 8 26 10" xfId="24271"/>
    <cellStyle name="Normal 8 26 11" xfId="24272"/>
    <cellStyle name="Normal 8 26 12" xfId="24273"/>
    <cellStyle name="Normal 8 26 13" xfId="24274"/>
    <cellStyle name="Normal 8 26 14" xfId="24275"/>
    <cellStyle name="Normal 8 26 15" xfId="24276"/>
    <cellStyle name="Normal 8 26 16" xfId="24277"/>
    <cellStyle name="Normal 8 26 17" xfId="24278"/>
    <cellStyle name="Normal 8 26 18" xfId="24279"/>
    <cellStyle name="Normal 8 26 19" xfId="24280"/>
    <cellStyle name="Normal 8 26 2" xfId="24281"/>
    <cellStyle name="Normal 8 26 20" xfId="24282"/>
    <cellStyle name="Normal 8 26 21" xfId="24283"/>
    <cellStyle name="Normal 8 26 22" xfId="24284"/>
    <cellStyle name="Normal 8 26 23" xfId="24285"/>
    <cellStyle name="Normal 8 26 3" xfId="24286"/>
    <cellStyle name="Normal 8 26 4" xfId="24287"/>
    <cellStyle name="Normal 8 26 5" xfId="24288"/>
    <cellStyle name="Normal 8 26 6" xfId="24289"/>
    <cellStyle name="Normal 8 26 7" xfId="24290"/>
    <cellStyle name="Normal 8 26 8" xfId="24291"/>
    <cellStyle name="Normal 8 26 9" xfId="24292"/>
    <cellStyle name="Normal 8 27" xfId="6761"/>
    <cellStyle name="Normal 8 27 10" xfId="24293"/>
    <cellStyle name="Normal 8 27 11" xfId="24294"/>
    <cellStyle name="Normal 8 27 12" xfId="24295"/>
    <cellStyle name="Normal 8 27 13" xfId="24296"/>
    <cellStyle name="Normal 8 27 14" xfId="24297"/>
    <cellStyle name="Normal 8 27 15" xfId="24298"/>
    <cellStyle name="Normal 8 27 16" xfId="24299"/>
    <cellStyle name="Normal 8 27 17" xfId="24300"/>
    <cellStyle name="Normal 8 27 18" xfId="24301"/>
    <cellStyle name="Normal 8 27 19" xfId="24302"/>
    <cellStyle name="Normal 8 27 2" xfId="24303"/>
    <cellStyle name="Normal 8 27 20" xfId="24304"/>
    <cellStyle name="Normal 8 27 21" xfId="24305"/>
    <cellStyle name="Normal 8 27 22" xfId="24306"/>
    <cellStyle name="Normal 8 27 23" xfId="24307"/>
    <cellStyle name="Normal 8 27 3" xfId="24308"/>
    <cellStyle name="Normal 8 27 4" xfId="24309"/>
    <cellStyle name="Normal 8 27 5" xfId="24310"/>
    <cellStyle name="Normal 8 27 6" xfId="24311"/>
    <cellStyle name="Normal 8 27 7" xfId="24312"/>
    <cellStyle name="Normal 8 27 8" xfId="24313"/>
    <cellStyle name="Normal 8 27 9" xfId="24314"/>
    <cellStyle name="Normal 8 28" xfId="24315"/>
    <cellStyle name="Normal 8 29" xfId="24316"/>
    <cellStyle name="Normal 8 3" xfId="6762"/>
    <cellStyle name="Normal 8 3 10" xfId="6763"/>
    <cellStyle name="Normal 8 3 10 2" xfId="24317"/>
    <cellStyle name="Normal 8 3 10 3" xfId="24318"/>
    <cellStyle name="Normal 8 3 10 4" xfId="24319"/>
    <cellStyle name="Normal 8 3 11" xfId="6764"/>
    <cellStyle name="Normal 8 3 11 2" xfId="24320"/>
    <cellStyle name="Normal 8 3 11 3" xfId="24321"/>
    <cellStyle name="Normal 8 3 11 4" xfId="24322"/>
    <cellStyle name="Normal 8 3 12" xfId="6765"/>
    <cellStyle name="Normal 8 3 12 2" xfId="24323"/>
    <cellStyle name="Normal 8 3 12 3" xfId="24324"/>
    <cellStyle name="Normal 8 3 12 4" xfId="24325"/>
    <cellStyle name="Normal 8 3 13" xfId="24326"/>
    <cellStyle name="Normal 8 3 14" xfId="24327"/>
    <cellStyle name="Normal 8 3 15" xfId="24328"/>
    <cellStyle name="Normal 8 3 16" xfId="24329"/>
    <cellStyle name="Normal 8 3 17" xfId="24330"/>
    <cellStyle name="Normal 8 3 18" xfId="24331"/>
    <cellStyle name="Normal 8 3 19" xfId="24332"/>
    <cellStyle name="Normal 8 3 2" xfId="6766"/>
    <cellStyle name="Normal 8 3 2 10" xfId="24333"/>
    <cellStyle name="Normal 8 3 2 11" xfId="24334"/>
    <cellStyle name="Normal 8 3 2 12" xfId="24335"/>
    <cellStyle name="Normal 8 3 2 13" xfId="24336"/>
    <cellStyle name="Normal 8 3 2 14" xfId="24337"/>
    <cellStyle name="Normal 8 3 2 15" xfId="24338"/>
    <cellStyle name="Normal 8 3 2 16" xfId="24339"/>
    <cellStyle name="Normal 8 3 2 17" xfId="24340"/>
    <cellStyle name="Normal 8 3 2 18" xfId="24341"/>
    <cellStyle name="Normal 8 3 2 19" xfId="24342"/>
    <cellStyle name="Normal 8 3 2 2" xfId="6767"/>
    <cellStyle name="Normal 8 3 2 2 10" xfId="24343"/>
    <cellStyle name="Normal 8 3 2 2 11" xfId="24344"/>
    <cellStyle name="Normal 8 3 2 2 12" xfId="24345"/>
    <cellStyle name="Normal 8 3 2 2 13" xfId="24346"/>
    <cellStyle name="Normal 8 3 2 2 14" xfId="24347"/>
    <cellStyle name="Normal 8 3 2 2 15" xfId="24348"/>
    <cellStyle name="Normal 8 3 2 2 16" xfId="24349"/>
    <cellStyle name="Normal 8 3 2 2 17" xfId="24350"/>
    <cellStyle name="Normal 8 3 2 2 18" xfId="24351"/>
    <cellStyle name="Normal 8 3 2 2 19" xfId="24352"/>
    <cellStyle name="Normal 8 3 2 2 2" xfId="24353"/>
    <cellStyle name="Normal 8 3 2 2 20" xfId="24354"/>
    <cellStyle name="Normal 8 3 2 2 21" xfId="24355"/>
    <cellStyle name="Normal 8 3 2 2 22" xfId="24356"/>
    <cellStyle name="Normal 8 3 2 2 23" xfId="24357"/>
    <cellStyle name="Normal 8 3 2 2 3" xfId="24358"/>
    <cellStyle name="Normal 8 3 2 2 4" xfId="24359"/>
    <cellStyle name="Normal 8 3 2 2 5" xfId="24360"/>
    <cellStyle name="Normal 8 3 2 2 6" xfId="24361"/>
    <cellStyle name="Normal 8 3 2 2 7" xfId="24362"/>
    <cellStyle name="Normal 8 3 2 2 8" xfId="24363"/>
    <cellStyle name="Normal 8 3 2 2 9" xfId="24364"/>
    <cellStyle name="Normal 8 3 2 20" xfId="24365"/>
    <cellStyle name="Normal 8 3 2 21" xfId="24366"/>
    <cellStyle name="Normal 8 3 2 22" xfId="24367"/>
    <cellStyle name="Normal 8 3 2 23" xfId="24368"/>
    <cellStyle name="Normal 8 3 2 24" xfId="24369"/>
    <cellStyle name="Normal 8 3 2 25" xfId="24370"/>
    <cellStyle name="Normal 8 3 2 3" xfId="6768"/>
    <cellStyle name="Normal 8 3 2 3 10" xfId="24371"/>
    <cellStyle name="Normal 8 3 2 3 11" xfId="24372"/>
    <cellStyle name="Normal 8 3 2 3 12" xfId="24373"/>
    <cellStyle name="Normal 8 3 2 3 13" xfId="24374"/>
    <cellStyle name="Normal 8 3 2 3 14" xfId="24375"/>
    <cellStyle name="Normal 8 3 2 3 15" xfId="24376"/>
    <cellStyle name="Normal 8 3 2 3 16" xfId="24377"/>
    <cellStyle name="Normal 8 3 2 3 17" xfId="24378"/>
    <cellStyle name="Normal 8 3 2 3 18" xfId="24379"/>
    <cellStyle name="Normal 8 3 2 3 19" xfId="24380"/>
    <cellStyle name="Normal 8 3 2 3 2" xfId="6769"/>
    <cellStyle name="Normal 8 3 2 3 2 10" xfId="24381"/>
    <cellStyle name="Normal 8 3 2 3 2 11" xfId="24382"/>
    <cellStyle name="Normal 8 3 2 3 2 12" xfId="24383"/>
    <cellStyle name="Normal 8 3 2 3 2 13" xfId="24384"/>
    <cellStyle name="Normal 8 3 2 3 2 14" xfId="24385"/>
    <cellStyle name="Normal 8 3 2 3 2 15" xfId="24386"/>
    <cellStyle name="Normal 8 3 2 3 2 16" xfId="24387"/>
    <cellStyle name="Normal 8 3 2 3 2 17" xfId="24388"/>
    <cellStyle name="Normal 8 3 2 3 2 18" xfId="24389"/>
    <cellStyle name="Normal 8 3 2 3 2 19" xfId="24390"/>
    <cellStyle name="Normal 8 3 2 3 2 2" xfId="6770"/>
    <cellStyle name="Normal 8 3 2 3 2 2 10" xfId="24391"/>
    <cellStyle name="Normal 8 3 2 3 2 2 11" xfId="24392"/>
    <cellStyle name="Normal 8 3 2 3 2 2 12" xfId="24393"/>
    <cellStyle name="Normal 8 3 2 3 2 2 13" xfId="24394"/>
    <cellStyle name="Normal 8 3 2 3 2 2 14" xfId="24395"/>
    <cellStyle name="Normal 8 3 2 3 2 2 15" xfId="24396"/>
    <cellStyle name="Normal 8 3 2 3 2 2 16" xfId="24397"/>
    <cellStyle name="Normal 8 3 2 3 2 2 17" xfId="24398"/>
    <cellStyle name="Normal 8 3 2 3 2 2 18" xfId="24399"/>
    <cellStyle name="Normal 8 3 2 3 2 2 19" xfId="24400"/>
    <cellStyle name="Normal 8 3 2 3 2 2 2" xfId="24401"/>
    <cellStyle name="Normal 8 3 2 3 2 2 20" xfId="24402"/>
    <cellStyle name="Normal 8 3 2 3 2 2 21" xfId="24403"/>
    <cellStyle name="Normal 8 3 2 3 2 2 22" xfId="24404"/>
    <cellStyle name="Normal 8 3 2 3 2 2 23" xfId="24405"/>
    <cellStyle name="Normal 8 3 2 3 2 2 3" xfId="24406"/>
    <cellStyle name="Normal 8 3 2 3 2 2 4" xfId="24407"/>
    <cellStyle name="Normal 8 3 2 3 2 2 5" xfId="24408"/>
    <cellStyle name="Normal 8 3 2 3 2 2 6" xfId="24409"/>
    <cellStyle name="Normal 8 3 2 3 2 2 7" xfId="24410"/>
    <cellStyle name="Normal 8 3 2 3 2 2 8" xfId="24411"/>
    <cellStyle name="Normal 8 3 2 3 2 2 9" xfId="24412"/>
    <cellStyle name="Normal 8 3 2 3 2 20" xfId="24413"/>
    <cellStyle name="Normal 8 3 2 3 2 21" xfId="24414"/>
    <cellStyle name="Normal 8 3 2 3 2 22" xfId="24415"/>
    <cellStyle name="Normal 8 3 2 3 2 23" xfId="24416"/>
    <cellStyle name="Normal 8 3 2 3 2 24" xfId="24417"/>
    <cellStyle name="Normal 8 3 2 3 2 25" xfId="24418"/>
    <cellStyle name="Normal 8 3 2 3 2 26" xfId="24419"/>
    <cellStyle name="Normal 8 3 2 3 2 3" xfId="6771"/>
    <cellStyle name="Normal 8 3 2 3 2 3 10" xfId="24420"/>
    <cellStyle name="Normal 8 3 2 3 2 3 11" xfId="24421"/>
    <cellStyle name="Normal 8 3 2 3 2 3 12" xfId="24422"/>
    <cellStyle name="Normal 8 3 2 3 2 3 13" xfId="24423"/>
    <cellStyle name="Normal 8 3 2 3 2 3 14" xfId="24424"/>
    <cellStyle name="Normal 8 3 2 3 2 3 15" xfId="24425"/>
    <cellStyle name="Normal 8 3 2 3 2 3 16" xfId="24426"/>
    <cellStyle name="Normal 8 3 2 3 2 3 17" xfId="24427"/>
    <cellStyle name="Normal 8 3 2 3 2 3 18" xfId="24428"/>
    <cellStyle name="Normal 8 3 2 3 2 3 19" xfId="24429"/>
    <cellStyle name="Normal 8 3 2 3 2 3 2" xfId="24430"/>
    <cellStyle name="Normal 8 3 2 3 2 3 20" xfId="24431"/>
    <cellStyle name="Normal 8 3 2 3 2 3 21" xfId="24432"/>
    <cellStyle name="Normal 8 3 2 3 2 3 22" xfId="24433"/>
    <cellStyle name="Normal 8 3 2 3 2 3 23" xfId="24434"/>
    <cellStyle name="Normal 8 3 2 3 2 3 3" xfId="24435"/>
    <cellStyle name="Normal 8 3 2 3 2 3 4" xfId="24436"/>
    <cellStyle name="Normal 8 3 2 3 2 3 5" xfId="24437"/>
    <cellStyle name="Normal 8 3 2 3 2 3 6" xfId="24438"/>
    <cellStyle name="Normal 8 3 2 3 2 3 7" xfId="24439"/>
    <cellStyle name="Normal 8 3 2 3 2 3 8" xfId="24440"/>
    <cellStyle name="Normal 8 3 2 3 2 3 9" xfId="24441"/>
    <cellStyle name="Normal 8 3 2 3 2 4" xfId="6772"/>
    <cellStyle name="Normal 8 3 2 3 2 4 10" xfId="24442"/>
    <cellStyle name="Normal 8 3 2 3 2 4 11" xfId="24443"/>
    <cellStyle name="Normal 8 3 2 3 2 4 12" xfId="24444"/>
    <cellStyle name="Normal 8 3 2 3 2 4 13" xfId="24445"/>
    <cellStyle name="Normal 8 3 2 3 2 4 14" xfId="24446"/>
    <cellStyle name="Normal 8 3 2 3 2 4 15" xfId="24447"/>
    <cellStyle name="Normal 8 3 2 3 2 4 16" xfId="24448"/>
    <cellStyle name="Normal 8 3 2 3 2 4 17" xfId="24449"/>
    <cellStyle name="Normal 8 3 2 3 2 4 18" xfId="24450"/>
    <cellStyle name="Normal 8 3 2 3 2 4 19" xfId="24451"/>
    <cellStyle name="Normal 8 3 2 3 2 4 2" xfId="24452"/>
    <cellStyle name="Normal 8 3 2 3 2 4 20" xfId="24453"/>
    <cellStyle name="Normal 8 3 2 3 2 4 21" xfId="24454"/>
    <cellStyle name="Normal 8 3 2 3 2 4 22" xfId="24455"/>
    <cellStyle name="Normal 8 3 2 3 2 4 23" xfId="24456"/>
    <cellStyle name="Normal 8 3 2 3 2 4 3" xfId="24457"/>
    <cellStyle name="Normal 8 3 2 3 2 4 4" xfId="24458"/>
    <cellStyle name="Normal 8 3 2 3 2 4 5" xfId="24459"/>
    <cellStyle name="Normal 8 3 2 3 2 4 6" xfId="24460"/>
    <cellStyle name="Normal 8 3 2 3 2 4 7" xfId="24461"/>
    <cellStyle name="Normal 8 3 2 3 2 4 8" xfId="24462"/>
    <cellStyle name="Normal 8 3 2 3 2 4 9" xfId="24463"/>
    <cellStyle name="Normal 8 3 2 3 2 5" xfId="24464"/>
    <cellStyle name="Normal 8 3 2 3 2 6" xfId="24465"/>
    <cellStyle name="Normal 8 3 2 3 2 7" xfId="24466"/>
    <cellStyle name="Normal 8 3 2 3 2 8" xfId="24467"/>
    <cellStyle name="Normal 8 3 2 3 2 9" xfId="24468"/>
    <cellStyle name="Normal 8 3 2 3 2_D-1 format pantau fisik 2011" xfId="6773"/>
    <cellStyle name="Normal 8 3 2 3 20" xfId="24469"/>
    <cellStyle name="Normal 8 3 2 3 21" xfId="24470"/>
    <cellStyle name="Normal 8 3 2 3 22" xfId="24471"/>
    <cellStyle name="Normal 8 3 2 3 23" xfId="24472"/>
    <cellStyle name="Normal 8 3 2 3 24" xfId="24473"/>
    <cellStyle name="Normal 8 3 2 3 3" xfId="24474"/>
    <cellStyle name="Normal 8 3 2 3 4" xfId="24475"/>
    <cellStyle name="Normal 8 3 2 3 5" xfId="24476"/>
    <cellStyle name="Normal 8 3 2 3 6" xfId="24477"/>
    <cellStyle name="Normal 8 3 2 3 7" xfId="24478"/>
    <cellStyle name="Normal 8 3 2 3 8" xfId="24479"/>
    <cellStyle name="Normal 8 3 2 3 9" xfId="24480"/>
    <cellStyle name="Normal 8 3 2 3_Aceh Tamiang D.1 +, 2003" xfId="6774"/>
    <cellStyle name="Normal 8 3 2 4" xfId="24481"/>
    <cellStyle name="Normal 8 3 2 5" xfId="24482"/>
    <cellStyle name="Normal 8 3 2 6" xfId="24483"/>
    <cellStyle name="Normal 8 3 2 7" xfId="24484"/>
    <cellStyle name="Normal 8 3 2 8" xfId="24485"/>
    <cellStyle name="Normal 8 3 2 9" xfId="24486"/>
    <cellStyle name="Normal 8 3 2_Aceh Tamiang D.1 +, 2003" xfId="6775"/>
    <cellStyle name="Normal 8 3 20" xfId="24487"/>
    <cellStyle name="Normal 8 3 21" xfId="24488"/>
    <cellStyle name="Normal 8 3 22" xfId="24489"/>
    <cellStyle name="Normal 8 3 23" xfId="24490"/>
    <cellStyle name="Normal 8 3 24" xfId="24491"/>
    <cellStyle name="Normal 8 3 25" xfId="24492"/>
    <cellStyle name="Normal 8 3 26" xfId="24493"/>
    <cellStyle name="Normal 8 3 27" xfId="24494"/>
    <cellStyle name="Normal 8 3 28" xfId="24495"/>
    <cellStyle name="Normal 8 3 29" xfId="24496"/>
    <cellStyle name="Normal 8 3 3" xfId="6776"/>
    <cellStyle name="Normal 8 3 30" xfId="24497"/>
    <cellStyle name="Normal 8 3 31" xfId="24498"/>
    <cellStyle name="Normal 8 3 32" xfId="24499"/>
    <cellStyle name="Normal 8 3 33" xfId="24500"/>
    <cellStyle name="Normal 8 3 4" xfId="6777"/>
    <cellStyle name="Normal 8 3 5" xfId="6778"/>
    <cellStyle name="Normal 8 3 6" xfId="6779"/>
    <cellStyle name="Normal 8 3 6 10" xfId="24501"/>
    <cellStyle name="Normal 8 3 6 11" xfId="24502"/>
    <cellStyle name="Normal 8 3 6 12" xfId="24503"/>
    <cellStyle name="Normal 8 3 6 13" xfId="24504"/>
    <cellStyle name="Normal 8 3 6 14" xfId="24505"/>
    <cellStyle name="Normal 8 3 6 15" xfId="24506"/>
    <cellStyle name="Normal 8 3 6 16" xfId="24507"/>
    <cellStyle name="Normal 8 3 6 17" xfId="24508"/>
    <cellStyle name="Normal 8 3 6 18" xfId="24509"/>
    <cellStyle name="Normal 8 3 6 19" xfId="24510"/>
    <cellStyle name="Normal 8 3 6 2" xfId="6780"/>
    <cellStyle name="Normal 8 3 6 2 10" xfId="24511"/>
    <cellStyle name="Normal 8 3 6 2 11" xfId="24512"/>
    <cellStyle name="Normal 8 3 6 2 12" xfId="24513"/>
    <cellStyle name="Normal 8 3 6 2 13" xfId="24514"/>
    <cellStyle name="Normal 8 3 6 2 14" xfId="24515"/>
    <cellStyle name="Normal 8 3 6 2 15" xfId="24516"/>
    <cellStyle name="Normal 8 3 6 2 16" xfId="24517"/>
    <cellStyle name="Normal 8 3 6 2 17" xfId="24518"/>
    <cellStyle name="Normal 8 3 6 2 18" xfId="24519"/>
    <cellStyle name="Normal 8 3 6 2 19" xfId="24520"/>
    <cellStyle name="Normal 8 3 6 2 2" xfId="24521"/>
    <cellStyle name="Normal 8 3 6 2 20" xfId="24522"/>
    <cellStyle name="Normal 8 3 6 2 21" xfId="24523"/>
    <cellStyle name="Normal 8 3 6 2 22" xfId="24524"/>
    <cellStyle name="Normal 8 3 6 2 23" xfId="24525"/>
    <cellStyle name="Normal 8 3 6 2 3" xfId="24526"/>
    <cellStyle name="Normal 8 3 6 2 4" xfId="24527"/>
    <cellStyle name="Normal 8 3 6 2 5" xfId="24528"/>
    <cellStyle name="Normal 8 3 6 2 6" xfId="24529"/>
    <cellStyle name="Normal 8 3 6 2 7" xfId="24530"/>
    <cellStyle name="Normal 8 3 6 2 8" xfId="24531"/>
    <cellStyle name="Normal 8 3 6 2 9" xfId="24532"/>
    <cellStyle name="Normal 8 3 6 20" xfId="24533"/>
    <cellStyle name="Normal 8 3 6 21" xfId="24534"/>
    <cellStyle name="Normal 8 3 6 22" xfId="24535"/>
    <cellStyle name="Normal 8 3 6 23" xfId="24536"/>
    <cellStyle name="Normal 8 3 6 24" xfId="24537"/>
    <cellStyle name="Normal 8 3 6 3" xfId="24538"/>
    <cellStyle name="Normal 8 3 6 4" xfId="24539"/>
    <cellStyle name="Normal 8 3 6 5" xfId="24540"/>
    <cellStyle name="Normal 8 3 6 6" xfId="24541"/>
    <cellStyle name="Normal 8 3 6 7" xfId="24542"/>
    <cellStyle name="Normal 8 3 6 8" xfId="24543"/>
    <cellStyle name="Normal 8 3 6 9" xfId="24544"/>
    <cellStyle name="Normal 8 3 7" xfId="6781"/>
    <cellStyle name="Normal 8 3 7 10" xfId="24545"/>
    <cellStyle name="Normal 8 3 7 11" xfId="24546"/>
    <cellStyle name="Normal 8 3 7 12" xfId="24547"/>
    <cellStyle name="Normal 8 3 7 13" xfId="24548"/>
    <cellStyle name="Normal 8 3 7 14" xfId="24549"/>
    <cellStyle name="Normal 8 3 7 15" xfId="24550"/>
    <cellStyle name="Normal 8 3 7 16" xfId="24551"/>
    <cellStyle name="Normal 8 3 7 17" xfId="24552"/>
    <cellStyle name="Normal 8 3 7 18" xfId="24553"/>
    <cellStyle name="Normal 8 3 7 19" xfId="24554"/>
    <cellStyle name="Normal 8 3 7 2" xfId="24555"/>
    <cellStyle name="Normal 8 3 7 20" xfId="24556"/>
    <cellStyle name="Normal 8 3 7 21" xfId="24557"/>
    <cellStyle name="Normal 8 3 7 22" xfId="24558"/>
    <cellStyle name="Normal 8 3 7 23" xfId="24559"/>
    <cellStyle name="Normal 8 3 7 3" xfId="24560"/>
    <cellStyle name="Normal 8 3 7 4" xfId="24561"/>
    <cellStyle name="Normal 8 3 7 5" xfId="24562"/>
    <cellStyle name="Normal 8 3 7 6" xfId="24563"/>
    <cellStyle name="Normal 8 3 7 7" xfId="24564"/>
    <cellStyle name="Normal 8 3 7 8" xfId="24565"/>
    <cellStyle name="Normal 8 3 7 9" xfId="24566"/>
    <cellStyle name="Normal 8 3 8" xfId="6782"/>
    <cellStyle name="Normal 8 3 8 2" xfId="24567"/>
    <cellStyle name="Normal 8 3 8 3" xfId="24568"/>
    <cellStyle name="Normal 8 3 8 4" xfId="24569"/>
    <cellStyle name="Normal 8 3 9" xfId="6783"/>
    <cellStyle name="Normal 8 3 9 2" xfId="24570"/>
    <cellStyle name="Normal 8 3 9 3" xfId="24571"/>
    <cellStyle name="Normal 8 3 9 4" xfId="24572"/>
    <cellStyle name="Normal 8 30" xfId="24573"/>
    <cellStyle name="Normal 8 31" xfId="24574"/>
    <cellStyle name="Normal 8 32" xfId="24575"/>
    <cellStyle name="Normal 8 33" xfId="24576"/>
    <cellStyle name="Normal 8 34" xfId="24577"/>
    <cellStyle name="Normal 8 35" xfId="24578"/>
    <cellStyle name="Normal 8 36" xfId="24579"/>
    <cellStyle name="Normal 8 37" xfId="24580"/>
    <cellStyle name="Normal 8 38" xfId="24581"/>
    <cellStyle name="Normal 8 39" xfId="24582"/>
    <cellStyle name="Normal 8 4" xfId="6784"/>
    <cellStyle name="Normal 8 4 2" xfId="6785"/>
    <cellStyle name="Normal 8 4 3" xfId="6786"/>
    <cellStyle name="Normal 8 4 4" xfId="6787"/>
    <cellStyle name="Normal 8 4 5" xfId="6788"/>
    <cellStyle name="Normal 8 40" xfId="24583"/>
    <cellStyle name="Normal 8 41" xfId="24584"/>
    <cellStyle name="Normal 8 42" xfId="24585"/>
    <cellStyle name="Normal 8 43" xfId="24586"/>
    <cellStyle name="Normal 8 44" xfId="24587"/>
    <cellStyle name="Normal 8 45" xfId="24588"/>
    <cellStyle name="Normal 8 46" xfId="24589"/>
    <cellStyle name="Normal 8 47" xfId="24590"/>
    <cellStyle name="Normal 8 48" xfId="24591"/>
    <cellStyle name="Normal 8 49" xfId="24592"/>
    <cellStyle name="Normal 8 5" xfId="6789"/>
    <cellStyle name="Normal 8 5 2" xfId="6790"/>
    <cellStyle name="Normal 8 5 3" xfId="6791"/>
    <cellStyle name="Normal 8 5 4" xfId="6792"/>
    <cellStyle name="Normal 8 5 5" xfId="6793"/>
    <cellStyle name="Normal 8 50" xfId="24593"/>
    <cellStyle name="Normal 8 51" xfId="24594"/>
    <cellStyle name="Normal 8 52" xfId="24595"/>
    <cellStyle name="Normal 8 53" xfId="24596"/>
    <cellStyle name="Normal 8 54" xfId="24597"/>
    <cellStyle name="Normal 8 6" xfId="6794"/>
    <cellStyle name="Normal 8 6 2" xfId="6795"/>
    <cellStyle name="Normal 8 6 3" xfId="6796"/>
    <cellStyle name="Normal 8 6 4" xfId="6797"/>
    <cellStyle name="Normal 8 6 5" xfId="6798"/>
    <cellStyle name="Normal 8 7" xfId="6799"/>
    <cellStyle name="Normal 8 7 2" xfId="6800"/>
    <cellStyle name="Normal 8 7 3" xfId="6801"/>
    <cellStyle name="Normal 8 7 4" xfId="6802"/>
    <cellStyle name="Normal 8 7 5" xfId="6803"/>
    <cellStyle name="Normal 8 8" xfId="6804"/>
    <cellStyle name="Normal 8 8 2" xfId="6805"/>
    <cellStyle name="Normal 8 8 3" xfId="6806"/>
    <cellStyle name="Normal 8 8 4" xfId="6807"/>
    <cellStyle name="Normal 8 8 5" xfId="6808"/>
    <cellStyle name="Normal 8 9" xfId="6809"/>
    <cellStyle name="Normal 8 9 2" xfId="6810"/>
    <cellStyle name="Normal 8 9 3" xfId="6811"/>
    <cellStyle name="Normal 8 9 4" xfId="6812"/>
    <cellStyle name="Normal 8 9 5" xfId="6813"/>
    <cellStyle name="Normal 80" xfId="6814"/>
    <cellStyle name="Normal 81" xfId="6815"/>
    <cellStyle name="Normal 82" xfId="6816"/>
    <cellStyle name="Normal 83" xfId="6817"/>
    <cellStyle name="Normal 84" xfId="6818"/>
    <cellStyle name="Normal 84 2" xfId="6819"/>
    <cellStyle name="Normal 84 2 2" xfId="6820"/>
    <cellStyle name="Normal 84 2 2 2" xfId="6821"/>
    <cellStyle name="Normal 85" xfId="6822"/>
    <cellStyle name="Normal 86" xfId="6823"/>
    <cellStyle name="Normal 86 2" xfId="24598"/>
    <cellStyle name="Normal 86 3" xfId="24599"/>
    <cellStyle name="Normal 86 4" xfId="24600"/>
    <cellStyle name="Normal 87" xfId="6824"/>
    <cellStyle name="Normal 87 2" xfId="24601"/>
    <cellStyle name="Normal 87 3" xfId="24602"/>
    <cellStyle name="Normal 87 4" xfId="24603"/>
    <cellStyle name="Normal 88" xfId="6825"/>
    <cellStyle name="Normal 88 2" xfId="24604"/>
    <cellStyle name="Normal 88 3" xfId="24605"/>
    <cellStyle name="Normal 88 4" xfId="24606"/>
    <cellStyle name="Normal 89" xfId="6826"/>
    <cellStyle name="Normal 89 2" xfId="24607"/>
    <cellStyle name="Normal 89 3" xfId="24608"/>
    <cellStyle name="Normal 89 4" xfId="24609"/>
    <cellStyle name="Normal 9" xfId="6827"/>
    <cellStyle name="Normal 9 10" xfId="6828"/>
    <cellStyle name="Normal 9 10 2" xfId="24610"/>
    <cellStyle name="Normal 9 10 3" xfId="24611"/>
    <cellStyle name="Normal 9 10 4" xfId="24612"/>
    <cellStyle name="Normal 9 11" xfId="6829"/>
    <cellStyle name="Normal 9 11 2" xfId="24613"/>
    <cellStyle name="Normal 9 11 3" xfId="24614"/>
    <cellStyle name="Normal 9 11 4" xfId="24615"/>
    <cellStyle name="Normal 9 12" xfId="6830"/>
    <cellStyle name="Normal 9 12 2" xfId="24616"/>
    <cellStyle name="Normal 9 12 3" xfId="24617"/>
    <cellStyle name="Normal 9 12 4" xfId="24618"/>
    <cellStyle name="Normal 9 13" xfId="6831"/>
    <cellStyle name="Normal 9 14" xfId="6832"/>
    <cellStyle name="Normal 9 15" xfId="6833"/>
    <cellStyle name="Normal 9 16" xfId="6834"/>
    <cellStyle name="Normal 9 17" xfId="6835"/>
    <cellStyle name="Normal 9 18" xfId="6836"/>
    <cellStyle name="Normal 9 18 2" xfId="24619"/>
    <cellStyle name="Normal 9 18 3" xfId="24620"/>
    <cellStyle name="Normal 9 18 4" xfId="24621"/>
    <cellStyle name="Normal 9 19" xfId="24622"/>
    <cellStyle name="Normal 9 2" xfId="6837"/>
    <cellStyle name="Normal 9 2 10" xfId="24623"/>
    <cellStyle name="Normal 9 2 11" xfId="24624"/>
    <cellStyle name="Normal 9 2 12" xfId="24625"/>
    <cellStyle name="Normal 9 2 13" xfId="24626"/>
    <cellStyle name="Normal 9 2 14" xfId="24627"/>
    <cellStyle name="Normal 9 2 15" xfId="24628"/>
    <cellStyle name="Normal 9 2 16" xfId="24629"/>
    <cellStyle name="Normal 9 2 17" xfId="24630"/>
    <cellStyle name="Normal 9 2 18" xfId="24631"/>
    <cellStyle name="Normal 9 2 19" xfId="24632"/>
    <cellStyle name="Normal 9 2 2" xfId="6838"/>
    <cellStyle name="Normal 9 2 2 10" xfId="24633"/>
    <cellStyle name="Normal 9 2 2 11" xfId="24634"/>
    <cellStyle name="Normal 9 2 2 12" xfId="24635"/>
    <cellStyle name="Normal 9 2 2 13" xfId="24636"/>
    <cellStyle name="Normal 9 2 2 14" xfId="24637"/>
    <cellStyle name="Normal 9 2 2 15" xfId="24638"/>
    <cellStyle name="Normal 9 2 2 16" xfId="24639"/>
    <cellStyle name="Normal 9 2 2 17" xfId="24640"/>
    <cellStyle name="Normal 9 2 2 18" xfId="24641"/>
    <cellStyle name="Normal 9 2 2 19" xfId="24642"/>
    <cellStyle name="Normal 9 2 2 2" xfId="6839"/>
    <cellStyle name="Normal 9 2 2 2 10" xfId="24643"/>
    <cellStyle name="Normal 9 2 2 2 11" xfId="24644"/>
    <cellStyle name="Normal 9 2 2 2 12" xfId="24645"/>
    <cellStyle name="Normal 9 2 2 2 13" xfId="24646"/>
    <cellStyle name="Normal 9 2 2 2 14" xfId="24647"/>
    <cellStyle name="Normal 9 2 2 2 15" xfId="24648"/>
    <cellStyle name="Normal 9 2 2 2 16" xfId="24649"/>
    <cellStyle name="Normal 9 2 2 2 17" xfId="24650"/>
    <cellStyle name="Normal 9 2 2 2 18" xfId="24651"/>
    <cellStyle name="Normal 9 2 2 2 19" xfId="24652"/>
    <cellStyle name="Normal 9 2 2 2 2" xfId="24653"/>
    <cellStyle name="Normal 9 2 2 2 20" xfId="24654"/>
    <cellStyle name="Normal 9 2 2 2 21" xfId="24655"/>
    <cellStyle name="Normal 9 2 2 2 22" xfId="24656"/>
    <cellStyle name="Normal 9 2 2 2 23" xfId="24657"/>
    <cellStyle name="Normal 9 2 2 2 3" xfId="24658"/>
    <cellStyle name="Normal 9 2 2 2 4" xfId="24659"/>
    <cellStyle name="Normal 9 2 2 2 5" xfId="24660"/>
    <cellStyle name="Normal 9 2 2 2 6" xfId="24661"/>
    <cellStyle name="Normal 9 2 2 2 7" xfId="24662"/>
    <cellStyle name="Normal 9 2 2 2 8" xfId="24663"/>
    <cellStyle name="Normal 9 2 2 2 9" xfId="24664"/>
    <cellStyle name="Normal 9 2 2 20" xfId="24665"/>
    <cellStyle name="Normal 9 2 2 21" xfId="24666"/>
    <cellStyle name="Normal 9 2 2 22" xfId="24667"/>
    <cellStyle name="Normal 9 2 2 23" xfId="24668"/>
    <cellStyle name="Normal 9 2 2 24" xfId="24669"/>
    <cellStyle name="Normal 9 2 2 3" xfId="24670"/>
    <cellStyle name="Normal 9 2 2 4" xfId="24671"/>
    <cellStyle name="Normal 9 2 2 5" xfId="24672"/>
    <cellStyle name="Normal 9 2 2 6" xfId="24673"/>
    <cellStyle name="Normal 9 2 2 7" xfId="24674"/>
    <cellStyle name="Normal 9 2 2 8" xfId="24675"/>
    <cellStyle name="Normal 9 2 2 9" xfId="24676"/>
    <cellStyle name="Normal 9 2 20" xfId="24677"/>
    <cellStyle name="Normal 9 2 21" xfId="24678"/>
    <cellStyle name="Normal 9 2 22" xfId="24679"/>
    <cellStyle name="Normal 9 2 23" xfId="24680"/>
    <cellStyle name="Normal 9 2 24" xfId="24681"/>
    <cellStyle name="Normal 9 2 25" xfId="24682"/>
    <cellStyle name="Normal 9 2 26" xfId="24683"/>
    <cellStyle name="Normal 9 2 27" xfId="24684"/>
    <cellStyle name="Normal 9 2 28" xfId="24685"/>
    <cellStyle name="Normal 9 2 29" xfId="24686"/>
    <cellStyle name="Normal 9 2 3" xfId="6840"/>
    <cellStyle name="Normal 9 2 3 10" xfId="24687"/>
    <cellStyle name="Normal 9 2 3 11" xfId="24688"/>
    <cellStyle name="Normal 9 2 3 12" xfId="24689"/>
    <cellStyle name="Normal 9 2 3 13" xfId="24690"/>
    <cellStyle name="Normal 9 2 3 14" xfId="24691"/>
    <cellStyle name="Normal 9 2 3 15" xfId="24692"/>
    <cellStyle name="Normal 9 2 3 16" xfId="24693"/>
    <cellStyle name="Normal 9 2 3 17" xfId="24694"/>
    <cellStyle name="Normal 9 2 3 18" xfId="24695"/>
    <cellStyle name="Normal 9 2 3 19" xfId="24696"/>
    <cellStyle name="Normal 9 2 3 2" xfId="24697"/>
    <cellStyle name="Normal 9 2 3 20" xfId="24698"/>
    <cellStyle name="Normal 9 2 3 21" xfId="24699"/>
    <cellStyle name="Normal 9 2 3 22" xfId="24700"/>
    <cellStyle name="Normal 9 2 3 23" xfId="24701"/>
    <cellStyle name="Normal 9 2 3 3" xfId="24702"/>
    <cellStyle name="Normal 9 2 3 4" xfId="24703"/>
    <cellStyle name="Normal 9 2 3 5" xfId="24704"/>
    <cellStyle name="Normal 9 2 3 6" xfId="24705"/>
    <cellStyle name="Normal 9 2 3 7" xfId="24706"/>
    <cellStyle name="Normal 9 2 3 8" xfId="24707"/>
    <cellStyle name="Normal 9 2 3 9" xfId="24708"/>
    <cellStyle name="Normal 9 2 4" xfId="6841"/>
    <cellStyle name="Normal 9 2 4 2" xfId="24709"/>
    <cellStyle name="Normal 9 2 4 3" xfId="24710"/>
    <cellStyle name="Normal 9 2 4 4" xfId="24711"/>
    <cellStyle name="Normal 9 2 5" xfId="6842"/>
    <cellStyle name="Normal 9 2 5 2" xfId="24712"/>
    <cellStyle name="Normal 9 2 5 3" xfId="24713"/>
    <cellStyle name="Normal 9 2 5 4" xfId="24714"/>
    <cellStyle name="Normal 9 2 6" xfId="6843"/>
    <cellStyle name="Normal 9 2 6 2" xfId="24715"/>
    <cellStyle name="Normal 9 2 6 3" xfId="24716"/>
    <cellStyle name="Normal 9 2 6 4" xfId="24717"/>
    <cellStyle name="Normal 9 2 7" xfId="6844"/>
    <cellStyle name="Normal 9 2 7 2" xfId="24718"/>
    <cellStyle name="Normal 9 2 7 3" xfId="24719"/>
    <cellStyle name="Normal 9 2 7 4" xfId="24720"/>
    <cellStyle name="Normal 9 2 8" xfId="6845"/>
    <cellStyle name="Normal 9 2 8 2" xfId="24721"/>
    <cellStyle name="Normal 9 2 8 3" xfId="24722"/>
    <cellStyle name="Normal 9 2 8 4" xfId="24723"/>
    <cellStyle name="Normal 9 2 9" xfId="24724"/>
    <cellStyle name="Normal 9 20" xfId="24725"/>
    <cellStyle name="Normal 9 21" xfId="24726"/>
    <cellStyle name="Normal 9 22" xfId="24727"/>
    <cellStyle name="Normal 9 23" xfId="24728"/>
    <cellStyle name="Normal 9 24" xfId="24729"/>
    <cellStyle name="Normal 9 25" xfId="24730"/>
    <cellStyle name="Normal 9 26" xfId="24731"/>
    <cellStyle name="Normal 9 27" xfId="24732"/>
    <cellStyle name="Normal 9 28" xfId="24733"/>
    <cellStyle name="Normal 9 29" xfId="24734"/>
    <cellStyle name="Normal 9 3" xfId="6846"/>
    <cellStyle name="Normal 9 3 10" xfId="24735"/>
    <cellStyle name="Normal 9 3 11" xfId="24736"/>
    <cellStyle name="Normal 9 3 12" xfId="24737"/>
    <cellStyle name="Normal 9 3 13" xfId="24738"/>
    <cellStyle name="Normal 9 3 14" xfId="24739"/>
    <cellStyle name="Normal 9 3 15" xfId="24740"/>
    <cellStyle name="Normal 9 3 16" xfId="24741"/>
    <cellStyle name="Normal 9 3 17" xfId="24742"/>
    <cellStyle name="Normal 9 3 18" xfId="24743"/>
    <cellStyle name="Normal 9 3 19" xfId="24744"/>
    <cellStyle name="Normal 9 3 2" xfId="24745"/>
    <cellStyle name="Normal 9 3 20" xfId="24746"/>
    <cellStyle name="Normal 9 3 21" xfId="24747"/>
    <cellStyle name="Normal 9 3 22" xfId="24748"/>
    <cellStyle name="Normal 9 3 23" xfId="24749"/>
    <cellStyle name="Normal 9 3 3" xfId="24750"/>
    <cellStyle name="Normal 9 3 4" xfId="24751"/>
    <cellStyle name="Normal 9 3 5" xfId="24752"/>
    <cellStyle name="Normal 9 3 6" xfId="24753"/>
    <cellStyle name="Normal 9 3 7" xfId="24754"/>
    <cellStyle name="Normal 9 3 8" xfId="24755"/>
    <cellStyle name="Normal 9 3 9" xfId="24756"/>
    <cellStyle name="Normal 9 30" xfId="24757"/>
    <cellStyle name="Normal 9 31" xfId="24758"/>
    <cellStyle name="Normal 9 32" xfId="24759"/>
    <cellStyle name="Normal 9 33" xfId="24760"/>
    <cellStyle name="Normal 9 34" xfId="24761"/>
    <cellStyle name="Normal 9 35" xfId="24762"/>
    <cellStyle name="Normal 9 36" xfId="24763"/>
    <cellStyle name="Normal 9 37" xfId="24764"/>
    <cellStyle name="Normal 9 38" xfId="24765"/>
    <cellStyle name="Normal 9 39" xfId="24766"/>
    <cellStyle name="Normal 9 4" xfId="6847"/>
    <cellStyle name="Normal 9 4 10" xfId="24767"/>
    <cellStyle name="Normal 9 4 11" xfId="24768"/>
    <cellStyle name="Normal 9 4 12" xfId="24769"/>
    <cellStyle name="Normal 9 4 13" xfId="24770"/>
    <cellStyle name="Normal 9 4 14" xfId="24771"/>
    <cellStyle name="Normal 9 4 15" xfId="24772"/>
    <cellStyle name="Normal 9 4 16" xfId="24773"/>
    <cellStyle name="Normal 9 4 17" xfId="24774"/>
    <cellStyle name="Normal 9 4 18" xfId="24775"/>
    <cellStyle name="Normal 9 4 19" xfId="24776"/>
    <cellStyle name="Normal 9 4 2" xfId="24777"/>
    <cellStyle name="Normal 9 4 20" xfId="24778"/>
    <cellStyle name="Normal 9 4 21" xfId="24779"/>
    <cellStyle name="Normal 9 4 22" xfId="24780"/>
    <cellStyle name="Normal 9 4 23" xfId="24781"/>
    <cellStyle name="Normal 9 4 3" xfId="24782"/>
    <cellStyle name="Normal 9 4 4" xfId="24783"/>
    <cellStyle name="Normal 9 4 5" xfId="24784"/>
    <cellStyle name="Normal 9 4 6" xfId="24785"/>
    <cellStyle name="Normal 9 4 7" xfId="24786"/>
    <cellStyle name="Normal 9 4 8" xfId="24787"/>
    <cellStyle name="Normal 9 4 9" xfId="24788"/>
    <cellStyle name="Normal 9 5" xfId="6848"/>
    <cellStyle name="Normal 9 5 10" xfId="24789"/>
    <cellStyle name="Normal 9 5 11" xfId="24790"/>
    <cellStyle name="Normal 9 5 12" xfId="24791"/>
    <cellStyle name="Normal 9 5 13" xfId="24792"/>
    <cellStyle name="Normal 9 5 14" xfId="24793"/>
    <cellStyle name="Normal 9 5 15" xfId="24794"/>
    <cellStyle name="Normal 9 5 16" xfId="24795"/>
    <cellStyle name="Normal 9 5 17" xfId="24796"/>
    <cellStyle name="Normal 9 5 18" xfId="24797"/>
    <cellStyle name="Normal 9 5 19" xfId="24798"/>
    <cellStyle name="Normal 9 5 2" xfId="24799"/>
    <cellStyle name="Normal 9 5 20" xfId="24800"/>
    <cellStyle name="Normal 9 5 21" xfId="24801"/>
    <cellStyle name="Normal 9 5 22" xfId="24802"/>
    <cellStyle name="Normal 9 5 23" xfId="24803"/>
    <cellStyle name="Normal 9 5 3" xfId="24804"/>
    <cellStyle name="Normal 9 5 4" xfId="24805"/>
    <cellStyle name="Normal 9 5 5" xfId="24806"/>
    <cellStyle name="Normal 9 5 6" xfId="24807"/>
    <cellStyle name="Normal 9 5 7" xfId="24808"/>
    <cellStyle name="Normal 9 5 8" xfId="24809"/>
    <cellStyle name="Normal 9 5 9" xfId="24810"/>
    <cellStyle name="Normal 9 6" xfId="6849"/>
    <cellStyle name="Normal 9 6 10" xfId="24811"/>
    <cellStyle name="Normal 9 6 11" xfId="24812"/>
    <cellStyle name="Normal 9 6 12" xfId="24813"/>
    <cellStyle name="Normal 9 6 13" xfId="24814"/>
    <cellStyle name="Normal 9 6 14" xfId="24815"/>
    <cellStyle name="Normal 9 6 15" xfId="24816"/>
    <cellStyle name="Normal 9 6 16" xfId="24817"/>
    <cellStyle name="Normal 9 6 17" xfId="24818"/>
    <cellStyle name="Normal 9 6 18" xfId="24819"/>
    <cellStyle name="Normal 9 6 19" xfId="24820"/>
    <cellStyle name="Normal 9 6 2" xfId="24821"/>
    <cellStyle name="Normal 9 6 20" xfId="24822"/>
    <cellStyle name="Normal 9 6 21" xfId="24823"/>
    <cellStyle name="Normal 9 6 22" xfId="24824"/>
    <cellStyle name="Normal 9 6 23" xfId="24825"/>
    <cellStyle name="Normal 9 6 3" xfId="24826"/>
    <cellStyle name="Normal 9 6 4" xfId="24827"/>
    <cellStyle name="Normal 9 6 5" xfId="24828"/>
    <cellStyle name="Normal 9 6 6" xfId="24829"/>
    <cellStyle name="Normal 9 6 7" xfId="24830"/>
    <cellStyle name="Normal 9 6 8" xfId="24831"/>
    <cellStyle name="Normal 9 6 9" xfId="24832"/>
    <cellStyle name="Normal 9 7" xfId="6850"/>
    <cellStyle name="Normal 9 7 2" xfId="24833"/>
    <cellStyle name="Normal 9 7 3" xfId="24834"/>
    <cellStyle name="Normal 9 7 4" xfId="24835"/>
    <cellStyle name="Normal 9 8" xfId="6851"/>
    <cellStyle name="Normal 9 8 2" xfId="24836"/>
    <cellStyle name="Normal 9 8 3" xfId="24837"/>
    <cellStyle name="Normal 9 8 4" xfId="24838"/>
    <cellStyle name="Normal 9 9" xfId="6852"/>
    <cellStyle name="Normal 9 9 2" xfId="24839"/>
    <cellStyle name="Normal 9 9 3" xfId="24840"/>
    <cellStyle name="Normal 9 9 4" xfId="24841"/>
    <cellStyle name="Normal 9_Aceh Tamiang D.1 +, 2003" xfId="6853"/>
    <cellStyle name="Normal 90" xfId="6854"/>
    <cellStyle name="Normal 90 2" xfId="24842"/>
    <cellStyle name="Normal 90 3" xfId="24843"/>
    <cellStyle name="Normal 90 4" xfId="24844"/>
    <cellStyle name="Normal 91" xfId="6855"/>
    <cellStyle name="Normal 91 2" xfId="24845"/>
    <cellStyle name="Normal 91 3" xfId="24846"/>
    <cellStyle name="Normal 91 4" xfId="24847"/>
    <cellStyle name="Normal 92" xfId="6856"/>
    <cellStyle name="Normal 92 2" xfId="24848"/>
    <cellStyle name="Normal 92 3" xfId="24849"/>
    <cellStyle name="Normal 92 4" xfId="24850"/>
    <cellStyle name="Normal 93" xfId="6857"/>
    <cellStyle name="Normal 93 2" xfId="24851"/>
    <cellStyle name="Normal 93 3" xfId="24852"/>
    <cellStyle name="Normal 93 4" xfId="24853"/>
    <cellStyle name="Normal 94" xfId="6858"/>
    <cellStyle name="Normal 94 2" xfId="24854"/>
    <cellStyle name="Normal 94 3" xfId="24855"/>
    <cellStyle name="Normal 94 4" xfId="24856"/>
    <cellStyle name="Normal 95" xfId="6859"/>
    <cellStyle name="Normal 95 2" xfId="24857"/>
    <cellStyle name="Normal 95 3" xfId="24858"/>
    <cellStyle name="Normal 95 4" xfId="24859"/>
    <cellStyle name="Normal 96" xfId="6860"/>
    <cellStyle name="Normal 97" xfId="6861"/>
    <cellStyle name="Normal 98" xfId="6862"/>
    <cellStyle name="Normal 99" xfId="6863"/>
    <cellStyle name="Normal_Sheet1" xfId="7"/>
    <cellStyle name="Note 10" xfId="6864"/>
    <cellStyle name="Note 10 10" xfId="24860"/>
    <cellStyle name="Note 10 10 2" xfId="31588"/>
    <cellStyle name="Note 10 11" xfId="24861"/>
    <cellStyle name="Note 10 11 2" xfId="31589"/>
    <cellStyle name="Note 10 12" xfId="24862"/>
    <cellStyle name="Note 10 12 2" xfId="31590"/>
    <cellStyle name="Note 10 13" xfId="24863"/>
    <cellStyle name="Note 10 13 2" xfId="31591"/>
    <cellStyle name="Note 10 14" xfId="24864"/>
    <cellStyle name="Note 10 14 2" xfId="31592"/>
    <cellStyle name="Note 10 15" xfId="24865"/>
    <cellStyle name="Note 10 15 2" xfId="31593"/>
    <cellStyle name="Note 10 16" xfId="24866"/>
    <cellStyle name="Note 10 16 2" xfId="31594"/>
    <cellStyle name="Note 10 17" xfId="24867"/>
    <cellStyle name="Note 10 17 2" xfId="31595"/>
    <cellStyle name="Note 10 18" xfId="24868"/>
    <cellStyle name="Note 10 18 2" xfId="31596"/>
    <cellStyle name="Note 10 19" xfId="24869"/>
    <cellStyle name="Note 10 19 2" xfId="31597"/>
    <cellStyle name="Note 10 2" xfId="24870"/>
    <cellStyle name="Note 10 2 2" xfId="31598"/>
    <cellStyle name="Note 10 20" xfId="24871"/>
    <cellStyle name="Note 10 20 2" xfId="31599"/>
    <cellStyle name="Note 10 21" xfId="24872"/>
    <cellStyle name="Note 10 21 2" xfId="31600"/>
    <cellStyle name="Note 10 22" xfId="24873"/>
    <cellStyle name="Note 10 22 2" xfId="31601"/>
    <cellStyle name="Note 10 23" xfId="31602"/>
    <cellStyle name="Note 10 3" xfId="24874"/>
    <cellStyle name="Note 10 3 2" xfId="31603"/>
    <cellStyle name="Note 10 4" xfId="24875"/>
    <cellStyle name="Note 10 4 2" xfId="31604"/>
    <cellStyle name="Note 10 5" xfId="24876"/>
    <cellStyle name="Note 10 5 2" xfId="31605"/>
    <cellStyle name="Note 10 6" xfId="24877"/>
    <cellStyle name="Note 10 6 2" xfId="31606"/>
    <cellStyle name="Note 10 7" xfId="24878"/>
    <cellStyle name="Note 10 7 2" xfId="31607"/>
    <cellStyle name="Note 10 8" xfId="24879"/>
    <cellStyle name="Note 10 8 2" xfId="31608"/>
    <cellStyle name="Note 10 9" xfId="24880"/>
    <cellStyle name="Note 10 9 2" xfId="31609"/>
    <cellStyle name="Note 11" xfId="6865"/>
    <cellStyle name="Note 11 10" xfId="24881"/>
    <cellStyle name="Note 11 10 2" xfId="31610"/>
    <cellStyle name="Note 11 11" xfId="24882"/>
    <cellStyle name="Note 11 11 2" xfId="31611"/>
    <cellStyle name="Note 11 12" xfId="24883"/>
    <cellStyle name="Note 11 12 2" xfId="31612"/>
    <cellStyle name="Note 11 13" xfId="24884"/>
    <cellStyle name="Note 11 13 2" xfId="31613"/>
    <cellStyle name="Note 11 14" xfId="24885"/>
    <cellStyle name="Note 11 14 2" xfId="31614"/>
    <cellStyle name="Note 11 15" xfId="24886"/>
    <cellStyle name="Note 11 15 2" xfId="31615"/>
    <cellStyle name="Note 11 16" xfId="24887"/>
    <cellStyle name="Note 11 16 2" xfId="31616"/>
    <cellStyle name="Note 11 17" xfId="24888"/>
    <cellStyle name="Note 11 17 2" xfId="31617"/>
    <cellStyle name="Note 11 18" xfId="24889"/>
    <cellStyle name="Note 11 18 2" xfId="31618"/>
    <cellStyle name="Note 11 19" xfId="24890"/>
    <cellStyle name="Note 11 19 2" xfId="31619"/>
    <cellStyle name="Note 11 2" xfId="24891"/>
    <cellStyle name="Note 11 2 2" xfId="31620"/>
    <cellStyle name="Note 11 20" xfId="24892"/>
    <cellStyle name="Note 11 20 2" xfId="31621"/>
    <cellStyle name="Note 11 21" xfId="24893"/>
    <cellStyle name="Note 11 21 2" xfId="31622"/>
    <cellStyle name="Note 11 22" xfId="24894"/>
    <cellStyle name="Note 11 22 2" xfId="31623"/>
    <cellStyle name="Note 11 23" xfId="31624"/>
    <cellStyle name="Note 11 3" xfId="24895"/>
    <cellStyle name="Note 11 3 2" xfId="31625"/>
    <cellStyle name="Note 11 4" xfId="24896"/>
    <cellStyle name="Note 11 4 2" xfId="31626"/>
    <cellStyle name="Note 11 5" xfId="24897"/>
    <cellStyle name="Note 11 5 2" xfId="31627"/>
    <cellStyle name="Note 11 6" xfId="24898"/>
    <cellStyle name="Note 11 6 2" xfId="31628"/>
    <cellStyle name="Note 11 7" xfId="24899"/>
    <cellStyle name="Note 11 7 2" xfId="31629"/>
    <cellStyle name="Note 11 8" xfId="24900"/>
    <cellStyle name="Note 11 8 2" xfId="31630"/>
    <cellStyle name="Note 11 9" xfId="24901"/>
    <cellStyle name="Note 11 9 2" xfId="31631"/>
    <cellStyle name="Note 12" xfId="6866"/>
    <cellStyle name="Note 12 10" xfId="24902"/>
    <cellStyle name="Note 12 10 2" xfId="31632"/>
    <cellStyle name="Note 12 11" xfId="24903"/>
    <cellStyle name="Note 12 11 2" xfId="31633"/>
    <cellStyle name="Note 12 12" xfId="24904"/>
    <cellStyle name="Note 12 12 2" xfId="31634"/>
    <cellStyle name="Note 12 13" xfId="24905"/>
    <cellStyle name="Note 12 13 2" xfId="31635"/>
    <cellStyle name="Note 12 14" xfId="24906"/>
    <cellStyle name="Note 12 14 2" xfId="31636"/>
    <cellStyle name="Note 12 15" xfId="24907"/>
    <cellStyle name="Note 12 15 2" xfId="31637"/>
    <cellStyle name="Note 12 16" xfId="24908"/>
    <cellStyle name="Note 12 16 2" xfId="31638"/>
    <cellStyle name="Note 12 17" xfId="24909"/>
    <cellStyle name="Note 12 17 2" xfId="31639"/>
    <cellStyle name="Note 12 18" xfId="24910"/>
    <cellStyle name="Note 12 18 2" xfId="31640"/>
    <cellStyle name="Note 12 19" xfId="24911"/>
    <cellStyle name="Note 12 19 2" xfId="31641"/>
    <cellStyle name="Note 12 2" xfId="24912"/>
    <cellStyle name="Note 12 2 2" xfId="31642"/>
    <cellStyle name="Note 12 20" xfId="24913"/>
    <cellStyle name="Note 12 20 2" xfId="31643"/>
    <cellStyle name="Note 12 21" xfId="24914"/>
    <cellStyle name="Note 12 21 2" xfId="31644"/>
    <cellStyle name="Note 12 22" xfId="24915"/>
    <cellStyle name="Note 12 22 2" xfId="31645"/>
    <cellStyle name="Note 12 23" xfId="31646"/>
    <cellStyle name="Note 12 3" xfId="24916"/>
    <cellStyle name="Note 12 3 2" xfId="31647"/>
    <cellStyle name="Note 12 4" xfId="24917"/>
    <cellStyle name="Note 12 4 2" xfId="31648"/>
    <cellStyle name="Note 12 5" xfId="24918"/>
    <cellStyle name="Note 12 5 2" xfId="31649"/>
    <cellStyle name="Note 12 6" xfId="24919"/>
    <cellStyle name="Note 12 6 2" xfId="31650"/>
    <cellStyle name="Note 12 7" xfId="24920"/>
    <cellStyle name="Note 12 7 2" xfId="31651"/>
    <cellStyle name="Note 12 8" xfId="24921"/>
    <cellStyle name="Note 12 8 2" xfId="31652"/>
    <cellStyle name="Note 12 9" xfId="24922"/>
    <cellStyle name="Note 12 9 2" xfId="31653"/>
    <cellStyle name="Note 13" xfId="6867"/>
    <cellStyle name="Note 13 10" xfId="24923"/>
    <cellStyle name="Note 13 10 2" xfId="31654"/>
    <cellStyle name="Note 13 11" xfId="24924"/>
    <cellStyle name="Note 13 11 2" xfId="31655"/>
    <cellStyle name="Note 13 12" xfId="24925"/>
    <cellStyle name="Note 13 12 2" xfId="31656"/>
    <cellStyle name="Note 13 13" xfId="24926"/>
    <cellStyle name="Note 13 13 2" xfId="31657"/>
    <cellStyle name="Note 13 14" xfId="24927"/>
    <cellStyle name="Note 13 14 2" xfId="31658"/>
    <cellStyle name="Note 13 15" xfId="24928"/>
    <cellStyle name="Note 13 15 2" xfId="31659"/>
    <cellStyle name="Note 13 16" xfId="24929"/>
    <cellStyle name="Note 13 16 2" xfId="31660"/>
    <cellStyle name="Note 13 17" xfId="24930"/>
    <cellStyle name="Note 13 17 2" xfId="31661"/>
    <cellStyle name="Note 13 18" xfId="24931"/>
    <cellStyle name="Note 13 18 2" xfId="31662"/>
    <cellStyle name="Note 13 19" xfId="24932"/>
    <cellStyle name="Note 13 19 2" xfId="31663"/>
    <cellStyle name="Note 13 2" xfId="24933"/>
    <cellStyle name="Note 13 2 2" xfId="31664"/>
    <cellStyle name="Note 13 20" xfId="24934"/>
    <cellStyle name="Note 13 20 2" xfId="31665"/>
    <cellStyle name="Note 13 21" xfId="24935"/>
    <cellStyle name="Note 13 21 2" xfId="31666"/>
    <cellStyle name="Note 13 22" xfId="24936"/>
    <cellStyle name="Note 13 22 2" xfId="31667"/>
    <cellStyle name="Note 13 23" xfId="31668"/>
    <cellStyle name="Note 13 3" xfId="24937"/>
    <cellStyle name="Note 13 3 2" xfId="31669"/>
    <cellStyle name="Note 13 4" xfId="24938"/>
    <cellStyle name="Note 13 4 2" xfId="31670"/>
    <cellStyle name="Note 13 5" xfId="24939"/>
    <cellStyle name="Note 13 5 2" xfId="31671"/>
    <cellStyle name="Note 13 6" xfId="24940"/>
    <cellStyle name="Note 13 6 2" xfId="31672"/>
    <cellStyle name="Note 13 7" xfId="24941"/>
    <cellStyle name="Note 13 7 2" xfId="31673"/>
    <cellStyle name="Note 13 8" xfId="24942"/>
    <cellStyle name="Note 13 8 2" xfId="31674"/>
    <cellStyle name="Note 13 9" xfId="24943"/>
    <cellStyle name="Note 13 9 2" xfId="31675"/>
    <cellStyle name="Note 14" xfId="6868"/>
    <cellStyle name="Note 14 10" xfId="24944"/>
    <cellStyle name="Note 14 10 2" xfId="31676"/>
    <cellStyle name="Note 14 11" xfId="24945"/>
    <cellStyle name="Note 14 11 2" xfId="31677"/>
    <cellStyle name="Note 14 12" xfId="24946"/>
    <cellStyle name="Note 14 12 2" xfId="31678"/>
    <cellStyle name="Note 14 13" xfId="24947"/>
    <cellStyle name="Note 14 13 2" xfId="31679"/>
    <cellStyle name="Note 14 14" xfId="24948"/>
    <cellStyle name="Note 14 14 2" xfId="31680"/>
    <cellStyle name="Note 14 15" xfId="24949"/>
    <cellStyle name="Note 14 15 2" xfId="31681"/>
    <cellStyle name="Note 14 16" xfId="24950"/>
    <cellStyle name="Note 14 16 2" xfId="31682"/>
    <cellStyle name="Note 14 17" xfId="24951"/>
    <cellStyle name="Note 14 17 2" xfId="31683"/>
    <cellStyle name="Note 14 18" xfId="24952"/>
    <cellStyle name="Note 14 18 2" xfId="31684"/>
    <cellStyle name="Note 14 19" xfId="24953"/>
    <cellStyle name="Note 14 19 2" xfId="31685"/>
    <cellStyle name="Note 14 2" xfId="24954"/>
    <cellStyle name="Note 14 2 2" xfId="31686"/>
    <cellStyle name="Note 14 20" xfId="24955"/>
    <cellStyle name="Note 14 20 2" xfId="31687"/>
    <cellStyle name="Note 14 21" xfId="24956"/>
    <cellStyle name="Note 14 21 2" xfId="31688"/>
    <cellStyle name="Note 14 22" xfId="24957"/>
    <cellStyle name="Note 14 22 2" xfId="31689"/>
    <cellStyle name="Note 14 23" xfId="31690"/>
    <cellStyle name="Note 14 3" xfId="24958"/>
    <cellStyle name="Note 14 3 2" xfId="31691"/>
    <cellStyle name="Note 14 4" xfId="24959"/>
    <cellStyle name="Note 14 4 2" xfId="31692"/>
    <cellStyle name="Note 14 5" xfId="24960"/>
    <cellStyle name="Note 14 5 2" xfId="31693"/>
    <cellStyle name="Note 14 6" xfId="24961"/>
    <cellStyle name="Note 14 6 2" xfId="31694"/>
    <cellStyle name="Note 14 7" xfId="24962"/>
    <cellStyle name="Note 14 7 2" xfId="31695"/>
    <cellStyle name="Note 14 8" xfId="24963"/>
    <cellStyle name="Note 14 8 2" xfId="31696"/>
    <cellStyle name="Note 14 9" xfId="24964"/>
    <cellStyle name="Note 14 9 2" xfId="31697"/>
    <cellStyle name="Note 15" xfId="6869"/>
    <cellStyle name="Note 15 10" xfId="24965"/>
    <cellStyle name="Note 15 10 2" xfId="31698"/>
    <cellStyle name="Note 15 11" xfId="24966"/>
    <cellStyle name="Note 15 11 2" xfId="31699"/>
    <cellStyle name="Note 15 12" xfId="24967"/>
    <cellStyle name="Note 15 12 2" xfId="31700"/>
    <cellStyle name="Note 15 13" xfId="24968"/>
    <cellStyle name="Note 15 13 2" xfId="31701"/>
    <cellStyle name="Note 15 14" xfId="24969"/>
    <cellStyle name="Note 15 14 2" xfId="31702"/>
    <cellStyle name="Note 15 15" xfId="24970"/>
    <cellStyle name="Note 15 15 2" xfId="31703"/>
    <cellStyle name="Note 15 16" xfId="24971"/>
    <cellStyle name="Note 15 16 2" xfId="31704"/>
    <cellStyle name="Note 15 17" xfId="24972"/>
    <cellStyle name="Note 15 17 2" xfId="31705"/>
    <cellStyle name="Note 15 18" xfId="24973"/>
    <cellStyle name="Note 15 18 2" xfId="31706"/>
    <cellStyle name="Note 15 19" xfId="24974"/>
    <cellStyle name="Note 15 19 2" xfId="31707"/>
    <cellStyle name="Note 15 2" xfId="24975"/>
    <cellStyle name="Note 15 2 2" xfId="31708"/>
    <cellStyle name="Note 15 20" xfId="24976"/>
    <cellStyle name="Note 15 20 2" xfId="31709"/>
    <cellStyle name="Note 15 21" xfId="24977"/>
    <cellStyle name="Note 15 21 2" xfId="31710"/>
    <cellStyle name="Note 15 22" xfId="24978"/>
    <cellStyle name="Note 15 22 2" xfId="31711"/>
    <cellStyle name="Note 15 23" xfId="31712"/>
    <cellStyle name="Note 15 3" xfId="24979"/>
    <cellStyle name="Note 15 3 2" xfId="31713"/>
    <cellStyle name="Note 15 4" xfId="24980"/>
    <cellStyle name="Note 15 4 2" xfId="31714"/>
    <cellStyle name="Note 15 5" xfId="24981"/>
    <cellStyle name="Note 15 5 2" xfId="31715"/>
    <cellStyle name="Note 15 6" xfId="24982"/>
    <cellStyle name="Note 15 6 2" xfId="31716"/>
    <cellStyle name="Note 15 7" xfId="24983"/>
    <cellStyle name="Note 15 7 2" xfId="31717"/>
    <cellStyle name="Note 15 8" xfId="24984"/>
    <cellStyle name="Note 15 8 2" xfId="31718"/>
    <cellStyle name="Note 15 9" xfId="24985"/>
    <cellStyle name="Note 15 9 2" xfId="31719"/>
    <cellStyle name="Note 16" xfId="6870"/>
    <cellStyle name="Note 16 10" xfId="24986"/>
    <cellStyle name="Note 16 10 2" xfId="31720"/>
    <cellStyle name="Note 16 11" xfId="24987"/>
    <cellStyle name="Note 16 11 2" xfId="31721"/>
    <cellStyle name="Note 16 12" xfId="24988"/>
    <cellStyle name="Note 16 12 2" xfId="31722"/>
    <cellStyle name="Note 16 13" xfId="24989"/>
    <cellStyle name="Note 16 13 2" xfId="31723"/>
    <cellStyle name="Note 16 14" xfId="24990"/>
    <cellStyle name="Note 16 14 2" xfId="31724"/>
    <cellStyle name="Note 16 15" xfId="24991"/>
    <cellStyle name="Note 16 15 2" xfId="31725"/>
    <cellStyle name="Note 16 16" xfId="24992"/>
    <cellStyle name="Note 16 16 2" xfId="31726"/>
    <cellStyle name="Note 16 17" xfId="24993"/>
    <cellStyle name="Note 16 17 2" xfId="31727"/>
    <cellStyle name="Note 16 18" xfId="24994"/>
    <cellStyle name="Note 16 18 2" xfId="31728"/>
    <cellStyle name="Note 16 19" xfId="24995"/>
    <cellStyle name="Note 16 19 2" xfId="31729"/>
    <cellStyle name="Note 16 2" xfId="24996"/>
    <cellStyle name="Note 16 2 2" xfId="31730"/>
    <cellStyle name="Note 16 20" xfId="24997"/>
    <cellStyle name="Note 16 20 2" xfId="31731"/>
    <cellStyle name="Note 16 21" xfId="24998"/>
    <cellStyle name="Note 16 21 2" xfId="31732"/>
    <cellStyle name="Note 16 22" xfId="24999"/>
    <cellStyle name="Note 16 22 2" xfId="31733"/>
    <cellStyle name="Note 16 23" xfId="31734"/>
    <cellStyle name="Note 16 3" xfId="25000"/>
    <cellStyle name="Note 16 3 2" xfId="31735"/>
    <cellStyle name="Note 16 4" xfId="25001"/>
    <cellStyle name="Note 16 4 2" xfId="31736"/>
    <cellStyle name="Note 16 5" xfId="25002"/>
    <cellStyle name="Note 16 5 2" xfId="31737"/>
    <cellStyle name="Note 16 6" xfId="25003"/>
    <cellStyle name="Note 16 6 2" xfId="31738"/>
    <cellStyle name="Note 16 7" xfId="25004"/>
    <cellStyle name="Note 16 7 2" xfId="31739"/>
    <cellStyle name="Note 16 8" xfId="25005"/>
    <cellStyle name="Note 16 8 2" xfId="31740"/>
    <cellStyle name="Note 16 9" xfId="25006"/>
    <cellStyle name="Note 16 9 2" xfId="31741"/>
    <cellStyle name="Note 17" xfId="6871"/>
    <cellStyle name="Note 17 10" xfId="25007"/>
    <cellStyle name="Note 17 10 2" xfId="31742"/>
    <cellStyle name="Note 17 11" xfId="25008"/>
    <cellStyle name="Note 17 11 2" xfId="31743"/>
    <cellStyle name="Note 17 12" xfId="25009"/>
    <cellStyle name="Note 17 12 2" xfId="31744"/>
    <cellStyle name="Note 17 13" xfId="25010"/>
    <cellStyle name="Note 17 13 2" xfId="31745"/>
    <cellStyle name="Note 17 14" xfId="25011"/>
    <cellStyle name="Note 17 14 2" xfId="31746"/>
    <cellStyle name="Note 17 15" xfId="25012"/>
    <cellStyle name="Note 17 15 2" xfId="31747"/>
    <cellStyle name="Note 17 16" xfId="25013"/>
    <cellStyle name="Note 17 16 2" xfId="31748"/>
    <cellStyle name="Note 17 17" xfId="25014"/>
    <cellStyle name="Note 17 17 2" xfId="31749"/>
    <cellStyle name="Note 17 18" xfId="25015"/>
    <cellStyle name="Note 17 18 2" xfId="31750"/>
    <cellStyle name="Note 17 19" xfId="25016"/>
    <cellStyle name="Note 17 19 2" xfId="31751"/>
    <cellStyle name="Note 17 2" xfId="25017"/>
    <cellStyle name="Note 17 2 2" xfId="31752"/>
    <cellStyle name="Note 17 20" xfId="25018"/>
    <cellStyle name="Note 17 20 2" xfId="31753"/>
    <cellStyle name="Note 17 21" xfId="25019"/>
    <cellStyle name="Note 17 21 2" xfId="31754"/>
    <cellStyle name="Note 17 22" xfId="25020"/>
    <cellStyle name="Note 17 22 2" xfId="31755"/>
    <cellStyle name="Note 17 23" xfId="31756"/>
    <cellStyle name="Note 17 3" xfId="25021"/>
    <cellStyle name="Note 17 3 2" xfId="31757"/>
    <cellStyle name="Note 17 4" xfId="25022"/>
    <cellStyle name="Note 17 4 2" xfId="31758"/>
    <cellStyle name="Note 17 5" xfId="25023"/>
    <cellStyle name="Note 17 5 2" xfId="31759"/>
    <cellStyle name="Note 17 6" xfId="25024"/>
    <cellStyle name="Note 17 6 2" xfId="31760"/>
    <cellStyle name="Note 17 7" xfId="25025"/>
    <cellStyle name="Note 17 7 2" xfId="31761"/>
    <cellStyle name="Note 17 8" xfId="25026"/>
    <cellStyle name="Note 17 8 2" xfId="31762"/>
    <cellStyle name="Note 17 9" xfId="25027"/>
    <cellStyle name="Note 17 9 2" xfId="31763"/>
    <cellStyle name="Note 18" xfId="6872"/>
    <cellStyle name="Note 18 10" xfId="25028"/>
    <cellStyle name="Note 18 10 2" xfId="31764"/>
    <cellStyle name="Note 18 11" xfId="25029"/>
    <cellStyle name="Note 18 11 2" xfId="31765"/>
    <cellStyle name="Note 18 12" xfId="25030"/>
    <cellStyle name="Note 18 12 2" xfId="31766"/>
    <cellStyle name="Note 18 13" xfId="25031"/>
    <cellStyle name="Note 18 13 2" xfId="31767"/>
    <cellStyle name="Note 18 14" xfId="25032"/>
    <cellStyle name="Note 18 14 2" xfId="31768"/>
    <cellStyle name="Note 18 15" xfId="25033"/>
    <cellStyle name="Note 18 15 2" xfId="31769"/>
    <cellStyle name="Note 18 16" xfId="25034"/>
    <cellStyle name="Note 18 16 2" xfId="31770"/>
    <cellStyle name="Note 18 17" xfId="25035"/>
    <cellStyle name="Note 18 17 2" xfId="31771"/>
    <cellStyle name="Note 18 18" xfId="25036"/>
    <cellStyle name="Note 18 18 2" xfId="31772"/>
    <cellStyle name="Note 18 19" xfId="25037"/>
    <cellStyle name="Note 18 19 2" xfId="31773"/>
    <cellStyle name="Note 18 2" xfId="25038"/>
    <cellStyle name="Note 18 2 2" xfId="31774"/>
    <cellStyle name="Note 18 20" xfId="25039"/>
    <cellStyle name="Note 18 20 2" xfId="31775"/>
    <cellStyle name="Note 18 21" xfId="25040"/>
    <cellStyle name="Note 18 21 2" xfId="31776"/>
    <cellStyle name="Note 18 22" xfId="25041"/>
    <cellStyle name="Note 18 22 2" xfId="31777"/>
    <cellStyle name="Note 18 23" xfId="31778"/>
    <cellStyle name="Note 18 3" xfId="25042"/>
    <cellStyle name="Note 18 3 2" xfId="31779"/>
    <cellStyle name="Note 18 4" xfId="25043"/>
    <cellStyle name="Note 18 4 2" xfId="31780"/>
    <cellStyle name="Note 18 5" xfId="25044"/>
    <cellStyle name="Note 18 5 2" xfId="31781"/>
    <cellStyle name="Note 18 6" xfId="25045"/>
    <cellStyle name="Note 18 6 2" xfId="31782"/>
    <cellStyle name="Note 18 7" xfId="25046"/>
    <cellStyle name="Note 18 7 2" xfId="31783"/>
    <cellStyle name="Note 18 8" xfId="25047"/>
    <cellStyle name="Note 18 8 2" xfId="31784"/>
    <cellStyle name="Note 18 9" xfId="25048"/>
    <cellStyle name="Note 18 9 2" xfId="31785"/>
    <cellStyle name="Note 19" xfId="6873"/>
    <cellStyle name="Note 19 10" xfId="25049"/>
    <cellStyle name="Note 19 10 2" xfId="31786"/>
    <cellStyle name="Note 19 11" xfId="25050"/>
    <cellStyle name="Note 19 11 2" xfId="31787"/>
    <cellStyle name="Note 19 12" xfId="25051"/>
    <cellStyle name="Note 19 12 2" xfId="31788"/>
    <cellStyle name="Note 19 13" xfId="25052"/>
    <cellStyle name="Note 19 13 2" xfId="31789"/>
    <cellStyle name="Note 19 14" xfId="25053"/>
    <cellStyle name="Note 19 14 2" xfId="31790"/>
    <cellStyle name="Note 19 15" xfId="25054"/>
    <cellStyle name="Note 19 15 2" xfId="31791"/>
    <cellStyle name="Note 19 16" xfId="25055"/>
    <cellStyle name="Note 19 16 2" xfId="31792"/>
    <cellStyle name="Note 19 17" xfId="25056"/>
    <cellStyle name="Note 19 17 2" xfId="31793"/>
    <cellStyle name="Note 19 18" xfId="25057"/>
    <cellStyle name="Note 19 18 2" xfId="31794"/>
    <cellStyle name="Note 19 19" xfId="25058"/>
    <cellStyle name="Note 19 19 2" xfId="31795"/>
    <cellStyle name="Note 19 2" xfId="25059"/>
    <cellStyle name="Note 19 2 2" xfId="31796"/>
    <cellStyle name="Note 19 20" xfId="25060"/>
    <cellStyle name="Note 19 20 2" xfId="31797"/>
    <cellStyle name="Note 19 21" xfId="25061"/>
    <cellStyle name="Note 19 21 2" xfId="31798"/>
    <cellStyle name="Note 19 22" xfId="25062"/>
    <cellStyle name="Note 19 22 2" xfId="31799"/>
    <cellStyle name="Note 19 23" xfId="31800"/>
    <cellStyle name="Note 19 3" xfId="25063"/>
    <cellStyle name="Note 19 3 2" xfId="31801"/>
    <cellStyle name="Note 19 4" xfId="25064"/>
    <cellStyle name="Note 19 4 2" xfId="31802"/>
    <cellStyle name="Note 19 5" xfId="25065"/>
    <cellStyle name="Note 19 5 2" xfId="31803"/>
    <cellStyle name="Note 19 6" xfId="25066"/>
    <cellStyle name="Note 19 6 2" xfId="31804"/>
    <cellStyle name="Note 19 7" xfId="25067"/>
    <cellStyle name="Note 19 7 2" xfId="31805"/>
    <cellStyle name="Note 19 8" xfId="25068"/>
    <cellStyle name="Note 19 8 2" xfId="31806"/>
    <cellStyle name="Note 19 9" xfId="25069"/>
    <cellStyle name="Note 19 9 2" xfId="31807"/>
    <cellStyle name="Note 2" xfId="6874"/>
    <cellStyle name="Note 2 10" xfId="25070"/>
    <cellStyle name="Note 2 10 2" xfId="31808"/>
    <cellStyle name="Note 2 11" xfId="25071"/>
    <cellStyle name="Note 2 11 2" xfId="31809"/>
    <cellStyle name="Note 2 12" xfId="25072"/>
    <cellStyle name="Note 2 12 2" xfId="31810"/>
    <cellStyle name="Note 2 13" xfId="25073"/>
    <cellStyle name="Note 2 13 2" xfId="31811"/>
    <cellStyle name="Note 2 14" xfId="25074"/>
    <cellStyle name="Note 2 14 2" xfId="31812"/>
    <cellStyle name="Note 2 15" xfId="25075"/>
    <cellStyle name="Note 2 15 2" xfId="31813"/>
    <cellStyle name="Note 2 16" xfId="25076"/>
    <cellStyle name="Note 2 16 2" xfId="31814"/>
    <cellStyle name="Note 2 17" xfId="25077"/>
    <cellStyle name="Note 2 17 2" xfId="31815"/>
    <cellStyle name="Note 2 18" xfId="25078"/>
    <cellStyle name="Note 2 18 2" xfId="31816"/>
    <cellStyle name="Note 2 19" xfId="25079"/>
    <cellStyle name="Note 2 19 2" xfId="31817"/>
    <cellStyle name="Note 2 2" xfId="6875"/>
    <cellStyle name="Note 2 2 10" xfId="25080"/>
    <cellStyle name="Note 2 2 10 2" xfId="31818"/>
    <cellStyle name="Note 2 2 11" xfId="25081"/>
    <cellStyle name="Note 2 2 11 2" xfId="31819"/>
    <cellStyle name="Note 2 2 12" xfId="25082"/>
    <cellStyle name="Note 2 2 12 2" xfId="31820"/>
    <cellStyle name="Note 2 2 13" xfId="25083"/>
    <cellStyle name="Note 2 2 13 2" xfId="31821"/>
    <cellStyle name="Note 2 2 14" xfId="25084"/>
    <cellStyle name="Note 2 2 14 2" xfId="31822"/>
    <cellStyle name="Note 2 2 15" xfId="25085"/>
    <cellStyle name="Note 2 2 15 2" xfId="31823"/>
    <cellStyle name="Note 2 2 16" xfId="25086"/>
    <cellStyle name="Note 2 2 16 2" xfId="31824"/>
    <cellStyle name="Note 2 2 17" xfId="25087"/>
    <cellStyle name="Note 2 2 17 2" xfId="31825"/>
    <cellStyle name="Note 2 2 18" xfId="25088"/>
    <cellStyle name="Note 2 2 18 2" xfId="31826"/>
    <cellStyle name="Note 2 2 19" xfId="25089"/>
    <cellStyle name="Note 2 2 19 2" xfId="31827"/>
    <cellStyle name="Note 2 2 2" xfId="25090"/>
    <cellStyle name="Note 2 2 2 2" xfId="31828"/>
    <cellStyle name="Note 2 2 20" xfId="25091"/>
    <cellStyle name="Note 2 2 20 2" xfId="31829"/>
    <cellStyle name="Note 2 2 21" xfId="25092"/>
    <cellStyle name="Note 2 2 21 2" xfId="31830"/>
    <cellStyle name="Note 2 2 22" xfId="25093"/>
    <cellStyle name="Note 2 2 22 2" xfId="31831"/>
    <cellStyle name="Note 2 2 23" xfId="31832"/>
    <cellStyle name="Note 2 2 3" xfId="25094"/>
    <cellStyle name="Note 2 2 3 2" xfId="31833"/>
    <cellStyle name="Note 2 2 4" xfId="25095"/>
    <cellStyle name="Note 2 2 4 2" xfId="31834"/>
    <cellStyle name="Note 2 2 5" xfId="25096"/>
    <cellStyle name="Note 2 2 5 2" xfId="31835"/>
    <cellStyle name="Note 2 2 6" xfId="25097"/>
    <cellStyle name="Note 2 2 6 2" xfId="31836"/>
    <cellStyle name="Note 2 2 7" xfId="25098"/>
    <cellStyle name="Note 2 2 7 2" xfId="31837"/>
    <cellStyle name="Note 2 2 8" xfId="25099"/>
    <cellStyle name="Note 2 2 8 2" xfId="31838"/>
    <cellStyle name="Note 2 2 9" xfId="25100"/>
    <cellStyle name="Note 2 2 9 2" xfId="31839"/>
    <cellStyle name="Note 2 20" xfId="25101"/>
    <cellStyle name="Note 2 20 2" xfId="31840"/>
    <cellStyle name="Note 2 21" xfId="25102"/>
    <cellStyle name="Note 2 21 2" xfId="31841"/>
    <cellStyle name="Note 2 22" xfId="25103"/>
    <cellStyle name="Note 2 22 2" xfId="31842"/>
    <cellStyle name="Note 2 23" xfId="25104"/>
    <cellStyle name="Note 2 23 2" xfId="31843"/>
    <cellStyle name="Note 2 24" xfId="25105"/>
    <cellStyle name="Note 2 24 2" xfId="31844"/>
    <cellStyle name="Note 2 25" xfId="25106"/>
    <cellStyle name="Note 2 25 2" xfId="31845"/>
    <cellStyle name="Note 2 26" xfId="25107"/>
    <cellStyle name="Note 2 26 2" xfId="31846"/>
    <cellStyle name="Note 2 27" xfId="25108"/>
    <cellStyle name="Note 2 27 2" xfId="31847"/>
    <cellStyle name="Note 2 28" xfId="31848"/>
    <cellStyle name="Note 2 3" xfId="6876"/>
    <cellStyle name="Note 2 3 10" xfId="25109"/>
    <cellStyle name="Note 2 3 10 2" xfId="31849"/>
    <cellStyle name="Note 2 3 11" xfId="25110"/>
    <cellStyle name="Note 2 3 11 2" xfId="31850"/>
    <cellStyle name="Note 2 3 12" xfId="25111"/>
    <cellStyle name="Note 2 3 12 2" xfId="31851"/>
    <cellStyle name="Note 2 3 13" xfId="25112"/>
    <cellStyle name="Note 2 3 13 2" xfId="31852"/>
    <cellStyle name="Note 2 3 14" xfId="25113"/>
    <cellStyle name="Note 2 3 14 2" xfId="31853"/>
    <cellStyle name="Note 2 3 15" xfId="25114"/>
    <cellStyle name="Note 2 3 15 2" xfId="31854"/>
    <cellStyle name="Note 2 3 16" xfId="25115"/>
    <cellStyle name="Note 2 3 16 2" xfId="31855"/>
    <cellStyle name="Note 2 3 17" xfId="25116"/>
    <cellStyle name="Note 2 3 17 2" xfId="31856"/>
    <cellStyle name="Note 2 3 18" xfId="25117"/>
    <cellStyle name="Note 2 3 18 2" xfId="31857"/>
    <cellStyle name="Note 2 3 19" xfId="25118"/>
    <cellStyle name="Note 2 3 19 2" xfId="31858"/>
    <cellStyle name="Note 2 3 2" xfId="25119"/>
    <cellStyle name="Note 2 3 2 2" xfId="31859"/>
    <cellStyle name="Note 2 3 20" xfId="25120"/>
    <cellStyle name="Note 2 3 20 2" xfId="31860"/>
    <cellStyle name="Note 2 3 21" xfId="25121"/>
    <cellStyle name="Note 2 3 21 2" xfId="31861"/>
    <cellStyle name="Note 2 3 22" xfId="25122"/>
    <cellStyle name="Note 2 3 22 2" xfId="31862"/>
    <cellStyle name="Note 2 3 23" xfId="31863"/>
    <cellStyle name="Note 2 3 3" xfId="25123"/>
    <cellStyle name="Note 2 3 3 2" xfId="31864"/>
    <cellStyle name="Note 2 3 4" xfId="25124"/>
    <cellStyle name="Note 2 3 4 2" xfId="31865"/>
    <cellStyle name="Note 2 3 5" xfId="25125"/>
    <cellStyle name="Note 2 3 5 2" xfId="31866"/>
    <cellStyle name="Note 2 3 6" xfId="25126"/>
    <cellStyle name="Note 2 3 6 2" xfId="31867"/>
    <cellStyle name="Note 2 3 7" xfId="25127"/>
    <cellStyle name="Note 2 3 7 2" xfId="31868"/>
    <cellStyle name="Note 2 3 8" xfId="25128"/>
    <cellStyle name="Note 2 3 8 2" xfId="31869"/>
    <cellStyle name="Note 2 3 9" xfId="25129"/>
    <cellStyle name="Note 2 3 9 2" xfId="31870"/>
    <cellStyle name="Note 2 4" xfId="6877"/>
    <cellStyle name="Note 2 4 10" xfId="25130"/>
    <cellStyle name="Note 2 4 10 2" xfId="31871"/>
    <cellStyle name="Note 2 4 11" xfId="25131"/>
    <cellStyle name="Note 2 4 11 2" xfId="31872"/>
    <cellStyle name="Note 2 4 12" xfId="25132"/>
    <cellStyle name="Note 2 4 12 2" xfId="31873"/>
    <cellStyle name="Note 2 4 13" xfId="25133"/>
    <cellStyle name="Note 2 4 13 2" xfId="31874"/>
    <cellStyle name="Note 2 4 14" xfId="25134"/>
    <cellStyle name="Note 2 4 14 2" xfId="31875"/>
    <cellStyle name="Note 2 4 15" xfId="25135"/>
    <cellStyle name="Note 2 4 15 2" xfId="31876"/>
    <cellStyle name="Note 2 4 16" xfId="25136"/>
    <cellStyle name="Note 2 4 16 2" xfId="31877"/>
    <cellStyle name="Note 2 4 17" xfId="25137"/>
    <cellStyle name="Note 2 4 17 2" xfId="31878"/>
    <cellStyle name="Note 2 4 18" xfId="25138"/>
    <cellStyle name="Note 2 4 18 2" xfId="31879"/>
    <cellStyle name="Note 2 4 19" xfId="25139"/>
    <cellStyle name="Note 2 4 19 2" xfId="31880"/>
    <cellStyle name="Note 2 4 2" xfId="25140"/>
    <cellStyle name="Note 2 4 2 2" xfId="31881"/>
    <cellStyle name="Note 2 4 20" xfId="25141"/>
    <cellStyle name="Note 2 4 20 2" xfId="31882"/>
    <cellStyle name="Note 2 4 21" xfId="25142"/>
    <cellStyle name="Note 2 4 21 2" xfId="31883"/>
    <cellStyle name="Note 2 4 22" xfId="25143"/>
    <cellStyle name="Note 2 4 22 2" xfId="31884"/>
    <cellStyle name="Note 2 4 23" xfId="31885"/>
    <cellStyle name="Note 2 4 3" xfId="25144"/>
    <cellStyle name="Note 2 4 3 2" xfId="31886"/>
    <cellStyle name="Note 2 4 4" xfId="25145"/>
    <cellStyle name="Note 2 4 4 2" xfId="31887"/>
    <cellStyle name="Note 2 4 5" xfId="25146"/>
    <cellStyle name="Note 2 4 5 2" xfId="31888"/>
    <cellStyle name="Note 2 4 6" xfId="25147"/>
    <cellStyle name="Note 2 4 6 2" xfId="31889"/>
    <cellStyle name="Note 2 4 7" xfId="25148"/>
    <cellStyle name="Note 2 4 7 2" xfId="31890"/>
    <cellStyle name="Note 2 4 8" xfId="25149"/>
    <cellStyle name="Note 2 4 8 2" xfId="31891"/>
    <cellStyle name="Note 2 4 9" xfId="25150"/>
    <cellStyle name="Note 2 4 9 2" xfId="31892"/>
    <cellStyle name="Note 2 5" xfId="6878"/>
    <cellStyle name="Note 2 5 10" xfId="25151"/>
    <cellStyle name="Note 2 5 10 2" xfId="31893"/>
    <cellStyle name="Note 2 5 11" xfId="25152"/>
    <cellStyle name="Note 2 5 11 2" xfId="31894"/>
    <cellStyle name="Note 2 5 12" xfId="25153"/>
    <cellStyle name="Note 2 5 12 2" xfId="31895"/>
    <cellStyle name="Note 2 5 13" xfId="25154"/>
    <cellStyle name="Note 2 5 13 2" xfId="31896"/>
    <cellStyle name="Note 2 5 14" xfId="25155"/>
    <cellStyle name="Note 2 5 14 2" xfId="31897"/>
    <cellStyle name="Note 2 5 15" xfId="25156"/>
    <cellStyle name="Note 2 5 15 2" xfId="31898"/>
    <cellStyle name="Note 2 5 16" xfId="25157"/>
    <cellStyle name="Note 2 5 16 2" xfId="31899"/>
    <cellStyle name="Note 2 5 17" xfId="25158"/>
    <cellStyle name="Note 2 5 17 2" xfId="31900"/>
    <cellStyle name="Note 2 5 18" xfId="25159"/>
    <cellStyle name="Note 2 5 18 2" xfId="31901"/>
    <cellStyle name="Note 2 5 19" xfId="25160"/>
    <cellStyle name="Note 2 5 19 2" xfId="31902"/>
    <cellStyle name="Note 2 5 2" xfId="25161"/>
    <cellStyle name="Note 2 5 2 2" xfId="31903"/>
    <cellStyle name="Note 2 5 20" xfId="25162"/>
    <cellStyle name="Note 2 5 20 2" xfId="31904"/>
    <cellStyle name="Note 2 5 21" xfId="25163"/>
    <cellStyle name="Note 2 5 21 2" xfId="31905"/>
    <cellStyle name="Note 2 5 22" xfId="25164"/>
    <cellStyle name="Note 2 5 22 2" xfId="31906"/>
    <cellStyle name="Note 2 5 23" xfId="31907"/>
    <cellStyle name="Note 2 5 3" xfId="25165"/>
    <cellStyle name="Note 2 5 3 2" xfId="31908"/>
    <cellStyle name="Note 2 5 4" xfId="25166"/>
    <cellStyle name="Note 2 5 4 2" xfId="31909"/>
    <cellStyle name="Note 2 5 5" xfId="25167"/>
    <cellStyle name="Note 2 5 5 2" xfId="31910"/>
    <cellStyle name="Note 2 5 6" xfId="25168"/>
    <cellStyle name="Note 2 5 6 2" xfId="31911"/>
    <cellStyle name="Note 2 5 7" xfId="25169"/>
    <cellStyle name="Note 2 5 7 2" xfId="31912"/>
    <cellStyle name="Note 2 5 8" xfId="25170"/>
    <cellStyle name="Note 2 5 8 2" xfId="31913"/>
    <cellStyle name="Note 2 5 9" xfId="25171"/>
    <cellStyle name="Note 2 5 9 2" xfId="31914"/>
    <cellStyle name="Note 2 6" xfId="6879"/>
    <cellStyle name="Note 2 6 10" xfId="25172"/>
    <cellStyle name="Note 2 6 10 2" xfId="31915"/>
    <cellStyle name="Note 2 6 11" xfId="25173"/>
    <cellStyle name="Note 2 6 11 2" xfId="31916"/>
    <cellStyle name="Note 2 6 12" xfId="25174"/>
    <cellStyle name="Note 2 6 12 2" xfId="31917"/>
    <cellStyle name="Note 2 6 13" xfId="25175"/>
    <cellStyle name="Note 2 6 13 2" xfId="31918"/>
    <cellStyle name="Note 2 6 14" xfId="25176"/>
    <cellStyle name="Note 2 6 14 2" xfId="31919"/>
    <cellStyle name="Note 2 6 15" xfId="25177"/>
    <cellStyle name="Note 2 6 15 2" xfId="31920"/>
    <cellStyle name="Note 2 6 16" xfId="25178"/>
    <cellStyle name="Note 2 6 16 2" xfId="31921"/>
    <cellStyle name="Note 2 6 17" xfId="25179"/>
    <cellStyle name="Note 2 6 17 2" xfId="31922"/>
    <cellStyle name="Note 2 6 18" xfId="25180"/>
    <cellStyle name="Note 2 6 18 2" xfId="31923"/>
    <cellStyle name="Note 2 6 19" xfId="25181"/>
    <cellStyle name="Note 2 6 19 2" xfId="31924"/>
    <cellStyle name="Note 2 6 2" xfId="25182"/>
    <cellStyle name="Note 2 6 2 2" xfId="31925"/>
    <cellStyle name="Note 2 6 20" xfId="25183"/>
    <cellStyle name="Note 2 6 20 2" xfId="31926"/>
    <cellStyle name="Note 2 6 21" xfId="25184"/>
    <cellStyle name="Note 2 6 21 2" xfId="31927"/>
    <cellStyle name="Note 2 6 22" xfId="25185"/>
    <cellStyle name="Note 2 6 22 2" xfId="31928"/>
    <cellStyle name="Note 2 6 23" xfId="31929"/>
    <cellStyle name="Note 2 6 3" xfId="25186"/>
    <cellStyle name="Note 2 6 3 2" xfId="31930"/>
    <cellStyle name="Note 2 6 4" xfId="25187"/>
    <cellStyle name="Note 2 6 4 2" xfId="31931"/>
    <cellStyle name="Note 2 6 5" xfId="25188"/>
    <cellStyle name="Note 2 6 5 2" xfId="31932"/>
    <cellStyle name="Note 2 6 6" xfId="25189"/>
    <cellStyle name="Note 2 6 6 2" xfId="31933"/>
    <cellStyle name="Note 2 6 7" xfId="25190"/>
    <cellStyle name="Note 2 6 7 2" xfId="31934"/>
    <cellStyle name="Note 2 6 8" xfId="25191"/>
    <cellStyle name="Note 2 6 8 2" xfId="31935"/>
    <cellStyle name="Note 2 6 9" xfId="25192"/>
    <cellStyle name="Note 2 6 9 2" xfId="31936"/>
    <cellStyle name="Note 2 7" xfId="25193"/>
    <cellStyle name="Note 2 7 2" xfId="31937"/>
    <cellStyle name="Note 2 8" xfId="25194"/>
    <cellStyle name="Note 2 8 2" xfId="31938"/>
    <cellStyle name="Note 2 9" xfId="25195"/>
    <cellStyle name="Note 2 9 2" xfId="31939"/>
    <cellStyle name="Note 20" xfId="6880"/>
    <cellStyle name="Note 20 10" xfId="25196"/>
    <cellStyle name="Note 20 10 2" xfId="31940"/>
    <cellStyle name="Note 20 11" xfId="25197"/>
    <cellStyle name="Note 20 11 2" xfId="31941"/>
    <cellStyle name="Note 20 12" xfId="25198"/>
    <cellStyle name="Note 20 12 2" xfId="31942"/>
    <cellStyle name="Note 20 13" xfId="25199"/>
    <cellStyle name="Note 20 13 2" xfId="31943"/>
    <cellStyle name="Note 20 14" xfId="25200"/>
    <cellStyle name="Note 20 14 2" xfId="31944"/>
    <cellStyle name="Note 20 15" xfId="25201"/>
    <cellStyle name="Note 20 15 2" xfId="31945"/>
    <cellStyle name="Note 20 16" xfId="25202"/>
    <cellStyle name="Note 20 16 2" xfId="31946"/>
    <cellStyle name="Note 20 17" xfId="25203"/>
    <cellStyle name="Note 20 17 2" xfId="31947"/>
    <cellStyle name="Note 20 18" xfId="25204"/>
    <cellStyle name="Note 20 18 2" xfId="31948"/>
    <cellStyle name="Note 20 19" xfId="25205"/>
    <cellStyle name="Note 20 19 2" xfId="31949"/>
    <cellStyle name="Note 20 2" xfId="25206"/>
    <cellStyle name="Note 20 2 2" xfId="31950"/>
    <cellStyle name="Note 20 20" xfId="25207"/>
    <cellStyle name="Note 20 20 2" xfId="31951"/>
    <cellStyle name="Note 20 21" xfId="25208"/>
    <cellStyle name="Note 20 21 2" xfId="31952"/>
    <cellStyle name="Note 20 22" xfId="25209"/>
    <cellStyle name="Note 20 22 2" xfId="31953"/>
    <cellStyle name="Note 20 23" xfId="31954"/>
    <cellStyle name="Note 20 3" xfId="25210"/>
    <cellStyle name="Note 20 3 2" xfId="31955"/>
    <cellStyle name="Note 20 4" xfId="25211"/>
    <cellStyle name="Note 20 4 2" xfId="31956"/>
    <cellStyle name="Note 20 5" xfId="25212"/>
    <cellStyle name="Note 20 5 2" xfId="31957"/>
    <cellStyle name="Note 20 6" xfId="25213"/>
    <cellStyle name="Note 20 6 2" xfId="31958"/>
    <cellStyle name="Note 20 7" xfId="25214"/>
    <cellStyle name="Note 20 7 2" xfId="31959"/>
    <cellStyle name="Note 20 8" xfId="25215"/>
    <cellStyle name="Note 20 8 2" xfId="31960"/>
    <cellStyle name="Note 20 9" xfId="25216"/>
    <cellStyle name="Note 20 9 2" xfId="31961"/>
    <cellStyle name="Note 21" xfId="6881"/>
    <cellStyle name="Note 21 10" xfId="25217"/>
    <cellStyle name="Note 21 10 2" xfId="31962"/>
    <cellStyle name="Note 21 11" xfId="25218"/>
    <cellStyle name="Note 21 11 2" xfId="31963"/>
    <cellStyle name="Note 21 12" xfId="25219"/>
    <cellStyle name="Note 21 12 2" xfId="31964"/>
    <cellStyle name="Note 21 13" xfId="25220"/>
    <cellStyle name="Note 21 13 2" xfId="31965"/>
    <cellStyle name="Note 21 14" xfId="25221"/>
    <cellStyle name="Note 21 14 2" xfId="31966"/>
    <cellStyle name="Note 21 15" xfId="25222"/>
    <cellStyle name="Note 21 15 2" xfId="31967"/>
    <cellStyle name="Note 21 16" xfId="25223"/>
    <cellStyle name="Note 21 16 2" xfId="31968"/>
    <cellStyle name="Note 21 17" xfId="25224"/>
    <cellStyle name="Note 21 17 2" xfId="31969"/>
    <cellStyle name="Note 21 18" xfId="25225"/>
    <cellStyle name="Note 21 18 2" xfId="31970"/>
    <cellStyle name="Note 21 19" xfId="25226"/>
    <cellStyle name="Note 21 19 2" xfId="31971"/>
    <cellStyle name="Note 21 2" xfId="25227"/>
    <cellStyle name="Note 21 2 2" xfId="31972"/>
    <cellStyle name="Note 21 20" xfId="25228"/>
    <cellStyle name="Note 21 20 2" xfId="31973"/>
    <cellStyle name="Note 21 21" xfId="25229"/>
    <cellStyle name="Note 21 21 2" xfId="31974"/>
    <cellStyle name="Note 21 22" xfId="25230"/>
    <cellStyle name="Note 21 22 2" xfId="31975"/>
    <cellStyle name="Note 21 23" xfId="31976"/>
    <cellStyle name="Note 21 3" xfId="25231"/>
    <cellStyle name="Note 21 3 2" xfId="31977"/>
    <cellStyle name="Note 21 4" xfId="25232"/>
    <cellStyle name="Note 21 4 2" xfId="31978"/>
    <cellStyle name="Note 21 5" xfId="25233"/>
    <cellStyle name="Note 21 5 2" xfId="31979"/>
    <cellStyle name="Note 21 6" xfId="25234"/>
    <cellStyle name="Note 21 6 2" xfId="31980"/>
    <cellStyle name="Note 21 7" xfId="25235"/>
    <cellStyle name="Note 21 7 2" xfId="31981"/>
    <cellStyle name="Note 21 8" xfId="25236"/>
    <cellStyle name="Note 21 8 2" xfId="31982"/>
    <cellStyle name="Note 21 9" xfId="25237"/>
    <cellStyle name="Note 21 9 2" xfId="31983"/>
    <cellStyle name="Note 22" xfId="6882"/>
    <cellStyle name="Note 22 10" xfId="25238"/>
    <cellStyle name="Note 22 10 2" xfId="31984"/>
    <cellStyle name="Note 22 11" xfId="25239"/>
    <cellStyle name="Note 22 11 2" xfId="31985"/>
    <cellStyle name="Note 22 12" xfId="25240"/>
    <cellStyle name="Note 22 12 2" xfId="31986"/>
    <cellStyle name="Note 22 13" xfId="25241"/>
    <cellStyle name="Note 22 13 2" xfId="31987"/>
    <cellStyle name="Note 22 14" xfId="25242"/>
    <cellStyle name="Note 22 14 2" xfId="31988"/>
    <cellStyle name="Note 22 15" xfId="25243"/>
    <cellStyle name="Note 22 15 2" xfId="31989"/>
    <cellStyle name="Note 22 16" xfId="25244"/>
    <cellStyle name="Note 22 16 2" xfId="31990"/>
    <cellStyle name="Note 22 17" xfId="25245"/>
    <cellStyle name="Note 22 17 2" xfId="31991"/>
    <cellStyle name="Note 22 18" xfId="25246"/>
    <cellStyle name="Note 22 18 2" xfId="31992"/>
    <cellStyle name="Note 22 19" xfId="25247"/>
    <cellStyle name="Note 22 19 2" xfId="31993"/>
    <cellStyle name="Note 22 2" xfId="25248"/>
    <cellStyle name="Note 22 2 2" xfId="31994"/>
    <cellStyle name="Note 22 20" xfId="25249"/>
    <cellStyle name="Note 22 20 2" xfId="31995"/>
    <cellStyle name="Note 22 21" xfId="25250"/>
    <cellStyle name="Note 22 21 2" xfId="31996"/>
    <cellStyle name="Note 22 22" xfId="25251"/>
    <cellStyle name="Note 22 22 2" xfId="31997"/>
    <cellStyle name="Note 22 23" xfId="31998"/>
    <cellStyle name="Note 22 3" xfId="25252"/>
    <cellStyle name="Note 22 3 2" xfId="31999"/>
    <cellStyle name="Note 22 4" xfId="25253"/>
    <cellStyle name="Note 22 4 2" xfId="32000"/>
    <cellStyle name="Note 22 5" xfId="25254"/>
    <cellStyle name="Note 22 5 2" xfId="32001"/>
    <cellStyle name="Note 22 6" xfId="25255"/>
    <cellStyle name="Note 22 6 2" xfId="32002"/>
    <cellStyle name="Note 22 7" xfId="25256"/>
    <cellStyle name="Note 22 7 2" xfId="32003"/>
    <cellStyle name="Note 22 8" xfId="25257"/>
    <cellStyle name="Note 22 8 2" xfId="32004"/>
    <cellStyle name="Note 22 9" xfId="25258"/>
    <cellStyle name="Note 22 9 2" xfId="32005"/>
    <cellStyle name="Note 23" xfId="6883"/>
    <cellStyle name="Note 23 10" xfId="25259"/>
    <cellStyle name="Note 23 10 2" xfId="32006"/>
    <cellStyle name="Note 23 11" xfId="25260"/>
    <cellStyle name="Note 23 11 2" xfId="32007"/>
    <cellStyle name="Note 23 12" xfId="25261"/>
    <cellStyle name="Note 23 12 2" xfId="32008"/>
    <cellStyle name="Note 23 13" xfId="25262"/>
    <cellStyle name="Note 23 13 2" xfId="32009"/>
    <cellStyle name="Note 23 14" xfId="25263"/>
    <cellStyle name="Note 23 14 2" xfId="32010"/>
    <cellStyle name="Note 23 15" xfId="25264"/>
    <cellStyle name="Note 23 15 2" xfId="32011"/>
    <cellStyle name="Note 23 16" xfId="25265"/>
    <cellStyle name="Note 23 16 2" xfId="32012"/>
    <cellStyle name="Note 23 17" xfId="25266"/>
    <cellStyle name="Note 23 17 2" xfId="32013"/>
    <cellStyle name="Note 23 18" xfId="25267"/>
    <cellStyle name="Note 23 18 2" xfId="32014"/>
    <cellStyle name="Note 23 19" xfId="25268"/>
    <cellStyle name="Note 23 19 2" xfId="32015"/>
    <cellStyle name="Note 23 2" xfId="25269"/>
    <cellStyle name="Note 23 2 2" xfId="32016"/>
    <cellStyle name="Note 23 20" xfId="25270"/>
    <cellStyle name="Note 23 20 2" xfId="32017"/>
    <cellStyle name="Note 23 21" xfId="25271"/>
    <cellStyle name="Note 23 21 2" xfId="32018"/>
    <cellStyle name="Note 23 22" xfId="25272"/>
    <cellStyle name="Note 23 22 2" xfId="32019"/>
    <cellStyle name="Note 23 23" xfId="32020"/>
    <cellStyle name="Note 23 3" xfId="25273"/>
    <cellStyle name="Note 23 3 2" xfId="32021"/>
    <cellStyle name="Note 23 4" xfId="25274"/>
    <cellStyle name="Note 23 4 2" xfId="32022"/>
    <cellStyle name="Note 23 5" xfId="25275"/>
    <cellStyle name="Note 23 5 2" xfId="32023"/>
    <cellStyle name="Note 23 6" xfId="25276"/>
    <cellStyle name="Note 23 6 2" xfId="32024"/>
    <cellStyle name="Note 23 7" xfId="25277"/>
    <cellStyle name="Note 23 7 2" xfId="32025"/>
    <cellStyle name="Note 23 8" xfId="25278"/>
    <cellStyle name="Note 23 8 2" xfId="32026"/>
    <cellStyle name="Note 23 9" xfId="25279"/>
    <cellStyle name="Note 23 9 2" xfId="32027"/>
    <cellStyle name="Note 24" xfId="6884"/>
    <cellStyle name="Note 24 10" xfId="25280"/>
    <cellStyle name="Note 24 10 2" xfId="32028"/>
    <cellStyle name="Note 24 11" xfId="25281"/>
    <cellStyle name="Note 24 11 2" xfId="32029"/>
    <cellStyle name="Note 24 12" xfId="25282"/>
    <cellStyle name="Note 24 12 2" xfId="32030"/>
    <cellStyle name="Note 24 13" xfId="25283"/>
    <cellStyle name="Note 24 13 2" xfId="32031"/>
    <cellStyle name="Note 24 14" xfId="25284"/>
    <cellStyle name="Note 24 14 2" xfId="32032"/>
    <cellStyle name="Note 24 15" xfId="25285"/>
    <cellStyle name="Note 24 15 2" xfId="32033"/>
    <cellStyle name="Note 24 16" xfId="25286"/>
    <cellStyle name="Note 24 16 2" xfId="32034"/>
    <cellStyle name="Note 24 17" xfId="25287"/>
    <cellStyle name="Note 24 17 2" xfId="32035"/>
    <cellStyle name="Note 24 18" xfId="25288"/>
    <cellStyle name="Note 24 18 2" xfId="32036"/>
    <cellStyle name="Note 24 19" xfId="25289"/>
    <cellStyle name="Note 24 19 2" xfId="32037"/>
    <cellStyle name="Note 24 2" xfId="25290"/>
    <cellStyle name="Note 24 2 2" xfId="32038"/>
    <cellStyle name="Note 24 20" xfId="25291"/>
    <cellStyle name="Note 24 20 2" xfId="32039"/>
    <cellStyle name="Note 24 21" xfId="25292"/>
    <cellStyle name="Note 24 21 2" xfId="32040"/>
    <cellStyle name="Note 24 22" xfId="25293"/>
    <cellStyle name="Note 24 22 2" xfId="32041"/>
    <cellStyle name="Note 24 23" xfId="32042"/>
    <cellStyle name="Note 24 3" xfId="25294"/>
    <cellStyle name="Note 24 3 2" xfId="32043"/>
    <cellStyle name="Note 24 4" xfId="25295"/>
    <cellStyle name="Note 24 4 2" xfId="32044"/>
    <cellStyle name="Note 24 5" xfId="25296"/>
    <cellStyle name="Note 24 5 2" xfId="32045"/>
    <cellStyle name="Note 24 6" xfId="25297"/>
    <cellStyle name="Note 24 6 2" xfId="32046"/>
    <cellStyle name="Note 24 7" xfId="25298"/>
    <cellStyle name="Note 24 7 2" xfId="32047"/>
    <cellStyle name="Note 24 8" xfId="25299"/>
    <cellStyle name="Note 24 8 2" xfId="32048"/>
    <cellStyle name="Note 24 9" xfId="25300"/>
    <cellStyle name="Note 24 9 2" xfId="32049"/>
    <cellStyle name="Note 25" xfId="6885"/>
    <cellStyle name="Note 25 10" xfId="25301"/>
    <cellStyle name="Note 25 10 2" xfId="32050"/>
    <cellStyle name="Note 25 11" xfId="25302"/>
    <cellStyle name="Note 25 11 2" xfId="32051"/>
    <cellStyle name="Note 25 12" xfId="25303"/>
    <cellStyle name="Note 25 12 2" xfId="32052"/>
    <cellStyle name="Note 25 13" xfId="25304"/>
    <cellStyle name="Note 25 13 2" xfId="32053"/>
    <cellStyle name="Note 25 14" xfId="25305"/>
    <cellStyle name="Note 25 14 2" xfId="32054"/>
    <cellStyle name="Note 25 15" xfId="25306"/>
    <cellStyle name="Note 25 15 2" xfId="32055"/>
    <cellStyle name="Note 25 16" xfId="25307"/>
    <cellStyle name="Note 25 16 2" xfId="32056"/>
    <cellStyle name="Note 25 17" xfId="25308"/>
    <cellStyle name="Note 25 17 2" xfId="32057"/>
    <cellStyle name="Note 25 18" xfId="25309"/>
    <cellStyle name="Note 25 18 2" xfId="32058"/>
    <cellStyle name="Note 25 19" xfId="25310"/>
    <cellStyle name="Note 25 19 2" xfId="32059"/>
    <cellStyle name="Note 25 2" xfId="25311"/>
    <cellStyle name="Note 25 2 2" xfId="32060"/>
    <cellStyle name="Note 25 20" xfId="25312"/>
    <cellStyle name="Note 25 20 2" xfId="32061"/>
    <cellStyle name="Note 25 21" xfId="25313"/>
    <cellStyle name="Note 25 21 2" xfId="32062"/>
    <cellStyle name="Note 25 22" xfId="25314"/>
    <cellStyle name="Note 25 22 2" xfId="32063"/>
    <cellStyle name="Note 25 23" xfId="32064"/>
    <cellStyle name="Note 25 3" xfId="25315"/>
    <cellStyle name="Note 25 3 2" xfId="32065"/>
    <cellStyle name="Note 25 4" xfId="25316"/>
    <cellStyle name="Note 25 4 2" xfId="32066"/>
    <cellStyle name="Note 25 5" xfId="25317"/>
    <cellStyle name="Note 25 5 2" xfId="32067"/>
    <cellStyle name="Note 25 6" xfId="25318"/>
    <cellStyle name="Note 25 6 2" xfId="32068"/>
    <cellStyle name="Note 25 7" xfId="25319"/>
    <cellStyle name="Note 25 7 2" xfId="32069"/>
    <cellStyle name="Note 25 8" xfId="25320"/>
    <cellStyle name="Note 25 8 2" xfId="32070"/>
    <cellStyle name="Note 25 9" xfId="25321"/>
    <cellStyle name="Note 25 9 2" xfId="32071"/>
    <cellStyle name="Note 26" xfId="6886"/>
    <cellStyle name="Note 26 10" xfId="25322"/>
    <cellStyle name="Note 26 10 2" xfId="32072"/>
    <cellStyle name="Note 26 11" xfId="25323"/>
    <cellStyle name="Note 26 11 2" xfId="32073"/>
    <cellStyle name="Note 26 12" xfId="25324"/>
    <cellStyle name="Note 26 12 2" xfId="32074"/>
    <cellStyle name="Note 26 13" xfId="25325"/>
    <cellStyle name="Note 26 13 2" xfId="32075"/>
    <cellStyle name="Note 26 14" xfId="25326"/>
    <cellStyle name="Note 26 14 2" xfId="32076"/>
    <cellStyle name="Note 26 15" xfId="25327"/>
    <cellStyle name="Note 26 15 2" xfId="32077"/>
    <cellStyle name="Note 26 16" xfId="25328"/>
    <cellStyle name="Note 26 16 2" xfId="32078"/>
    <cellStyle name="Note 26 17" xfId="25329"/>
    <cellStyle name="Note 26 17 2" xfId="32079"/>
    <cellStyle name="Note 26 18" xfId="25330"/>
    <cellStyle name="Note 26 18 2" xfId="32080"/>
    <cellStyle name="Note 26 19" xfId="25331"/>
    <cellStyle name="Note 26 19 2" xfId="32081"/>
    <cellStyle name="Note 26 2" xfId="25332"/>
    <cellStyle name="Note 26 2 2" xfId="32082"/>
    <cellStyle name="Note 26 20" xfId="25333"/>
    <cellStyle name="Note 26 20 2" xfId="32083"/>
    <cellStyle name="Note 26 21" xfId="25334"/>
    <cellStyle name="Note 26 21 2" xfId="32084"/>
    <cellStyle name="Note 26 22" xfId="25335"/>
    <cellStyle name="Note 26 22 2" xfId="32085"/>
    <cellStyle name="Note 26 23" xfId="32086"/>
    <cellStyle name="Note 26 3" xfId="25336"/>
    <cellStyle name="Note 26 3 2" xfId="32087"/>
    <cellStyle name="Note 26 4" xfId="25337"/>
    <cellStyle name="Note 26 4 2" xfId="32088"/>
    <cellStyle name="Note 26 5" xfId="25338"/>
    <cellStyle name="Note 26 5 2" xfId="32089"/>
    <cellStyle name="Note 26 6" xfId="25339"/>
    <cellStyle name="Note 26 6 2" xfId="32090"/>
    <cellStyle name="Note 26 7" xfId="25340"/>
    <cellStyle name="Note 26 7 2" xfId="32091"/>
    <cellStyle name="Note 26 8" xfId="25341"/>
    <cellStyle name="Note 26 8 2" xfId="32092"/>
    <cellStyle name="Note 26 9" xfId="25342"/>
    <cellStyle name="Note 26 9 2" xfId="32093"/>
    <cellStyle name="Note 27" xfId="6887"/>
    <cellStyle name="Note 27 10" xfId="25343"/>
    <cellStyle name="Note 27 10 2" xfId="32094"/>
    <cellStyle name="Note 27 11" xfId="25344"/>
    <cellStyle name="Note 27 11 2" xfId="32095"/>
    <cellStyle name="Note 27 12" xfId="25345"/>
    <cellStyle name="Note 27 12 2" xfId="32096"/>
    <cellStyle name="Note 27 13" xfId="25346"/>
    <cellStyle name="Note 27 13 2" xfId="32097"/>
    <cellStyle name="Note 27 14" xfId="25347"/>
    <cellStyle name="Note 27 14 2" xfId="32098"/>
    <cellStyle name="Note 27 15" xfId="25348"/>
    <cellStyle name="Note 27 15 2" xfId="32099"/>
    <cellStyle name="Note 27 16" xfId="25349"/>
    <cellStyle name="Note 27 16 2" xfId="32100"/>
    <cellStyle name="Note 27 17" xfId="25350"/>
    <cellStyle name="Note 27 17 2" xfId="32101"/>
    <cellStyle name="Note 27 18" xfId="25351"/>
    <cellStyle name="Note 27 18 2" xfId="32102"/>
    <cellStyle name="Note 27 19" xfId="25352"/>
    <cellStyle name="Note 27 19 2" xfId="32103"/>
    <cellStyle name="Note 27 2" xfId="25353"/>
    <cellStyle name="Note 27 2 2" xfId="32104"/>
    <cellStyle name="Note 27 20" xfId="25354"/>
    <cellStyle name="Note 27 20 2" xfId="32105"/>
    <cellStyle name="Note 27 21" xfId="25355"/>
    <cellStyle name="Note 27 21 2" xfId="32106"/>
    <cellStyle name="Note 27 22" xfId="25356"/>
    <cellStyle name="Note 27 22 2" xfId="32107"/>
    <cellStyle name="Note 27 23" xfId="32108"/>
    <cellStyle name="Note 27 3" xfId="25357"/>
    <cellStyle name="Note 27 3 2" xfId="32109"/>
    <cellStyle name="Note 27 4" xfId="25358"/>
    <cellStyle name="Note 27 4 2" xfId="32110"/>
    <cellStyle name="Note 27 5" xfId="25359"/>
    <cellStyle name="Note 27 5 2" xfId="32111"/>
    <cellStyle name="Note 27 6" xfId="25360"/>
    <cellStyle name="Note 27 6 2" xfId="32112"/>
    <cellStyle name="Note 27 7" xfId="25361"/>
    <cellStyle name="Note 27 7 2" xfId="32113"/>
    <cellStyle name="Note 27 8" xfId="25362"/>
    <cellStyle name="Note 27 8 2" xfId="32114"/>
    <cellStyle name="Note 27 9" xfId="25363"/>
    <cellStyle name="Note 27 9 2" xfId="32115"/>
    <cellStyle name="Note 28" xfId="6888"/>
    <cellStyle name="Note 28 10" xfId="25364"/>
    <cellStyle name="Note 28 10 2" xfId="32116"/>
    <cellStyle name="Note 28 11" xfId="25365"/>
    <cellStyle name="Note 28 11 2" xfId="32117"/>
    <cellStyle name="Note 28 12" xfId="25366"/>
    <cellStyle name="Note 28 12 2" xfId="32118"/>
    <cellStyle name="Note 28 13" xfId="25367"/>
    <cellStyle name="Note 28 13 2" xfId="32119"/>
    <cellStyle name="Note 28 14" xfId="25368"/>
    <cellStyle name="Note 28 14 2" xfId="32120"/>
    <cellStyle name="Note 28 15" xfId="25369"/>
    <cellStyle name="Note 28 15 2" xfId="32121"/>
    <cellStyle name="Note 28 16" xfId="25370"/>
    <cellStyle name="Note 28 16 2" xfId="32122"/>
    <cellStyle name="Note 28 17" xfId="25371"/>
    <cellStyle name="Note 28 17 2" xfId="32123"/>
    <cellStyle name="Note 28 18" xfId="25372"/>
    <cellStyle name="Note 28 18 2" xfId="32124"/>
    <cellStyle name="Note 28 19" xfId="25373"/>
    <cellStyle name="Note 28 19 2" xfId="32125"/>
    <cellStyle name="Note 28 2" xfId="25374"/>
    <cellStyle name="Note 28 2 2" xfId="32126"/>
    <cellStyle name="Note 28 20" xfId="25375"/>
    <cellStyle name="Note 28 20 2" xfId="32127"/>
    <cellStyle name="Note 28 21" xfId="25376"/>
    <cellStyle name="Note 28 21 2" xfId="32128"/>
    <cellStyle name="Note 28 22" xfId="25377"/>
    <cellStyle name="Note 28 22 2" xfId="32129"/>
    <cellStyle name="Note 28 23" xfId="32130"/>
    <cellStyle name="Note 28 3" xfId="25378"/>
    <cellStyle name="Note 28 3 2" xfId="32131"/>
    <cellStyle name="Note 28 4" xfId="25379"/>
    <cellStyle name="Note 28 4 2" xfId="32132"/>
    <cellStyle name="Note 28 5" xfId="25380"/>
    <cellStyle name="Note 28 5 2" xfId="32133"/>
    <cellStyle name="Note 28 6" xfId="25381"/>
    <cellStyle name="Note 28 6 2" xfId="32134"/>
    <cellStyle name="Note 28 7" xfId="25382"/>
    <cellStyle name="Note 28 7 2" xfId="32135"/>
    <cellStyle name="Note 28 8" xfId="25383"/>
    <cellStyle name="Note 28 8 2" xfId="32136"/>
    <cellStyle name="Note 28 9" xfId="25384"/>
    <cellStyle name="Note 28 9 2" xfId="32137"/>
    <cellStyle name="Note 29" xfId="6889"/>
    <cellStyle name="Note 29 10" xfId="25385"/>
    <cellStyle name="Note 29 10 2" xfId="32138"/>
    <cellStyle name="Note 29 11" xfId="25386"/>
    <cellStyle name="Note 29 11 2" xfId="32139"/>
    <cellStyle name="Note 29 12" xfId="25387"/>
    <cellStyle name="Note 29 12 2" xfId="32140"/>
    <cellStyle name="Note 29 13" xfId="25388"/>
    <cellStyle name="Note 29 13 2" xfId="32141"/>
    <cellStyle name="Note 29 14" xfId="25389"/>
    <cellStyle name="Note 29 14 2" xfId="32142"/>
    <cellStyle name="Note 29 15" xfId="25390"/>
    <cellStyle name="Note 29 15 2" xfId="32143"/>
    <cellStyle name="Note 29 16" xfId="25391"/>
    <cellStyle name="Note 29 16 2" xfId="32144"/>
    <cellStyle name="Note 29 17" xfId="25392"/>
    <cellStyle name="Note 29 17 2" xfId="32145"/>
    <cellStyle name="Note 29 18" xfId="25393"/>
    <cellStyle name="Note 29 18 2" xfId="32146"/>
    <cellStyle name="Note 29 19" xfId="25394"/>
    <cellStyle name="Note 29 19 2" xfId="32147"/>
    <cellStyle name="Note 29 2" xfId="25395"/>
    <cellStyle name="Note 29 2 2" xfId="32148"/>
    <cellStyle name="Note 29 20" xfId="25396"/>
    <cellStyle name="Note 29 20 2" xfId="32149"/>
    <cellStyle name="Note 29 21" xfId="25397"/>
    <cellStyle name="Note 29 21 2" xfId="32150"/>
    <cellStyle name="Note 29 22" xfId="25398"/>
    <cellStyle name="Note 29 22 2" xfId="32151"/>
    <cellStyle name="Note 29 23" xfId="32152"/>
    <cellStyle name="Note 29 3" xfId="25399"/>
    <cellStyle name="Note 29 3 2" xfId="32153"/>
    <cellStyle name="Note 29 4" xfId="25400"/>
    <cellStyle name="Note 29 4 2" xfId="32154"/>
    <cellStyle name="Note 29 5" xfId="25401"/>
    <cellStyle name="Note 29 5 2" xfId="32155"/>
    <cellStyle name="Note 29 6" xfId="25402"/>
    <cellStyle name="Note 29 6 2" xfId="32156"/>
    <cellStyle name="Note 29 7" xfId="25403"/>
    <cellStyle name="Note 29 7 2" xfId="32157"/>
    <cellStyle name="Note 29 8" xfId="25404"/>
    <cellStyle name="Note 29 8 2" xfId="32158"/>
    <cellStyle name="Note 29 9" xfId="25405"/>
    <cellStyle name="Note 29 9 2" xfId="32159"/>
    <cellStyle name="Note 3" xfId="6890"/>
    <cellStyle name="Note 3 10" xfId="25406"/>
    <cellStyle name="Note 3 10 2" xfId="32160"/>
    <cellStyle name="Note 3 11" xfId="25407"/>
    <cellStyle name="Note 3 11 2" xfId="32161"/>
    <cellStyle name="Note 3 12" xfId="25408"/>
    <cellStyle name="Note 3 12 2" xfId="32162"/>
    <cellStyle name="Note 3 13" xfId="25409"/>
    <cellStyle name="Note 3 13 2" xfId="32163"/>
    <cellStyle name="Note 3 14" xfId="25410"/>
    <cellStyle name="Note 3 14 2" xfId="32164"/>
    <cellStyle name="Note 3 15" xfId="25411"/>
    <cellStyle name="Note 3 15 2" xfId="32165"/>
    <cellStyle name="Note 3 16" xfId="25412"/>
    <cellStyle name="Note 3 16 2" xfId="32166"/>
    <cellStyle name="Note 3 17" xfId="25413"/>
    <cellStyle name="Note 3 17 2" xfId="32167"/>
    <cellStyle name="Note 3 18" xfId="25414"/>
    <cellStyle name="Note 3 18 2" xfId="32168"/>
    <cellStyle name="Note 3 19" xfId="25415"/>
    <cellStyle name="Note 3 19 2" xfId="32169"/>
    <cellStyle name="Note 3 2" xfId="25416"/>
    <cellStyle name="Note 3 2 2" xfId="32170"/>
    <cellStyle name="Note 3 20" xfId="25417"/>
    <cellStyle name="Note 3 20 2" xfId="32171"/>
    <cellStyle name="Note 3 21" xfId="25418"/>
    <cellStyle name="Note 3 21 2" xfId="32172"/>
    <cellStyle name="Note 3 22" xfId="25419"/>
    <cellStyle name="Note 3 22 2" xfId="32173"/>
    <cellStyle name="Note 3 23" xfId="32174"/>
    <cellStyle name="Note 3 3" xfId="25420"/>
    <cellStyle name="Note 3 3 2" xfId="32175"/>
    <cellStyle name="Note 3 4" xfId="25421"/>
    <cellStyle name="Note 3 4 2" xfId="32176"/>
    <cellStyle name="Note 3 5" xfId="25422"/>
    <cellStyle name="Note 3 5 2" xfId="32177"/>
    <cellStyle name="Note 3 6" xfId="25423"/>
    <cellStyle name="Note 3 6 2" xfId="32178"/>
    <cellStyle name="Note 3 7" xfId="25424"/>
    <cellStyle name="Note 3 7 2" xfId="32179"/>
    <cellStyle name="Note 3 8" xfId="25425"/>
    <cellStyle name="Note 3 8 2" xfId="32180"/>
    <cellStyle name="Note 3 9" xfId="25426"/>
    <cellStyle name="Note 3 9 2" xfId="32181"/>
    <cellStyle name="Note 30" xfId="6891"/>
    <cellStyle name="Note 30 10" xfId="25427"/>
    <cellStyle name="Note 30 10 2" xfId="32182"/>
    <cellStyle name="Note 30 11" xfId="25428"/>
    <cellStyle name="Note 30 11 2" xfId="32183"/>
    <cellStyle name="Note 30 12" xfId="25429"/>
    <cellStyle name="Note 30 12 2" xfId="32184"/>
    <cellStyle name="Note 30 13" xfId="25430"/>
    <cellStyle name="Note 30 13 2" xfId="32185"/>
    <cellStyle name="Note 30 14" xfId="25431"/>
    <cellStyle name="Note 30 14 2" xfId="32186"/>
    <cellStyle name="Note 30 15" xfId="25432"/>
    <cellStyle name="Note 30 15 2" xfId="32187"/>
    <cellStyle name="Note 30 16" xfId="25433"/>
    <cellStyle name="Note 30 16 2" xfId="32188"/>
    <cellStyle name="Note 30 17" xfId="25434"/>
    <cellStyle name="Note 30 17 2" xfId="32189"/>
    <cellStyle name="Note 30 18" xfId="25435"/>
    <cellStyle name="Note 30 18 2" xfId="32190"/>
    <cellStyle name="Note 30 19" xfId="25436"/>
    <cellStyle name="Note 30 19 2" xfId="32191"/>
    <cellStyle name="Note 30 2" xfId="25437"/>
    <cellStyle name="Note 30 2 2" xfId="32192"/>
    <cellStyle name="Note 30 20" xfId="25438"/>
    <cellStyle name="Note 30 20 2" xfId="32193"/>
    <cellStyle name="Note 30 21" xfId="25439"/>
    <cellStyle name="Note 30 21 2" xfId="32194"/>
    <cellStyle name="Note 30 22" xfId="25440"/>
    <cellStyle name="Note 30 22 2" xfId="32195"/>
    <cellStyle name="Note 30 23" xfId="32196"/>
    <cellStyle name="Note 30 3" xfId="25441"/>
    <cellStyle name="Note 30 3 2" xfId="32197"/>
    <cellStyle name="Note 30 4" xfId="25442"/>
    <cellStyle name="Note 30 4 2" xfId="32198"/>
    <cellStyle name="Note 30 5" xfId="25443"/>
    <cellStyle name="Note 30 5 2" xfId="32199"/>
    <cellStyle name="Note 30 6" xfId="25444"/>
    <cellStyle name="Note 30 6 2" xfId="32200"/>
    <cellStyle name="Note 30 7" xfId="25445"/>
    <cellStyle name="Note 30 7 2" xfId="32201"/>
    <cellStyle name="Note 30 8" xfId="25446"/>
    <cellStyle name="Note 30 8 2" xfId="32202"/>
    <cellStyle name="Note 30 9" xfId="25447"/>
    <cellStyle name="Note 30 9 2" xfId="32203"/>
    <cellStyle name="Note 31" xfId="6892"/>
    <cellStyle name="Note 31 10" xfId="25448"/>
    <cellStyle name="Note 31 10 2" xfId="32204"/>
    <cellStyle name="Note 31 11" xfId="25449"/>
    <cellStyle name="Note 31 11 2" xfId="32205"/>
    <cellStyle name="Note 31 12" xfId="25450"/>
    <cellStyle name="Note 31 12 2" xfId="32206"/>
    <cellStyle name="Note 31 13" xfId="25451"/>
    <cellStyle name="Note 31 13 2" xfId="32207"/>
    <cellStyle name="Note 31 14" xfId="25452"/>
    <cellStyle name="Note 31 14 2" xfId="32208"/>
    <cellStyle name="Note 31 15" xfId="25453"/>
    <cellStyle name="Note 31 15 2" xfId="32209"/>
    <cellStyle name="Note 31 16" xfId="25454"/>
    <cellStyle name="Note 31 16 2" xfId="32210"/>
    <cellStyle name="Note 31 17" xfId="25455"/>
    <cellStyle name="Note 31 17 2" xfId="32211"/>
    <cellStyle name="Note 31 18" xfId="25456"/>
    <cellStyle name="Note 31 18 2" xfId="32212"/>
    <cellStyle name="Note 31 19" xfId="25457"/>
    <cellStyle name="Note 31 19 2" xfId="32213"/>
    <cellStyle name="Note 31 2" xfId="25458"/>
    <cellStyle name="Note 31 2 2" xfId="32214"/>
    <cellStyle name="Note 31 20" xfId="25459"/>
    <cellStyle name="Note 31 20 2" xfId="32215"/>
    <cellStyle name="Note 31 21" xfId="25460"/>
    <cellStyle name="Note 31 21 2" xfId="32216"/>
    <cellStyle name="Note 31 22" xfId="25461"/>
    <cellStyle name="Note 31 22 2" xfId="32217"/>
    <cellStyle name="Note 31 23" xfId="32218"/>
    <cellStyle name="Note 31 3" xfId="25462"/>
    <cellStyle name="Note 31 3 2" xfId="32219"/>
    <cellStyle name="Note 31 4" xfId="25463"/>
    <cellStyle name="Note 31 4 2" xfId="32220"/>
    <cellStyle name="Note 31 5" xfId="25464"/>
    <cellStyle name="Note 31 5 2" xfId="32221"/>
    <cellStyle name="Note 31 6" xfId="25465"/>
    <cellStyle name="Note 31 6 2" xfId="32222"/>
    <cellStyle name="Note 31 7" xfId="25466"/>
    <cellStyle name="Note 31 7 2" xfId="32223"/>
    <cellStyle name="Note 31 8" xfId="25467"/>
    <cellStyle name="Note 31 8 2" xfId="32224"/>
    <cellStyle name="Note 31 9" xfId="25468"/>
    <cellStyle name="Note 31 9 2" xfId="32225"/>
    <cellStyle name="Note 32" xfId="6893"/>
    <cellStyle name="Note 32 10" xfId="25469"/>
    <cellStyle name="Note 32 10 2" xfId="32226"/>
    <cellStyle name="Note 32 11" xfId="25470"/>
    <cellStyle name="Note 32 11 2" xfId="32227"/>
    <cellStyle name="Note 32 12" xfId="25471"/>
    <cellStyle name="Note 32 12 2" xfId="32228"/>
    <cellStyle name="Note 32 13" xfId="25472"/>
    <cellStyle name="Note 32 13 2" xfId="32229"/>
    <cellStyle name="Note 32 14" xfId="25473"/>
    <cellStyle name="Note 32 14 2" xfId="32230"/>
    <cellStyle name="Note 32 15" xfId="25474"/>
    <cellStyle name="Note 32 15 2" xfId="32231"/>
    <cellStyle name="Note 32 16" xfId="25475"/>
    <cellStyle name="Note 32 16 2" xfId="32232"/>
    <cellStyle name="Note 32 17" xfId="25476"/>
    <cellStyle name="Note 32 17 2" xfId="32233"/>
    <cellStyle name="Note 32 18" xfId="25477"/>
    <cellStyle name="Note 32 18 2" xfId="32234"/>
    <cellStyle name="Note 32 19" xfId="25478"/>
    <cellStyle name="Note 32 19 2" xfId="32235"/>
    <cellStyle name="Note 32 2" xfId="25479"/>
    <cellStyle name="Note 32 2 2" xfId="32236"/>
    <cellStyle name="Note 32 20" xfId="25480"/>
    <cellStyle name="Note 32 20 2" xfId="32237"/>
    <cellStyle name="Note 32 21" xfId="25481"/>
    <cellStyle name="Note 32 21 2" xfId="32238"/>
    <cellStyle name="Note 32 22" xfId="25482"/>
    <cellStyle name="Note 32 22 2" xfId="32239"/>
    <cellStyle name="Note 32 23" xfId="32240"/>
    <cellStyle name="Note 32 3" xfId="25483"/>
    <cellStyle name="Note 32 3 2" xfId="32241"/>
    <cellStyle name="Note 32 4" xfId="25484"/>
    <cellStyle name="Note 32 4 2" xfId="32242"/>
    <cellStyle name="Note 32 5" xfId="25485"/>
    <cellStyle name="Note 32 5 2" xfId="32243"/>
    <cellStyle name="Note 32 6" xfId="25486"/>
    <cellStyle name="Note 32 6 2" xfId="32244"/>
    <cellStyle name="Note 32 7" xfId="25487"/>
    <cellStyle name="Note 32 7 2" xfId="32245"/>
    <cellStyle name="Note 32 8" xfId="25488"/>
    <cellStyle name="Note 32 8 2" xfId="32246"/>
    <cellStyle name="Note 32 9" xfId="25489"/>
    <cellStyle name="Note 32 9 2" xfId="32247"/>
    <cellStyle name="Note 33" xfId="6894"/>
    <cellStyle name="Note 33 10" xfId="25490"/>
    <cellStyle name="Note 33 10 2" xfId="32248"/>
    <cellStyle name="Note 33 11" xfId="25491"/>
    <cellStyle name="Note 33 11 2" xfId="32249"/>
    <cellStyle name="Note 33 12" xfId="25492"/>
    <cellStyle name="Note 33 12 2" xfId="32250"/>
    <cellStyle name="Note 33 13" xfId="25493"/>
    <cellStyle name="Note 33 13 2" xfId="32251"/>
    <cellStyle name="Note 33 14" xfId="25494"/>
    <cellStyle name="Note 33 14 2" xfId="32252"/>
    <cellStyle name="Note 33 15" xfId="25495"/>
    <cellStyle name="Note 33 15 2" xfId="32253"/>
    <cellStyle name="Note 33 16" xfId="25496"/>
    <cellStyle name="Note 33 16 2" xfId="32254"/>
    <cellStyle name="Note 33 17" xfId="25497"/>
    <cellStyle name="Note 33 17 2" xfId="32255"/>
    <cellStyle name="Note 33 18" xfId="25498"/>
    <cellStyle name="Note 33 18 2" xfId="32256"/>
    <cellStyle name="Note 33 19" xfId="25499"/>
    <cellStyle name="Note 33 19 2" xfId="32257"/>
    <cellStyle name="Note 33 2" xfId="25500"/>
    <cellStyle name="Note 33 2 2" xfId="32258"/>
    <cellStyle name="Note 33 20" xfId="25501"/>
    <cellStyle name="Note 33 20 2" xfId="32259"/>
    <cellStyle name="Note 33 21" xfId="25502"/>
    <cellStyle name="Note 33 21 2" xfId="32260"/>
    <cellStyle name="Note 33 22" xfId="25503"/>
    <cellStyle name="Note 33 22 2" xfId="32261"/>
    <cellStyle name="Note 33 23" xfId="32262"/>
    <cellStyle name="Note 33 3" xfId="25504"/>
    <cellStyle name="Note 33 3 2" xfId="32263"/>
    <cellStyle name="Note 33 4" xfId="25505"/>
    <cellStyle name="Note 33 4 2" xfId="32264"/>
    <cellStyle name="Note 33 5" xfId="25506"/>
    <cellStyle name="Note 33 5 2" xfId="32265"/>
    <cellStyle name="Note 33 6" xfId="25507"/>
    <cellStyle name="Note 33 6 2" xfId="32266"/>
    <cellStyle name="Note 33 7" xfId="25508"/>
    <cellStyle name="Note 33 7 2" xfId="32267"/>
    <cellStyle name="Note 33 8" xfId="25509"/>
    <cellStyle name="Note 33 8 2" xfId="32268"/>
    <cellStyle name="Note 33 9" xfId="25510"/>
    <cellStyle name="Note 33 9 2" xfId="32269"/>
    <cellStyle name="Note 34" xfId="6895"/>
    <cellStyle name="Note 34 10" xfId="25511"/>
    <cellStyle name="Note 34 10 2" xfId="32270"/>
    <cellStyle name="Note 34 11" xfId="25512"/>
    <cellStyle name="Note 34 11 2" xfId="32271"/>
    <cellStyle name="Note 34 12" xfId="25513"/>
    <cellStyle name="Note 34 12 2" xfId="32272"/>
    <cellStyle name="Note 34 13" xfId="25514"/>
    <cellStyle name="Note 34 13 2" xfId="32273"/>
    <cellStyle name="Note 34 14" xfId="25515"/>
    <cellStyle name="Note 34 14 2" xfId="32274"/>
    <cellStyle name="Note 34 15" xfId="25516"/>
    <cellStyle name="Note 34 15 2" xfId="32275"/>
    <cellStyle name="Note 34 16" xfId="25517"/>
    <cellStyle name="Note 34 16 2" xfId="32276"/>
    <cellStyle name="Note 34 17" xfId="25518"/>
    <cellStyle name="Note 34 17 2" xfId="32277"/>
    <cellStyle name="Note 34 18" xfId="25519"/>
    <cellStyle name="Note 34 18 2" xfId="32278"/>
    <cellStyle name="Note 34 19" xfId="25520"/>
    <cellStyle name="Note 34 19 2" xfId="32279"/>
    <cellStyle name="Note 34 2" xfId="25521"/>
    <cellStyle name="Note 34 2 2" xfId="32280"/>
    <cellStyle name="Note 34 20" xfId="25522"/>
    <cellStyle name="Note 34 20 2" xfId="32281"/>
    <cellStyle name="Note 34 21" xfId="25523"/>
    <cellStyle name="Note 34 21 2" xfId="32282"/>
    <cellStyle name="Note 34 22" xfId="25524"/>
    <cellStyle name="Note 34 22 2" xfId="32283"/>
    <cellStyle name="Note 34 23" xfId="32284"/>
    <cellStyle name="Note 34 3" xfId="25525"/>
    <cellStyle name="Note 34 3 2" xfId="32285"/>
    <cellStyle name="Note 34 4" xfId="25526"/>
    <cellStyle name="Note 34 4 2" xfId="32286"/>
    <cellStyle name="Note 34 5" xfId="25527"/>
    <cellStyle name="Note 34 5 2" xfId="32287"/>
    <cellStyle name="Note 34 6" xfId="25528"/>
    <cellStyle name="Note 34 6 2" xfId="32288"/>
    <cellStyle name="Note 34 7" xfId="25529"/>
    <cellStyle name="Note 34 7 2" xfId="32289"/>
    <cellStyle name="Note 34 8" xfId="25530"/>
    <cellStyle name="Note 34 8 2" xfId="32290"/>
    <cellStyle name="Note 34 9" xfId="25531"/>
    <cellStyle name="Note 34 9 2" xfId="32291"/>
    <cellStyle name="Note 35" xfId="6896"/>
    <cellStyle name="Note 35 10" xfId="25532"/>
    <cellStyle name="Note 35 10 2" xfId="32292"/>
    <cellStyle name="Note 35 11" xfId="25533"/>
    <cellStyle name="Note 35 11 2" xfId="32293"/>
    <cellStyle name="Note 35 12" xfId="25534"/>
    <cellStyle name="Note 35 12 2" xfId="32294"/>
    <cellStyle name="Note 35 13" xfId="25535"/>
    <cellStyle name="Note 35 13 2" xfId="32295"/>
    <cellStyle name="Note 35 14" xfId="25536"/>
    <cellStyle name="Note 35 14 2" xfId="32296"/>
    <cellStyle name="Note 35 15" xfId="25537"/>
    <cellStyle name="Note 35 15 2" xfId="32297"/>
    <cellStyle name="Note 35 16" xfId="25538"/>
    <cellStyle name="Note 35 16 2" xfId="32298"/>
    <cellStyle name="Note 35 17" xfId="25539"/>
    <cellStyle name="Note 35 17 2" xfId="32299"/>
    <cellStyle name="Note 35 18" xfId="25540"/>
    <cellStyle name="Note 35 18 2" xfId="32300"/>
    <cellStyle name="Note 35 19" xfId="25541"/>
    <cellStyle name="Note 35 19 2" xfId="32301"/>
    <cellStyle name="Note 35 2" xfId="25542"/>
    <cellStyle name="Note 35 2 2" xfId="32302"/>
    <cellStyle name="Note 35 20" xfId="25543"/>
    <cellStyle name="Note 35 20 2" xfId="32303"/>
    <cellStyle name="Note 35 21" xfId="25544"/>
    <cellStyle name="Note 35 21 2" xfId="32304"/>
    <cellStyle name="Note 35 22" xfId="25545"/>
    <cellStyle name="Note 35 22 2" xfId="32305"/>
    <cellStyle name="Note 35 23" xfId="32306"/>
    <cellStyle name="Note 35 3" xfId="25546"/>
    <cellStyle name="Note 35 3 2" xfId="32307"/>
    <cellStyle name="Note 35 4" xfId="25547"/>
    <cellStyle name="Note 35 4 2" xfId="32308"/>
    <cellStyle name="Note 35 5" xfId="25548"/>
    <cellStyle name="Note 35 5 2" xfId="32309"/>
    <cellStyle name="Note 35 6" xfId="25549"/>
    <cellStyle name="Note 35 6 2" xfId="32310"/>
    <cellStyle name="Note 35 7" xfId="25550"/>
    <cellStyle name="Note 35 7 2" xfId="32311"/>
    <cellStyle name="Note 35 8" xfId="25551"/>
    <cellStyle name="Note 35 8 2" xfId="32312"/>
    <cellStyle name="Note 35 9" xfId="25552"/>
    <cellStyle name="Note 35 9 2" xfId="32313"/>
    <cellStyle name="Note 36" xfId="6897"/>
    <cellStyle name="Note 36 10" xfId="25553"/>
    <cellStyle name="Note 36 10 2" xfId="32314"/>
    <cellStyle name="Note 36 11" xfId="25554"/>
    <cellStyle name="Note 36 11 2" xfId="32315"/>
    <cellStyle name="Note 36 12" xfId="25555"/>
    <cellStyle name="Note 36 12 2" xfId="32316"/>
    <cellStyle name="Note 36 13" xfId="25556"/>
    <cellStyle name="Note 36 13 2" xfId="32317"/>
    <cellStyle name="Note 36 14" xfId="25557"/>
    <cellStyle name="Note 36 14 2" xfId="32318"/>
    <cellStyle name="Note 36 15" xfId="25558"/>
    <cellStyle name="Note 36 15 2" xfId="32319"/>
    <cellStyle name="Note 36 16" xfId="25559"/>
    <cellStyle name="Note 36 16 2" xfId="32320"/>
    <cellStyle name="Note 36 17" xfId="25560"/>
    <cellStyle name="Note 36 17 2" xfId="32321"/>
    <cellStyle name="Note 36 18" xfId="25561"/>
    <cellStyle name="Note 36 18 2" xfId="32322"/>
    <cellStyle name="Note 36 19" xfId="25562"/>
    <cellStyle name="Note 36 19 2" xfId="32323"/>
    <cellStyle name="Note 36 2" xfId="25563"/>
    <cellStyle name="Note 36 2 2" xfId="32324"/>
    <cellStyle name="Note 36 20" xfId="25564"/>
    <cellStyle name="Note 36 20 2" xfId="32325"/>
    <cellStyle name="Note 36 21" xfId="25565"/>
    <cellStyle name="Note 36 21 2" xfId="32326"/>
    <cellStyle name="Note 36 22" xfId="25566"/>
    <cellStyle name="Note 36 22 2" xfId="32327"/>
    <cellStyle name="Note 36 23" xfId="32328"/>
    <cellStyle name="Note 36 3" xfId="25567"/>
    <cellStyle name="Note 36 3 2" xfId="32329"/>
    <cellStyle name="Note 36 4" xfId="25568"/>
    <cellStyle name="Note 36 4 2" xfId="32330"/>
    <cellStyle name="Note 36 5" xfId="25569"/>
    <cellStyle name="Note 36 5 2" xfId="32331"/>
    <cellStyle name="Note 36 6" xfId="25570"/>
    <cellStyle name="Note 36 6 2" xfId="32332"/>
    <cellStyle name="Note 36 7" xfId="25571"/>
    <cellStyle name="Note 36 7 2" xfId="32333"/>
    <cellStyle name="Note 36 8" xfId="25572"/>
    <cellStyle name="Note 36 8 2" xfId="32334"/>
    <cellStyle name="Note 36 9" xfId="25573"/>
    <cellStyle name="Note 36 9 2" xfId="32335"/>
    <cellStyle name="Note 37" xfId="6898"/>
    <cellStyle name="Note 37 10" xfId="25574"/>
    <cellStyle name="Note 37 10 2" xfId="32336"/>
    <cellStyle name="Note 37 11" xfId="25575"/>
    <cellStyle name="Note 37 11 2" xfId="32337"/>
    <cellStyle name="Note 37 12" xfId="25576"/>
    <cellStyle name="Note 37 12 2" xfId="32338"/>
    <cellStyle name="Note 37 13" xfId="25577"/>
    <cellStyle name="Note 37 13 2" xfId="32339"/>
    <cellStyle name="Note 37 14" xfId="25578"/>
    <cellStyle name="Note 37 14 2" xfId="32340"/>
    <cellStyle name="Note 37 15" xfId="25579"/>
    <cellStyle name="Note 37 15 2" xfId="32341"/>
    <cellStyle name="Note 37 16" xfId="25580"/>
    <cellStyle name="Note 37 16 2" xfId="32342"/>
    <cellStyle name="Note 37 17" xfId="25581"/>
    <cellStyle name="Note 37 17 2" xfId="32343"/>
    <cellStyle name="Note 37 18" xfId="25582"/>
    <cellStyle name="Note 37 18 2" xfId="32344"/>
    <cellStyle name="Note 37 19" xfId="25583"/>
    <cellStyle name="Note 37 19 2" xfId="32345"/>
    <cellStyle name="Note 37 2" xfId="25584"/>
    <cellStyle name="Note 37 2 2" xfId="32346"/>
    <cellStyle name="Note 37 20" xfId="25585"/>
    <cellStyle name="Note 37 20 2" xfId="32347"/>
    <cellStyle name="Note 37 21" xfId="25586"/>
    <cellStyle name="Note 37 21 2" xfId="32348"/>
    <cellStyle name="Note 37 22" xfId="25587"/>
    <cellStyle name="Note 37 22 2" xfId="32349"/>
    <cellStyle name="Note 37 23" xfId="32350"/>
    <cellStyle name="Note 37 3" xfId="25588"/>
    <cellStyle name="Note 37 3 2" xfId="32351"/>
    <cellStyle name="Note 37 4" xfId="25589"/>
    <cellStyle name="Note 37 4 2" xfId="32352"/>
    <cellStyle name="Note 37 5" xfId="25590"/>
    <cellStyle name="Note 37 5 2" xfId="32353"/>
    <cellStyle name="Note 37 6" xfId="25591"/>
    <cellStyle name="Note 37 6 2" xfId="32354"/>
    <cellStyle name="Note 37 7" xfId="25592"/>
    <cellStyle name="Note 37 7 2" xfId="32355"/>
    <cellStyle name="Note 37 8" xfId="25593"/>
    <cellStyle name="Note 37 8 2" xfId="32356"/>
    <cellStyle name="Note 37 9" xfId="25594"/>
    <cellStyle name="Note 37 9 2" xfId="32357"/>
    <cellStyle name="Note 38" xfId="6899"/>
    <cellStyle name="Note 38 10" xfId="25595"/>
    <cellStyle name="Note 38 10 2" xfId="32358"/>
    <cellStyle name="Note 38 11" xfId="25596"/>
    <cellStyle name="Note 38 11 2" xfId="32359"/>
    <cellStyle name="Note 38 12" xfId="25597"/>
    <cellStyle name="Note 38 12 2" xfId="32360"/>
    <cellStyle name="Note 38 13" xfId="25598"/>
    <cellStyle name="Note 38 13 2" xfId="32361"/>
    <cellStyle name="Note 38 14" xfId="25599"/>
    <cellStyle name="Note 38 14 2" xfId="32362"/>
    <cellStyle name="Note 38 15" xfId="25600"/>
    <cellStyle name="Note 38 15 2" xfId="32363"/>
    <cellStyle name="Note 38 16" xfId="25601"/>
    <cellStyle name="Note 38 16 2" xfId="32364"/>
    <cellStyle name="Note 38 17" xfId="25602"/>
    <cellStyle name="Note 38 17 2" xfId="32365"/>
    <cellStyle name="Note 38 18" xfId="25603"/>
    <cellStyle name="Note 38 18 2" xfId="32366"/>
    <cellStyle name="Note 38 19" xfId="25604"/>
    <cellStyle name="Note 38 19 2" xfId="32367"/>
    <cellStyle name="Note 38 2" xfId="25605"/>
    <cellStyle name="Note 38 2 2" xfId="32368"/>
    <cellStyle name="Note 38 20" xfId="25606"/>
    <cellStyle name="Note 38 20 2" xfId="32369"/>
    <cellStyle name="Note 38 21" xfId="25607"/>
    <cellStyle name="Note 38 21 2" xfId="32370"/>
    <cellStyle name="Note 38 22" xfId="25608"/>
    <cellStyle name="Note 38 22 2" xfId="32371"/>
    <cellStyle name="Note 38 23" xfId="32372"/>
    <cellStyle name="Note 38 3" xfId="25609"/>
    <cellStyle name="Note 38 3 2" xfId="32373"/>
    <cellStyle name="Note 38 4" xfId="25610"/>
    <cellStyle name="Note 38 4 2" xfId="32374"/>
    <cellStyle name="Note 38 5" xfId="25611"/>
    <cellStyle name="Note 38 5 2" xfId="32375"/>
    <cellStyle name="Note 38 6" xfId="25612"/>
    <cellStyle name="Note 38 6 2" xfId="32376"/>
    <cellStyle name="Note 38 7" xfId="25613"/>
    <cellStyle name="Note 38 7 2" xfId="32377"/>
    <cellStyle name="Note 38 8" xfId="25614"/>
    <cellStyle name="Note 38 8 2" xfId="32378"/>
    <cellStyle name="Note 38 9" xfId="25615"/>
    <cellStyle name="Note 38 9 2" xfId="32379"/>
    <cellStyle name="Note 39" xfId="6900"/>
    <cellStyle name="Note 39 10" xfId="25616"/>
    <cellStyle name="Note 39 10 2" xfId="32380"/>
    <cellStyle name="Note 39 11" xfId="25617"/>
    <cellStyle name="Note 39 11 2" xfId="32381"/>
    <cellStyle name="Note 39 12" xfId="25618"/>
    <cellStyle name="Note 39 12 2" xfId="32382"/>
    <cellStyle name="Note 39 13" xfId="25619"/>
    <cellStyle name="Note 39 13 2" xfId="32383"/>
    <cellStyle name="Note 39 14" xfId="25620"/>
    <cellStyle name="Note 39 14 2" xfId="32384"/>
    <cellStyle name="Note 39 15" xfId="25621"/>
    <cellStyle name="Note 39 15 2" xfId="32385"/>
    <cellStyle name="Note 39 16" xfId="25622"/>
    <cellStyle name="Note 39 16 2" xfId="32386"/>
    <cellStyle name="Note 39 17" xfId="25623"/>
    <cellStyle name="Note 39 17 2" xfId="32387"/>
    <cellStyle name="Note 39 18" xfId="25624"/>
    <cellStyle name="Note 39 18 2" xfId="32388"/>
    <cellStyle name="Note 39 19" xfId="25625"/>
    <cellStyle name="Note 39 19 2" xfId="32389"/>
    <cellStyle name="Note 39 2" xfId="25626"/>
    <cellStyle name="Note 39 2 2" xfId="32390"/>
    <cellStyle name="Note 39 20" xfId="25627"/>
    <cellStyle name="Note 39 20 2" xfId="32391"/>
    <cellStyle name="Note 39 21" xfId="25628"/>
    <cellStyle name="Note 39 21 2" xfId="32392"/>
    <cellStyle name="Note 39 22" xfId="25629"/>
    <cellStyle name="Note 39 22 2" xfId="32393"/>
    <cellStyle name="Note 39 23" xfId="32394"/>
    <cellStyle name="Note 39 3" xfId="25630"/>
    <cellStyle name="Note 39 3 2" xfId="32395"/>
    <cellStyle name="Note 39 4" xfId="25631"/>
    <cellStyle name="Note 39 4 2" xfId="32396"/>
    <cellStyle name="Note 39 5" xfId="25632"/>
    <cellStyle name="Note 39 5 2" xfId="32397"/>
    <cellStyle name="Note 39 6" xfId="25633"/>
    <cellStyle name="Note 39 6 2" xfId="32398"/>
    <cellStyle name="Note 39 7" xfId="25634"/>
    <cellStyle name="Note 39 7 2" xfId="32399"/>
    <cellStyle name="Note 39 8" xfId="25635"/>
    <cellStyle name="Note 39 8 2" xfId="32400"/>
    <cellStyle name="Note 39 9" xfId="25636"/>
    <cellStyle name="Note 39 9 2" xfId="32401"/>
    <cellStyle name="Note 4" xfId="6901"/>
    <cellStyle name="Note 4 10" xfId="25637"/>
    <cellStyle name="Note 4 10 2" xfId="32402"/>
    <cellStyle name="Note 4 11" xfId="25638"/>
    <cellStyle name="Note 4 11 2" xfId="32403"/>
    <cellStyle name="Note 4 12" xfId="25639"/>
    <cellStyle name="Note 4 12 2" xfId="32404"/>
    <cellStyle name="Note 4 13" xfId="25640"/>
    <cellStyle name="Note 4 13 2" xfId="32405"/>
    <cellStyle name="Note 4 14" xfId="25641"/>
    <cellStyle name="Note 4 14 2" xfId="32406"/>
    <cellStyle name="Note 4 15" xfId="25642"/>
    <cellStyle name="Note 4 15 2" xfId="32407"/>
    <cellStyle name="Note 4 16" xfId="25643"/>
    <cellStyle name="Note 4 16 2" xfId="32408"/>
    <cellStyle name="Note 4 17" xfId="25644"/>
    <cellStyle name="Note 4 17 2" xfId="32409"/>
    <cellStyle name="Note 4 18" xfId="25645"/>
    <cellStyle name="Note 4 18 2" xfId="32410"/>
    <cellStyle name="Note 4 19" xfId="25646"/>
    <cellStyle name="Note 4 19 2" xfId="32411"/>
    <cellStyle name="Note 4 2" xfId="25647"/>
    <cellStyle name="Note 4 2 2" xfId="32412"/>
    <cellStyle name="Note 4 20" xfId="25648"/>
    <cellStyle name="Note 4 20 2" xfId="32413"/>
    <cellStyle name="Note 4 21" xfId="25649"/>
    <cellStyle name="Note 4 21 2" xfId="32414"/>
    <cellStyle name="Note 4 22" xfId="25650"/>
    <cellStyle name="Note 4 22 2" xfId="32415"/>
    <cellStyle name="Note 4 23" xfId="32416"/>
    <cellStyle name="Note 4 3" xfId="25651"/>
    <cellStyle name="Note 4 3 2" xfId="32417"/>
    <cellStyle name="Note 4 4" xfId="25652"/>
    <cellStyle name="Note 4 4 2" xfId="32418"/>
    <cellStyle name="Note 4 5" xfId="25653"/>
    <cellStyle name="Note 4 5 2" xfId="32419"/>
    <cellStyle name="Note 4 6" xfId="25654"/>
    <cellStyle name="Note 4 6 2" xfId="32420"/>
    <cellStyle name="Note 4 7" xfId="25655"/>
    <cellStyle name="Note 4 7 2" xfId="32421"/>
    <cellStyle name="Note 4 8" xfId="25656"/>
    <cellStyle name="Note 4 8 2" xfId="32422"/>
    <cellStyle name="Note 4 9" xfId="25657"/>
    <cellStyle name="Note 4 9 2" xfId="32423"/>
    <cellStyle name="Note 40" xfId="6902"/>
    <cellStyle name="Note 40 10" xfId="25658"/>
    <cellStyle name="Note 40 10 2" xfId="32424"/>
    <cellStyle name="Note 40 11" xfId="25659"/>
    <cellStyle name="Note 40 11 2" xfId="32425"/>
    <cellStyle name="Note 40 12" xfId="25660"/>
    <cellStyle name="Note 40 12 2" xfId="32426"/>
    <cellStyle name="Note 40 13" xfId="25661"/>
    <cellStyle name="Note 40 13 2" xfId="32427"/>
    <cellStyle name="Note 40 14" xfId="25662"/>
    <cellStyle name="Note 40 14 2" xfId="32428"/>
    <cellStyle name="Note 40 15" xfId="25663"/>
    <cellStyle name="Note 40 15 2" xfId="32429"/>
    <cellStyle name="Note 40 16" xfId="25664"/>
    <cellStyle name="Note 40 16 2" xfId="32430"/>
    <cellStyle name="Note 40 17" xfId="25665"/>
    <cellStyle name="Note 40 17 2" xfId="32431"/>
    <cellStyle name="Note 40 18" xfId="25666"/>
    <cellStyle name="Note 40 18 2" xfId="32432"/>
    <cellStyle name="Note 40 19" xfId="25667"/>
    <cellStyle name="Note 40 19 2" xfId="32433"/>
    <cellStyle name="Note 40 2" xfId="25668"/>
    <cellStyle name="Note 40 2 2" xfId="32434"/>
    <cellStyle name="Note 40 20" xfId="25669"/>
    <cellStyle name="Note 40 20 2" xfId="32435"/>
    <cellStyle name="Note 40 21" xfId="25670"/>
    <cellStyle name="Note 40 21 2" xfId="32436"/>
    <cellStyle name="Note 40 22" xfId="25671"/>
    <cellStyle name="Note 40 22 2" xfId="32437"/>
    <cellStyle name="Note 40 23" xfId="32438"/>
    <cellStyle name="Note 40 3" xfId="25672"/>
    <cellStyle name="Note 40 3 2" xfId="32439"/>
    <cellStyle name="Note 40 4" xfId="25673"/>
    <cellStyle name="Note 40 4 2" xfId="32440"/>
    <cellStyle name="Note 40 5" xfId="25674"/>
    <cellStyle name="Note 40 5 2" xfId="32441"/>
    <cellStyle name="Note 40 6" xfId="25675"/>
    <cellStyle name="Note 40 6 2" xfId="32442"/>
    <cellStyle name="Note 40 7" xfId="25676"/>
    <cellStyle name="Note 40 7 2" xfId="32443"/>
    <cellStyle name="Note 40 8" xfId="25677"/>
    <cellStyle name="Note 40 8 2" xfId="32444"/>
    <cellStyle name="Note 40 9" xfId="25678"/>
    <cellStyle name="Note 40 9 2" xfId="32445"/>
    <cellStyle name="Note 41" xfId="6903"/>
    <cellStyle name="Note 41 10" xfId="25679"/>
    <cellStyle name="Note 41 10 2" xfId="32446"/>
    <cellStyle name="Note 41 11" xfId="25680"/>
    <cellStyle name="Note 41 11 2" xfId="32447"/>
    <cellStyle name="Note 41 12" xfId="25681"/>
    <cellStyle name="Note 41 12 2" xfId="32448"/>
    <cellStyle name="Note 41 13" xfId="25682"/>
    <cellStyle name="Note 41 13 2" xfId="32449"/>
    <cellStyle name="Note 41 14" xfId="25683"/>
    <cellStyle name="Note 41 14 2" xfId="32450"/>
    <cellStyle name="Note 41 15" xfId="25684"/>
    <cellStyle name="Note 41 15 2" xfId="32451"/>
    <cellStyle name="Note 41 16" xfId="25685"/>
    <cellStyle name="Note 41 16 2" xfId="32452"/>
    <cellStyle name="Note 41 17" xfId="25686"/>
    <cellStyle name="Note 41 17 2" xfId="32453"/>
    <cellStyle name="Note 41 18" xfId="25687"/>
    <cellStyle name="Note 41 18 2" xfId="32454"/>
    <cellStyle name="Note 41 19" xfId="25688"/>
    <cellStyle name="Note 41 19 2" xfId="32455"/>
    <cellStyle name="Note 41 2" xfId="25689"/>
    <cellStyle name="Note 41 2 2" xfId="32456"/>
    <cellStyle name="Note 41 20" xfId="25690"/>
    <cellStyle name="Note 41 20 2" xfId="32457"/>
    <cellStyle name="Note 41 21" xfId="25691"/>
    <cellStyle name="Note 41 21 2" xfId="32458"/>
    <cellStyle name="Note 41 22" xfId="25692"/>
    <cellStyle name="Note 41 22 2" xfId="32459"/>
    <cellStyle name="Note 41 23" xfId="32460"/>
    <cellStyle name="Note 41 3" xfId="25693"/>
    <cellStyle name="Note 41 3 2" xfId="32461"/>
    <cellStyle name="Note 41 4" xfId="25694"/>
    <cellStyle name="Note 41 4 2" xfId="32462"/>
    <cellStyle name="Note 41 5" xfId="25695"/>
    <cellStyle name="Note 41 5 2" xfId="32463"/>
    <cellStyle name="Note 41 6" xfId="25696"/>
    <cellStyle name="Note 41 6 2" xfId="32464"/>
    <cellStyle name="Note 41 7" xfId="25697"/>
    <cellStyle name="Note 41 7 2" xfId="32465"/>
    <cellStyle name="Note 41 8" xfId="25698"/>
    <cellStyle name="Note 41 8 2" xfId="32466"/>
    <cellStyle name="Note 41 9" xfId="25699"/>
    <cellStyle name="Note 41 9 2" xfId="32467"/>
    <cellStyle name="Note 42" xfId="6904"/>
    <cellStyle name="Note 42 10" xfId="25700"/>
    <cellStyle name="Note 42 10 2" xfId="32468"/>
    <cellStyle name="Note 42 11" xfId="25701"/>
    <cellStyle name="Note 42 11 2" xfId="32469"/>
    <cellStyle name="Note 42 12" xfId="25702"/>
    <cellStyle name="Note 42 12 2" xfId="32470"/>
    <cellStyle name="Note 42 13" xfId="25703"/>
    <cellStyle name="Note 42 13 2" xfId="32471"/>
    <cellStyle name="Note 42 14" xfId="25704"/>
    <cellStyle name="Note 42 14 2" xfId="32472"/>
    <cellStyle name="Note 42 15" xfId="25705"/>
    <cellStyle name="Note 42 15 2" xfId="32473"/>
    <cellStyle name="Note 42 16" xfId="25706"/>
    <cellStyle name="Note 42 16 2" xfId="32474"/>
    <cellStyle name="Note 42 17" xfId="25707"/>
    <cellStyle name="Note 42 17 2" xfId="32475"/>
    <cellStyle name="Note 42 18" xfId="25708"/>
    <cellStyle name="Note 42 18 2" xfId="32476"/>
    <cellStyle name="Note 42 19" xfId="25709"/>
    <cellStyle name="Note 42 19 2" xfId="32477"/>
    <cellStyle name="Note 42 2" xfId="25710"/>
    <cellStyle name="Note 42 2 2" xfId="32478"/>
    <cellStyle name="Note 42 20" xfId="25711"/>
    <cellStyle name="Note 42 20 2" xfId="32479"/>
    <cellStyle name="Note 42 21" xfId="25712"/>
    <cellStyle name="Note 42 21 2" xfId="32480"/>
    <cellStyle name="Note 42 22" xfId="25713"/>
    <cellStyle name="Note 42 22 2" xfId="32481"/>
    <cellStyle name="Note 42 23" xfId="32482"/>
    <cellStyle name="Note 42 3" xfId="25714"/>
    <cellStyle name="Note 42 3 2" xfId="32483"/>
    <cellStyle name="Note 42 4" xfId="25715"/>
    <cellStyle name="Note 42 4 2" xfId="32484"/>
    <cellStyle name="Note 42 5" xfId="25716"/>
    <cellStyle name="Note 42 5 2" xfId="32485"/>
    <cellStyle name="Note 42 6" xfId="25717"/>
    <cellStyle name="Note 42 6 2" xfId="32486"/>
    <cellStyle name="Note 42 7" xfId="25718"/>
    <cellStyle name="Note 42 7 2" xfId="32487"/>
    <cellStyle name="Note 42 8" xfId="25719"/>
    <cellStyle name="Note 42 8 2" xfId="32488"/>
    <cellStyle name="Note 42 9" xfId="25720"/>
    <cellStyle name="Note 42 9 2" xfId="32489"/>
    <cellStyle name="Note 43" xfId="6905"/>
    <cellStyle name="Note 43 10" xfId="25721"/>
    <cellStyle name="Note 43 10 2" xfId="32490"/>
    <cellStyle name="Note 43 11" xfId="25722"/>
    <cellStyle name="Note 43 11 2" xfId="32491"/>
    <cellStyle name="Note 43 12" xfId="25723"/>
    <cellStyle name="Note 43 12 2" xfId="32492"/>
    <cellStyle name="Note 43 13" xfId="25724"/>
    <cellStyle name="Note 43 13 2" xfId="32493"/>
    <cellStyle name="Note 43 14" xfId="25725"/>
    <cellStyle name="Note 43 14 2" xfId="32494"/>
    <cellStyle name="Note 43 15" xfId="25726"/>
    <cellStyle name="Note 43 15 2" xfId="32495"/>
    <cellStyle name="Note 43 16" xfId="25727"/>
    <cellStyle name="Note 43 16 2" xfId="32496"/>
    <cellStyle name="Note 43 17" xfId="25728"/>
    <cellStyle name="Note 43 17 2" xfId="32497"/>
    <cellStyle name="Note 43 18" xfId="25729"/>
    <cellStyle name="Note 43 18 2" xfId="32498"/>
    <cellStyle name="Note 43 19" xfId="25730"/>
    <cellStyle name="Note 43 19 2" xfId="32499"/>
    <cellStyle name="Note 43 2" xfId="25731"/>
    <cellStyle name="Note 43 2 2" xfId="32500"/>
    <cellStyle name="Note 43 20" xfId="25732"/>
    <cellStyle name="Note 43 20 2" xfId="32501"/>
    <cellStyle name="Note 43 21" xfId="25733"/>
    <cellStyle name="Note 43 21 2" xfId="32502"/>
    <cellStyle name="Note 43 22" xfId="25734"/>
    <cellStyle name="Note 43 22 2" xfId="32503"/>
    <cellStyle name="Note 43 23" xfId="32504"/>
    <cellStyle name="Note 43 3" xfId="25735"/>
    <cellStyle name="Note 43 3 2" xfId="32505"/>
    <cellStyle name="Note 43 4" xfId="25736"/>
    <cellStyle name="Note 43 4 2" xfId="32506"/>
    <cellStyle name="Note 43 5" xfId="25737"/>
    <cellStyle name="Note 43 5 2" xfId="32507"/>
    <cellStyle name="Note 43 6" xfId="25738"/>
    <cellStyle name="Note 43 6 2" xfId="32508"/>
    <cellStyle name="Note 43 7" xfId="25739"/>
    <cellStyle name="Note 43 7 2" xfId="32509"/>
    <cellStyle name="Note 43 8" xfId="25740"/>
    <cellStyle name="Note 43 8 2" xfId="32510"/>
    <cellStyle name="Note 43 9" xfId="25741"/>
    <cellStyle name="Note 43 9 2" xfId="32511"/>
    <cellStyle name="Note 44" xfId="6906"/>
    <cellStyle name="Note 44 10" xfId="25742"/>
    <cellStyle name="Note 44 10 2" xfId="32512"/>
    <cellStyle name="Note 44 11" xfId="25743"/>
    <cellStyle name="Note 44 11 2" xfId="32513"/>
    <cellStyle name="Note 44 12" xfId="25744"/>
    <cellStyle name="Note 44 12 2" xfId="32514"/>
    <cellStyle name="Note 44 13" xfId="25745"/>
    <cellStyle name="Note 44 13 2" xfId="32515"/>
    <cellStyle name="Note 44 14" xfId="25746"/>
    <cellStyle name="Note 44 14 2" xfId="32516"/>
    <cellStyle name="Note 44 15" xfId="25747"/>
    <cellStyle name="Note 44 15 2" xfId="32517"/>
    <cellStyle name="Note 44 16" xfId="25748"/>
    <cellStyle name="Note 44 16 2" xfId="32518"/>
    <cellStyle name="Note 44 17" xfId="25749"/>
    <cellStyle name="Note 44 17 2" xfId="32519"/>
    <cellStyle name="Note 44 18" xfId="25750"/>
    <cellStyle name="Note 44 18 2" xfId="32520"/>
    <cellStyle name="Note 44 19" xfId="25751"/>
    <cellStyle name="Note 44 19 2" xfId="32521"/>
    <cellStyle name="Note 44 2" xfId="25752"/>
    <cellStyle name="Note 44 2 2" xfId="32522"/>
    <cellStyle name="Note 44 20" xfId="25753"/>
    <cellStyle name="Note 44 20 2" xfId="32523"/>
    <cellStyle name="Note 44 21" xfId="25754"/>
    <cellStyle name="Note 44 21 2" xfId="32524"/>
    <cellStyle name="Note 44 22" xfId="25755"/>
    <cellStyle name="Note 44 22 2" xfId="32525"/>
    <cellStyle name="Note 44 23" xfId="32526"/>
    <cellStyle name="Note 44 3" xfId="25756"/>
    <cellStyle name="Note 44 3 2" xfId="32527"/>
    <cellStyle name="Note 44 4" xfId="25757"/>
    <cellStyle name="Note 44 4 2" xfId="32528"/>
    <cellStyle name="Note 44 5" xfId="25758"/>
    <cellStyle name="Note 44 5 2" xfId="32529"/>
    <cellStyle name="Note 44 6" xfId="25759"/>
    <cellStyle name="Note 44 6 2" xfId="32530"/>
    <cellStyle name="Note 44 7" xfId="25760"/>
    <cellStyle name="Note 44 7 2" xfId="32531"/>
    <cellStyle name="Note 44 8" xfId="25761"/>
    <cellStyle name="Note 44 8 2" xfId="32532"/>
    <cellStyle name="Note 44 9" xfId="25762"/>
    <cellStyle name="Note 44 9 2" xfId="32533"/>
    <cellStyle name="Note 45" xfId="6907"/>
    <cellStyle name="Note 45 10" xfId="25763"/>
    <cellStyle name="Note 45 10 2" xfId="32534"/>
    <cellStyle name="Note 45 11" xfId="25764"/>
    <cellStyle name="Note 45 11 2" xfId="32535"/>
    <cellStyle name="Note 45 12" xfId="25765"/>
    <cellStyle name="Note 45 12 2" xfId="32536"/>
    <cellStyle name="Note 45 13" xfId="25766"/>
    <cellStyle name="Note 45 13 2" xfId="32537"/>
    <cellStyle name="Note 45 14" xfId="25767"/>
    <cellStyle name="Note 45 14 2" xfId="32538"/>
    <cellStyle name="Note 45 15" xfId="25768"/>
    <cellStyle name="Note 45 15 2" xfId="32539"/>
    <cellStyle name="Note 45 16" xfId="25769"/>
    <cellStyle name="Note 45 16 2" xfId="32540"/>
    <cellStyle name="Note 45 17" xfId="25770"/>
    <cellStyle name="Note 45 17 2" xfId="32541"/>
    <cellStyle name="Note 45 18" xfId="25771"/>
    <cellStyle name="Note 45 18 2" xfId="32542"/>
    <cellStyle name="Note 45 19" xfId="25772"/>
    <cellStyle name="Note 45 19 2" xfId="32543"/>
    <cellStyle name="Note 45 2" xfId="25773"/>
    <cellStyle name="Note 45 2 2" xfId="32544"/>
    <cellStyle name="Note 45 20" xfId="25774"/>
    <cellStyle name="Note 45 20 2" xfId="32545"/>
    <cellStyle name="Note 45 21" xfId="25775"/>
    <cellStyle name="Note 45 21 2" xfId="32546"/>
    <cellStyle name="Note 45 22" xfId="25776"/>
    <cellStyle name="Note 45 22 2" xfId="32547"/>
    <cellStyle name="Note 45 23" xfId="32548"/>
    <cellStyle name="Note 45 3" xfId="25777"/>
    <cellStyle name="Note 45 3 2" xfId="32549"/>
    <cellStyle name="Note 45 4" xfId="25778"/>
    <cellStyle name="Note 45 4 2" xfId="32550"/>
    <cellStyle name="Note 45 5" xfId="25779"/>
    <cellStyle name="Note 45 5 2" xfId="32551"/>
    <cellStyle name="Note 45 6" xfId="25780"/>
    <cellStyle name="Note 45 6 2" xfId="32552"/>
    <cellStyle name="Note 45 7" xfId="25781"/>
    <cellStyle name="Note 45 7 2" xfId="32553"/>
    <cellStyle name="Note 45 8" xfId="25782"/>
    <cellStyle name="Note 45 8 2" xfId="32554"/>
    <cellStyle name="Note 45 9" xfId="25783"/>
    <cellStyle name="Note 45 9 2" xfId="32555"/>
    <cellStyle name="Note 46" xfId="6908"/>
    <cellStyle name="Note 46 10" xfId="25784"/>
    <cellStyle name="Note 46 10 2" xfId="32556"/>
    <cellStyle name="Note 46 11" xfId="25785"/>
    <cellStyle name="Note 46 11 2" xfId="32557"/>
    <cellStyle name="Note 46 12" xfId="25786"/>
    <cellStyle name="Note 46 12 2" xfId="32558"/>
    <cellStyle name="Note 46 13" xfId="25787"/>
    <cellStyle name="Note 46 13 2" xfId="32559"/>
    <cellStyle name="Note 46 14" xfId="25788"/>
    <cellStyle name="Note 46 14 2" xfId="32560"/>
    <cellStyle name="Note 46 15" xfId="25789"/>
    <cellStyle name="Note 46 15 2" xfId="32561"/>
    <cellStyle name="Note 46 16" xfId="25790"/>
    <cellStyle name="Note 46 16 2" xfId="32562"/>
    <cellStyle name="Note 46 17" xfId="25791"/>
    <cellStyle name="Note 46 17 2" xfId="32563"/>
    <cellStyle name="Note 46 18" xfId="25792"/>
    <cellStyle name="Note 46 18 2" xfId="32564"/>
    <cellStyle name="Note 46 19" xfId="25793"/>
    <cellStyle name="Note 46 19 2" xfId="32565"/>
    <cellStyle name="Note 46 2" xfId="25794"/>
    <cellStyle name="Note 46 2 2" xfId="32566"/>
    <cellStyle name="Note 46 20" xfId="25795"/>
    <cellStyle name="Note 46 20 2" xfId="32567"/>
    <cellStyle name="Note 46 21" xfId="25796"/>
    <cellStyle name="Note 46 21 2" xfId="32568"/>
    <cellStyle name="Note 46 22" xfId="25797"/>
    <cellStyle name="Note 46 22 2" xfId="32569"/>
    <cellStyle name="Note 46 23" xfId="32570"/>
    <cellStyle name="Note 46 3" xfId="25798"/>
    <cellStyle name="Note 46 3 2" xfId="32571"/>
    <cellStyle name="Note 46 4" xfId="25799"/>
    <cellStyle name="Note 46 4 2" xfId="32572"/>
    <cellStyle name="Note 46 5" xfId="25800"/>
    <cellStyle name="Note 46 5 2" xfId="32573"/>
    <cellStyle name="Note 46 6" xfId="25801"/>
    <cellStyle name="Note 46 6 2" xfId="32574"/>
    <cellStyle name="Note 46 7" xfId="25802"/>
    <cellStyle name="Note 46 7 2" xfId="32575"/>
    <cellStyle name="Note 46 8" xfId="25803"/>
    <cellStyle name="Note 46 8 2" xfId="32576"/>
    <cellStyle name="Note 46 9" xfId="25804"/>
    <cellStyle name="Note 46 9 2" xfId="32577"/>
    <cellStyle name="Note 47" xfId="6909"/>
    <cellStyle name="Note 47 10" xfId="25805"/>
    <cellStyle name="Note 47 10 2" xfId="32578"/>
    <cellStyle name="Note 47 11" xfId="25806"/>
    <cellStyle name="Note 47 11 2" xfId="32579"/>
    <cellStyle name="Note 47 12" xfId="25807"/>
    <cellStyle name="Note 47 12 2" xfId="32580"/>
    <cellStyle name="Note 47 13" xfId="25808"/>
    <cellStyle name="Note 47 13 2" xfId="32581"/>
    <cellStyle name="Note 47 14" xfId="25809"/>
    <cellStyle name="Note 47 14 2" xfId="32582"/>
    <cellStyle name="Note 47 15" xfId="25810"/>
    <cellStyle name="Note 47 15 2" xfId="32583"/>
    <cellStyle name="Note 47 16" xfId="25811"/>
    <cellStyle name="Note 47 16 2" xfId="32584"/>
    <cellStyle name="Note 47 17" xfId="25812"/>
    <cellStyle name="Note 47 17 2" xfId="32585"/>
    <cellStyle name="Note 47 18" xfId="25813"/>
    <cellStyle name="Note 47 18 2" xfId="32586"/>
    <cellStyle name="Note 47 19" xfId="25814"/>
    <cellStyle name="Note 47 19 2" xfId="32587"/>
    <cellStyle name="Note 47 2" xfId="25815"/>
    <cellStyle name="Note 47 2 2" xfId="32588"/>
    <cellStyle name="Note 47 20" xfId="25816"/>
    <cellStyle name="Note 47 20 2" xfId="32589"/>
    <cellStyle name="Note 47 21" xfId="25817"/>
    <cellStyle name="Note 47 21 2" xfId="32590"/>
    <cellStyle name="Note 47 22" xfId="25818"/>
    <cellStyle name="Note 47 22 2" xfId="32591"/>
    <cellStyle name="Note 47 23" xfId="32592"/>
    <cellStyle name="Note 47 3" xfId="25819"/>
    <cellStyle name="Note 47 3 2" xfId="32593"/>
    <cellStyle name="Note 47 4" xfId="25820"/>
    <cellStyle name="Note 47 4 2" xfId="32594"/>
    <cellStyle name="Note 47 5" xfId="25821"/>
    <cellStyle name="Note 47 5 2" xfId="32595"/>
    <cellStyle name="Note 47 6" xfId="25822"/>
    <cellStyle name="Note 47 6 2" xfId="32596"/>
    <cellStyle name="Note 47 7" xfId="25823"/>
    <cellStyle name="Note 47 7 2" xfId="32597"/>
    <cellStyle name="Note 47 8" xfId="25824"/>
    <cellStyle name="Note 47 8 2" xfId="32598"/>
    <cellStyle name="Note 47 9" xfId="25825"/>
    <cellStyle name="Note 47 9 2" xfId="32599"/>
    <cellStyle name="Note 48" xfId="6910"/>
    <cellStyle name="Note 48 10" xfId="25826"/>
    <cellStyle name="Note 48 10 2" xfId="32600"/>
    <cellStyle name="Note 48 11" xfId="25827"/>
    <cellStyle name="Note 48 11 2" xfId="32601"/>
    <cellStyle name="Note 48 12" xfId="25828"/>
    <cellStyle name="Note 48 12 2" xfId="32602"/>
    <cellStyle name="Note 48 13" xfId="25829"/>
    <cellStyle name="Note 48 13 2" xfId="32603"/>
    <cellStyle name="Note 48 14" xfId="25830"/>
    <cellStyle name="Note 48 14 2" xfId="32604"/>
    <cellStyle name="Note 48 15" xfId="25831"/>
    <cellStyle name="Note 48 15 2" xfId="32605"/>
    <cellStyle name="Note 48 16" xfId="25832"/>
    <cellStyle name="Note 48 16 2" xfId="32606"/>
    <cellStyle name="Note 48 17" xfId="25833"/>
    <cellStyle name="Note 48 17 2" xfId="32607"/>
    <cellStyle name="Note 48 18" xfId="25834"/>
    <cellStyle name="Note 48 18 2" xfId="32608"/>
    <cellStyle name="Note 48 19" xfId="25835"/>
    <cellStyle name="Note 48 19 2" xfId="32609"/>
    <cellStyle name="Note 48 2" xfId="25836"/>
    <cellStyle name="Note 48 2 2" xfId="32610"/>
    <cellStyle name="Note 48 20" xfId="25837"/>
    <cellStyle name="Note 48 20 2" xfId="32611"/>
    <cellStyle name="Note 48 21" xfId="25838"/>
    <cellStyle name="Note 48 21 2" xfId="32612"/>
    <cellStyle name="Note 48 22" xfId="25839"/>
    <cellStyle name="Note 48 22 2" xfId="32613"/>
    <cellStyle name="Note 48 23" xfId="32614"/>
    <cellStyle name="Note 48 3" xfId="25840"/>
    <cellStyle name="Note 48 3 2" xfId="32615"/>
    <cellStyle name="Note 48 4" xfId="25841"/>
    <cellStyle name="Note 48 4 2" xfId="32616"/>
    <cellStyle name="Note 48 5" xfId="25842"/>
    <cellStyle name="Note 48 5 2" xfId="32617"/>
    <cellStyle name="Note 48 6" xfId="25843"/>
    <cellStyle name="Note 48 6 2" xfId="32618"/>
    <cellStyle name="Note 48 7" xfId="25844"/>
    <cellStyle name="Note 48 7 2" xfId="32619"/>
    <cellStyle name="Note 48 8" xfId="25845"/>
    <cellStyle name="Note 48 8 2" xfId="32620"/>
    <cellStyle name="Note 48 9" xfId="25846"/>
    <cellStyle name="Note 48 9 2" xfId="32621"/>
    <cellStyle name="Note 49" xfId="6911"/>
    <cellStyle name="Note 49 10" xfId="25847"/>
    <cellStyle name="Note 49 10 2" xfId="32622"/>
    <cellStyle name="Note 49 11" xfId="25848"/>
    <cellStyle name="Note 49 11 2" xfId="32623"/>
    <cellStyle name="Note 49 12" xfId="25849"/>
    <cellStyle name="Note 49 12 2" xfId="32624"/>
    <cellStyle name="Note 49 13" xfId="25850"/>
    <cellStyle name="Note 49 13 2" xfId="32625"/>
    <cellStyle name="Note 49 14" xfId="25851"/>
    <cellStyle name="Note 49 14 2" xfId="32626"/>
    <cellStyle name="Note 49 15" xfId="25852"/>
    <cellStyle name="Note 49 15 2" xfId="32627"/>
    <cellStyle name="Note 49 16" xfId="25853"/>
    <cellStyle name="Note 49 16 2" xfId="32628"/>
    <cellStyle name="Note 49 17" xfId="25854"/>
    <cellStyle name="Note 49 17 2" xfId="32629"/>
    <cellStyle name="Note 49 18" xfId="25855"/>
    <cellStyle name="Note 49 18 2" xfId="32630"/>
    <cellStyle name="Note 49 19" xfId="25856"/>
    <cellStyle name="Note 49 19 2" xfId="32631"/>
    <cellStyle name="Note 49 2" xfId="25857"/>
    <cellStyle name="Note 49 2 2" xfId="32632"/>
    <cellStyle name="Note 49 20" xfId="25858"/>
    <cellStyle name="Note 49 20 2" xfId="32633"/>
    <cellStyle name="Note 49 21" xfId="25859"/>
    <cellStyle name="Note 49 21 2" xfId="32634"/>
    <cellStyle name="Note 49 22" xfId="25860"/>
    <cellStyle name="Note 49 22 2" xfId="32635"/>
    <cellStyle name="Note 49 23" xfId="32636"/>
    <cellStyle name="Note 49 3" xfId="25861"/>
    <cellStyle name="Note 49 3 2" xfId="32637"/>
    <cellStyle name="Note 49 4" xfId="25862"/>
    <cellStyle name="Note 49 4 2" xfId="32638"/>
    <cellStyle name="Note 49 5" xfId="25863"/>
    <cellStyle name="Note 49 5 2" xfId="32639"/>
    <cellStyle name="Note 49 6" xfId="25864"/>
    <cellStyle name="Note 49 6 2" xfId="32640"/>
    <cellStyle name="Note 49 7" xfId="25865"/>
    <cellStyle name="Note 49 7 2" xfId="32641"/>
    <cellStyle name="Note 49 8" xfId="25866"/>
    <cellStyle name="Note 49 8 2" xfId="32642"/>
    <cellStyle name="Note 49 9" xfId="25867"/>
    <cellStyle name="Note 49 9 2" xfId="32643"/>
    <cellStyle name="Note 5" xfId="6912"/>
    <cellStyle name="Note 5 10" xfId="25868"/>
    <cellStyle name="Note 5 10 2" xfId="32644"/>
    <cellStyle name="Note 5 11" xfId="25869"/>
    <cellStyle name="Note 5 11 2" xfId="32645"/>
    <cellStyle name="Note 5 12" xfId="25870"/>
    <cellStyle name="Note 5 12 2" xfId="32646"/>
    <cellStyle name="Note 5 13" xfId="25871"/>
    <cellStyle name="Note 5 13 2" xfId="32647"/>
    <cellStyle name="Note 5 14" xfId="25872"/>
    <cellStyle name="Note 5 14 2" xfId="32648"/>
    <cellStyle name="Note 5 15" xfId="25873"/>
    <cellStyle name="Note 5 15 2" xfId="32649"/>
    <cellStyle name="Note 5 16" xfId="25874"/>
    <cellStyle name="Note 5 16 2" xfId="32650"/>
    <cellStyle name="Note 5 17" xfId="25875"/>
    <cellStyle name="Note 5 17 2" xfId="32651"/>
    <cellStyle name="Note 5 18" xfId="25876"/>
    <cellStyle name="Note 5 18 2" xfId="32652"/>
    <cellStyle name="Note 5 19" xfId="25877"/>
    <cellStyle name="Note 5 19 2" xfId="32653"/>
    <cellStyle name="Note 5 2" xfId="25878"/>
    <cellStyle name="Note 5 2 2" xfId="32654"/>
    <cellStyle name="Note 5 20" xfId="25879"/>
    <cellStyle name="Note 5 20 2" xfId="32655"/>
    <cellStyle name="Note 5 21" xfId="25880"/>
    <cellStyle name="Note 5 21 2" xfId="32656"/>
    <cellStyle name="Note 5 22" xfId="25881"/>
    <cellStyle name="Note 5 22 2" xfId="32657"/>
    <cellStyle name="Note 5 23" xfId="32658"/>
    <cellStyle name="Note 5 3" xfId="25882"/>
    <cellStyle name="Note 5 3 2" xfId="32659"/>
    <cellStyle name="Note 5 4" xfId="25883"/>
    <cellStyle name="Note 5 4 2" xfId="32660"/>
    <cellStyle name="Note 5 5" xfId="25884"/>
    <cellStyle name="Note 5 5 2" xfId="32661"/>
    <cellStyle name="Note 5 6" xfId="25885"/>
    <cellStyle name="Note 5 6 2" xfId="32662"/>
    <cellStyle name="Note 5 7" xfId="25886"/>
    <cellStyle name="Note 5 7 2" xfId="32663"/>
    <cellStyle name="Note 5 8" xfId="25887"/>
    <cellStyle name="Note 5 8 2" xfId="32664"/>
    <cellStyle name="Note 5 9" xfId="25888"/>
    <cellStyle name="Note 5 9 2" xfId="32665"/>
    <cellStyle name="Note 50" xfId="6913"/>
    <cellStyle name="Note 50 10" xfId="25889"/>
    <cellStyle name="Note 50 10 2" xfId="32666"/>
    <cellStyle name="Note 50 11" xfId="25890"/>
    <cellStyle name="Note 50 11 2" xfId="32667"/>
    <cellStyle name="Note 50 12" xfId="25891"/>
    <cellStyle name="Note 50 12 2" xfId="32668"/>
    <cellStyle name="Note 50 13" xfId="25892"/>
    <cellStyle name="Note 50 13 2" xfId="32669"/>
    <cellStyle name="Note 50 14" xfId="25893"/>
    <cellStyle name="Note 50 14 2" xfId="32670"/>
    <cellStyle name="Note 50 15" xfId="25894"/>
    <cellStyle name="Note 50 15 2" xfId="32671"/>
    <cellStyle name="Note 50 16" xfId="25895"/>
    <cellStyle name="Note 50 16 2" xfId="32672"/>
    <cellStyle name="Note 50 17" xfId="25896"/>
    <cellStyle name="Note 50 17 2" xfId="32673"/>
    <cellStyle name="Note 50 18" xfId="25897"/>
    <cellStyle name="Note 50 18 2" xfId="32674"/>
    <cellStyle name="Note 50 19" xfId="25898"/>
    <cellStyle name="Note 50 19 2" xfId="32675"/>
    <cellStyle name="Note 50 2" xfId="25899"/>
    <cellStyle name="Note 50 2 2" xfId="32676"/>
    <cellStyle name="Note 50 20" xfId="25900"/>
    <cellStyle name="Note 50 20 2" xfId="32677"/>
    <cellStyle name="Note 50 21" xfId="25901"/>
    <cellStyle name="Note 50 21 2" xfId="32678"/>
    <cellStyle name="Note 50 22" xfId="25902"/>
    <cellStyle name="Note 50 22 2" xfId="32679"/>
    <cellStyle name="Note 50 23" xfId="32680"/>
    <cellStyle name="Note 50 3" xfId="25903"/>
    <cellStyle name="Note 50 3 2" xfId="32681"/>
    <cellStyle name="Note 50 4" xfId="25904"/>
    <cellStyle name="Note 50 4 2" xfId="32682"/>
    <cellStyle name="Note 50 5" xfId="25905"/>
    <cellStyle name="Note 50 5 2" xfId="32683"/>
    <cellStyle name="Note 50 6" xfId="25906"/>
    <cellStyle name="Note 50 6 2" xfId="32684"/>
    <cellStyle name="Note 50 7" xfId="25907"/>
    <cellStyle name="Note 50 7 2" xfId="32685"/>
    <cellStyle name="Note 50 8" xfId="25908"/>
    <cellStyle name="Note 50 8 2" xfId="32686"/>
    <cellStyle name="Note 50 9" xfId="25909"/>
    <cellStyle name="Note 50 9 2" xfId="32687"/>
    <cellStyle name="Note 51" xfId="6914"/>
    <cellStyle name="Note 51 10" xfId="25910"/>
    <cellStyle name="Note 51 10 2" xfId="32688"/>
    <cellStyle name="Note 51 11" xfId="25911"/>
    <cellStyle name="Note 51 11 2" xfId="32689"/>
    <cellStyle name="Note 51 12" xfId="25912"/>
    <cellStyle name="Note 51 12 2" xfId="32690"/>
    <cellStyle name="Note 51 13" xfId="25913"/>
    <cellStyle name="Note 51 13 2" xfId="32691"/>
    <cellStyle name="Note 51 14" xfId="25914"/>
    <cellStyle name="Note 51 14 2" xfId="32692"/>
    <cellStyle name="Note 51 15" xfId="25915"/>
    <cellStyle name="Note 51 15 2" xfId="32693"/>
    <cellStyle name="Note 51 16" xfId="25916"/>
    <cellStyle name="Note 51 16 2" xfId="32694"/>
    <cellStyle name="Note 51 17" xfId="25917"/>
    <cellStyle name="Note 51 17 2" xfId="32695"/>
    <cellStyle name="Note 51 18" xfId="25918"/>
    <cellStyle name="Note 51 18 2" xfId="32696"/>
    <cellStyle name="Note 51 19" xfId="25919"/>
    <cellStyle name="Note 51 19 2" xfId="32697"/>
    <cellStyle name="Note 51 2" xfId="25920"/>
    <cellStyle name="Note 51 2 2" xfId="32698"/>
    <cellStyle name="Note 51 20" xfId="25921"/>
    <cellStyle name="Note 51 20 2" xfId="32699"/>
    <cellStyle name="Note 51 21" xfId="25922"/>
    <cellStyle name="Note 51 21 2" xfId="32700"/>
    <cellStyle name="Note 51 22" xfId="25923"/>
    <cellStyle name="Note 51 22 2" xfId="32701"/>
    <cellStyle name="Note 51 23" xfId="32702"/>
    <cellStyle name="Note 51 3" xfId="25924"/>
    <cellStyle name="Note 51 3 2" xfId="32703"/>
    <cellStyle name="Note 51 4" xfId="25925"/>
    <cellStyle name="Note 51 4 2" xfId="32704"/>
    <cellStyle name="Note 51 5" xfId="25926"/>
    <cellStyle name="Note 51 5 2" xfId="32705"/>
    <cellStyle name="Note 51 6" xfId="25927"/>
    <cellStyle name="Note 51 6 2" xfId="32706"/>
    <cellStyle name="Note 51 7" xfId="25928"/>
    <cellStyle name="Note 51 7 2" xfId="32707"/>
    <cellStyle name="Note 51 8" xfId="25929"/>
    <cellStyle name="Note 51 8 2" xfId="32708"/>
    <cellStyle name="Note 51 9" xfId="25930"/>
    <cellStyle name="Note 51 9 2" xfId="32709"/>
    <cellStyle name="Note 52" xfId="6915"/>
    <cellStyle name="Note 52 10" xfId="25931"/>
    <cellStyle name="Note 52 10 2" xfId="32710"/>
    <cellStyle name="Note 52 11" xfId="25932"/>
    <cellStyle name="Note 52 11 2" xfId="32711"/>
    <cellStyle name="Note 52 12" xfId="25933"/>
    <cellStyle name="Note 52 12 2" xfId="32712"/>
    <cellStyle name="Note 52 13" xfId="25934"/>
    <cellStyle name="Note 52 13 2" xfId="32713"/>
    <cellStyle name="Note 52 14" xfId="25935"/>
    <cellStyle name="Note 52 14 2" xfId="32714"/>
    <cellStyle name="Note 52 15" xfId="25936"/>
    <cellStyle name="Note 52 15 2" xfId="32715"/>
    <cellStyle name="Note 52 16" xfId="25937"/>
    <cellStyle name="Note 52 16 2" xfId="32716"/>
    <cellStyle name="Note 52 17" xfId="25938"/>
    <cellStyle name="Note 52 17 2" xfId="32717"/>
    <cellStyle name="Note 52 18" xfId="25939"/>
    <cellStyle name="Note 52 18 2" xfId="32718"/>
    <cellStyle name="Note 52 19" xfId="25940"/>
    <cellStyle name="Note 52 19 2" xfId="32719"/>
    <cellStyle name="Note 52 2" xfId="25941"/>
    <cellStyle name="Note 52 2 2" xfId="32720"/>
    <cellStyle name="Note 52 20" xfId="25942"/>
    <cellStyle name="Note 52 20 2" xfId="32721"/>
    <cellStyle name="Note 52 21" xfId="25943"/>
    <cellStyle name="Note 52 21 2" xfId="32722"/>
    <cellStyle name="Note 52 22" xfId="25944"/>
    <cellStyle name="Note 52 22 2" xfId="32723"/>
    <cellStyle name="Note 52 23" xfId="32724"/>
    <cellStyle name="Note 52 3" xfId="25945"/>
    <cellStyle name="Note 52 3 2" xfId="32725"/>
    <cellStyle name="Note 52 4" xfId="25946"/>
    <cellStyle name="Note 52 4 2" xfId="32726"/>
    <cellStyle name="Note 52 5" xfId="25947"/>
    <cellStyle name="Note 52 5 2" xfId="32727"/>
    <cellStyle name="Note 52 6" xfId="25948"/>
    <cellStyle name="Note 52 6 2" xfId="32728"/>
    <cellStyle name="Note 52 7" xfId="25949"/>
    <cellStyle name="Note 52 7 2" xfId="32729"/>
    <cellStyle name="Note 52 8" xfId="25950"/>
    <cellStyle name="Note 52 8 2" xfId="32730"/>
    <cellStyle name="Note 52 9" xfId="25951"/>
    <cellStyle name="Note 52 9 2" xfId="32731"/>
    <cellStyle name="Note 6" xfId="6916"/>
    <cellStyle name="Note 6 10" xfId="25952"/>
    <cellStyle name="Note 6 10 2" xfId="32732"/>
    <cellStyle name="Note 6 11" xfId="25953"/>
    <cellStyle name="Note 6 11 2" xfId="32733"/>
    <cellStyle name="Note 6 12" xfId="25954"/>
    <cellStyle name="Note 6 12 2" xfId="32734"/>
    <cellStyle name="Note 6 13" xfId="25955"/>
    <cellStyle name="Note 6 13 2" xfId="32735"/>
    <cellStyle name="Note 6 14" xfId="25956"/>
    <cellStyle name="Note 6 14 2" xfId="32736"/>
    <cellStyle name="Note 6 15" xfId="25957"/>
    <cellStyle name="Note 6 15 2" xfId="32737"/>
    <cellStyle name="Note 6 16" xfId="25958"/>
    <cellStyle name="Note 6 16 2" xfId="32738"/>
    <cellStyle name="Note 6 17" xfId="25959"/>
    <cellStyle name="Note 6 17 2" xfId="32739"/>
    <cellStyle name="Note 6 18" xfId="25960"/>
    <cellStyle name="Note 6 18 2" xfId="32740"/>
    <cellStyle name="Note 6 19" xfId="25961"/>
    <cellStyle name="Note 6 19 2" xfId="32741"/>
    <cellStyle name="Note 6 2" xfId="25962"/>
    <cellStyle name="Note 6 2 2" xfId="32742"/>
    <cellStyle name="Note 6 20" xfId="25963"/>
    <cellStyle name="Note 6 20 2" xfId="32743"/>
    <cellStyle name="Note 6 21" xfId="25964"/>
    <cellStyle name="Note 6 21 2" xfId="32744"/>
    <cellStyle name="Note 6 22" xfId="25965"/>
    <cellStyle name="Note 6 22 2" xfId="32745"/>
    <cellStyle name="Note 6 23" xfId="32746"/>
    <cellStyle name="Note 6 3" xfId="25966"/>
    <cellStyle name="Note 6 3 2" xfId="32747"/>
    <cellStyle name="Note 6 4" xfId="25967"/>
    <cellStyle name="Note 6 4 2" xfId="32748"/>
    <cellStyle name="Note 6 5" xfId="25968"/>
    <cellStyle name="Note 6 5 2" xfId="32749"/>
    <cellStyle name="Note 6 6" xfId="25969"/>
    <cellStyle name="Note 6 6 2" xfId="32750"/>
    <cellStyle name="Note 6 7" xfId="25970"/>
    <cellStyle name="Note 6 7 2" xfId="32751"/>
    <cellStyle name="Note 6 8" xfId="25971"/>
    <cellStyle name="Note 6 8 2" xfId="32752"/>
    <cellStyle name="Note 6 9" xfId="25972"/>
    <cellStyle name="Note 6 9 2" xfId="32753"/>
    <cellStyle name="Note 7" xfId="6917"/>
    <cellStyle name="Note 7 10" xfId="25973"/>
    <cellStyle name="Note 7 10 2" xfId="32754"/>
    <cellStyle name="Note 7 11" xfId="25974"/>
    <cellStyle name="Note 7 11 2" xfId="32755"/>
    <cellStyle name="Note 7 12" xfId="25975"/>
    <cellStyle name="Note 7 12 2" xfId="32756"/>
    <cellStyle name="Note 7 13" xfId="25976"/>
    <cellStyle name="Note 7 13 2" xfId="32757"/>
    <cellStyle name="Note 7 14" xfId="25977"/>
    <cellStyle name="Note 7 14 2" xfId="32758"/>
    <cellStyle name="Note 7 15" xfId="25978"/>
    <cellStyle name="Note 7 15 2" xfId="32759"/>
    <cellStyle name="Note 7 16" xfId="25979"/>
    <cellStyle name="Note 7 16 2" xfId="32760"/>
    <cellStyle name="Note 7 17" xfId="25980"/>
    <cellStyle name="Note 7 17 2" xfId="32761"/>
    <cellStyle name="Note 7 18" xfId="25981"/>
    <cellStyle name="Note 7 18 2" xfId="32762"/>
    <cellStyle name="Note 7 19" xfId="25982"/>
    <cellStyle name="Note 7 19 2" xfId="32763"/>
    <cellStyle name="Note 7 2" xfId="25983"/>
    <cellStyle name="Note 7 2 2" xfId="32764"/>
    <cellStyle name="Note 7 20" xfId="25984"/>
    <cellStyle name="Note 7 20 2" xfId="32765"/>
    <cellStyle name="Note 7 21" xfId="25985"/>
    <cellStyle name="Note 7 21 2" xfId="32766"/>
    <cellStyle name="Note 7 22" xfId="25986"/>
    <cellStyle name="Note 7 22 2" xfId="32767"/>
    <cellStyle name="Note 7 23" xfId="32768"/>
    <cellStyle name="Note 7 3" xfId="25987"/>
    <cellStyle name="Note 7 3 2" xfId="32769"/>
    <cellStyle name="Note 7 4" xfId="25988"/>
    <cellStyle name="Note 7 4 2" xfId="32770"/>
    <cellStyle name="Note 7 5" xfId="25989"/>
    <cellStyle name="Note 7 5 2" xfId="32771"/>
    <cellStyle name="Note 7 6" xfId="25990"/>
    <cellStyle name="Note 7 6 2" xfId="32772"/>
    <cellStyle name="Note 7 7" xfId="25991"/>
    <cellStyle name="Note 7 7 2" xfId="32773"/>
    <cellStyle name="Note 7 8" xfId="25992"/>
    <cellStyle name="Note 7 8 2" xfId="32774"/>
    <cellStyle name="Note 7 9" xfId="25993"/>
    <cellStyle name="Note 7 9 2" xfId="32775"/>
    <cellStyle name="Note 8" xfId="6918"/>
    <cellStyle name="Note 8 10" xfId="25994"/>
    <cellStyle name="Note 8 10 2" xfId="32776"/>
    <cellStyle name="Note 8 11" xfId="25995"/>
    <cellStyle name="Note 8 11 2" xfId="32777"/>
    <cellStyle name="Note 8 12" xfId="25996"/>
    <cellStyle name="Note 8 12 2" xfId="32778"/>
    <cellStyle name="Note 8 13" xfId="25997"/>
    <cellStyle name="Note 8 13 2" xfId="32779"/>
    <cellStyle name="Note 8 14" xfId="25998"/>
    <cellStyle name="Note 8 14 2" xfId="32780"/>
    <cellStyle name="Note 8 15" xfId="25999"/>
    <cellStyle name="Note 8 15 2" xfId="32781"/>
    <cellStyle name="Note 8 16" xfId="26000"/>
    <cellStyle name="Note 8 16 2" xfId="32782"/>
    <cellStyle name="Note 8 17" xfId="26001"/>
    <cellStyle name="Note 8 17 2" xfId="32783"/>
    <cellStyle name="Note 8 18" xfId="26002"/>
    <cellStyle name="Note 8 18 2" xfId="32784"/>
    <cellStyle name="Note 8 19" xfId="26003"/>
    <cellStyle name="Note 8 19 2" xfId="32785"/>
    <cellStyle name="Note 8 2" xfId="26004"/>
    <cellStyle name="Note 8 2 2" xfId="32786"/>
    <cellStyle name="Note 8 20" xfId="26005"/>
    <cellStyle name="Note 8 20 2" xfId="32787"/>
    <cellStyle name="Note 8 21" xfId="26006"/>
    <cellStyle name="Note 8 21 2" xfId="32788"/>
    <cellStyle name="Note 8 22" xfId="26007"/>
    <cellStyle name="Note 8 22 2" xfId="32789"/>
    <cellStyle name="Note 8 23" xfId="32790"/>
    <cellStyle name="Note 8 3" xfId="26008"/>
    <cellStyle name="Note 8 3 2" xfId="32791"/>
    <cellStyle name="Note 8 4" xfId="26009"/>
    <cellStyle name="Note 8 4 2" xfId="32792"/>
    <cellStyle name="Note 8 5" xfId="26010"/>
    <cellStyle name="Note 8 5 2" xfId="32793"/>
    <cellStyle name="Note 8 6" xfId="26011"/>
    <cellStyle name="Note 8 6 2" xfId="32794"/>
    <cellStyle name="Note 8 7" xfId="26012"/>
    <cellStyle name="Note 8 7 2" xfId="32795"/>
    <cellStyle name="Note 8 8" xfId="26013"/>
    <cellStyle name="Note 8 8 2" xfId="32796"/>
    <cellStyle name="Note 8 9" xfId="26014"/>
    <cellStyle name="Note 8 9 2" xfId="32797"/>
    <cellStyle name="Note 9" xfId="6919"/>
    <cellStyle name="Note 9 10" xfId="26015"/>
    <cellStyle name="Note 9 10 2" xfId="32798"/>
    <cellStyle name="Note 9 11" xfId="26016"/>
    <cellStyle name="Note 9 11 2" xfId="32799"/>
    <cellStyle name="Note 9 12" xfId="26017"/>
    <cellStyle name="Note 9 12 2" xfId="32800"/>
    <cellStyle name="Note 9 13" xfId="26018"/>
    <cellStyle name="Note 9 13 2" xfId="32801"/>
    <cellStyle name="Note 9 14" xfId="26019"/>
    <cellStyle name="Note 9 14 2" xfId="32802"/>
    <cellStyle name="Note 9 15" xfId="26020"/>
    <cellStyle name="Note 9 15 2" xfId="32803"/>
    <cellStyle name="Note 9 16" xfId="26021"/>
    <cellStyle name="Note 9 16 2" xfId="32804"/>
    <cellStyle name="Note 9 17" xfId="26022"/>
    <cellStyle name="Note 9 17 2" xfId="32805"/>
    <cellStyle name="Note 9 18" xfId="26023"/>
    <cellStyle name="Note 9 18 2" xfId="32806"/>
    <cellStyle name="Note 9 19" xfId="26024"/>
    <cellStyle name="Note 9 19 2" xfId="32807"/>
    <cellStyle name="Note 9 2" xfId="26025"/>
    <cellStyle name="Note 9 2 2" xfId="32808"/>
    <cellStyle name="Note 9 20" xfId="26026"/>
    <cellStyle name="Note 9 20 2" xfId="32809"/>
    <cellStyle name="Note 9 21" xfId="26027"/>
    <cellStyle name="Note 9 21 2" xfId="32810"/>
    <cellStyle name="Note 9 22" xfId="26028"/>
    <cellStyle name="Note 9 22 2" xfId="32811"/>
    <cellStyle name="Note 9 23" xfId="32812"/>
    <cellStyle name="Note 9 3" xfId="26029"/>
    <cellStyle name="Note 9 3 2" xfId="32813"/>
    <cellStyle name="Note 9 4" xfId="26030"/>
    <cellStyle name="Note 9 4 2" xfId="32814"/>
    <cellStyle name="Note 9 5" xfId="26031"/>
    <cellStyle name="Note 9 5 2" xfId="32815"/>
    <cellStyle name="Note 9 6" xfId="26032"/>
    <cellStyle name="Note 9 6 2" xfId="32816"/>
    <cellStyle name="Note 9 7" xfId="26033"/>
    <cellStyle name="Note 9 7 2" xfId="32817"/>
    <cellStyle name="Note 9 8" xfId="26034"/>
    <cellStyle name="Note 9 8 2" xfId="32818"/>
    <cellStyle name="Note 9 9" xfId="26035"/>
    <cellStyle name="Note 9 9 2" xfId="32819"/>
    <cellStyle name="Output 10" xfId="6920"/>
    <cellStyle name="Output 10 10" xfId="26036"/>
    <cellStyle name="Output 10 10 2" xfId="32820"/>
    <cellStyle name="Output 10 11" xfId="26037"/>
    <cellStyle name="Output 10 11 2" xfId="32821"/>
    <cellStyle name="Output 10 12" xfId="26038"/>
    <cellStyle name="Output 10 12 2" xfId="32822"/>
    <cellStyle name="Output 10 13" xfId="26039"/>
    <cellStyle name="Output 10 13 2" xfId="32823"/>
    <cellStyle name="Output 10 14" xfId="26040"/>
    <cellStyle name="Output 10 14 2" xfId="32824"/>
    <cellStyle name="Output 10 15" xfId="26041"/>
    <cellStyle name="Output 10 15 2" xfId="32825"/>
    <cellStyle name="Output 10 16" xfId="26042"/>
    <cellStyle name="Output 10 16 2" xfId="32826"/>
    <cellStyle name="Output 10 17" xfId="26043"/>
    <cellStyle name="Output 10 17 2" xfId="32827"/>
    <cellStyle name="Output 10 18" xfId="26044"/>
    <cellStyle name="Output 10 18 2" xfId="32828"/>
    <cellStyle name="Output 10 19" xfId="26045"/>
    <cellStyle name="Output 10 19 2" xfId="32829"/>
    <cellStyle name="Output 10 2" xfId="26046"/>
    <cellStyle name="Output 10 2 2" xfId="32830"/>
    <cellStyle name="Output 10 20" xfId="32831"/>
    <cellStyle name="Output 10 3" xfId="26047"/>
    <cellStyle name="Output 10 3 2" xfId="32832"/>
    <cellStyle name="Output 10 4" xfId="26048"/>
    <cellStyle name="Output 10 4 2" xfId="32833"/>
    <cellStyle name="Output 10 5" xfId="26049"/>
    <cellStyle name="Output 10 5 2" xfId="32834"/>
    <cellStyle name="Output 10 6" xfId="26050"/>
    <cellStyle name="Output 10 6 2" xfId="32835"/>
    <cellStyle name="Output 10 7" xfId="26051"/>
    <cellStyle name="Output 10 7 2" xfId="32836"/>
    <cellStyle name="Output 10 8" xfId="26052"/>
    <cellStyle name="Output 10 8 2" xfId="32837"/>
    <cellStyle name="Output 10 9" xfId="26053"/>
    <cellStyle name="Output 10 9 2" xfId="32838"/>
    <cellStyle name="Output 11" xfId="6921"/>
    <cellStyle name="Output 11 10" xfId="26054"/>
    <cellStyle name="Output 11 10 2" xfId="32839"/>
    <cellStyle name="Output 11 11" xfId="26055"/>
    <cellStyle name="Output 11 11 2" xfId="32840"/>
    <cellStyle name="Output 11 12" xfId="26056"/>
    <cellStyle name="Output 11 12 2" xfId="32841"/>
    <cellStyle name="Output 11 13" xfId="26057"/>
    <cellStyle name="Output 11 13 2" xfId="32842"/>
    <cellStyle name="Output 11 14" xfId="26058"/>
    <cellStyle name="Output 11 14 2" xfId="32843"/>
    <cellStyle name="Output 11 15" xfId="26059"/>
    <cellStyle name="Output 11 15 2" xfId="32844"/>
    <cellStyle name="Output 11 16" xfId="26060"/>
    <cellStyle name="Output 11 16 2" xfId="32845"/>
    <cellStyle name="Output 11 17" xfId="26061"/>
    <cellStyle name="Output 11 17 2" xfId="32846"/>
    <cellStyle name="Output 11 18" xfId="26062"/>
    <cellStyle name="Output 11 18 2" xfId="32847"/>
    <cellStyle name="Output 11 19" xfId="26063"/>
    <cellStyle name="Output 11 19 2" xfId="32848"/>
    <cellStyle name="Output 11 2" xfId="26064"/>
    <cellStyle name="Output 11 2 2" xfId="32849"/>
    <cellStyle name="Output 11 20" xfId="32850"/>
    <cellStyle name="Output 11 3" xfId="26065"/>
    <cellStyle name="Output 11 3 2" xfId="32851"/>
    <cellStyle name="Output 11 4" xfId="26066"/>
    <cellStyle name="Output 11 4 2" xfId="32852"/>
    <cellStyle name="Output 11 5" xfId="26067"/>
    <cellStyle name="Output 11 5 2" xfId="32853"/>
    <cellStyle name="Output 11 6" xfId="26068"/>
    <cellStyle name="Output 11 6 2" xfId="32854"/>
    <cellStyle name="Output 11 7" xfId="26069"/>
    <cellStyle name="Output 11 7 2" xfId="32855"/>
    <cellStyle name="Output 11 8" xfId="26070"/>
    <cellStyle name="Output 11 8 2" xfId="32856"/>
    <cellStyle name="Output 11 9" xfId="26071"/>
    <cellStyle name="Output 11 9 2" xfId="32857"/>
    <cellStyle name="Output 12" xfId="6922"/>
    <cellStyle name="Output 12 10" xfId="26072"/>
    <cellStyle name="Output 12 10 2" xfId="32858"/>
    <cellStyle name="Output 12 11" xfId="26073"/>
    <cellStyle name="Output 12 11 2" xfId="32859"/>
    <cellStyle name="Output 12 12" xfId="26074"/>
    <cellStyle name="Output 12 12 2" xfId="32860"/>
    <cellStyle name="Output 12 13" xfId="26075"/>
    <cellStyle name="Output 12 13 2" xfId="32861"/>
    <cellStyle name="Output 12 14" xfId="26076"/>
    <cellStyle name="Output 12 14 2" xfId="32862"/>
    <cellStyle name="Output 12 15" xfId="26077"/>
    <cellStyle name="Output 12 15 2" xfId="32863"/>
    <cellStyle name="Output 12 16" xfId="26078"/>
    <cellStyle name="Output 12 16 2" xfId="32864"/>
    <cellStyle name="Output 12 17" xfId="26079"/>
    <cellStyle name="Output 12 17 2" xfId="32865"/>
    <cellStyle name="Output 12 18" xfId="26080"/>
    <cellStyle name="Output 12 18 2" xfId="32866"/>
    <cellStyle name="Output 12 19" xfId="26081"/>
    <cellStyle name="Output 12 19 2" xfId="32867"/>
    <cellStyle name="Output 12 2" xfId="26082"/>
    <cellStyle name="Output 12 2 2" xfId="32868"/>
    <cellStyle name="Output 12 20" xfId="32869"/>
    <cellStyle name="Output 12 3" xfId="26083"/>
    <cellStyle name="Output 12 3 2" xfId="32870"/>
    <cellStyle name="Output 12 4" xfId="26084"/>
    <cellStyle name="Output 12 4 2" xfId="32871"/>
    <cellStyle name="Output 12 5" xfId="26085"/>
    <cellStyle name="Output 12 5 2" xfId="32872"/>
    <cellStyle name="Output 12 6" xfId="26086"/>
    <cellStyle name="Output 12 6 2" xfId="32873"/>
    <cellStyle name="Output 12 7" xfId="26087"/>
    <cellStyle name="Output 12 7 2" xfId="32874"/>
    <cellStyle name="Output 12 8" xfId="26088"/>
    <cellStyle name="Output 12 8 2" xfId="32875"/>
    <cellStyle name="Output 12 9" xfId="26089"/>
    <cellStyle name="Output 12 9 2" xfId="32876"/>
    <cellStyle name="Output 13" xfId="6923"/>
    <cellStyle name="Output 13 10" xfId="26090"/>
    <cellStyle name="Output 13 10 2" xfId="32877"/>
    <cellStyle name="Output 13 11" xfId="26091"/>
    <cellStyle name="Output 13 11 2" xfId="32878"/>
    <cellStyle name="Output 13 12" xfId="26092"/>
    <cellStyle name="Output 13 12 2" xfId="32879"/>
    <cellStyle name="Output 13 13" xfId="26093"/>
    <cellStyle name="Output 13 13 2" xfId="32880"/>
    <cellStyle name="Output 13 14" xfId="26094"/>
    <cellStyle name="Output 13 14 2" xfId="32881"/>
    <cellStyle name="Output 13 15" xfId="26095"/>
    <cellStyle name="Output 13 15 2" xfId="32882"/>
    <cellStyle name="Output 13 16" xfId="26096"/>
    <cellStyle name="Output 13 16 2" xfId="32883"/>
    <cellStyle name="Output 13 17" xfId="26097"/>
    <cellStyle name="Output 13 17 2" xfId="32884"/>
    <cellStyle name="Output 13 18" xfId="26098"/>
    <cellStyle name="Output 13 18 2" xfId="32885"/>
    <cellStyle name="Output 13 19" xfId="26099"/>
    <cellStyle name="Output 13 19 2" xfId="32886"/>
    <cellStyle name="Output 13 2" xfId="26100"/>
    <cellStyle name="Output 13 2 2" xfId="32887"/>
    <cellStyle name="Output 13 20" xfId="32888"/>
    <cellStyle name="Output 13 3" xfId="26101"/>
    <cellStyle name="Output 13 3 2" xfId="32889"/>
    <cellStyle name="Output 13 4" xfId="26102"/>
    <cellStyle name="Output 13 4 2" xfId="32890"/>
    <cellStyle name="Output 13 5" xfId="26103"/>
    <cellStyle name="Output 13 5 2" xfId="32891"/>
    <cellStyle name="Output 13 6" xfId="26104"/>
    <cellStyle name="Output 13 6 2" xfId="32892"/>
    <cellStyle name="Output 13 7" xfId="26105"/>
    <cellStyle name="Output 13 7 2" xfId="32893"/>
    <cellStyle name="Output 13 8" xfId="26106"/>
    <cellStyle name="Output 13 8 2" xfId="32894"/>
    <cellStyle name="Output 13 9" xfId="26107"/>
    <cellStyle name="Output 13 9 2" xfId="32895"/>
    <cellStyle name="Output 14" xfId="6924"/>
    <cellStyle name="Output 14 10" xfId="26108"/>
    <cellStyle name="Output 14 10 2" xfId="32896"/>
    <cellStyle name="Output 14 11" xfId="26109"/>
    <cellStyle name="Output 14 11 2" xfId="32897"/>
    <cellStyle name="Output 14 12" xfId="26110"/>
    <cellStyle name="Output 14 12 2" xfId="32898"/>
    <cellStyle name="Output 14 13" xfId="26111"/>
    <cellStyle name="Output 14 13 2" xfId="32899"/>
    <cellStyle name="Output 14 14" xfId="26112"/>
    <cellStyle name="Output 14 14 2" xfId="32900"/>
    <cellStyle name="Output 14 15" xfId="26113"/>
    <cellStyle name="Output 14 15 2" xfId="32901"/>
    <cellStyle name="Output 14 16" xfId="26114"/>
    <cellStyle name="Output 14 16 2" xfId="32902"/>
    <cellStyle name="Output 14 17" xfId="26115"/>
    <cellStyle name="Output 14 17 2" xfId="32903"/>
    <cellStyle name="Output 14 18" xfId="26116"/>
    <cellStyle name="Output 14 18 2" xfId="32904"/>
    <cellStyle name="Output 14 19" xfId="26117"/>
    <cellStyle name="Output 14 19 2" xfId="32905"/>
    <cellStyle name="Output 14 2" xfId="26118"/>
    <cellStyle name="Output 14 2 2" xfId="32906"/>
    <cellStyle name="Output 14 20" xfId="32907"/>
    <cellStyle name="Output 14 3" xfId="26119"/>
    <cellStyle name="Output 14 3 2" xfId="32908"/>
    <cellStyle name="Output 14 4" xfId="26120"/>
    <cellStyle name="Output 14 4 2" xfId="32909"/>
    <cellStyle name="Output 14 5" xfId="26121"/>
    <cellStyle name="Output 14 5 2" xfId="32910"/>
    <cellStyle name="Output 14 6" xfId="26122"/>
    <cellStyle name="Output 14 6 2" xfId="32911"/>
    <cellStyle name="Output 14 7" xfId="26123"/>
    <cellStyle name="Output 14 7 2" xfId="32912"/>
    <cellStyle name="Output 14 8" xfId="26124"/>
    <cellStyle name="Output 14 8 2" xfId="32913"/>
    <cellStyle name="Output 14 9" xfId="26125"/>
    <cellStyle name="Output 14 9 2" xfId="32914"/>
    <cellStyle name="Output 15" xfId="6925"/>
    <cellStyle name="Output 15 10" xfId="26126"/>
    <cellStyle name="Output 15 10 2" xfId="32915"/>
    <cellStyle name="Output 15 11" xfId="26127"/>
    <cellStyle name="Output 15 11 2" xfId="32916"/>
    <cellStyle name="Output 15 12" xfId="26128"/>
    <cellStyle name="Output 15 12 2" xfId="32917"/>
    <cellStyle name="Output 15 13" xfId="26129"/>
    <cellStyle name="Output 15 13 2" xfId="32918"/>
    <cellStyle name="Output 15 14" xfId="26130"/>
    <cellStyle name="Output 15 14 2" xfId="32919"/>
    <cellStyle name="Output 15 15" xfId="26131"/>
    <cellStyle name="Output 15 15 2" xfId="32920"/>
    <cellStyle name="Output 15 16" xfId="26132"/>
    <cellStyle name="Output 15 16 2" xfId="32921"/>
    <cellStyle name="Output 15 17" xfId="26133"/>
    <cellStyle name="Output 15 17 2" xfId="32922"/>
    <cellStyle name="Output 15 18" xfId="26134"/>
    <cellStyle name="Output 15 18 2" xfId="32923"/>
    <cellStyle name="Output 15 19" xfId="26135"/>
    <cellStyle name="Output 15 19 2" xfId="32924"/>
    <cellStyle name="Output 15 2" xfId="26136"/>
    <cellStyle name="Output 15 2 2" xfId="32925"/>
    <cellStyle name="Output 15 20" xfId="32926"/>
    <cellStyle name="Output 15 3" xfId="26137"/>
    <cellStyle name="Output 15 3 2" xfId="32927"/>
    <cellStyle name="Output 15 4" xfId="26138"/>
    <cellStyle name="Output 15 4 2" xfId="32928"/>
    <cellStyle name="Output 15 5" xfId="26139"/>
    <cellStyle name="Output 15 5 2" xfId="32929"/>
    <cellStyle name="Output 15 6" xfId="26140"/>
    <cellStyle name="Output 15 6 2" xfId="32930"/>
    <cellStyle name="Output 15 7" xfId="26141"/>
    <cellStyle name="Output 15 7 2" xfId="32931"/>
    <cellStyle name="Output 15 8" xfId="26142"/>
    <cellStyle name="Output 15 8 2" xfId="32932"/>
    <cellStyle name="Output 15 9" xfId="26143"/>
    <cellStyle name="Output 15 9 2" xfId="32933"/>
    <cellStyle name="Output 16" xfId="6926"/>
    <cellStyle name="Output 16 10" xfId="26144"/>
    <cellStyle name="Output 16 10 2" xfId="32934"/>
    <cellStyle name="Output 16 11" xfId="26145"/>
    <cellStyle name="Output 16 11 2" xfId="32935"/>
    <cellStyle name="Output 16 12" xfId="26146"/>
    <cellStyle name="Output 16 12 2" xfId="32936"/>
    <cellStyle name="Output 16 13" xfId="26147"/>
    <cellStyle name="Output 16 13 2" xfId="32937"/>
    <cellStyle name="Output 16 14" xfId="26148"/>
    <cellStyle name="Output 16 14 2" xfId="32938"/>
    <cellStyle name="Output 16 15" xfId="26149"/>
    <cellStyle name="Output 16 15 2" xfId="32939"/>
    <cellStyle name="Output 16 16" xfId="26150"/>
    <cellStyle name="Output 16 16 2" xfId="32940"/>
    <cellStyle name="Output 16 17" xfId="26151"/>
    <cellStyle name="Output 16 17 2" xfId="32941"/>
    <cellStyle name="Output 16 18" xfId="26152"/>
    <cellStyle name="Output 16 18 2" xfId="32942"/>
    <cellStyle name="Output 16 19" xfId="26153"/>
    <cellStyle name="Output 16 19 2" xfId="32943"/>
    <cellStyle name="Output 16 2" xfId="26154"/>
    <cellStyle name="Output 16 2 2" xfId="32944"/>
    <cellStyle name="Output 16 20" xfId="32945"/>
    <cellStyle name="Output 16 3" xfId="26155"/>
    <cellStyle name="Output 16 3 2" xfId="32946"/>
    <cellStyle name="Output 16 4" xfId="26156"/>
    <cellStyle name="Output 16 4 2" xfId="32947"/>
    <cellStyle name="Output 16 5" xfId="26157"/>
    <cellStyle name="Output 16 5 2" xfId="32948"/>
    <cellStyle name="Output 16 6" xfId="26158"/>
    <cellStyle name="Output 16 6 2" xfId="32949"/>
    <cellStyle name="Output 16 7" xfId="26159"/>
    <cellStyle name="Output 16 7 2" xfId="32950"/>
    <cellStyle name="Output 16 8" xfId="26160"/>
    <cellStyle name="Output 16 8 2" xfId="32951"/>
    <cellStyle name="Output 16 9" xfId="26161"/>
    <cellStyle name="Output 16 9 2" xfId="32952"/>
    <cellStyle name="Output 17" xfId="6927"/>
    <cellStyle name="Output 17 10" xfId="26162"/>
    <cellStyle name="Output 17 10 2" xfId="32953"/>
    <cellStyle name="Output 17 11" xfId="26163"/>
    <cellStyle name="Output 17 11 2" xfId="32954"/>
    <cellStyle name="Output 17 12" xfId="26164"/>
    <cellStyle name="Output 17 12 2" xfId="32955"/>
    <cellStyle name="Output 17 13" xfId="26165"/>
    <cellStyle name="Output 17 13 2" xfId="32956"/>
    <cellStyle name="Output 17 14" xfId="26166"/>
    <cellStyle name="Output 17 14 2" xfId="32957"/>
    <cellStyle name="Output 17 15" xfId="26167"/>
    <cellStyle name="Output 17 15 2" xfId="32958"/>
    <cellStyle name="Output 17 16" xfId="26168"/>
    <cellStyle name="Output 17 16 2" xfId="32959"/>
    <cellStyle name="Output 17 17" xfId="26169"/>
    <cellStyle name="Output 17 17 2" xfId="32960"/>
    <cellStyle name="Output 17 18" xfId="26170"/>
    <cellStyle name="Output 17 18 2" xfId="32961"/>
    <cellStyle name="Output 17 19" xfId="26171"/>
    <cellStyle name="Output 17 19 2" xfId="32962"/>
    <cellStyle name="Output 17 2" xfId="26172"/>
    <cellStyle name="Output 17 2 2" xfId="32963"/>
    <cellStyle name="Output 17 20" xfId="32964"/>
    <cellStyle name="Output 17 3" xfId="26173"/>
    <cellStyle name="Output 17 3 2" xfId="32965"/>
    <cellStyle name="Output 17 4" xfId="26174"/>
    <cellStyle name="Output 17 4 2" xfId="32966"/>
    <cellStyle name="Output 17 5" xfId="26175"/>
    <cellStyle name="Output 17 5 2" xfId="32967"/>
    <cellStyle name="Output 17 6" xfId="26176"/>
    <cellStyle name="Output 17 6 2" xfId="32968"/>
    <cellStyle name="Output 17 7" xfId="26177"/>
    <cellStyle name="Output 17 7 2" xfId="32969"/>
    <cellStyle name="Output 17 8" xfId="26178"/>
    <cellStyle name="Output 17 8 2" xfId="32970"/>
    <cellStyle name="Output 17 9" xfId="26179"/>
    <cellStyle name="Output 17 9 2" xfId="32971"/>
    <cellStyle name="Output 18" xfId="6928"/>
    <cellStyle name="Output 18 10" xfId="26180"/>
    <cellStyle name="Output 18 10 2" xfId="32972"/>
    <cellStyle name="Output 18 11" xfId="26181"/>
    <cellStyle name="Output 18 11 2" xfId="32973"/>
    <cellStyle name="Output 18 12" xfId="26182"/>
    <cellStyle name="Output 18 12 2" xfId="32974"/>
    <cellStyle name="Output 18 13" xfId="26183"/>
    <cellStyle name="Output 18 13 2" xfId="32975"/>
    <cellStyle name="Output 18 14" xfId="26184"/>
    <cellStyle name="Output 18 14 2" xfId="32976"/>
    <cellStyle name="Output 18 15" xfId="26185"/>
    <cellStyle name="Output 18 15 2" xfId="32977"/>
    <cellStyle name="Output 18 16" xfId="26186"/>
    <cellStyle name="Output 18 16 2" xfId="32978"/>
    <cellStyle name="Output 18 17" xfId="26187"/>
    <cellStyle name="Output 18 17 2" xfId="32979"/>
    <cellStyle name="Output 18 18" xfId="26188"/>
    <cellStyle name="Output 18 18 2" xfId="32980"/>
    <cellStyle name="Output 18 19" xfId="26189"/>
    <cellStyle name="Output 18 19 2" xfId="32981"/>
    <cellStyle name="Output 18 2" xfId="26190"/>
    <cellStyle name="Output 18 2 2" xfId="32982"/>
    <cellStyle name="Output 18 20" xfId="32983"/>
    <cellStyle name="Output 18 3" xfId="26191"/>
    <cellStyle name="Output 18 3 2" xfId="32984"/>
    <cellStyle name="Output 18 4" xfId="26192"/>
    <cellStyle name="Output 18 4 2" xfId="32985"/>
    <cellStyle name="Output 18 5" xfId="26193"/>
    <cellStyle name="Output 18 5 2" xfId="32986"/>
    <cellStyle name="Output 18 6" xfId="26194"/>
    <cellStyle name="Output 18 6 2" xfId="32987"/>
    <cellStyle name="Output 18 7" xfId="26195"/>
    <cellStyle name="Output 18 7 2" xfId="32988"/>
    <cellStyle name="Output 18 8" xfId="26196"/>
    <cellStyle name="Output 18 8 2" xfId="32989"/>
    <cellStyle name="Output 18 9" xfId="26197"/>
    <cellStyle name="Output 18 9 2" xfId="32990"/>
    <cellStyle name="Output 19" xfId="6929"/>
    <cellStyle name="Output 19 10" xfId="26198"/>
    <cellStyle name="Output 19 10 2" xfId="32991"/>
    <cellStyle name="Output 19 11" xfId="26199"/>
    <cellStyle name="Output 19 11 2" xfId="32992"/>
    <cellStyle name="Output 19 12" xfId="26200"/>
    <cellStyle name="Output 19 12 2" xfId="32993"/>
    <cellStyle name="Output 19 13" xfId="26201"/>
    <cellStyle name="Output 19 13 2" xfId="32994"/>
    <cellStyle name="Output 19 14" xfId="26202"/>
    <cellStyle name="Output 19 14 2" xfId="32995"/>
    <cellStyle name="Output 19 15" xfId="26203"/>
    <cellStyle name="Output 19 15 2" xfId="32996"/>
    <cellStyle name="Output 19 16" xfId="26204"/>
    <cellStyle name="Output 19 16 2" xfId="32997"/>
    <cellStyle name="Output 19 17" xfId="26205"/>
    <cellStyle name="Output 19 17 2" xfId="32998"/>
    <cellStyle name="Output 19 18" xfId="26206"/>
    <cellStyle name="Output 19 18 2" xfId="32999"/>
    <cellStyle name="Output 19 19" xfId="26207"/>
    <cellStyle name="Output 19 19 2" xfId="33000"/>
    <cellStyle name="Output 19 2" xfId="26208"/>
    <cellStyle name="Output 19 2 2" xfId="33001"/>
    <cellStyle name="Output 19 20" xfId="33002"/>
    <cellStyle name="Output 19 3" xfId="26209"/>
    <cellStyle name="Output 19 3 2" xfId="33003"/>
    <cellStyle name="Output 19 4" xfId="26210"/>
    <cellStyle name="Output 19 4 2" xfId="33004"/>
    <cellStyle name="Output 19 5" xfId="26211"/>
    <cellStyle name="Output 19 5 2" xfId="33005"/>
    <cellStyle name="Output 19 6" xfId="26212"/>
    <cellStyle name="Output 19 6 2" xfId="33006"/>
    <cellStyle name="Output 19 7" xfId="26213"/>
    <cellStyle name="Output 19 7 2" xfId="33007"/>
    <cellStyle name="Output 19 8" xfId="26214"/>
    <cellStyle name="Output 19 8 2" xfId="33008"/>
    <cellStyle name="Output 19 9" xfId="26215"/>
    <cellStyle name="Output 19 9 2" xfId="33009"/>
    <cellStyle name="Output 2" xfId="6930"/>
    <cellStyle name="Output 2 10" xfId="26216"/>
    <cellStyle name="Output 2 10 2" xfId="33010"/>
    <cellStyle name="Output 2 11" xfId="26217"/>
    <cellStyle name="Output 2 11 2" xfId="33011"/>
    <cellStyle name="Output 2 12" xfId="26218"/>
    <cellStyle name="Output 2 12 2" xfId="33012"/>
    <cellStyle name="Output 2 13" xfId="26219"/>
    <cellStyle name="Output 2 13 2" xfId="33013"/>
    <cellStyle name="Output 2 14" xfId="26220"/>
    <cellStyle name="Output 2 14 2" xfId="33014"/>
    <cellStyle name="Output 2 15" xfId="26221"/>
    <cellStyle name="Output 2 15 2" xfId="33015"/>
    <cellStyle name="Output 2 16" xfId="26222"/>
    <cellStyle name="Output 2 16 2" xfId="33016"/>
    <cellStyle name="Output 2 17" xfId="26223"/>
    <cellStyle name="Output 2 17 2" xfId="33017"/>
    <cellStyle name="Output 2 18" xfId="26224"/>
    <cellStyle name="Output 2 18 2" xfId="33018"/>
    <cellStyle name="Output 2 19" xfId="26225"/>
    <cellStyle name="Output 2 19 2" xfId="33019"/>
    <cellStyle name="Output 2 2" xfId="6931"/>
    <cellStyle name="Output 2 2 10" xfId="26226"/>
    <cellStyle name="Output 2 2 10 2" xfId="33020"/>
    <cellStyle name="Output 2 2 11" xfId="26227"/>
    <cellStyle name="Output 2 2 11 2" xfId="33021"/>
    <cellStyle name="Output 2 2 12" xfId="26228"/>
    <cellStyle name="Output 2 2 12 2" xfId="33022"/>
    <cellStyle name="Output 2 2 13" xfId="26229"/>
    <cellStyle name="Output 2 2 13 2" xfId="33023"/>
    <cellStyle name="Output 2 2 14" xfId="26230"/>
    <cellStyle name="Output 2 2 14 2" xfId="33024"/>
    <cellStyle name="Output 2 2 15" xfId="26231"/>
    <cellStyle name="Output 2 2 15 2" xfId="33025"/>
    <cellStyle name="Output 2 2 16" xfId="26232"/>
    <cellStyle name="Output 2 2 16 2" xfId="33026"/>
    <cellStyle name="Output 2 2 17" xfId="26233"/>
    <cellStyle name="Output 2 2 17 2" xfId="33027"/>
    <cellStyle name="Output 2 2 18" xfId="26234"/>
    <cellStyle name="Output 2 2 18 2" xfId="33028"/>
    <cellStyle name="Output 2 2 19" xfId="26235"/>
    <cellStyle name="Output 2 2 19 2" xfId="33029"/>
    <cellStyle name="Output 2 2 2" xfId="26236"/>
    <cellStyle name="Output 2 2 2 2" xfId="33030"/>
    <cellStyle name="Output 2 2 20" xfId="33031"/>
    <cellStyle name="Output 2 2 3" xfId="26237"/>
    <cellStyle name="Output 2 2 3 2" xfId="33032"/>
    <cellStyle name="Output 2 2 4" xfId="26238"/>
    <cellStyle name="Output 2 2 4 2" xfId="33033"/>
    <cellStyle name="Output 2 2 5" xfId="26239"/>
    <cellStyle name="Output 2 2 5 2" xfId="33034"/>
    <cellStyle name="Output 2 2 6" xfId="26240"/>
    <cellStyle name="Output 2 2 6 2" xfId="33035"/>
    <cellStyle name="Output 2 2 7" xfId="26241"/>
    <cellStyle name="Output 2 2 7 2" xfId="33036"/>
    <cellStyle name="Output 2 2 8" xfId="26242"/>
    <cellStyle name="Output 2 2 8 2" xfId="33037"/>
    <cellStyle name="Output 2 2 9" xfId="26243"/>
    <cellStyle name="Output 2 2 9 2" xfId="33038"/>
    <cellStyle name="Output 2 20" xfId="26244"/>
    <cellStyle name="Output 2 20 2" xfId="33039"/>
    <cellStyle name="Output 2 21" xfId="26245"/>
    <cellStyle name="Output 2 21 2" xfId="33040"/>
    <cellStyle name="Output 2 22" xfId="26246"/>
    <cellStyle name="Output 2 22 2" xfId="33041"/>
    <cellStyle name="Output 2 23" xfId="26247"/>
    <cellStyle name="Output 2 23 2" xfId="33042"/>
    <cellStyle name="Output 2 24" xfId="26248"/>
    <cellStyle name="Output 2 24 2" xfId="33043"/>
    <cellStyle name="Output 2 25" xfId="33044"/>
    <cellStyle name="Output 2 3" xfId="6932"/>
    <cellStyle name="Output 2 3 10" xfId="26249"/>
    <cellStyle name="Output 2 3 10 2" xfId="33045"/>
    <cellStyle name="Output 2 3 11" xfId="26250"/>
    <cellStyle name="Output 2 3 11 2" xfId="33046"/>
    <cellStyle name="Output 2 3 12" xfId="26251"/>
    <cellStyle name="Output 2 3 12 2" xfId="33047"/>
    <cellStyle name="Output 2 3 13" xfId="26252"/>
    <cellStyle name="Output 2 3 13 2" xfId="33048"/>
    <cellStyle name="Output 2 3 14" xfId="26253"/>
    <cellStyle name="Output 2 3 14 2" xfId="33049"/>
    <cellStyle name="Output 2 3 15" xfId="26254"/>
    <cellStyle name="Output 2 3 15 2" xfId="33050"/>
    <cellStyle name="Output 2 3 16" xfId="26255"/>
    <cellStyle name="Output 2 3 16 2" xfId="33051"/>
    <cellStyle name="Output 2 3 17" xfId="26256"/>
    <cellStyle name="Output 2 3 17 2" xfId="33052"/>
    <cellStyle name="Output 2 3 18" xfId="26257"/>
    <cellStyle name="Output 2 3 18 2" xfId="33053"/>
    <cellStyle name="Output 2 3 19" xfId="26258"/>
    <cellStyle name="Output 2 3 19 2" xfId="33054"/>
    <cellStyle name="Output 2 3 2" xfId="26259"/>
    <cellStyle name="Output 2 3 2 2" xfId="33055"/>
    <cellStyle name="Output 2 3 20" xfId="33056"/>
    <cellStyle name="Output 2 3 3" xfId="26260"/>
    <cellStyle name="Output 2 3 3 2" xfId="33057"/>
    <cellStyle name="Output 2 3 4" xfId="26261"/>
    <cellStyle name="Output 2 3 4 2" xfId="33058"/>
    <cellStyle name="Output 2 3 5" xfId="26262"/>
    <cellStyle name="Output 2 3 5 2" xfId="33059"/>
    <cellStyle name="Output 2 3 6" xfId="26263"/>
    <cellStyle name="Output 2 3 6 2" xfId="33060"/>
    <cellStyle name="Output 2 3 7" xfId="26264"/>
    <cellStyle name="Output 2 3 7 2" xfId="33061"/>
    <cellStyle name="Output 2 3 8" xfId="26265"/>
    <cellStyle name="Output 2 3 8 2" xfId="33062"/>
    <cellStyle name="Output 2 3 9" xfId="26266"/>
    <cellStyle name="Output 2 3 9 2" xfId="33063"/>
    <cellStyle name="Output 2 4" xfId="6933"/>
    <cellStyle name="Output 2 4 10" xfId="26267"/>
    <cellStyle name="Output 2 4 10 2" xfId="33064"/>
    <cellStyle name="Output 2 4 11" xfId="26268"/>
    <cellStyle name="Output 2 4 11 2" xfId="33065"/>
    <cellStyle name="Output 2 4 12" xfId="26269"/>
    <cellStyle name="Output 2 4 12 2" xfId="33066"/>
    <cellStyle name="Output 2 4 13" xfId="26270"/>
    <cellStyle name="Output 2 4 13 2" xfId="33067"/>
    <cellStyle name="Output 2 4 14" xfId="26271"/>
    <cellStyle name="Output 2 4 14 2" xfId="33068"/>
    <cellStyle name="Output 2 4 15" xfId="26272"/>
    <cellStyle name="Output 2 4 15 2" xfId="33069"/>
    <cellStyle name="Output 2 4 16" xfId="26273"/>
    <cellStyle name="Output 2 4 16 2" xfId="33070"/>
    <cellStyle name="Output 2 4 17" xfId="26274"/>
    <cellStyle name="Output 2 4 17 2" xfId="33071"/>
    <cellStyle name="Output 2 4 18" xfId="26275"/>
    <cellStyle name="Output 2 4 18 2" xfId="33072"/>
    <cellStyle name="Output 2 4 19" xfId="26276"/>
    <cellStyle name="Output 2 4 19 2" xfId="33073"/>
    <cellStyle name="Output 2 4 2" xfId="26277"/>
    <cellStyle name="Output 2 4 2 2" xfId="33074"/>
    <cellStyle name="Output 2 4 20" xfId="33075"/>
    <cellStyle name="Output 2 4 3" xfId="26278"/>
    <cellStyle name="Output 2 4 3 2" xfId="33076"/>
    <cellStyle name="Output 2 4 4" xfId="26279"/>
    <cellStyle name="Output 2 4 4 2" xfId="33077"/>
    <cellStyle name="Output 2 4 5" xfId="26280"/>
    <cellStyle name="Output 2 4 5 2" xfId="33078"/>
    <cellStyle name="Output 2 4 6" xfId="26281"/>
    <cellStyle name="Output 2 4 6 2" xfId="33079"/>
    <cellStyle name="Output 2 4 7" xfId="26282"/>
    <cellStyle name="Output 2 4 7 2" xfId="33080"/>
    <cellStyle name="Output 2 4 8" xfId="26283"/>
    <cellStyle name="Output 2 4 8 2" xfId="33081"/>
    <cellStyle name="Output 2 4 9" xfId="26284"/>
    <cellStyle name="Output 2 4 9 2" xfId="33082"/>
    <cellStyle name="Output 2 5" xfId="6934"/>
    <cellStyle name="Output 2 5 10" xfId="26285"/>
    <cellStyle name="Output 2 5 10 2" xfId="33083"/>
    <cellStyle name="Output 2 5 11" xfId="26286"/>
    <cellStyle name="Output 2 5 11 2" xfId="33084"/>
    <cellStyle name="Output 2 5 12" xfId="26287"/>
    <cellStyle name="Output 2 5 12 2" xfId="33085"/>
    <cellStyle name="Output 2 5 13" xfId="26288"/>
    <cellStyle name="Output 2 5 13 2" xfId="33086"/>
    <cellStyle name="Output 2 5 14" xfId="26289"/>
    <cellStyle name="Output 2 5 14 2" xfId="33087"/>
    <cellStyle name="Output 2 5 15" xfId="26290"/>
    <cellStyle name="Output 2 5 15 2" xfId="33088"/>
    <cellStyle name="Output 2 5 16" xfId="26291"/>
    <cellStyle name="Output 2 5 16 2" xfId="33089"/>
    <cellStyle name="Output 2 5 17" xfId="26292"/>
    <cellStyle name="Output 2 5 17 2" xfId="33090"/>
    <cellStyle name="Output 2 5 18" xfId="26293"/>
    <cellStyle name="Output 2 5 18 2" xfId="33091"/>
    <cellStyle name="Output 2 5 19" xfId="26294"/>
    <cellStyle name="Output 2 5 19 2" xfId="33092"/>
    <cellStyle name="Output 2 5 2" xfId="26295"/>
    <cellStyle name="Output 2 5 2 2" xfId="33093"/>
    <cellStyle name="Output 2 5 20" xfId="33094"/>
    <cellStyle name="Output 2 5 3" xfId="26296"/>
    <cellStyle name="Output 2 5 3 2" xfId="33095"/>
    <cellStyle name="Output 2 5 4" xfId="26297"/>
    <cellStyle name="Output 2 5 4 2" xfId="33096"/>
    <cellStyle name="Output 2 5 5" xfId="26298"/>
    <cellStyle name="Output 2 5 5 2" xfId="33097"/>
    <cellStyle name="Output 2 5 6" xfId="26299"/>
    <cellStyle name="Output 2 5 6 2" xfId="33098"/>
    <cellStyle name="Output 2 5 7" xfId="26300"/>
    <cellStyle name="Output 2 5 7 2" xfId="33099"/>
    <cellStyle name="Output 2 5 8" xfId="26301"/>
    <cellStyle name="Output 2 5 8 2" xfId="33100"/>
    <cellStyle name="Output 2 5 9" xfId="26302"/>
    <cellStyle name="Output 2 5 9 2" xfId="33101"/>
    <cellStyle name="Output 2 6" xfId="6935"/>
    <cellStyle name="Output 2 6 10" xfId="26303"/>
    <cellStyle name="Output 2 6 10 2" xfId="33102"/>
    <cellStyle name="Output 2 6 11" xfId="26304"/>
    <cellStyle name="Output 2 6 11 2" xfId="33103"/>
    <cellStyle name="Output 2 6 12" xfId="26305"/>
    <cellStyle name="Output 2 6 12 2" xfId="33104"/>
    <cellStyle name="Output 2 6 13" xfId="26306"/>
    <cellStyle name="Output 2 6 13 2" xfId="33105"/>
    <cellStyle name="Output 2 6 14" xfId="26307"/>
    <cellStyle name="Output 2 6 14 2" xfId="33106"/>
    <cellStyle name="Output 2 6 15" xfId="26308"/>
    <cellStyle name="Output 2 6 15 2" xfId="33107"/>
    <cellStyle name="Output 2 6 16" xfId="26309"/>
    <cellStyle name="Output 2 6 16 2" xfId="33108"/>
    <cellStyle name="Output 2 6 17" xfId="26310"/>
    <cellStyle name="Output 2 6 17 2" xfId="33109"/>
    <cellStyle name="Output 2 6 18" xfId="26311"/>
    <cellStyle name="Output 2 6 18 2" xfId="33110"/>
    <cellStyle name="Output 2 6 19" xfId="26312"/>
    <cellStyle name="Output 2 6 19 2" xfId="33111"/>
    <cellStyle name="Output 2 6 2" xfId="26313"/>
    <cellStyle name="Output 2 6 2 2" xfId="33112"/>
    <cellStyle name="Output 2 6 20" xfId="33113"/>
    <cellStyle name="Output 2 6 3" xfId="26314"/>
    <cellStyle name="Output 2 6 3 2" xfId="33114"/>
    <cellStyle name="Output 2 6 4" xfId="26315"/>
    <cellStyle name="Output 2 6 4 2" xfId="33115"/>
    <cellStyle name="Output 2 6 5" xfId="26316"/>
    <cellStyle name="Output 2 6 5 2" xfId="33116"/>
    <cellStyle name="Output 2 6 6" xfId="26317"/>
    <cellStyle name="Output 2 6 6 2" xfId="33117"/>
    <cellStyle name="Output 2 6 7" xfId="26318"/>
    <cellStyle name="Output 2 6 7 2" xfId="33118"/>
    <cellStyle name="Output 2 6 8" xfId="26319"/>
    <cellStyle name="Output 2 6 8 2" xfId="33119"/>
    <cellStyle name="Output 2 6 9" xfId="26320"/>
    <cellStyle name="Output 2 6 9 2" xfId="33120"/>
    <cellStyle name="Output 2 7" xfId="26321"/>
    <cellStyle name="Output 2 7 2" xfId="33121"/>
    <cellStyle name="Output 2 8" xfId="26322"/>
    <cellStyle name="Output 2 8 2" xfId="33122"/>
    <cellStyle name="Output 2 9" xfId="26323"/>
    <cellStyle name="Output 2 9 2" xfId="33123"/>
    <cellStyle name="Output 20" xfId="6936"/>
    <cellStyle name="Output 20 10" xfId="26324"/>
    <cellStyle name="Output 20 10 2" xfId="33124"/>
    <cellStyle name="Output 20 11" xfId="26325"/>
    <cellStyle name="Output 20 11 2" xfId="33125"/>
    <cellStyle name="Output 20 12" xfId="26326"/>
    <cellStyle name="Output 20 12 2" xfId="33126"/>
    <cellStyle name="Output 20 13" xfId="26327"/>
    <cellStyle name="Output 20 13 2" xfId="33127"/>
    <cellStyle name="Output 20 14" xfId="26328"/>
    <cellStyle name="Output 20 14 2" xfId="33128"/>
    <cellStyle name="Output 20 15" xfId="26329"/>
    <cellStyle name="Output 20 15 2" xfId="33129"/>
    <cellStyle name="Output 20 16" xfId="26330"/>
    <cellStyle name="Output 20 16 2" xfId="33130"/>
    <cellStyle name="Output 20 17" xfId="26331"/>
    <cellStyle name="Output 20 17 2" xfId="33131"/>
    <cellStyle name="Output 20 18" xfId="26332"/>
    <cellStyle name="Output 20 18 2" xfId="33132"/>
    <cellStyle name="Output 20 19" xfId="26333"/>
    <cellStyle name="Output 20 19 2" xfId="33133"/>
    <cellStyle name="Output 20 2" xfId="26334"/>
    <cellStyle name="Output 20 2 2" xfId="33134"/>
    <cellStyle name="Output 20 20" xfId="33135"/>
    <cellStyle name="Output 20 3" xfId="26335"/>
    <cellStyle name="Output 20 3 2" xfId="33136"/>
    <cellStyle name="Output 20 4" xfId="26336"/>
    <cellStyle name="Output 20 4 2" xfId="33137"/>
    <cellStyle name="Output 20 5" xfId="26337"/>
    <cellStyle name="Output 20 5 2" xfId="33138"/>
    <cellStyle name="Output 20 6" xfId="26338"/>
    <cellStyle name="Output 20 6 2" xfId="33139"/>
    <cellStyle name="Output 20 7" xfId="26339"/>
    <cellStyle name="Output 20 7 2" xfId="33140"/>
    <cellStyle name="Output 20 8" xfId="26340"/>
    <cellStyle name="Output 20 8 2" xfId="33141"/>
    <cellStyle name="Output 20 9" xfId="26341"/>
    <cellStyle name="Output 20 9 2" xfId="33142"/>
    <cellStyle name="Output 21" xfId="6937"/>
    <cellStyle name="Output 21 10" xfId="26342"/>
    <cellStyle name="Output 21 10 2" xfId="33143"/>
    <cellStyle name="Output 21 11" xfId="26343"/>
    <cellStyle name="Output 21 11 2" xfId="33144"/>
    <cellStyle name="Output 21 12" xfId="26344"/>
    <cellStyle name="Output 21 12 2" xfId="33145"/>
    <cellStyle name="Output 21 13" xfId="26345"/>
    <cellStyle name="Output 21 13 2" xfId="33146"/>
    <cellStyle name="Output 21 14" xfId="26346"/>
    <cellStyle name="Output 21 14 2" xfId="33147"/>
    <cellStyle name="Output 21 15" xfId="26347"/>
    <cellStyle name="Output 21 15 2" xfId="33148"/>
    <cellStyle name="Output 21 16" xfId="26348"/>
    <cellStyle name="Output 21 16 2" xfId="33149"/>
    <cellStyle name="Output 21 17" xfId="26349"/>
    <cellStyle name="Output 21 17 2" xfId="33150"/>
    <cellStyle name="Output 21 18" xfId="26350"/>
    <cellStyle name="Output 21 18 2" xfId="33151"/>
    <cellStyle name="Output 21 19" xfId="26351"/>
    <cellStyle name="Output 21 19 2" xfId="33152"/>
    <cellStyle name="Output 21 2" xfId="26352"/>
    <cellStyle name="Output 21 2 2" xfId="33153"/>
    <cellStyle name="Output 21 20" xfId="33154"/>
    <cellStyle name="Output 21 3" xfId="26353"/>
    <cellStyle name="Output 21 3 2" xfId="33155"/>
    <cellStyle name="Output 21 4" xfId="26354"/>
    <cellStyle name="Output 21 4 2" xfId="33156"/>
    <cellStyle name="Output 21 5" xfId="26355"/>
    <cellStyle name="Output 21 5 2" xfId="33157"/>
    <cellStyle name="Output 21 6" xfId="26356"/>
    <cellStyle name="Output 21 6 2" xfId="33158"/>
    <cellStyle name="Output 21 7" xfId="26357"/>
    <cellStyle name="Output 21 7 2" xfId="33159"/>
    <cellStyle name="Output 21 8" xfId="26358"/>
    <cellStyle name="Output 21 8 2" xfId="33160"/>
    <cellStyle name="Output 21 9" xfId="26359"/>
    <cellStyle name="Output 21 9 2" xfId="33161"/>
    <cellStyle name="Output 22" xfId="6938"/>
    <cellStyle name="Output 22 10" xfId="26360"/>
    <cellStyle name="Output 22 10 2" xfId="33162"/>
    <cellStyle name="Output 22 11" xfId="26361"/>
    <cellStyle name="Output 22 11 2" xfId="33163"/>
    <cellStyle name="Output 22 12" xfId="26362"/>
    <cellStyle name="Output 22 12 2" xfId="33164"/>
    <cellStyle name="Output 22 13" xfId="26363"/>
    <cellStyle name="Output 22 13 2" xfId="33165"/>
    <cellStyle name="Output 22 14" xfId="26364"/>
    <cellStyle name="Output 22 14 2" xfId="33166"/>
    <cellStyle name="Output 22 15" xfId="26365"/>
    <cellStyle name="Output 22 15 2" xfId="33167"/>
    <cellStyle name="Output 22 16" xfId="26366"/>
    <cellStyle name="Output 22 16 2" xfId="33168"/>
    <cellStyle name="Output 22 17" xfId="26367"/>
    <cellStyle name="Output 22 17 2" xfId="33169"/>
    <cellStyle name="Output 22 18" xfId="26368"/>
    <cellStyle name="Output 22 18 2" xfId="33170"/>
    <cellStyle name="Output 22 19" xfId="26369"/>
    <cellStyle name="Output 22 19 2" xfId="33171"/>
    <cellStyle name="Output 22 2" xfId="26370"/>
    <cellStyle name="Output 22 2 2" xfId="33172"/>
    <cellStyle name="Output 22 20" xfId="33173"/>
    <cellStyle name="Output 22 3" xfId="26371"/>
    <cellStyle name="Output 22 3 2" xfId="33174"/>
    <cellStyle name="Output 22 4" xfId="26372"/>
    <cellStyle name="Output 22 4 2" xfId="33175"/>
    <cellStyle name="Output 22 5" xfId="26373"/>
    <cellStyle name="Output 22 5 2" xfId="33176"/>
    <cellStyle name="Output 22 6" xfId="26374"/>
    <cellStyle name="Output 22 6 2" xfId="33177"/>
    <cellStyle name="Output 22 7" xfId="26375"/>
    <cellStyle name="Output 22 7 2" xfId="33178"/>
    <cellStyle name="Output 22 8" xfId="26376"/>
    <cellStyle name="Output 22 8 2" xfId="33179"/>
    <cellStyle name="Output 22 9" xfId="26377"/>
    <cellStyle name="Output 22 9 2" xfId="33180"/>
    <cellStyle name="Output 23" xfId="6939"/>
    <cellStyle name="Output 23 10" xfId="26378"/>
    <cellStyle name="Output 23 10 2" xfId="33181"/>
    <cellStyle name="Output 23 11" xfId="26379"/>
    <cellStyle name="Output 23 11 2" xfId="33182"/>
    <cellStyle name="Output 23 12" xfId="26380"/>
    <cellStyle name="Output 23 12 2" xfId="33183"/>
    <cellStyle name="Output 23 13" xfId="26381"/>
    <cellStyle name="Output 23 13 2" xfId="33184"/>
    <cellStyle name="Output 23 14" xfId="26382"/>
    <cellStyle name="Output 23 14 2" xfId="33185"/>
    <cellStyle name="Output 23 15" xfId="26383"/>
    <cellStyle name="Output 23 15 2" xfId="33186"/>
    <cellStyle name="Output 23 16" xfId="26384"/>
    <cellStyle name="Output 23 16 2" xfId="33187"/>
    <cellStyle name="Output 23 17" xfId="26385"/>
    <cellStyle name="Output 23 17 2" xfId="33188"/>
    <cellStyle name="Output 23 18" xfId="26386"/>
    <cellStyle name="Output 23 18 2" xfId="33189"/>
    <cellStyle name="Output 23 19" xfId="26387"/>
    <cellStyle name="Output 23 19 2" xfId="33190"/>
    <cellStyle name="Output 23 2" xfId="26388"/>
    <cellStyle name="Output 23 2 2" xfId="33191"/>
    <cellStyle name="Output 23 20" xfId="33192"/>
    <cellStyle name="Output 23 3" xfId="26389"/>
    <cellStyle name="Output 23 3 2" xfId="33193"/>
    <cellStyle name="Output 23 4" xfId="26390"/>
    <cellStyle name="Output 23 4 2" xfId="33194"/>
    <cellStyle name="Output 23 5" xfId="26391"/>
    <cellStyle name="Output 23 5 2" xfId="33195"/>
    <cellStyle name="Output 23 6" xfId="26392"/>
    <cellStyle name="Output 23 6 2" xfId="33196"/>
    <cellStyle name="Output 23 7" xfId="26393"/>
    <cellStyle name="Output 23 7 2" xfId="33197"/>
    <cellStyle name="Output 23 8" xfId="26394"/>
    <cellStyle name="Output 23 8 2" xfId="33198"/>
    <cellStyle name="Output 23 9" xfId="26395"/>
    <cellStyle name="Output 23 9 2" xfId="33199"/>
    <cellStyle name="Output 24" xfId="6940"/>
    <cellStyle name="Output 24 10" xfId="26396"/>
    <cellStyle name="Output 24 10 2" xfId="33200"/>
    <cellStyle name="Output 24 11" xfId="26397"/>
    <cellStyle name="Output 24 11 2" xfId="33201"/>
    <cellStyle name="Output 24 12" xfId="26398"/>
    <cellStyle name="Output 24 12 2" xfId="33202"/>
    <cellStyle name="Output 24 13" xfId="26399"/>
    <cellStyle name="Output 24 13 2" xfId="33203"/>
    <cellStyle name="Output 24 14" xfId="26400"/>
    <cellStyle name="Output 24 14 2" xfId="33204"/>
    <cellStyle name="Output 24 15" xfId="26401"/>
    <cellStyle name="Output 24 15 2" xfId="33205"/>
    <cellStyle name="Output 24 16" xfId="26402"/>
    <cellStyle name="Output 24 16 2" xfId="33206"/>
    <cellStyle name="Output 24 17" xfId="26403"/>
    <cellStyle name="Output 24 17 2" xfId="33207"/>
    <cellStyle name="Output 24 18" xfId="26404"/>
    <cellStyle name="Output 24 18 2" xfId="33208"/>
    <cellStyle name="Output 24 19" xfId="26405"/>
    <cellStyle name="Output 24 19 2" xfId="33209"/>
    <cellStyle name="Output 24 2" xfId="26406"/>
    <cellStyle name="Output 24 2 2" xfId="33210"/>
    <cellStyle name="Output 24 20" xfId="33211"/>
    <cellStyle name="Output 24 3" xfId="26407"/>
    <cellStyle name="Output 24 3 2" xfId="33212"/>
    <cellStyle name="Output 24 4" xfId="26408"/>
    <cellStyle name="Output 24 4 2" xfId="33213"/>
    <cellStyle name="Output 24 5" xfId="26409"/>
    <cellStyle name="Output 24 5 2" xfId="33214"/>
    <cellStyle name="Output 24 6" xfId="26410"/>
    <cellStyle name="Output 24 6 2" xfId="33215"/>
    <cellStyle name="Output 24 7" xfId="26411"/>
    <cellStyle name="Output 24 7 2" xfId="33216"/>
    <cellStyle name="Output 24 8" xfId="26412"/>
    <cellStyle name="Output 24 8 2" xfId="33217"/>
    <cellStyle name="Output 24 9" xfId="26413"/>
    <cellStyle name="Output 24 9 2" xfId="33218"/>
    <cellStyle name="Output 25" xfId="6941"/>
    <cellStyle name="Output 25 10" xfId="26414"/>
    <cellStyle name="Output 25 10 2" xfId="33219"/>
    <cellStyle name="Output 25 11" xfId="26415"/>
    <cellStyle name="Output 25 11 2" xfId="33220"/>
    <cellStyle name="Output 25 12" xfId="26416"/>
    <cellStyle name="Output 25 12 2" xfId="33221"/>
    <cellStyle name="Output 25 13" xfId="26417"/>
    <cellStyle name="Output 25 13 2" xfId="33222"/>
    <cellStyle name="Output 25 14" xfId="26418"/>
    <cellStyle name="Output 25 14 2" xfId="33223"/>
    <cellStyle name="Output 25 15" xfId="26419"/>
    <cellStyle name="Output 25 15 2" xfId="33224"/>
    <cellStyle name="Output 25 16" xfId="26420"/>
    <cellStyle name="Output 25 16 2" xfId="33225"/>
    <cellStyle name="Output 25 17" xfId="26421"/>
    <cellStyle name="Output 25 17 2" xfId="33226"/>
    <cellStyle name="Output 25 18" xfId="26422"/>
    <cellStyle name="Output 25 18 2" xfId="33227"/>
    <cellStyle name="Output 25 19" xfId="26423"/>
    <cellStyle name="Output 25 19 2" xfId="33228"/>
    <cellStyle name="Output 25 2" xfId="26424"/>
    <cellStyle name="Output 25 2 2" xfId="33229"/>
    <cellStyle name="Output 25 20" xfId="33230"/>
    <cellStyle name="Output 25 3" xfId="26425"/>
    <cellStyle name="Output 25 3 2" xfId="33231"/>
    <cellStyle name="Output 25 4" xfId="26426"/>
    <cellStyle name="Output 25 4 2" xfId="33232"/>
    <cellStyle name="Output 25 5" xfId="26427"/>
    <cellStyle name="Output 25 5 2" xfId="33233"/>
    <cellStyle name="Output 25 6" xfId="26428"/>
    <cellStyle name="Output 25 6 2" xfId="33234"/>
    <cellStyle name="Output 25 7" xfId="26429"/>
    <cellStyle name="Output 25 7 2" xfId="33235"/>
    <cellStyle name="Output 25 8" xfId="26430"/>
    <cellStyle name="Output 25 8 2" xfId="33236"/>
    <cellStyle name="Output 25 9" xfId="26431"/>
    <cellStyle name="Output 25 9 2" xfId="33237"/>
    <cellStyle name="Output 26" xfId="6942"/>
    <cellStyle name="Output 26 10" xfId="26432"/>
    <cellStyle name="Output 26 10 2" xfId="33238"/>
    <cellStyle name="Output 26 11" xfId="26433"/>
    <cellStyle name="Output 26 11 2" xfId="33239"/>
    <cellStyle name="Output 26 12" xfId="26434"/>
    <cellStyle name="Output 26 12 2" xfId="33240"/>
    <cellStyle name="Output 26 13" xfId="26435"/>
    <cellStyle name="Output 26 13 2" xfId="33241"/>
    <cellStyle name="Output 26 14" xfId="26436"/>
    <cellStyle name="Output 26 14 2" xfId="33242"/>
    <cellStyle name="Output 26 15" xfId="26437"/>
    <cellStyle name="Output 26 15 2" xfId="33243"/>
    <cellStyle name="Output 26 16" xfId="26438"/>
    <cellStyle name="Output 26 16 2" xfId="33244"/>
    <cellStyle name="Output 26 17" xfId="26439"/>
    <cellStyle name="Output 26 17 2" xfId="33245"/>
    <cellStyle name="Output 26 18" xfId="26440"/>
    <cellStyle name="Output 26 18 2" xfId="33246"/>
    <cellStyle name="Output 26 19" xfId="26441"/>
    <cellStyle name="Output 26 19 2" xfId="33247"/>
    <cellStyle name="Output 26 2" xfId="26442"/>
    <cellStyle name="Output 26 2 2" xfId="33248"/>
    <cellStyle name="Output 26 20" xfId="33249"/>
    <cellStyle name="Output 26 3" xfId="26443"/>
    <cellStyle name="Output 26 3 2" xfId="33250"/>
    <cellStyle name="Output 26 4" xfId="26444"/>
    <cellStyle name="Output 26 4 2" xfId="33251"/>
    <cellStyle name="Output 26 5" xfId="26445"/>
    <cellStyle name="Output 26 5 2" xfId="33252"/>
    <cellStyle name="Output 26 6" xfId="26446"/>
    <cellStyle name="Output 26 6 2" xfId="33253"/>
    <cellStyle name="Output 26 7" xfId="26447"/>
    <cellStyle name="Output 26 7 2" xfId="33254"/>
    <cellStyle name="Output 26 8" xfId="26448"/>
    <cellStyle name="Output 26 8 2" xfId="33255"/>
    <cellStyle name="Output 26 9" xfId="26449"/>
    <cellStyle name="Output 26 9 2" xfId="33256"/>
    <cellStyle name="Output 27" xfId="6943"/>
    <cellStyle name="Output 27 10" xfId="26450"/>
    <cellStyle name="Output 27 10 2" xfId="33257"/>
    <cellStyle name="Output 27 11" xfId="26451"/>
    <cellStyle name="Output 27 11 2" xfId="33258"/>
    <cellStyle name="Output 27 12" xfId="26452"/>
    <cellStyle name="Output 27 12 2" xfId="33259"/>
    <cellStyle name="Output 27 13" xfId="26453"/>
    <cellStyle name="Output 27 13 2" xfId="33260"/>
    <cellStyle name="Output 27 14" xfId="26454"/>
    <cellStyle name="Output 27 14 2" xfId="33261"/>
    <cellStyle name="Output 27 15" xfId="26455"/>
    <cellStyle name="Output 27 15 2" xfId="33262"/>
    <cellStyle name="Output 27 16" xfId="26456"/>
    <cellStyle name="Output 27 16 2" xfId="33263"/>
    <cellStyle name="Output 27 17" xfId="26457"/>
    <cellStyle name="Output 27 17 2" xfId="33264"/>
    <cellStyle name="Output 27 18" xfId="26458"/>
    <cellStyle name="Output 27 18 2" xfId="33265"/>
    <cellStyle name="Output 27 19" xfId="26459"/>
    <cellStyle name="Output 27 19 2" xfId="33266"/>
    <cellStyle name="Output 27 2" xfId="26460"/>
    <cellStyle name="Output 27 2 2" xfId="33267"/>
    <cellStyle name="Output 27 20" xfId="33268"/>
    <cellStyle name="Output 27 3" xfId="26461"/>
    <cellStyle name="Output 27 3 2" xfId="33269"/>
    <cellStyle name="Output 27 4" xfId="26462"/>
    <cellStyle name="Output 27 4 2" xfId="33270"/>
    <cellStyle name="Output 27 5" xfId="26463"/>
    <cellStyle name="Output 27 5 2" xfId="33271"/>
    <cellStyle name="Output 27 6" xfId="26464"/>
    <cellStyle name="Output 27 6 2" xfId="33272"/>
    <cellStyle name="Output 27 7" xfId="26465"/>
    <cellStyle name="Output 27 7 2" xfId="33273"/>
    <cellStyle name="Output 27 8" xfId="26466"/>
    <cellStyle name="Output 27 8 2" xfId="33274"/>
    <cellStyle name="Output 27 9" xfId="26467"/>
    <cellStyle name="Output 27 9 2" xfId="33275"/>
    <cellStyle name="Output 28" xfId="6944"/>
    <cellStyle name="Output 28 10" xfId="26468"/>
    <cellStyle name="Output 28 10 2" xfId="33276"/>
    <cellStyle name="Output 28 11" xfId="26469"/>
    <cellStyle name="Output 28 11 2" xfId="33277"/>
    <cellStyle name="Output 28 12" xfId="26470"/>
    <cellStyle name="Output 28 12 2" xfId="33278"/>
    <cellStyle name="Output 28 13" xfId="26471"/>
    <cellStyle name="Output 28 13 2" xfId="33279"/>
    <cellStyle name="Output 28 14" xfId="26472"/>
    <cellStyle name="Output 28 14 2" xfId="33280"/>
    <cellStyle name="Output 28 15" xfId="26473"/>
    <cellStyle name="Output 28 15 2" xfId="33281"/>
    <cellStyle name="Output 28 16" xfId="26474"/>
    <cellStyle name="Output 28 16 2" xfId="33282"/>
    <cellStyle name="Output 28 17" xfId="26475"/>
    <cellStyle name="Output 28 17 2" xfId="33283"/>
    <cellStyle name="Output 28 18" xfId="26476"/>
    <cellStyle name="Output 28 18 2" xfId="33284"/>
    <cellStyle name="Output 28 19" xfId="26477"/>
    <cellStyle name="Output 28 19 2" xfId="33285"/>
    <cellStyle name="Output 28 2" xfId="26478"/>
    <cellStyle name="Output 28 2 2" xfId="33286"/>
    <cellStyle name="Output 28 20" xfId="33287"/>
    <cellStyle name="Output 28 3" xfId="26479"/>
    <cellStyle name="Output 28 3 2" xfId="33288"/>
    <cellStyle name="Output 28 4" xfId="26480"/>
    <cellStyle name="Output 28 4 2" xfId="33289"/>
    <cellStyle name="Output 28 5" xfId="26481"/>
    <cellStyle name="Output 28 5 2" xfId="33290"/>
    <cellStyle name="Output 28 6" xfId="26482"/>
    <cellStyle name="Output 28 6 2" xfId="33291"/>
    <cellStyle name="Output 28 7" xfId="26483"/>
    <cellStyle name="Output 28 7 2" xfId="33292"/>
    <cellStyle name="Output 28 8" xfId="26484"/>
    <cellStyle name="Output 28 8 2" xfId="33293"/>
    <cellStyle name="Output 28 9" xfId="26485"/>
    <cellStyle name="Output 28 9 2" xfId="33294"/>
    <cellStyle name="Output 29" xfId="6945"/>
    <cellStyle name="Output 29 10" xfId="26486"/>
    <cellStyle name="Output 29 10 2" xfId="33295"/>
    <cellStyle name="Output 29 11" xfId="26487"/>
    <cellStyle name="Output 29 11 2" xfId="33296"/>
    <cellStyle name="Output 29 12" xfId="26488"/>
    <cellStyle name="Output 29 12 2" xfId="33297"/>
    <cellStyle name="Output 29 13" xfId="26489"/>
    <cellStyle name="Output 29 13 2" xfId="33298"/>
    <cellStyle name="Output 29 14" xfId="26490"/>
    <cellStyle name="Output 29 14 2" xfId="33299"/>
    <cellStyle name="Output 29 15" xfId="26491"/>
    <cellStyle name="Output 29 15 2" xfId="33300"/>
    <cellStyle name="Output 29 16" xfId="26492"/>
    <cellStyle name="Output 29 16 2" xfId="33301"/>
    <cellStyle name="Output 29 17" xfId="26493"/>
    <cellStyle name="Output 29 17 2" xfId="33302"/>
    <cellStyle name="Output 29 18" xfId="26494"/>
    <cellStyle name="Output 29 18 2" xfId="33303"/>
    <cellStyle name="Output 29 19" xfId="26495"/>
    <cellStyle name="Output 29 19 2" xfId="33304"/>
    <cellStyle name="Output 29 2" xfId="26496"/>
    <cellStyle name="Output 29 2 2" xfId="33305"/>
    <cellStyle name="Output 29 20" xfId="33306"/>
    <cellStyle name="Output 29 3" xfId="26497"/>
    <cellStyle name="Output 29 3 2" xfId="33307"/>
    <cellStyle name="Output 29 4" xfId="26498"/>
    <cellStyle name="Output 29 4 2" xfId="33308"/>
    <cellStyle name="Output 29 5" xfId="26499"/>
    <cellStyle name="Output 29 5 2" xfId="33309"/>
    <cellStyle name="Output 29 6" xfId="26500"/>
    <cellStyle name="Output 29 6 2" xfId="33310"/>
    <cellStyle name="Output 29 7" xfId="26501"/>
    <cellStyle name="Output 29 7 2" xfId="33311"/>
    <cellStyle name="Output 29 8" xfId="26502"/>
    <cellStyle name="Output 29 8 2" xfId="33312"/>
    <cellStyle name="Output 29 9" xfId="26503"/>
    <cellStyle name="Output 29 9 2" xfId="33313"/>
    <cellStyle name="Output 3" xfId="6946"/>
    <cellStyle name="Output 3 10" xfId="26504"/>
    <cellStyle name="Output 3 10 2" xfId="33314"/>
    <cellStyle name="Output 3 11" xfId="26505"/>
    <cellStyle name="Output 3 11 2" xfId="33315"/>
    <cellStyle name="Output 3 12" xfId="26506"/>
    <cellStyle name="Output 3 12 2" xfId="33316"/>
    <cellStyle name="Output 3 13" xfId="26507"/>
    <cellStyle name="Output 3 13 2" xfId="33317"/>
    <cellStyle name="Output 3 14" xfId="26508"/>
    <cellStyle name="Output 3 14 2" xfId="33318"/>
    <cellStyle name="Output 3 15" xfId="26509"/>
    <cellStyle name="Output 3 15 2" xfId="33319"/>
    <cellStyle name="Output 3 16" xfId="26510"/>
    <cellStyle name="Output 3 16 2" xfId="33320"/>
    <cellStyle name="Output 3 17" xfId="26511"/>
    <cellStyle name="Output 3 17 2" xfId="33321"/>
    <cellStyle name="Output 3 18" xfId="26512"/>
    <cellStyle name="Output 3 18 2" xfId="33322"/>
    <cellStyle name="Output 3 19" xfId="26513"/>
    <cellStyle name="Output 3 19 2" xfId="33323"/>
    <cellStyle name="Output 3 2" xfId="26514"/>
    <cellStyle name="Output 3 2 2" xfId="33324"/>
    <cellStyle name="Output 3 20" xfId="33325"/>
    <cellStyle name="Output 3 3" xfId="26515"/>
    <cellStyle name="Output 3 3 2" xfId="33326"/>
    <cellStyle name="Output 3 4" xfId="26516"/>
    <cellStyle name="Output 3 4 2" xfId="33327"/>
    <cellStyle name="Output 3 5" xfId="26517"/>
    <cellStyle name="Output 3 5 2" xfId="33328"/>
    <cellStyle name="Output 3 6" xfId="26518"/>
    <cellStyle name="Output 3 6 2" xfId="33329"/>
    <cellStyle name="Output 3 7" xfId="26519"/>
    <cellStyle name="Output 3 7 2" xfId="33330"/>
    <cellStyle name="Output 3 8" xfId="26520"/>
    <cellStyle name="Output 3 8 2" xfId="33331"/>
    <cellStyle name="Output 3 9" xfId="26521"/>
    <cellStyle name="Output 3 9 2" xfId="33332"/>
    <cellStyle name="Output 30" xfId="6947"/>
    <cellStyle name="Output 30 10" xfId="26522"/>
    <cellStyle name="Output 30 10 2" xfId="33333"/>
    <cellStyle name="Output 30 11" xfId="26523"/>
    <cellStyle name="Output 30 11 2" xfId="33334"/>
    <cellStyle name="Output 30 12" xfId="26524"/>
    <cellStyle name="Output 30 12 2" xfId="33335"/>
    <cellStyle name="Output 30 13" xfId="26525"/>
    <cellStyle name="Output 30 13 2" xfId="33336"/>
    <cellStyle name="Output 30 14" xfId="26526"/>
    <cellStyle name="Output 30 14 2" xfId="33337"/>
    <cellStyle name="Output 30 15" xfId="26527"/>
    <cellStyle name="Output 30 15 2" xfId="33338"/>
    <cellStyle name="Output 30 16" xfId="26528"/>
    <cellStyle name="Output 30 16 2" xfId="33339"/>
    <cellStyle name="Output 30 17" xfId="26529"/>
    <cellStyle name="Output 30 17 2" xfId="33340"/>
    <cellStyle name="Output 30 18" xfId="26530"/>
    <cellStyle name="Output 30 18 2" xfId="33341"/>
    <cellStyle name="Output 30 19" xfId="26531"/>
    <cellStyle name="Output 30 19 2" xfId="33342"/>
    <cellStyle name="Output 30 2" xfId="26532"/>
    <cellStyle name="Output 30 2 2" xfId="33343"/>
    <cellStyle name="Output 30 20" xfId="33344"/>
    <cellStyle name="Output 30 3" xfId="26533"/>
    <cellStyle name="Output 30 3 2" xfId="33345"/>
    <cellStyle name="Output 30 4" xfId="26534"/>
    <cellStyle name="Output 30 4 2" xfId="33346"/>
    <cellStyle name="Output 30 5" xfId="26535"/>
    <cellStyle name="Output 30 5 2" xfId="33347"/>
    <cellStyle name="Output 30 6" xfId="26536"/>
    <cellStyle name="Output 30 6 2" xfId="33348"/>
    <cellStyle name="Output 30 7" xfId="26537"/>
    <cellStyle name="Output 30 7 2" xfId="33349"/>
    <cellStyle name="Output 30 8" xfId="26538"/>
    <cellStyle name="Output 30 8 2" xfId="33350"/>
    <cellStyle name="Output 30 9" xfId="26539"/>
    <cellStyle name="Output 30 9 2" xfId="33351"/>
    <cellStyle name="Output 31" xfId="6948"/>
    <cellStyle name="Output 31 10" xfId="26540"/>
    <cellStyle name="Output 31 10 2" xfId="33352"/>
    <cellStyle name="Output 31 11" xfId="26541"/>
    <cellStyle name="Output 31 11 2" xfId="33353"/>
    <cellStyle name="Output 31 12" xfId="26542"/>
    <cellStyle name="Output 31 12 2" xfId="33354"/>
    <cellStyle name="Output 31 13" xfId="26543"/>
    <cellStyle name="Output 31 13 2" xfId="33355"/>
    <cellStyle name="Output 31 14" xfId="26544"/>
    <cellStyle name="Output 31 14 2" xfId="33356"/>
    <cellStyle name="Output 31 15" xfId="26545"/>
    <cellStyle name="Output 31 15 2" xfId="33357"/>
    <cellStyle name="Output 31 16" xfId="26546"/>
    <cellStyle name="Output 31 16 2" xfId="33358"/>
    <cellStyle name="Output 31 17" xfId="26547"/>
    <cellStyle name="Output 31 17 2" xfId="33359"/>
    <cellStyle name="Output 31 18" xfId="26548"/>
    <cellStyle name="Output 31 18 2" xfId="33360"/>
    <cellStyle name="Output 31 19" xfId="26549"/>
    <cellStyle name="Output 31 19 2" xfId="33361"/>
    <cellStyle name="Output 31 2" xfId="26550"/>
    <cellStyle name="Output 31 2 2" xfId="33362"/>
    <cellStyle name="Output 31 20" xfId="33363"/>
    <cellStyle name="Output 31 3" xfId="26551"/>
    <cellStyle name="Output 31 3 2" xfId="33364"/>
    <cellStyle name="Output 31 4" xfId="26552"/>
    <cellStyle name="Output 31 4 2" xfId="33365"/>
    <cellStyle name="Output 31 5" xfId="26553"/>
    <cellStyle name="Output 31 5 2" xfId="33366"/>
    <cellStyle name="Output 31 6" xfId="26554"/>
    <cellStyle name="Output 31 6 2" xfId="33367"/>
    <cellStyle name="Output 31 7" xfId="26555"/>
    <cellStyle name="Output 31 7 2" xfId="33368"/>
    <cellStyle name="Output 31 8" xfId="26556"/>
    <cellStyle name="Output 31 8 2" xfId="33369"/>
    <cellStyle name="Output 31 9" xfId="26557"/>
    <cellStyle name="Output 31 9 2" xfId="33370"/>
    <cellStyle name="Output 32" xfId="6949"/>
    <cellStyle name="Output 32 10" xfId="26558"/>
    <cellStyle name="Output 32 10 2" xfId="33371"/>
    <cellStyle name="Output 32 11" xfId="26559"/>
    <cellStyle name="Output 32 11 2" xfId="33372"/>
    <cellStyle name="Output 32 12" xfId="26560"/>
    <cellStyle name="Output 32 12 2" xfId="33373"/>
    <cellStyle name="Output 32 13" xfId="26561"/>
    <cellStyle name="Output 32 13 2" xfId="33374"/>
    <cellStyle name="Output 32 14" xfId="26562"/>
    <cellStyle name="Output 32 14 2" xfId="33375"/>
    <cellStyle name="Output 32 15" xfId="26563"/>
    <cellStyle name="Output 32 15 2" xfId="33376"/>
    <cellStyle name="Output 32 16" xfId="26564"/>
    <cellStyle name="Output 32 16 2" xfId="33377"/>
    <cellStyle name="Output 32 17" xfId="26565"/>
    <cellStyle name="Output 32 17 2" xfId="33378"/>
    <cellStyle name="Output 32 18" xfId="26566"/>
    <cellStyle name="Output 32 18 2" xfId="33379"/>
    <cellStyle name="Output 32 19" xfId="26567"/>
    <cellStyle name="Output 32 19 2" xfId="33380"/>
    <cellStyle name="Output 32 2" xfId="26568"/>
    <cellStyle name="Output 32 2 2" xfId="33381"/>
    <cellStyle name="Output 32 20" xfId="33382"/>
    <cellStyle name="Output 32 3" xfId="26569"/>
    <cellStyle name="Output 32 3 2" xfId="33383"/>
    <cellStyle name="Output 32 4" xfId="26570"/>
    <cellStyle name="Output 32 4 2" xfId="33384"/>
    <cellStyle name="Output 32 5" xfId="26571"/>
    <cellStyle name="Output 32 5 2" xfId="33385"/>
    <cellStyle name="Output 32 6" xfId="26572"/>
    <cellStyle name="Output 32 6 2" xfId="33386"/>
    <cellStyle name="Output 32 7" xfId="26573"/>
    <cellStyle name="Output 32 7 2" xfId="33387"/>
    <cellStyle name="Output 32 8" xfId="26574"/>
    <cellStyle name="Output 32 8 2" xfId="33388"/>
    <cellStyle name="Output 32 9" xfId="26575"/>
    <cellStyle name="Output 32 9 2" xfId="33389"/>
    <cellStyle name="Output 33" xfId="6950"/>
    <cellStyle name="Output 33 10" xfId="26576"/>
    <cellStyle name="Output 33 10 2" xfId="33390"/>
    <cellStyle name="Output 33 11" xfId="26577"/>
    <cellStyle name="Output 33 11 2" xfId="33391"/>
    <cellStyle name="Output 33 12" xfId="26578"/>
    <cellStyle name="Output 33 12 2" xfId="33392"/>
    <cellStyle name="Output 33 13" xfId="26579"/>
    <cellStyle name="Output 33 13 2" xfId="33393"/>
    <cellStyle name="Output 33 14" xfId="26580"/>
    <cellStyle name="Output 33 14 2" xfId="33394"/>
    <cellStyle name="Output 33 15" xfId="26581"/>
    <cellStyle name="Output 33 15 2" xfId="33395"/>
    <cellStyle name="Output 33 16" xfId="26582"/>
    <cellStyle name="Output 33 16 2" xfId="33396"/>
    <cellStyle name="Output 33 17" xfId="26583"/>
    <cellStyle name="Output 33 17 2" xfId="33397"/>
    <cellStyle name="Output 33 18" xfId="26584"/>
    <cellStyle name="Output 33 18 2" xfId="33398"/>
    <cellStyle name="Output 33 19" xfId="26585"/>
    <cellStyle name="Output 33 19 2" xfId="33399"/>
    <cellStyle name="Output 33 2" xfId="26586"/>
    <cellStyle name="Output 33 2 2" xfId="33400"/>
    <cellStyle name="Output 33 20" xfId="33401"/>
    <cellStyle name="Output 33 3" xfId="26587"/>
    <cellStyle name="Output 33 3 2" xfId="33402"/>
    <cellStyle name="Output 33 4" xfId="26588"/>
    <cellStyle name="Output 33 4 2" xfId="33403"/>
    <cellStyle name="Output 33 5" xfId="26589"/>
    <cellStyle name="Output 33 5 2" xfId="33404"/>
    <cellStyle name="Output 33 6" xfId="26590"/>
    <cellStyle name="Output 33 6 2" xfId="33405"/>
    <cellStyle name="Output 33 7" xfId="26591"/>
    <cellStyle name="Output 33 7 2" xfId="33406"/>
    <cellStyle name="Output 33 8" xfId="26592"/>
    <cellStyle name="Output 33 8 2" xfId="33407"/>
    <cellStyle name="Output 33 9" xfId="26593"/>
    <cellStyle name="Output 33 9 2" xfId="33408"/>
    <cellStyle name="Output 34" xfId="6951"/>
    <cellStyle name="Output 34 10" xfId="26594"/>
    <cellStyle name="Output 34 10 2" xfId="33409"/>
    <cellStyle name="Output 34 11" xfId="26595"/>
    <cellStyle name="Output 34 11 2" xfId="33410"/>
    <cellStyle name="Output 34 12" xfId="26596"/>
    <cellStyle name="Output 34 12 2" xfId="33411"/>
    <cellStyle name="Output 34 13" xfId="26597"/>
    <cellStyle name="Output 34 13 2" xfId="33412"/>
    <cellStyle name="Output 34 14" xfId="26598"/>
    <cellStyle name="Output 34 14 2" xfId="33413"/>
    <cellStyle name="Output 34 15" xfId="26599"/>
    <cellStyle name="Output 34 15 2" xfId="33414"/>
    <cellStyle name="Output 34 16" xfId="26600"/>
    <cellStyle name="Output 34 16 2" xfId="33415"/>
    <cellStyle name="Output 34 17" xfId="26601"/>
    <cellStyle name="Output 34 17 2" xfId="33416"/>
    <cellStyle name="Output 34 18" xfId="26602"/>
    <cellStyle name="Output 34 18 2" xfId="33417"/>
    <cellStyle name="Output 34 19" xfId="26603"/>
    <cellStyle name="Output 34 19 2" xfId="33418"/>
    <cellStyle name="Output 34 2" xfId="26604"/>
    <cellStyle name="Output 34 2 2" xfId="33419"/>
    <cellStyle name="Output 34 20" xfId="33420"/>
    <cellStyle name="Output 34 3" xfId="26605"/>
    <cellStyle name="Output 34 3 2" xfId="33421"/>
    <cellStyle name="Output 34 4" xfId="26606"/>
    <cellStyle name="Output 34 4 2" xfId="33422"/>
    <cellStyle name="Output 34 5" xfId="26607"/>
    <cellStyle name="Output 34 5 2" xfId="33423"/>
    <cellStyle name="Output 34 6" xfId="26608"/>
    <cellStyle name="Output 34 6 2" xfId="33424"/>
    <cellStyle name="Output 34 7" xfId="26609"/>
    <cellStyle name="Output 34 7 2" xfId="33425"/>
    <cellStyle name="Output 34 8" xfId="26610"/>
    <cellStyle name="Output 34 8 2" xfId="33426"/>
    <cellStyle name="Output 34 9" xfId="26611"/>
    <cellStyle name="Output 34 9 2" xfId="33427"/>
    <cellStyle name="Output 35" xfId="6952"/>
    <cellStyle name="Output 35 10" xfId="26612"/>
    <cellStyle name="Output 35 10 2" xfId="33428"/>
    <cellStyle name="Output 35 11" xfId="26613"/>
    <cellStyle name="Output 35 11 2" xfId="33429"/>
    <cellStyle name="Output 35 12" xfId="26614"/>
    <cellStyle name="Output 35 12 2" xfId="33430"/>
    <cellStyle name="Output 35 13" xfId="26615"/>
    <cellStyle name="Output 35 13 2" xfId="33431"/>
    <cellStyle name="Output 35 14" xfId="26616"/>
    <cellStyle name="Output 35 14 2" xfId="33432"/>
    <cellStyle name="Output 35 15" xfId="26617"/>
    <cellStyle name="Output 35 15 2" xfId="33433"/>
    <cellStyle name="Output 35 16" xfId="26618"/>
    <cellStyle name="Output 35 16 2" xfId="33434"/>
    <cellStyle name="Output 35 17" xfId="26619"/>
    <cellStyle name="Output 35 17 2" xfId="33435"/>
    <cellStyle name="Output 35 18" xfId="26620"/>
    <cellStyle name="Output 35 18 2" xfId="33436"/>
    <cellStyle name="Output 35 19" xfId="26621"/>
    <cellStyle name="Output 35 19 2" xfId="33437"/>
    <cellStyle name="Output 35 2" xfId="26622"/>
    <cellStyle name="Output 35 2 2" xfId="33438"/>
    <cellStyle name="Output 35 20" xfId="33439"/>
    <cellStyle name="Output 35 3" xfId="26623"/>
    <cellStyle name="Output 35 3 2" xfId="33440"/>
    <cellStyle name="Output 35 4" xfId="26624"/>
    <cellStyle name="Output 35 4 2" xfId="33441"/>
    <cellStyle name="Output 35 5" xfId="26625"/>
    <cellStyle name="Output 35 5 2" xfId="33442"/>
    <cellStyle name="Output 35 6" xfId="26626"/>
    <cellStyle name="Output 35 6 2" xfId="33443"/>
    <cellStyle name="Output 35 7" xfId="26627"/>
    <cellStyle name="Output 35 7 2" xfId="33444"/>
    <cellStyle name="Output 35 8" xfId="26628"/>
    <cellStyle name="Output 35 8 2" xfId="33445"/>
    <cellStyle name="Output 35 9" xfId="26629"/>
    <cellStyle name="Output 35 9 2" xfId="33446"/>
    <cellStyle name="Output 36" xfId="6953"/>
    <cellStyle name="Output 36 10" xfId="26630"/>
    <cellStyle name="Output 36 10 2" xfId="33447"/>
    <cellStyle name="Output 36 11" xfId="26631"/>
    <cellStyle name="Output 36 11 2" xfId="33448"/>
    <cellStyle name="Output 36 12" xfId="26632"/>
    <cellStyle name="Output 36 12 2" xfId="33449"/>
    <cellStyle name="Output 36 13" xfId="26633"/>
    <cellStyle name="Output 36 13 2" xfId="33450"/>
    <cellStyle name="Output 36 14" xfId="26634"/>
    <cellStyle name="Output 36 14 2" xfId="33451"/>
    <cellStyle name="Output 36 15" xfId="26635"/>
    <cellStyle name="Output 36 15 2" xfId="33452"/>
    <cellStyle name="Output 36 16" xfId="26636"/>
    <cellStyle name="Output 36 16 2" xfId="33453"/>
    <cellStyle name="Output 36 17" xfId="26637"/>
    <cellStyle name="Output 36 17 2" xfId="33454"/>
    <cellStyle name="Output 36 18" xfId="26638"/>
    <cellStyle name="Output 36 18 2" xfId="33455"/>
    <cellStyle name="Output 36 19" xfId="26639"/>
    <cellStyle name="Output 36 19 2" xfId="33456"/>
    <cellStyle name="Output 36 2" xfId="26640"/>
    <cellStyle name="Output 36 2 2" xfId="33457"/>
    <cellStyle name="Output 36 20" xfId="33458"/>
    <cellStyle name="Output 36 3" xfId="26641"/>
    <cellStyle name="Output 36 3 2" xfId="33459"/>
    <cellStyle name="Output 36 4" xfId="26642"/>
    <cellStyle name="Output 36 4 2" xfId="33460"/>
    <cellStyle name="Output 36 5" xfId="26643"/>
    <cellStyle name="Output 36 5 2" xfId="33461"/>
    <cellStyle name="Output 36 6" xfId="26644"/>
    <cellStyle name="Output 36 6 2" xfId="33462"/>
    <cellStyle name="Output 36 7" xfId="26645"/>
    <cellStyle name="Output 36 7 2" xfId="33463"/>
    <cellStyle name="Output 36 8" xfId="26646"/>
    <cellStyle name="Output 36 8 2" xfId="33464"/>
    <cellStyle name="Output 36 9" xfId="26647"/>
    <cellStyle name="Output 36 9 2" xfId="33465"/>
    <cellStyle name="Output 37" xfId="6954"/>
    <cellStyle name="Output 37 10" xfId="26648"/>
    <cellStyle name="Output 37 10 2" xfId="33466"/>
    <cellStyle name="Output 37 11" xfId="26649"/>
    <cellStyle name="Output 37 11 2" xfId="33467"/>
    <cellStyle name="Output 37 12" xfId="26650"/>
    <cellStyle name="Output 37 12 2" xfId="33468"/>
    <cellStyle name="Output 37 13" xfId="26651"/>
    <cellStyle name="Output 37 13 2" xfId="33469"/>
    <cellStyle name="Output 37 14" xfId="26652"/>
    <cellStyle name="Output 37 14 2" xfId="33470"/>
    <cellStyle name="Output 37 15" xfId="26653"/>
    <cellStyle name="Output 37 15 2" xfId="33471"/>
    <cellStyle name="Output 37 16" xfId="26654"/>
    <cellStyle name="Output 37 16 2" xfId="33472"/>
    <cellStyle name="Output 37 17" xfId="26655"/>
    <cellStyle name="Output 37 17 2" xfId="33473"/>
    <cellStyle name="Output 37 18" xfId="26656"/>
    <cellStyle name="Output 37 18 2" xfId="33474"/>
    <cellStyle name="Output 37 19" xfId="26657"/>
    <cellStyle name="Output 37 19 2" xfId="33475"/>
    <cellStyle name="Output 37 2" xfId="26658"/>
    <cellStyle name="Output 37 2 2" xfId="33476"/>
    <cellStyle name="Output 37 20" xfId="33477"/>
    <cellStyle name="Output 37 3" xfId="26659"/>
    <cellStyle name="Output 37 3 2" xfId="33478"/>
    <cellStyle name="Output 37 4" xfId="26660"/>
    <cellStyle name="Output 37 4 2" xfId="33479"/>
    <cellStyle name="Output 37 5" xfId="26661"/>
    <cellStyle name="Output 37 5 2" xfId="33480"/>
    <cellStyle name="Output 37 6" xfId="26662"/>
    <cellStyle name="Output 37 6 2" xfId="33481"/>
    <cellStyle name="Output 37 7" xfId="26663"/>
    <cellStyle name="Output 37 7 2" xfId="33482"/>
    <cellStyle name="Output 37 8" xfId="26664"/>
    <cellStyle name="Output 37 8 2" xfId="33483"/>
    <cellStyle name="Output 37 9" xfId="26665"/>
    <cellStyle name="Output 37 9 2" xfId="33484"/>
    <cellStyle name="Output 38" xfId="6955"/>
    <cellStyle name="Output 38 10" xfId="26666"/>
    <cellStyle name="Output 38 10 2" xfId="33485"/>
    <cellStyle name="Output 38 11" xfId="26667"/>
    <cellStyle name="Output 38 11 2" xfId="33486"/>
    <cellStyle name="Output 38 12" xfId="26668"/>
    <cellStyle name="Output 38 12 2" xfId="33487"/>
    <cellStyle name="Output 38 13" xfId="26669"/>
    <cellStyle name="Output 38 13 2" xfId="33488"/>
    <cellStyle name="Output 38 14" xfId="26670"/>
    <cellStyle name="Output 38 14 2" xfId="33489"/>
    <cellStyle name="Output 38 15" xfId="26671"/>
    <cellStyle name="Output 38 15 2" xfId="33490"/>
    <cellStyle name="Output 38 16" xfId="26672"/>
    <cellStyle name="Output 38 16 2" xfId="33491"/>
    <cellStyle name="Output 38 17" xfId="26673"/>
    <cellStyle name="Output 38 17 2" xfId="33492"/>
    <cellStyle name="Output 38 18" xfId="26674"/>
    <cellStyle name="Output 38 18 2" xfId="33493"/>
    <cellStyle name="Output 38 19" xfId="26675"/>
    <cellStyle name="Output 38 19 2" xfId="33494"/>
    <cellStyle name="Output 38 2" xfId="26676"/>
    <cellStyle name="Output 38 2 2" xfId="33495"/>
    <cellStyle name="Output 38 20" xfId="33496"/>
    <cellStyle name="Output 38 3" xfId="26677"/>
    <cellStyle name="Output 38 3 2" xfId="33497"/>
    <cellStyle name="Output 38 4" xfId="26678"/>
    <cellStyle name="Output 38 4 2" xfId="33498"/>
    <cellStyle name="Output 38 5" xfId="26679"/>
    <cellStyle name="Output 38 5 2" xfId="33499"/>
    <cellStyle name="Output 38 6" xfId="26680"/>
    <cellStyle name="Output 38 6 2" xfId="33500"/>
    <cellStyle name="Output 38 7" xfId="26681"/>
    <cellStyle name="Output 38 7 2" xfId="33501"/>
    <cellStyle name="Output 38 8" xfId="26682"/>
    <cellStyle name="Output 38 8 2" xfId="33502"/>
    <cellStyle name="Output 38 9" xfId="26683"/>
    <cellStyle name="Output 38 9 2" xfId="33503"/>
    <cellStyle name="Output 39" xfId="6956"/>
    <cellStyle name="Output 39 10" xfId="26684"/>
    <cellStyle name="Output 39 10 2" xfId="33504"/>
    <cellStyle name="Output 39 11" xfId="26685"/>
    <cellStyle name="Output 39 11 2" xfId="33505"/>
    <cellStyle name="Output 39 12" xfId="26686"/>
    <cellStyle name="Output 39 12 2" xfId="33506"/>
    <cellStyle name="Output 39 13" xfId="26687"/>
    <cellStyle name="Output 39 13 2" xfId="33507"/>
    <cellStyle name="Output 39 14" xfId="26688"/>
    <cellStyle name="Output 39 14 2" xfId="33508"/>
    <cellStyle name="Output 39 15" xfId="26689"/>
    <cellStyle name="Output 39 15 2" xfId="33509"/>
    <cellStyle name="Output 39 16" xfId="26690"/>
    <cellStyle name="Output 39 16 2" xfId="33510"/>
    <cellStyle name="Output 39 17" xfId="26691"/>
    <cellStyle name="Output 39 17 2" xfId="33511"/>
    <cellStyle name="Output 39 18" xfId="26692"/>
    <cellStyle name="Output 39 18 2" xfId="33512"/>
    <cellStyle name="Output 39 19" xfId="26693"/>
    <cellStyle name="Output 39 19 2" xfId="33513"/>
    <cellStyle name="Output 39 2" xfId="26694"/>
    <cellStyle name="Output 39 2 2" xfId="33514"/>
    <cellStyle name="Output 39 20" xfId="33515"/>
    <cellStyle name="Output 39 3" xfId="26695"/>
    <cellStyle name="Output 39 3 2" xfId="33516"/>
    <cellStyle name="Output 39 4" xfId="26696"/>
    <cellStyle name="Output 39 4 2" xfId="33517"/>
    <cellStyle name="Output 39 5" xfId="26697"/>
    <cellStyle name="Output 39 5 2" xfId="33518"/>
    <cellStyle name="Output 39 6" xfId="26698"/>
    <cellStyle name="Output 39 6 2" xfId="33519"/>
    <cellStyle name="Output 39 7" xfId="26699"/>
    <cellStyle name="Output 39 7 2" xfId="33520"/>
    <cellStyle name="Output 39 8" xfId="26700"/>
    <cellStyle name="Output 39 8 2" xfId="33521"/>
    <cellStyle name="Output 39 9" xfId="26701"/>
    <cellStyle name="Output 39 9 2" xfId="33522"/>
    <cellStyle name="Output 4" xfId="6957"/>
    <cellStyle name="Output 4 10" xfId="26702"/>
    <cellStyle name="Output 4 10 2" xfId="33523"/>
    <cellStyle name="Output 4 11" xfId="26703"/>
    <cellStyle name="Output 4 11 2" xfId="33524"/>
    <cellStyle name="Output 4 12" xfId="26704"/>
    <cellStyle name="Output 4 12 2" xfId="33525"/>
    <cellStyle name="Output 4 13" xfId="26705"/>
    <cellStyle name="Output 4 13 2" xfId="33526"/>
    <cellStyle name="Output 4 14" xfId="26706"/>
    <cellStyle name="Output 4 14 2" xfId="33527"/>
    <cellStyle name="Output 4 15" xfId="26707"/>
    <cellStyle name="Output 4 15 2" xfId="33528"/>
    <cellStyle name="Output 4 16" xfId="26708"/>
    <cellStyle name="Output 4 16 2" xfId="33529"/>
    <cellStyle name="Output 4 17" xfId="26709"/>
    <cellStyle name="Output 4 17 2" xfId="33530"/>
    <cellStyle name="Output 4 18" xfId="26710"/>
    <cellStyle name="Output 4 18 2" xfId="33531"/>
    <cellStyle name="Output 4 19" xfId="26711"/>
    <cellStyle name="Output 4 19 2" xfId="33532"/>
    <cellStyle name="Output 4 2" xfId="26712"/>
    <cellStyle name="Output 4 2 2" xfId="33533"/>
    <cellStyle name="Output 4 20" xfId="33534"/>
    <cellStyle name="Output 4 3" xfId="26713"/>
    <cellStyle name="Output 4 3 2" xfId="33535"/>
    <cellStyle name="Output 4 4" xfId="26714"/>
    <cellStyle name="Output 4 4 2" xfId="33536"/>
    <cellStyle name="Output 4 5" xfId="26715"/>
    <cellStyle name="Output 4 5 2" xfId="33537"/>
    <cellStyle name="Output 4 6" xfId="26716"/>
    <cellStyle name="Output 4 6 2" xfId="33538"/>
    <cellStyle name="Output 4 7" xfId="26717"/>
    <cellStyle name="Output 4 7 2" xfId="33539"/>
    <cellStyle name="Output 4 8" xfId="26718"/>
    <cellStyle name="Output 4 8 2" xfId="33540"/>
    <cellStyle name="Output 4 9" xfId="26719"/>
    <cellStyle name="Output 4 9 2" xfId="33541"/>
    <cellStyle name="Output 40" xfId="6958"/>
    <cellStyle name="Output 40 10" xfId="26720"/>
    <cellStyle name="Output 40 10 2" xfId="33542"/>
    <cellStyle name="Output 40 11" xfId="26721"/>
    <cellStyle name="Output 40 11 2" xfId="33543"/>
    <cellStyle name="Output 40 12" xfId="26722"/>
    <cellStyle name="Output 40 12 2" xfId="33544"/>
    <cellStyle name="Output 40 13" xfId="26723"/>
    <cellStyle name="Output 40 13 2" xfId="33545"/>
    <cellStyle name="Output 40 14" xfId="26724"/>
    <cellStyle name="Output 40 14 2" xfId="33546"/>
    <cellStyle name="Output 40 15" xfId="26725"/>
    <cellStyle name="Output 40 15 2" xfId="33547"/>
    <cellStyle name="Output 40 16" xfId="26726"/>
    <cellStyle name="Output 40 16 2" xfId="33548"/>
    <cellStyle name="Output 40 17" xfId="26727"/>
    <cellStyle name="Output 40 17 2" xfId="33549"/>
    <cellStyle name="Output 40 18" xfId="26728"/>
    <cellStyle name="Output 40 18 2" xfId="33550"/>
    <cellStyle name="Output 40 19" xfId="26729"/>
    <cellStyle name="Output 40 19 2" xfId="33551"/>
    <cellStyle name="Output 40 2" xfId="26730"/>
    <cellStyle name="Output 40 2 2" xfId="33552"/>
    <cellStyle name="Output 40 20" xfId="33553"/>
    <cellStyle name="Output 40 3" xfId="26731"/>
    <cellStyle name="Output 40 3 2" xfId="33554"/>
    <cellStyle name="Output 40 4" xfId="26732"/>
    <cellStyle name="Output 40 4 2" xfId="33555"/>
    <cellStyle name="Output 40 5" xfId="26733"/>
    <cellStyle name="Output 40 5 2" xfId="33556"/>
    <cellStyle name="Output 40 6" xfId="26734"/>
    <cellStyle name="Output 40 6 2" xfId="33557"/>
    <cellStyle name="Output 40 7" xfId="26735"/>
    <cellStyle name="Output 40 7 2" xfId="33558"/>
    <cellStyle name="Output 40 8" xfId="26736"/>
    <cellStyle name="Output 40 8 2" xfId="33559"/>
    <cellStyle name="Output 40 9" xfId="26737"/>
    <cellStyle name="Output 40 9 2" xfId="33560"/>
    <cellStyle name="Output 41" xfId="6959"/>
    <cellStyle name="Output 41 10" xfId="26738"/>
    <cellStyle name="Output 41 10 2" xfId="33561"/>
    <cellStyle name="Output 41 11" xfId="26739"/>
    <cellStyle name="Output 41 11 2" xfId="33562"/>
    <cellStyle name="Output 41 12" xfId="26740"/>
    <cellStyle name="Output 41 12 2" xfId="33563"/>
    <cellStyle name="Output 41 13" xfId="26741"/>
    <cellStyle name="Output 41 13 2" xfId="33564"/>
    <cellStyle name="Output 41 14" xfId="26742"/>
    <cellStyle name="Output 41 14 2" xfId="33565"/>
    <cellStyle name="Output 41 15" xfId="26743"/>
    <cellStyle name="Output 41 15 2" xfId="33566"/>
    <cellStyle name="Output 41 16" xfId="26744"/>
    <cellStyle name="Output 41 16 2" xfId="33567"/>
    <cellStyle name="Output 41 17" xfId="26745"/>
    <cellStyle name="Output 41 17 2" xfId="33568"/>
    <cellStyle name="Output 41 18" xfId="26746"/>
    <cellStyle name="Output 41 18 2" xfId="33569"/>
    <cellStyle name="Output 41 19" xfId="26747"/>
    <cellStyle name="Output 41 19 2" xfId="33570"/>
    <cellStyle name="Output 41 2" xfId="26748"/>
    <cellStyle name="Output 41 2 2" xfId="33571"/>
    <cellStyle name="Output 41 20" xfId="33572"/>
    <cellStyle name="Output 41 3" xfId="26749"/>
    <cellStyle name="Output 41 3 2" xfId="33573"/>
    <cellStyle name="Output 41 4" xfId="26750"/>
    <cellStyle name="Output 41 4 2" xfId="33574"/>
    <cellStyle name="Output 41 5" xfId="26751"/>
    <cellStyle name="Output 41 5 2" xfId="33575"/>
    <cellStyle name="Output 41 6" xfId="26752"/>
    <cellStyle name="Output 41 6 2" xfId="33576"/>
    <cellStyle name="Output 41 7" xfId="26753"/>
    <cellStyle name="Output 41 7 2" xfId="33577"/>
    <cellStyle name="Output 41 8" xfId="26754"/>
    <cellStyle name="Output 41 8 2" xfId="33578"/>
    <cellStyle name="Output 41 9" xfId="26755"/>
    <cellStyle name="Output 41 9 2" xfId="33579"/>
    <cellStyle name="Output 42" xfId="6960"/>
    <cellStyle name="Output 42 10" xfId="26756"/>
    <cellStyle name="Output 42 10 2" xfId="33580"/>
    <cellStyle name="Output 42 11" xfId="26757"/>
    <cellStyle name="Output 42 11 2" xfId="33581"/>
    <cellStyle name="Output 42 12" xfId="26758"/>
    <cellStyle name="Output 42 12 2" xfId="33582"/>
    <cellStyle name="Output 42 13" xfId="26759"/>
    <cellStyle name="Output 42 13 2" xfId="33583"/>
    <cellStyle name="Output 42 14" xfId="26760"/>
    <cellStyle name="Output 42 14 2" xfId="33584"/>
    <cellStyle name="Output 42 15" xfId="26761"/>
    <cellStyle name="Output 42 15 2" xfId="33585"/>
    <cellStyle name="Output 42 16" xfId="26762"/>
    <cellStyle name="Output 42 16 2" xfId="33586"/>
    <cellStyle name="Output 42 17" xfId="26763"/>
    <cellStyle name="Output 42 17 2" xfId="33587"/>
    <cellStyle name="Output 42 18" xfId="26764"/>
    <cellStyle name="Output 42 18 2" xfId="33588"/>
    <cellStyle name="Output 42 19" xfId="26765"/>
    <cellStyle name="Output 42 19 2" xfId="33589"/>
    <cellStyle name="Output 42 2" xfId="26766"/>
    <cellStyle name="Output 42 2 2" xfId="33590"/>
    <cellStyle name="Output 42 20" xfId="33591"/>
    <cellStyle name="Output 42 3" xfId="26767"/>
    <cellStyle name="Output 42 3 2" xfId="33592"/>
    <cellStyle name="Output 42 4" xfId="26768"/>
    <cellStyle name="Output 42 4 2" xfId="33593"/>
    <cellStyle name="Output 42 5" xfId="26769"/>
    <cellStyle name="Output 42 5 2" xfId="33594"/>
    <cellStyle name="Output 42 6" xfId="26770"/>
    <cellStyle name="Output 42 6 2" xfId="33595"/>
    <cellStyle name="Output 42 7" xfId="26771"/>
    <cellStyle name="Output 42 7 2" xfId="33596"/>
    <cellStyle name="Output 42 8" xfId="26772"/>
    <cellStyle name="Output 42 8 2" xfId="33597"/>
    <cellStyle name="Output 42 9" xfId="26773"/>
    <cellStyle name="Output 42 9 2" xfId="33598"/>
    <cellStyle name="Output 43" xfId="6961"/>
    <cellStyle name="Output 43 10" xfId="26774"/>
    <cellStyle name="Output 43 10 2" xfId="33599"/>
    <cellStyle name="Output 43 11" xfId="26775"/>
    <cellStyle name="Output 43 11 2" xfId="33600"/>
    <cellStyle name="Output 43 12" xfId="26776"/>
    <cellStyle name="Output 43 12 2" xfId="33601"/>
    <cellStyle name="Output 43 13" xfId="26777"/>
    <cellStyle name="Output 43 13 2" xfId="33602"/>
    <cellStyle name="Output 43 14" xfId="26778"/>
    <cellStyle name="Output 43 14 2" xfId="33603"/>
    <cellStyle name="Output 43 15" xfId="26779"/>
    <cellStyle name="Output 43 15 2" xfId="33604"/>
    <cellStyle name="Output 43 16" xfId="26780"/>
    <cellStyle name="Output 43 16 2" xfId="33605"/>
    <cellStyle name="Output 43 17" xfId="26781"/>
    <cellStyle name="Output 43 17 2" xfId="33606"/>
    <cellStyle name="Output 43 18" xfId="26782"/>
    <cellStyle name="Output 43 18 2" xfId="33607"/>
    <cellStyle name="Output 43 19" xfId="26783"/>
    <cellStyle name="Output 43 19 2" xfId="33608"/>
    <cellStyle name="Output 43 2" xfId="26784"/>
    <cellStyle name="Output 43 2 2" xfId="33609"/>
    <cellStyle name="Output 43 20" xfId="33610"/>
    <cellStyle name="Output 43 3" xfId="26785"/>
    <cellStyle name="Output 43 3 2" xfId="33611"/>
    <cellStyle name="Output 43 4" xfId="26786"/>
    <cellStyle name="Output 43 4 2" xfId="33612"/>
    <cellStyle name="Output 43 5" xfId="26787"/>
    <cellStyle name="Output 43 5 2" xfId="33613"/>
    <cellStyle name="Output 43 6" xfId="26788"/>
    <cellStyle name="Output 43 6 2" xfId="33614"/>
    <cellStyle name="Output 43 7" xfId="26789"/>
    <cellStyle name="Output 43 7 2" xfId="33615"/>
    <cellStyle name="Output 43 8" xfId="26790"/>
    <cellStyle name="Output 43 8 2" xfId="33616"/>
    <cellStyle name="Output 43 9" xfId="26791"/>
    <cellStyle name="Output 43 9 2" xfId="33617"/>
    <cellStyle name="Output 44" xfId="6962"/>
    <cellStyle name="Output 44 10" xfId="26792"/>
    <cellStyle name="Output 44 10 2" xfId="33618"/>
    <cellStyle name="Output 44 11" xfId="26793"/>
    <cellStyle name="Output 44 11 2" xfId="33619"/>
    <cellStyle name="Output 44 12" xfId="26794"/>
    <cellStyle name="Output 44 12 2" xfId="33620"/>
    <cellStyle name="Output 44 13" xfId="26795"/>
    <cellStyle name="Output 44 13 2" xfId="33621"/>
    <cellStyle name="Output 44 14" xfId="26796"/>
    <cellStyle name="Output 44 14 2" xfId="33622"/>
    <cellStyle name="Output 44 15" xfId="26797"/>
    <cellStyle name="Output 44 15 2" xfId="33623"/>
    <cellStyle name="Output 44 16" xfId="26798"/>
    <cellStyle name="Output 44 16 2" xfId="33624"/>
    <cellStyle name="Output 44 17" xfId="26799"/>
    <cellStyle name="Output 44 17 2" xfId="33625"/>
    <cellStyle name="Output 44 18" xfId="26800"/>
    <cellStyle name="Output 44 18 2" xfId="33626"/>
    <cellStyle name="Output 44 19" xfId="26801"/>
    <cellStyle name="Output 44 19 2" xfId="33627"/>
    <cellStyle name="Output 44 2" xfId="26802"/>
    <cellStyle name="Output 44 2 2" xfId="33628"/>
    <cellStyle name="Output 44 20" xfId="33629"/>
    <cellStyle name="Output 44 3" xfId="26803"/>
    <cellStyle name="Output 44 3 2" xfId="33630"/>
    <cellStyle name="Output 44 4" xfId="26804"/>
    <cellStyle name="Output 44 4 2" xfId="33631"/>
    <cellStyle name="Output 44 5" xfId="26805"/>
    <cellStyle name="Output 44 5 2" xfId="33632"/>
    <cellStyle name="Output 44 6" xfId="26806"/>
    <cellStyle name="Output 44 6 2" xfId="33633"/>
    <cellStyle name="Output 44 7" xfId="26807"/>
    <cellStyle name="Output 44 7 2" xfId="33634"/>
    <cellStyle name="Output 44 8" xfId="26808"/>
    <cellStyle name="Output 44 8 2" xfId="33635"/>
    <cellStyle name="Output 44 9" xfId="26809"/>
    <cellStyle name="Output 44 9 2" xfId="33636"/>
    <cellStyle name="Output 45" xfId="6963"/>
    <cellStyle name="Output 45 10" xfId="26810"/>
    <cellStyle name="Output 45 10 2" xfId="33637"/>
    <cellStyle name="Output 45 11" xfId="26811"/>
    <cellStyle name="Output 45 11 2" xfId="33638"/>
    <cellStyle name="Output 45 12" xfId="26812"/>
    <cellStyle name="Output 45 12 2" xfId="33639"/>
    <cellStyle name="Output 45 13" xfId="26813"/>
    <cellStyle name="Output 45 13 2" xfId="33640"/>
    <cellStyle name="Output 45 14" xfId="26814"/>
    <cellStyle name="Output 45 14 2" xfId="33641"/>
    <cellStyle name="Output 45 15" xfId="26815"/>
    <cellStyle name="Output 45 15 2" xfId="33642"/>
    <cellStyle name="Output 45 16" xfId="26816"/>
    <cellStyle name="Output 45 16 2" xfId="33643"/>
    <cellStyle name="Output 45 17" xfId="26817"/>
    <cellStyle name="Output 45 17 2" xfId="33644"/>
    <cellStyle name="Output 45 18" xfId="26818"/>
    <cellStyle name="Output 45 18 2" xfId="33645"/>
    <cellStyle name="Output 45 19" xfId="26819"/>
    <cellStyle name="Output 45 19 2" xfId="33646"/>
    <cellStyle name="Output 45 2" xfId="26820"/>
    <cellStyle name="Output 45 2 2" xfId="33647"/>
    <cellStyle name="Output 45 20" xfId="33648"/>
    <cellStyle name="Output 45 3" xfId="26821"/>
    <cellStyle name="Output 45 3 2" xfId="33649"/>
    <cellStyle name="Output 45 4" xfId="26822"/>
    <cellStyle name="Output 45 4 2" xfId="33650"/>
    <cellStyle name="Output 45 5" xfId="26823"/>
    <cellStyle name="Output 45 5 2" xfId="33651"/>
    <cellStyle name="Output 45 6" xfId="26824"/>
    <cellStyle name="Output 45 6 2" xfId="33652"/>
    <cellStyle name="Output 45 7" xfId="26825"/>
    <cellStyle name="Output 45 7 2" xfId="33653"/>
    <cellStyle name="Output 45 8" xfId="26826"/>
    <cellStyle name="Output 45 8 2" xfId="33654"/>
    <cellStyle name="Output 45 9" xfId="26827"/>
    <cellStyle name="Output 45 9 2" xfId="33655"/>
    <cellStyle name="Output 46" xfId="6964"/>
    <cellStyle name="Output 46 10" xfId="26828"/>
    <cellStyle name="Output 46 10 2" xfId="33656"/>
    <cellStyle name="Output 46 11" xfId="26829"/>
    <cellStyle name="Output 46 11 2" xfId="33657"/>
    <cellStyle name="Output 46 12" xfId="26830"/>
    <cellStyle name="Output 46 12 2" xfId="33658"/>
    <cellStyle name="Output 46 13" xfId="26831"/>
    <cellStyle name="Output 46 13 2" xfId="33659"/>
    <cellStyle name="Output 46 14" xfId="26832"/>
    <cellStyle name="Output 46 14 2" xfId="33660"/>
    <cellStyle name="Output 46 15" xfId="26833"/>
    <cellStyle name="Output 46 15 2" xfId="33661"/>
    <cellStyle name="Output 46 16" xfId="26834"/>
    <cellStyle name="Output 46 16 2" xfId="33662"/>
    <cellStyle name="Output 46 17" xfId="26835"/>
    <cellStyle name="Output 46 17 2" xfId="33663"/>
    <cellStyle name="Output 46 18" xfId="26836"/>
    <cellStyle name="Output 46 18 2" xfId="33664"/>
    <cellStyle name="Output 46 19" xfId="26837"/>
    <cellStyle name="Output 46 19 2" xfId="33665"/>
    <cellStyle name="Output 46 2" xfId="26838"/>
    <cellStyle name="Output 46 2 2" xfId="33666"/>
    <cellStyle name="Output 46 20" xfId="33667"/>
    <cellStyle name="Output 46 3" xfId="26839"/>
    <cellStyle name="Output 46 3 2" xfId="33668"/>
    <cellStyle name="Output 46 4" xfId="26840"/>
    <cellStyle name="Output 46 4 2" xfId="33669"/>
    <cellStyle name="Output 46 5" xfId="26841"/>
    <cellStyle name="Output 46 5 2" xfId="33670"/>
    <cellStyle name="Output 46 6" xfId="26842"/>
    <cellStyle name="Output 46 6 2" xfId="33671"/>
    <cellStyle name="Output 46 7" xfId="26843"/>
    <cellStyle name="Output 46 7 2" xfId="33672"/>
    <cellStyle name="Output 46 8" xfId="26844"/>
    <cellStyle name="Output 46 8 2" xfId="33673"/>
    <cellStyle name="Output 46 9" xfId="26845"/>
    <cellStyle name="Output 46 9 2" xfId="33674"/>
    <cellStyle name="Output 47" xfId="6965"/>
    <cellStyle name="Output 47 10" xfId="26846"/>
    <cellStyle name="Output 47 10 2" xfId="33675"/>
    <cellStyle name="Output 47 11" xfId="26847"/>
    <cellStyle name="Output 47 11 2" xfId="33676"/>
    <cellStyle name="Output 47 12" xfId="26848"/>
    <cellStyle name="Output 47 12 2" xfId="33677"/>
    <cellStyle name="Output 47 13" xfId="26849"/>
    <cellStyle name="Output 47 13 2" xfId="33678"/>
    <cellStyle name="Output 47 14" xfId="26850"/>
    <cellStyle name="Output 47 14 2" xfId="33679"/>
    <cellStyle name="Output 47 15" xfId="26851"/>
    <cellStyle name="Output 47 15 2" xfId="33680"/>
    <cellStyle name="Output 47 16" xfId="26852"/>
    <cellStyle name="Output 47 16 2" xfId="33681"/>
    <cellStyle name="Output 47 17" xfId="26853"/>
    <cellStyle name="Output 47 17 2" xfId="33682"/>
    <cellStyle name="Output 47 18" xfId="26854"/>
    <cellStyle name="Output 47 18 2" xfId="33683"/>
    <cellStyle name="Output 47 19" xfId="26855"/>
    <cellStyle name="Output 47 19 2" xfId="33684"/>
    <cellStyle name="Output 47 2" xfId="26856"/>
    <cellStyle name="Output 47 2 2" xfId="33685"/>
    <cellStyle name="Output 47 20" xfId="33686"/>
    <cellStyle name="Output 47 3" xfId="26857"/>
    <cellStyle name="Output 47 3 2" xfId="33687"/>
    <cellStyle name="Output 47 4" xfId="26858"/>
    <cellStyle name="Output 47 4 2" xfId="33688"/>
    <cellStyle name="Output 47 5" xfId="26859"/>
    <cellStyle name="Output 47 5 2" xfId="33689"/>
    <cellStyle name="Output 47 6" xfId="26860"/>
    <cellStyle name="Output 47 6 2" xfId="33690"/>
    <cellStyle name="Output 47 7" xfId="26861"/>
    <cellStyle name="Output 47 7 2" xfId="33691"/>
    <cellStyle name="Output 47 8" xfId="26862"/>
    <cellStyle name="Output 47 8 2" xfId="33692"/>
    <cellStyle name="Output 47 9" xfId="26863"/>
    <cellStyle name="Output 47 9 2" xfId="33693"/>
    <cellStyle name="Output 48" xfId="6966"/>
    <cellStyle name="Output 48 10" xfId="26864"/>
    <cellStyle name="Output 48 10 2" xfId="33694"/>
    <cellStyle name="Output 48 11" xfId="26865"/>
    <cellStyle name="Output 48 11 2" xfId="33695"/>
    <cellStyle name="Output 48 12" xfId="26866"/>
    <cellStyle name="Output 48 12 2" xfId="33696"/>
    <cellStyle name="Output 48 13" xfId="26867"/>
    <cellStyle name="Output 48 13 2" xfId="33697"/>
    <cellStyle name="Output 48 14" xfId="26868"/>
    <cellStyle name="Output 48 14 2" xfId="33698"/>
    <cellStyle name="Output 48 15" xfId="26869"/>
    <cellStyle name="Output 48 15 2" xfId="33699"/>
    <cellStyle name="Output 48 16" xfId="26870"/>
    <cellStyle name="Output 48 16 2" xfId="33700"/>
    <cellStyle name="Output 48 17" xfId="26871"/>
    <cellStyle name="Output 48 17 2" xfId="33701"/>
    <cellStyle name="Output 48 18" xfId="26872"/>
    <cellStyle name="Output 48 18 2" xfId="33702"/>
    <cellStyle name="Output 48 19" xfId="26873"/>
    <cellStyle name="Output 48 19 2" xfId="33703"/>
    <cellStyle name="Output 48 2" xfId="26874"/>
    <cellStyle name="Output 48 2 2" xfId="33704"/>
    <cellStyle name="Output 48 20" xfId="33705"/>
    <cellStyle name="Output 48 3" xfId="26875"/>
    <cellStyle name="Output 48 3 2" xfId="33706"/>
    <cellStyle name="Output 48 4" xfId="26876"/>
    <cellStyle name="Output 48 4 2" xfId="33707"/>
    <cellStyle name="Output 48 5" xfId="26877"/>
    <cellStyle name="Output 48 5 2" xfId="33708"/>
    <cellStyle name="Output 48 6" xfId="26878"/>
    <cellStyle name="Output 48 6 2" xfId="33709"/>
    <cellStyle name="Output 48 7" xfId="26879"/>
    <cellStyle name="Output 48 7 2" xfId="33710"/>
    <cellStyle name="Output 48 8" xfId="26880"/>
    <cellStyle name="Output 48 8 2" xfId="33711"/>
    <cellStyle name="Output 48 9" xfId="26881"/>
    <cellStyle name="Output 48 9 2" xfId="33712"/>
    <cellStyle name="Output 49" xfId="6967"/>
    <cellStyle name="Output 49 10" xfId="26882"/>
    <cellStyle name="Output 49 10 2" xfId="33713"/>
    <cellStyle name="Output 49 11" xfId="26883"/>
    <cellStyle name="Output 49 11 2" xfId="33714"/>
    <cellStyle name="Output 49 12" xfId="26884"/>
    <cellStyle name="Output 49 12 2" xfId="33715"/>
    <cellStyle name="Output 49 13" xfId="26885"/>
    <cellStyle name="Output 49 13 2" xfId="33716"/>
    <cellStyle name="Output 49 14" xfId="26886"/>
    <cellStyle name="Output 49 14 2" xfId="33717"/>
    <cellStyle name="Output 49 15" xfId="26887"/>
    <cellStyle name="Output 49 15 2" xfId="33718"/>
    <cellStyle name="Output 49 16" xfId="26888"/>
    <cellStyle name="Output 49 16 2" xfId="33719"/>
    <cellStyle name="Output 49 17" xfId="26889"/>
    <cellStyle name="Output 49 17 2" xfId="33720"/>
    <cellStyle name="Output 49 18" xfId="26890"/>
    <cellStyle name="Output 49 18 2" xfId="33721"/>
    <cellStyle name="Output 49 19" xfId="26891"/>
    <cellStyle name="Output 49 19 2" xfId="33722"/>
    <cellStyle name="Output 49 2" xfId="26892"/>
    <cellStyle name="Output 49 2 2" xfId="33723"/>
    <cellStyle name="Output 49 20" xfId="33724"/>
    <cellStyle name="Output 49 3" xfId="26893"/>
    <cellStyle name="Output 49 3 2" xfId="33725"/>
    <cellStyle name="Output 49 4" xfId="26894"/>
    <cellStyle name="Output 49 4 2" xfId="33726"/>
    <cellStyle name="Output 49 5" xfId="26895"/>
    <cellStyle name="Output 49 5 2" xfId="33727"/>
    <cellStyle name="Output 49 6" xfId="26896"/>
    <cellStyle name="Output 49 6 2" xfId="33728"/>
    <cellStyle name="Output 49 7" xfId="26897"/>
    <cellStyle name="Output 49 7 2" xfId="33729"/>
    <cellStyle name="Output 49 8" xfId="26898"/>
    <cellStyle name="Output 49 8 2" xfId="33730"/>
    <cellStyle name="Output 49 9" xfId="26899"/>
    <cellStyle name="Output 49 9 2" xfId="33731"/>
    <cellStyle name="Output 5" xfId="6968"/>
    <cellStyle name="Output 5 10" xfId="26900"/>
    <cellStyle name="Output 5 10 2" xfId="33732"/>
    <cellStyle name="Output 5 11" xfId="26901"/>
    <cellStyle name="Output 5 11 2" xfId="33733"/>
    <cellStyle name="Output 5 12" xfId="26902"/>
    <cellStyle name="Output 5 12 2" xfId="33734"/>
    <cellStyle name="Output 5 13" xfId="26903"/>
    <cellStyle name="Output 5 13 2" xfId="33735"/>
    <cellStyle name="Output 5 14" xfId="26904"/>
    <cellStyle name="Output 5 14 2" xfId="33736"/>
    <cellStyle name="Output 5 15" xfId="26905"/>
    <cellStyle name="Output 5 15 2" xfId="33737"/>
    <cellStyle name="Output 5 16" xfId="26906"/>
    <cellStyle name="Output 5 16 2" xfId="33738"/>
    <cellStyle name="Output 5 17" xfId="26907"/>
    <cellStyle name="Output 5 17 2" xfId="33739"/>
    <cellStyle name="Output 5 18" xfId="26908"/>
    <cellStyle name="Output 5 18 2" xfId="33740"/>
    <cellStyle name="Output 5 19" xfId="26909"/>
    <cellStyle name="Output 5 19 2" xfId="33741"/>
    <cellStyle name="Output 5 2" xfId="26910"/>
    <cellStyle name="Output 5 2 2" xfId="33742"/>
    <cellStyle name="Output 5 20" xfId="33743"/>
    <cellStyle name="Output 5 3" xfId="26911"/>
    <cellStyle name="Output 5 3 2" xfId="33744"/>
    <cellStyle name="Output 5 4" xfId="26912"/>
    <cellStyle name="Output 5 4 2" xfId="33745"/>
    <cellStyle name="Output 5 5" xfId="26913"/>
    <cellStyle name="Output 5 5 2" xfId="33746"/>
    <cellStyle name="Output 5 6" xfId="26914"/>
    <cellStyle name="Output 5 6 2" xfId="33747"/>
    <cellStyle name="Output 5 7" xfId="26915"/>
    <cellStyle name="Output 5 7 2" xfId="33748"/>
    <cellStyle name="Output 5 8" xfId="26916"/>
    <cellStyle name="Output 5 8 2" xfId="33749"/>
    <cellStyle name="Output 5 9" xfId="26917"/>
    <cellStyle name="Output 5 9 2" xfId="33750"/>
    <cellStyle name="Output 50" xfId="6969"/>
    <cellStyle name="Output 50 10" xfId="26918"/>
    <cellStyle name="Output 50 10 2" xfId="33751"/>
    <cellStyle name="Output 50 11" xfId="26919"/>
    <cellStyle name="Output 50 11 2" xfId="33752"/>
    <cellStyle name="Output 50 12" xfId="26920"/>
    <cellStyle name="Output 50 12 2" xfId="33753"/>
    <cellStyle name="Output 50 13" xfId="26921"/>
    <cellStyle name="Output 50 13 2" xfId="33754"/>
    <cellStyle name="Output 50 14" xfId="26922"/>
    <cellStyle name="Output 50 14 2" xfId="33755"/>
    <cellStyle name="Output 50 15" xfId="26923"/>
    <cellStyle name="Output 50 15 2" xfId="33756"/>
    <cellStyle name="Output 50 16" xfId="26924"/>
    <cellStyle name="Output 50 16 2" xfId="33757"/>
    <cellStyle name="Output 50 17" xfId="26925"/>
    <cellStyle name="Output 50 17 2" xfId="33758"/>
    <cellStyle name="Output 50 18" xfId="26926"/>
    <cellStyle name="Output 50 18 2" xfId="33759"/>
    <cellStyle name="Output 50 19" xfId="26927"/>
    <cellStyle name="Output 50 19 2" xfId="33760"/>
    <cellStyle name="Output 50 2" xfId="26928"/>
    <cellStyle name="Output 50 2 2" xfId="33761"/>
    <cellStyle name="Output 50 20" xfId="33762"/>
    <cellStyle name="Output 50 3" xfId="26929"/>
    <cellStyle name="Output 50 3 2" xfId="33763"/>
    <cellStyle name="Output 50 4" xfId="26930"/>
    <cellStyle name="Output 50 4 2" xfId="33764"/>
    <cellStyle name="Output 50 5" xfId="26931"/>
    <cellStyle name="Output 50 5 2" xfId="33765"/>
    <cellStyle name="Output 50 6" xfId="26932"/>
    <cellStyle name="Output 50 6 2" xfId="33766"/>
    <cellStyle name="Output 50 7" xfId="26933"/>
    <cellStyle name="Output 50 7 2" xfId="33767"/>
    <cellStyle name="Output 50 8" xfId="26934"/>
    <cellStyle name="Output 50 8 2" xfId="33768"/>
    <cellStyle name="Output 50 9" xfId="26935"/>
    <cellStyle name="Output 50 9 2" xfId="33769"/>
    <cellStyle name="Output 51" xfId="6970"/>
    <cellStyle name="Output 51 10" xfId="26936"/>
    <cellStyle name="Output 51 10 2" xfId="33770"/>
    <cellStyle name="Output 51 11" xfId="26937"/>
    <cellStyle name="Output 51 11 2" xfId="33771"/>
    <cellStyle name="Output 51 12" xfId="26938"/>
    <cellStyle name="Output 51 12 2" xfId="33772"/>
    <cellStyle name="Output 51 13" xfId="26939"/>
    <cellStyle name="Output 51 13 2" xfId="33773"/>
    <cellStyle name="Output 51 14" xfId="26940"/>
    <cellStyle name="Output 51 14 2" xfId="33774"/>
    <cellStyle name="Output 51 15" xfId="26941"/>
    <cellStyle name="Output 51 15 2" xfId="33775"/>
    <cellStyle name="Output 51 16" xfId="26942"/>
    <cellStyle name="Output 51 16 2" xfId="33776"/>
    <cellStyle name="Output 51 17" xfId="26943"/>
    <cellStyle name="Output 51 17 2" xfId="33777"/>
    <cellStyle name="Output 51 18" xfId="26944"/>
    <cellStyle name="Output 51 18 2" xfId="33778"/>
    <cellStyle name="Output 51 19" xfId="26945"/>
    <cellStyle name="Output 51 19 2" xfId="33779"/>
    <cellStyle name="Output 51 2" xfId="26946"/>
    <cellStyle name="Output 51 2 2" xfId="33780"/>
    <cellStyle name="Output 51 20" xfId="33781"/>
    <cellStyle name="Output 51 3" xfId="26947"/>
    <cellStyle name="Output 51 3 2" xfId="33782"/>
    <cellStyle name="Output 51 4" xfId="26948"/>
    <cellStyle name="Output 51 4 2" xfId="33783"/>
    <cellStyle name="Output 51 5" xfId="26949"/>
    <cellStyle name="Output 51 5 2" xfId="33784"/>
    <cellStyle name="Output 51 6" xfId="26950"/>
    <cellStyle name="Output 51 6 2" xfId="33785"/>
    <cellStyle name="Output 51 7" xfId="26951"/>
    <cellStyle name="Output 51 7 2" xfId="33786"/>
    <cellStyle name="Output 51 8" xfId="26952"/>
    <cellStyle name="Output 51 8 2" xfId="33787"/>
    <cellStyle name="Output 51 9" xfId="26953"/>
    <cellStyle name="Output 51 9 2" xfId="33788"/>
    <cellStyle name="Output 52" xfId="6971"/>
    <cellStyle name="Output 52 10" xfId="26954"/>
    <cellStyle name="Output 52 10 2" xfId="33789"/>
    <cellStyle name="Output 52 11" xfId="26955"/>
    <cellStyle name="Output 52 11 2" xfId="33790"/>
    <cellStyle name="Output 52 12" xfId="26956"/>
    <cellStyle name="Output 52 12 2" xfId="33791"/>
    <cellStyle name="Output 52 13" xfId="26957"/>
    <cellStyle name="Output 52 13 2" xfId="33792"/>
    <cellStyle name="Output 52 14" xfId="26958"/>
    <cellStyle name="Output 52 14 2" xfId="33793"/>
    <cellStyle name="Output 52 15" xfId="26959"/>
    <cellStyle name="Output 52 15 2" xfId="33794"/>
    <cellStyle name="Output 52 16" xfId="26960"/>
    <cellStyle name="Output 52 16 2" xfId="33795"/>
    <cellStyle name="Output 52 17" xfId="26961"/>
    <cellStyle name="Output 52 17 2" xfId="33796"/>
    <cellStyle name="Output 52 18" xfId="26962"/>
    <cellStyle name="Output 52 18 2" xfId="33797"/>
    <cellStyle name="Output 52 19" xfId="26963"/>
    <cellStyle name="Output 52 19 2" xfId="33798"/>
    <cellStyle name="Output 52 2" xfId="26964"/>
    <cellStyle name="Output 52 2 2" xfId="33799"/>
    <cellStyle name="Output 52 20" xfId="33800"/>
    <cellStyle name="Output 52 3" xfId="26965"/>
    <cellStyle name="Output 52 3 2" xfId="33801"/>
    <cellStyle name="Output 52 4" xfId="26966"/>
    <cellStyle name="Output 52 4 2" xfId="33802"/>
    <cellStyle name="Output 52 5" xfId="26967"/>
    <cellStyle name="Output 52 5 2" xfId="33803"/>
    <cellStyle name="Output 52 6" xfId="26968"/>
    <cellStyle name="Output 52 6 2" xfId="33804"/>
    <cellStyle name="Output 52 7" xfId="26969"/>
    <cellStyle name="Output 52 7 2" xfId="33805"/>
    <cellStyle name="Output 52 8" xfId="26970"/>
    <cellStyle name="Output 52 8 2" xfId="33806"/>
    <cellStyle name="Output 52 9" xfId="26971"/>
    <cellStyle name="Output 52 9 2" xfId="33807"/>
    <cellStyle name="Output 6" xfId="6972"/>
    <cellStyle name="Output 6 10" xfId="26972"/>
    <cellStyle name="Output 6 10 2" xfId="33808"/>
    <cellStyle name="Output 6 11" xfId="26973"/>
    <cellStyle name="Output 6 11 2" xfId="33809"/>
    <cellStyle name="Output 6 12" xfId="26974"/>
    <cellStyle name="Output 6 12 2" xfId="33810"/>
    <cellStyle name="Output 6 13" xfId="26975"/>
    <cellStyle name="Output 6 13 2" xfId="33811"/>
    <cellStyle name="Output 6 14" xfId="26976"/>
    <cellStyle name="Output 6 14 2" xfId="33812"/>
    <cellStyle name="Output 6 15" xfId="26977"/>
    <cellStyle name="Output 6 15 2" xfId="33813"/>
    <cellStyle name="Output 6 16" xfId="26978"/>
    <cellStyle name="Output 6 16 2" xfId="33814"/>
    <cellStyle name="Output 6 17" xfId="26979"/>
    <cellStyle name="Output 6 17 2" xfId="33815"/>
    <cellStyle name="Output 6 18" xfId="26980"/>
    <cellStyle name="Output 6 18 2" xfId="33816"/>
    <cellStyle name="Output 6 19" xfId="26981"/>
    <cellStyle name="Output 6 19 2" xfId="33817"/>
    <cellStyle name="Output 6 2" xfId="26982"/>
    <cellStyle name="Output 6 2 2" xfId="33818"/>
    <cellStyle name="Output 6 20" xfId="33819"/>
    <cellStyle name="Output 6 3" xfId="26983"/>
    <cellStyle name="Output 6 3 2" xfId="33820"/>
    <cellStyle name="Output 6 4" xfId="26984"/>
    <cellStyle name="Output 6 4 2" xfId="33821"/>
    <cellStyle name="Output 6 5" xfId="26985"/>
    <cellStyle name="Output 6 5 2" xfId="33822"/>
    <cellStyle name="Output 6 6" xfId="26986"/>
    <cellStyle name="Output 6 6 2" xfId="33823"/>
    <cellStyle name="Output 6 7" xfId="26987"/>
    <cellStyle name="Output 6 7 2" xfId="33824"/>
    <cellStyle name="Output 6 8" xfId="26988"/>
    <cellStyle name="Output 6 8 2" xfId="33825"/>
    <cellStyle name="Output 6 9" xfId="26989"/>
    <cellStyle name="Output 6 9 2" xfId="33826"/>
    <cellStyle name="Output 7" xfId="6973"/>
    <cellStyle name="Output 7 10" xfId="26990"/>
    <cellStyle name="Output 7 10 2" xfId="33827"/>
    <cellStyle name="Output 7 11" xfId="26991"/>
    <cellStyle name="Output 7 11 2" xfId="33828"/>
    <cellStyle name="Output 7 12" xfId="26992"/>
    <cellStyle name="Output 7 12 2" xfId="33829"/>
    <cellStyle name="Output 7 13" xfId="26993"/>
    <cellStyle name="Output 7 13 2" xfId="33830"/>
    <cellStyle name="Output 7 14" xfId="26994"/>
    <cellStyle name="Output 7 14 2" xfId="33831"/>
    <cellStyle name="Output 7 15" xfId="26995"/>
    <cellStyle name="Output 7 15 2" xfId="33832"/>
    <cellStyle name="Output 7 16" xfId="26996"/>
    <cellStyle name="Output 7 16 2" xfId="33833"/>
    <cellStyle name="Output 7 17" xfId="26997"/>
    <cellStyle name="Output 7 17 2" xfId="33834"/>
    <cellStyle name="Output 7 18" xfId="26998"/>
    <cellStyle name="Output 7 18 2" xfId="33835"/>
    <cellStyle name="Output 7 19" xfId="26999"/>
    <cellStyle name="Output 7 19 2" xfId="33836"/>
    <cellStyle name="Output 7 2" xfId="27000"/>
    <cellStyle name="Output 7 2 2" xfId="33837"/>
    <cellStyle name="Output 7 20" xfId="33838"/>
    <cellStyle name="Output 7 3" xfId="27001"/>
    <cellStyle name="Output 7 3 2" xfId="33839"/>
    <cellStyle name="Output 7 4" xfId="27002"/>
    <cellStyle name="Output 7 4 2" xfId="33840"/>
    <cellStyle name="Output 7 5" xfId="27003"/>
    <cellStyle name="Output 7 5 2" xfId="33841"/>
    <cellStyle name="Output 7 6" xfId="27004"/>
    <cellStyle name="Output 7 6 2" xfId="33842"/>
    <cellStyle name="Output 7 7" xfId="27005"/>
    <cellStyle name="Output 7 7 2" xfId="33843"/>
    <cellStyle name="Output 7 8" xfId="27006"/>
    <cellStyle name="Output 7 8 2" xfId="33844"/>
    <cellStyle name="Output 7 9" xfId="27007"/>
    <cellStyle name="Output 7 9 2" xfId="33845"/>
    <cellStyle name="Output 8" xfId="6974"/>
    <cellStyle name="Output 8 10" xfId="27008"/>
    <cellStyle name="Output 8 10 2" xfId="33846"/>
    <cellStyle name="Output 8 11" xfId="27009"/>
    <cellStyle name="Output 8 11 2" xfId="33847"/>
    <cellStyle name="Output 8 12" xfId="27010"/>
    <cellStyle name="Output 8 12 2" xfId="33848"/>
    <cellStyle name="Output 8 13" xfId="27011"/>
    <cellStyle name="Output 8 13 2" xfId="33849"/>
    <cellStyle name="Output 8 14" xfId="27012"/>
    <cellStyle name="Output 8 14 2" xfId="33850"/>
    <cellStyle name="Output 8 15" xfId="27013"/>
    <cellStyle name="Output 8 15 2" xfId="33851"/>
    <cellStyle name="Output 8 16" xfId="27014"/>
    <cellStyle name="Output 8 16 2" xfId="33852"/>
    <cellStyle name="Output 8 17" xfId="27015"/>
    <cellStyle name="Output 8 17 2" xfId="33853"/>
    <cellStyle name="Output 8 18" xfId="27016"/>
    <cellStyle name="Output 8 18 2" xfId="33854"/>
    <cellStyle name="Output 8 19" xfId="27017"/>
    <cellStyle name="Output 8 19 2" xfId="33855"/>
    <cellStyle name="Output 8 2" xfId="27018"/>
    <cellStyle name="Output 8 2 2" xfId="33856"/>
    <cellStyle name="Output 8 20" xfId="33857"/>
    <cellStyle name="Output 8 3" xfId="27019"/>
    <cellStyle name="Output 8 3 2" xfId="33858"/>
    <cellStyle name="Output 8 4" xfId="27020"/>
    <cellStyle name="Output 8 4 2" xfId="33859"/>
    <cellStyle name="Output 8 5" xfId="27021"/>
    <cellStyle name="Output 8 5 2" xfId="33860"/>
    <cellStyle name="Output 8 6" xfId="27022"/>
    <cellStyle name="Output 8 6 2" xfId="33861"/>
    <cellStyle name="Output 8 7" xfId="27023"/>
    <cellStyle name="Output 8 7 2" xfId="33862"/>
    <cellStyle name="Output 8 8" xfId="27024"/>
    <cellStyle name="Output 8 8 2" xfId="33863"/>
    <cellStyle name="Output 8 9" xfId="27025"/>
    <cellStyle name="Output 8 9 2" xfId="33864"/>
    <cellStyle name="Output 9" xfId="6975"/>
    <cellStyle name="Output 9 10" xfId="27026"/>
    <cellStyle name="Output 9 10 2" xfId="33865"/>
    <cellStyle name="Output 9 11" xfId="27027"/>
    <cellStyle name="Output 9 11 2" xfId="33866"/>
    <cellStyle name="Output 9 12" xfId="27028"/>
    <cellStyle name="Output 9 12 2" xfId="33867"/>
    <cellStyle name="Output 9 13" xfId="27029"/>
    <cellStyle name="Output 9 13 2" xfId="33868"/>
    <cellStyle name="Output 9 14" xfId="27030"/>
    <cellStyle name="Output 9 14 2" xfId="33869"/>
    <cellStyle name="Output 9 15" xfId="27031"/>
    <cellStyle name="Output 9 15 2" xfId="33870"/>
    <cellStyle name="Output 9 16" xfId="27032"/>
    <cellStyle name="Output 9 16 2" xfId="33871"/>
    <cellStyle name="Output 9 17" xfId="27033"/>
    <cellStyle name="Output 9 17 2" xfId="33872"/>
    <cellStyle name="Output 9 18" xfId="27034"/>
    <cellStyle name="Output 9 18 2" xfId="33873"/>
    <cellStyle name="Output 9 19" xfId="27035"/>
    <cellStyle name="Output 9 19 2" xfId="33874"/>
    <cellStyle name="Output 9 2" xfId="27036"/>
    <cellStyle name="Output 9 2 2" xfId="33875"/>
    <cellStyle name="Output 9 20" xfId="33876"/>
    <cellStyle name="Output 9 3" xfId="27037"/>
    <cellStyle name="Output 9 3 2" xfId="33877"/>
    <cellStyle name="Output 9 4" xfId="27038"/>
    <cellStyle name="Output 9 4 2" xfId="33878"/>
    <cellStyle name="Output 9 5" xfId="27039"/>
    <cellStyle name="Output 9 5 2" xfId="33879"/>
    <cellStyle name="Output 9 6" xfId="27040"/>
    <cellStyle name="Output 9 6 2" xfId="33880"/>
    <cellStyle name="Output 9 7" xfId="27041"/>
    <cellStyle name="Output 9 7 2" xfId="33881"/>
    <cellStyle name="Output 9 8" xfId="27042"/>
    <cellStyle name="Output 9 8 2" xfId="33882"/>
    <cellStyle name="Output 9 9" xfId="27043"/>
    <cellStyle name="Output 9 9 2" xfId="33883"/>
    <cellStyle name="Percent" xfId="8" builtinId="5"/>
    <cellStyle name="Percent 10" xfId="6976"/>
    <cellStyle name="Percent 11" xfId="6977"/>
    <cellStyle name="Percent 12" xfId="6978"/>
    <cellStyle name="Percent 13" xfId="28332"/>
    <cellStyle name="Percent 13 2" xfId="33884"/>
    <cellStyle name="Percent 14" xfId="28336"/>
    <cellStyle name="Percent 15" xfId="28337"/>
    <cellStyle name="Percent 16" xfId="28338"/>
    <cellStyle name="Percent 17" xfId="28342"/>
    <cellStyle name="Percent 2" xfId="6979"/>
    <cellStyle name="Percent 2 10" xfId="27044"/>
    <cellStyle name="Percent 2 11" xfId="27045"/>
    <cellStyle name="Percent 2 12" xfId="27046"/>
    <cellStyle name="Percent 2 13" xfId="27047"/>
    <cellStyle name="Percent 2 14" xfId="27048"/>
    <cellStyle name="Percent 2 15" xfId="27049"/>
    <cellStyle name="Percent 2 16" xfId="27050"/>
    <cellStyle name="Percent 2 17" xfId="27051"/>
    <cellStyle name="Percent 2 18" xfId="27052"/>
    <cellStyle name="Percent 2 19" xfId="27053"/>
    <cellStyle name="Percent 2 2" xfId="6980"/>
    <cellStyle name="Percent 2 2 2" xfId="6981"/>
    <cellStyle name="Percent 2 20" xfId="27054"/>
    <cellStyle name="Percent 2 21" xfId="27055"/>
    <cellStyle name="Percent 2 22" xfId="27056"/>
    <cellStyle name="Percent 2 23" xfId="27057"/>
    <cellStyle name="Percent 2 24" xfId="27058"/>
    <cellStyle name="Percent 2 25" xfId="27059"/>
    <cellStyle name="Percent 2 26" xfId="27060"/>
    <cellStyle name="Percent 2 3" xfId="6982"/>
    <cellStyle name="Percent 2 3 10" xfId="27061"/>
    <cellStyle name="Percent 2 3 11" xfId="27062"/>
    <cellStyle name="Percent 2 3 12" xfId="27063"/>
    <cellStyle name="Percent 2 3 13" xfId="27064"/>
    <cellStyle name="Percent 2 3 14" xfId="27065"/>
    <cellStyle name="Percent 2 3 15" xfId="27066"/>
    <cellStyle name="Percent 2 3 16" xfId="27067"/>
    <cellStyle name="Percent 2 3 17" xfId="27068"/>
    <cellStyle name="Percent 2 3 18" xfId="27069"/>
    <cellStyle name="Percent 2 3 19" xfId="27070"/>
    <cellStyle name="Percent 2 3 2" xfId="6983"/>
    <cellStyle name="Percent 2 3 2 10" xfId="27071"/>
    <cellStyle name="Percent 2 3 2 11" xfId="27072"/>
    <cellStyle name="Percent 2 3 2 12" xfId="27073"/>
    <cellStyle name="Percent 2 3 2 13" xfId="27074"/>
    <cellStyle name="Percent 2 3 2 14" xfId="27075"/>
    <cellStyle name="Percent 2 3 2 15" xfId="27076"/>
    <cellStyle name="Percent 2 3 2 16" xfId="27077"/>
    <cellStyle name="Percent 2 3 2 17" xfId="27078"/>
    <cellStyle name="Percent 2 3 2 18" xfId="27079"/>
    <cellStyle name="Percent 2 3 2 19" xfId="27080"/>
    <cellStyle name="Percent 2 3 2 2" xfId="27081"/>
    <cellStyle name="Percent 2 3 2 20" xfId="27082"/>
    <cellStyle name="Percent 2 3 2 21" xfId="27083"/>
    <cellStyle name="Percent 2 3 2 22" xfId="27084"/>
    <cellStyle name="Percent 2 3 2 23" xfId="27085"/>
    <cellStyle name="Percent 2 3 2 3" xfId="27086"/>
    <cellStyle name="Percent 2 3 2 4" xfId="27087"/>
    <cellStyle name="Percent 2 3 2 5" xfId="27088"/>
    <cellStyle name="Percent 2 3 2 6" xfId="27089"/>
    <cellStyle name="Percent 2 3 2 7" xfId="27090"/>
    <cellStyle name="Percent 2 3 2 8" xfId="27091"/>
    <cellStyle name="Percent 2 3 2 9" xfId="27092"/>
    <cellStyle name="Percent 2 3 20" xfId="27093"/>
    <cellStyle name="Percent 2 3 21" xfId="27094"/>
    <cellStyle name="Percent 2 3 22" xfId="27095"/>
    <cellStyle name="Percent 2 3 23" xfId="27096"/>
    <cellStyle name="Percent 2 3 3" xfId="27097"/>
    <cellStyle name="Percent 2 3 4" xfId="27098"/>
    <cellStyle name="Percent 2 3 5" xfId="27099"/>
    <cellStyle name="Percent 2 3 6" xfId="27100"/>
    <cellStyle name="Percent 2 3 7" xfId="27101"/>
    <cellStyle name="Percent 2 3 8" xfId="27102"/>
    <cellStyle name="Percent 2 3 9" xfId="27103"/>
    <cellStyle name="Percent 2 4" xfId="6984"/>
    <cellStyle name="Percent 2 4 10" xfId="27104"/>
    <cellStyle name="Percent 2 4 11" xfId="27105"/>
    <cellStyle name="Percent 2 4 12" xfId="27106"/>
    <cellStyle name="Percent 2 4 13" xfId="27107"/>
    <cellStyle name="Percent 2 4 14" xfId="27108"/>
    <cellStyle name="Percent 2 4 15" xfId="27109"/>
    <cellStyle name="Percent 2 4 16" xfId="27110"/>
    <cellStyle name="Percent 2 4 17" xfId="27111"/>
    <cellStyle name="Percent 2 4 18" xfId="27112"/>
    <cellStyle name="Percent 2 4 19" xfId="27113"/>
    <cellStyle name="Percent 2 4 2" xfId="27114"/>
    <cellStyle name="Percent 2 4 20" xfId="27115"/>
    <cellStyle name="Percent 2 4 21" xfId="27116"/>
    <cellStyle name="Percent 2 4 22" xfId="27117"/>
    <cellStyle name="Percent 2 4 23" xfId="27118"/>
    <cellStyle name="Percent 2 4 3" xfId="27119"/>
    <cellStyle name="Percent 2 4 4" xfId="27120"/>
    <cellStyle name="Percent 2 4 5" xfId="27121"/>
    <cellStyle name="Percent 2 4 6" xfId="27122"/>
    <cellStyle name="Percent 2 4 7" xfId="27123"/>
    <cellStyle name="Percent 2 4 8" xfId="27124"/>
    <cellStyle name="Percent 2 4 9" xfId="27125"/>
    <cellStyle name="Percent 2 5" xfId="6985"/>
    <cellStyle name="Percent 2 6" xfId="27126"/>
    <cellStyle name="Percent 2 7" xfId="27127"/>
    <cellStyle name="Percent 2 8" xfId="27128"/>
    <cellStyle name="Percent 2 9" xfId="27129"/>
    <cellStyle name="Percent 3" xfId="6986"/>
    <cellStyle name="Percent 3 10" xfId="27130"/>
    <cellStyle name="Percent 3 11" xfId="27131"/>
    <cellStyle name="Percent 3 12" xfId="27132"/>
    <cellStyle name="Percent 3 13" xfId="27133"/>
    <cellStyle name="Percent 3 14" xfId="27134"/>
    <cellStyle name="Percent 3 15" xfId="27135"/>
    <cellStyle name="Percent 3 16" xfId="27136"/>
    <cellStyle name="Percent 3 17" xfId="27137"/>
    <cellStyle name="Percent 3 18" xfId="27138"/>
    <cellStyle name="Percent 3 19" xfId="27139"/>
    <cellStyle name="Percent 3 2" xfId="6987"/>
    <cellStyle name="Percent 3 2 2" xfId="6988"/>
    <cellStyle name="Percent 3 2 3" xfId="6989"/>
    <cellStyle name="Percent 3 20" xfId="27140"/>
    <cellStyle name="Percent 3 21" xfId="27141"/>
    <cellStyle name="Percent 3 22" xfId="27142"/>
    <cellStyle name="Percent 3 23" xfId="27143"/>
    <cellStyle name="Percent 3 24" xfId="27144"/>
    <cellStyle name="Percent 3 25" xfId="27145"/>
    <cellStyle name="Percent 3 26" xfId="27146"/>
    <cellStyle name="Percent 3 27" xfId="27147"/>
    <cellStyle name="Percent 3 28" xfId="27148"/>
    <cellStyle name="Percent 3 29" xfId="27149"/>
    <cellStyle name="Percent 3 3" xfId="6990"/>
    <cellStyle name="Percent 3 30" xfId="27150"/>
    <cellStyle name="Percent 3 4" xfId="6991"/>
    <cellStyle name="Percent 3 5" xfId="6992"/>
    <cellStyle name="Percent 3 6" xfId="6993"/>
    <cellStyle name="Percent 3 7" xfId="6994"/>
    <cellStyle name="Percent 3 8" xfId="6995"/>
    <cellStyle name="Percent 3 9" xfId="6996"/>
    <cellStyle name="Percent 4" xfId="6997"/>
    <cellStyle name="Percent 4 10" xfId="6998"/>
    <cellStyle name="Percent 4 11" xfId="6999"/>
    <cellStyle name="Percent 4 12" xfId="7000"/>
    <cellStyle name="Percent 4 13" xfId="7001"/>
    <cellStyle name="Percent 4 14" xfId="7002"/>
    <cellStyle name="Percent 4 15" xfId="7003"/>
    <cellStyle name="Percent 4 16" xfId="7004"/>
    <cellStyle name="Percent 4 17" xfId="27151"/>
    <cellStyle name="Percent 4 18" xfId="27152"/>
    <cellStyle name="Percent 4 19" xfId="27153"/>
    <cellStyle name="Percent 4 2" xfId="7005"/>
    <cellStyle name="Percent 4 20" xfId="27154"/>
    <cellStyle name="Percent 4 21" xfId="27155"/>
    <cellStyle name="Percent 4 22" xfId="27156"/>
    <cellStyle name="Percent 4 23" xfId="27157"/>
    <cellStyle name="Percent 4 24" xfId="27158"/>
    <cellStyle name="Percent 4 25" xfId="27159"/>
    <cellStyle name="Percent 4 26" xfId="27160"/>
    <cellStyle name="Percent 4 27" xfId="27161"/>
    <cellStyle name="Percent 4 28" xfId="27162"/>
    <cellStyle name="Percent 4 29" xfId="27163"/>
    <cellStyle name="Percent 4 3" xfId="7006"/>
    <cellStyle name="Percent 4 30" xfId="27164"/>
    <cellStyle name="Percent 4 31" xfId="27165"/>
    <cellStyle name="Percent 4 32" xfId="27166"/>
    <cellStyle name="Percent 4 33" xfId="27167"/>
    <cellStyle name="Percent 4 34" xfId="27168"/>
    <cellStyle name="Percent 4 35" xfId="27169"/>
    <cellStyle name="Percent 4 36" xfId="27170"/>
    <cellStyle name="Percent 4 37" xfId="27171"/>
    <cellStyle name="Percent 4 4" xfId="7007"/>
    <cellStyle name="Percent 4 5" xfId="7008"/>
    <cellStyle name="Percent 4 6" xfId="7009"/>
    <cellStyle name="Percent 4 7" xfId="7010"/>
    <cellStyle name="Percent 4 8" xfId="7011"/>
    <cellStyle name="Percent 4 9" xfId="7012"/>
    <cellStyle name="Percent 5" xfId="7013"/>
    <cellStyle name="Percent 5 10" xfId="27172"/>
    <cellStyle name="Percent 5 11" xfId="27173"/>
    <cellStyle name="Percent 5 12" xfId="27174"/>
    <cellStyle name="Percent 5 13" xfId="27175"/>
    <cellStyle name="Percent 5 14" xfId="27176"/>
    <cellStyle name="Percent 5 15" xfId="27177"/>
    <cellStyle name="Percent 5 16" xfId="27178"/>
    <cellStyle name="Percent 5 17" xfId="27179"/>
    <cellStyle name="Percent 5 18" xfId="27180"/>
    <cellStyle name="Percent 5 19" xfId="27181"/>
    <cellStyle name="Percent 5 2" xfId="7014"/>
    <cellStyle name="Percent 5 2 2" xfId="7015"/>
    <cellStyle name="Percent 5 2 2 10" xfId="27182"/>
    <cellStyle name="Percent 5 2 2 11" xfId="27183"/>
    <cellStyle name="Percent 5 2 2 12" xfId="27184"/>
    <cellStyle name="Percent 5 2 2 13" xfId="27185"/>
    <cellStyle name="Percent 5 2 2 14" xfId="27186"/>
    <cellStyle name="Percent 5 2 2 15" xfId="27187"/>
    <cellStyle name="Percent 5 2 2 16" xfId="27188"/>
    <cellStyle name="Percent 5 2 2 17" xfId="27189"/>
    <cellStyle name="Percent 5 2 2 18" xfId="27190"/>
    <cellStyle name="Percent 5 2 2 19" xfId="27191"/>
    <cellStyle name="Percent 5 2 2 2" xfId="7016"/>
    <cellStyle name="Percent 5 2 2 2 10" xfId="27192"/>
    <cellStyle name="Percent 5 2 2 2 11" xfId="27193"/>
    <cellStyle name="Percent 5 2 2 2 12" xfId="27194"/>
    <cellStyle name="Percent 5 2 2 2 13" xfId="27195"/>
    <cellStyle name="Percent 5 2 2 2 14" xfId="27196"/>
    <cellStyle name="Percent 5 2 2 2 15" xfId="27197"/>
    <cellStyle name="Percent 5 2 2 2 16" xfId="27198"/>
    <cellStyle name="Percent 5 2 2 2 17" xfId="27199"/>
    <cellStyle name="Percent 5 2 2 2 18" xfId="27200"/>
    <cellStyle name="Percent 5 2 2 2 19" xfId="27201"/>
    <cellStyle name="Percent 5 2 2 2 2" xfId="27202"/>
    <cellStyle name="Percent 5 2 2 2 20" xfId="27203"/>
    <cellStyle name="Percent 5 2 2 2 21" xfId="27204"/>
    <cellStyle name="Percent 5 2 2 2 22" xfId="27205"/>
    <cellStyle name="Percent 5 2 2 2 23" xfId="27206"/>
    <cellStyle name="Percent 5 2 2 2 3" xfId="27207"/>
    <cellStyle name="Percent 5 2 2 2 4" xfId="27208"/>
    <cellStyle name="Percent 5 2 2 2 5" xfId="27209"/>
    <cellStyle name="Percent 5 2 2 2 6" xfId="27210"/>
    <cellStyle name="Percent 5 2 2 2 7" xfId="27211"/>
    <cellStyle name="Percent 5 2 2 2 8" xfId="27212"/>
    <cellStyle name="Percent 5 2 2 2 9" xfId="27213"/>
    <cellStyle name="Percent 5 2 2 20" xfId="27214"/>
    <cellStyle name="Percent 5 2 2 21" xfId="27215"/>
    <cellStyle name="Percent 5 2 2 22" xfId="27216"/>
    <cellStyle name="Percent 5 2 2 23" xfId="27217"/>
    <cellStyle name="Percent 5 2 2 24" xfId="27218"/>
    <cellStyle name="Percent 5 2 2 25" xfId="27219"/>
    <cellStyle name="Percent 5 2 2 26" xfId="27220"/>
    <cellStyle name="Percent 5 2 2 27" xfId="27221"/>
    <cellStyle name="Percent 5 2 2 28" xfId="27222"/>
    <cellStyle name="Percent 5 2 2 3" xfId="7017"/>
    <cellStyle name="Percent 5 2 2 4" xfId="7018"/>
    <cellStyle name="Percent 5 2 2 5" xfId="7019"/>
    <cellStyle name="Percent 5 2 2 6" xfId="7020"/>
    <cellStyle name="Percent 5 2 2 7" xfId="7021"/>
    <cellStyle name="Percent 5 2 2 8" xfId="27223"/>
    <cellStyle name="Percent 5 2 2 9" xfId="27224"/>
    <cellStyle name="Percent 5 2 3" xfId="7022"/>
    <cellStyle name="Percent 5 2 3 2" xfId="7023"/>
    <cellStyle name="Percent 5 2 4" xfId="7024"/>
    <cellStyle name="Percent 5 2 5" xfId="7025"/>
    <cellStyle name="Percent 5 2 6" xfId="7026"/>
    <cellStyle name="Percent 5 2 7" xfId="7027"/>
    <cellStyle name="Percent 5 2 8" xfId="7028"/>
    <cellStyle name="Percent 5 20" xfId="27225"/>
    <cellStyle name="Percent 5 21" xfId="27226"/>
    <cellStyle name="Percent 5 22" xfId="27227"/>
    <cellStyle name="Percent 5 23" xfId="27228"/>
    <cellStyle name="Percent 5 24" xfId="27229"/>
    <cellStyle name="Percent 5 25" xfId="27230"/>
    <cellStyle name="Percent 5 26" xfId="27231"/>
    <cellStyle name="Percent 5 27" xfId="27232"/>
    <cellStyle name="Percent 5 28" xfId="27233"/>
    <cellStyle name="Percent 5 29" xfId="27234"/>
    <cellStyle name="Percent 5 3" xfId="7029"/>
    <cellStyle name="Percent 5 3 2" xfId="7030"/>
    <cellStyle name="Percent 5 4" xfId="7031"/>
    <cellStyle name="Percent 5 4 10" xfId="27235"/>
    <cellStyle name="Percent 5 4 11" xfId="27236"/>
    <cellStyle name="Percent 5 4 12" xfId="27237"/>
    <cellStyle name="Percent 5 4 13" xfId="27238"/>
    <cellStyle name="Percent 5 4 14" xfId="27239"/>
    <cellStyle name="Percent 5 4 15" xfId="27240"/>
    <cellStyle name="Percent 5 4 16" xfId="27241"/>
    <cellStyle name="Percent 5 4 17" xfId="27242"/>
    <cellStyle name="Percent 5 4 18" xfId="27243"/>
    <cellStyle name="Percent 5 4 19" xfId="27244"/>
    <cellStyle name="Percent 5 4 2" xfId="27245"/>
    <cellStyle name="Percent 5 4 20" xfId="27246"/>
    <cellStyle name="Percent 5 4 21" xfId="27247"/>
    <cellStyle name="Percent 5 4 22" xfId="27248"/>
    <cellStyle name="Percent 5 4 23" xfId="27249"/>
    <cellStyle name="Percent 5 4 3" xfId="27250"/>
    <cellStyle name="Percent 5 4 4" xfId="27251"/>
    <cellStyle name="Percent 5 4 5" xfId="27252"/>
    <cellStyle name="Percent 5 4 6" xfId="27253"/>
    <cellStyle name="Percent 5 4 7" xfId="27254"/>
    <cellStyle name="Percent 5 4 8" xfId="27255"/>
    <cellStyle name="Percent 5 4 9" xfId="27256"/>
    <cellStyle name="Percent 5 5" xfId="7032"/>
    <cellStyle name="Percent 5 6" xfId="7033"/>
    <cellStyle name="Percent 5 7" xfId="7034"/>
    <cellStyle name="Percent 5 8" xfId="7035"/>
    <cellStyle name="Percent 5 9" xfId="27257"/>
    <cellStyle name="Percent 6" xfId="7036"/>
    <cellStyle name="Percent 6 10" xfId="27258"/>
    <cellStyle name="Percent 6 11" xfId="27259"/>
    <cellStyle name="Percent 6 12" xfId="27260"/>
    <cellStyle name="Percent 6 13" xfId="27261"/>
    <cellStyle name="Percent 6 14" xfId="27262"/>
    <cellStyle name="Percent 6 15" xfId="27263"/>
    <cellStyle name="Percent 6 16" xfId="27264"/>
    <cellStyle name="Percent 6 17" xfId="27265"/>
    <cellStyle name="Percent 6 18" xfId="27266"/>
    <cellStyle name="Percent 6 19" xfId="27267"/>
    <cellStyle name="Percent 6 2" xfId="7037"/>
    <cellStyle name="Percent 6 20" xfId="27268"/>
    <cellStyle name="Percent 6 21" xfId="27269"/>
    <cellStyle name="Percent 6 22" xfId="27270"/>
    <cellStyle name="Percent 6 23" xfId="27271"/>
    <cellStyle name="Percent 6 3" xfId="27272"/>
    <cellStyle name="Percent 6 4" xfId="27273"/>
    <cellStyle name="Percent 6 5" xfId="27274"/>
    <cellStyle name="Percent 6 6" xfId="27275"/>
    <cellStyle name="Percent 6 7" xfId="27276"/>
    <cellStyle name="Percent 6 8" xfId="27277"/>
    <cellStyle name="Percent 6 9" xfId="27278"/>
    <cellStyle name="Percent 7" xfId="7038"/>
    <cellStyle name="Percent 8" xfId="7039"/>
    <cellStyle name="Percent 8 10" xfId="27279"/>
    <cellStyle name="Percent 8 11" xfId="27280"/>
    <cellStyle name="Percent 8 12" xfId="27281"/>
    <cellStyle name="Percent 8 13" xfId="27282"/>
    <cellStyle name="Percent 8 14" xfId="27283"/>
    <cellStyle name="Percent 8 15" xfId="27284"/>
    <cellStyle name="Percent 8 16" xfId="27285"/>
    <cellStyle name="Percent 8 17" xfId="27286"/>
    <cellStyle name="Percent 8 18" xfId="27287"/>
    <cellStyle name="Percent 8 19" xfId="27288"/>
    <cellStyle name="Percent 8 2" xfId="27289"/>
    <cellStyle name="Percent 8 20" xfId="27290"/>
    <cellStyle name="Percent 8 21" xfId="27291"/>
    <cellStyle name="Percent 8 22" xfId="27292"/>
    <cellStyle name="Percent 8 23" xfId="27293"/>
    <cellStyle name="Percent 8 3" xfId="27294"/>
    <cellStyle name="Percent 8 4" xfId="27295"/>
    <cellStyle name="Percent 8 5" xfId="27296"/>
    <cellStyle name="Percent 8 6" xfId="27297"/>
    <cellStyle name="Percent 8 7" xfId="27298"/>
    <cellStyle name="Percent 8 8" xfId="27299"/>
    <cellStyle name="Percent 8 9" xfId="27300"/>
    <cellStyle name="Percent 9" xfId="7040"/>
    <cellStyle name="t" xfId="7041"/>
    <cellStyle name="TableStyleLight1" xfId="7042"/>
    <cellStyle name="Title 10" xfId="7043"/>
    <cellStyle name="Title 11" xfId="7044"/>
    <cellStyle name="Title 12" xfId="7045"/>
    <cellStyle name="Title 13" xfId="7046"/>
    <cellStyle name="Title 14" xfId="7047"/>
    <cellStyle name="Title 15" xfId="7048"/>
    <cellStyle name="Title 16" xfId="7049"/>
    <cellStyle name="Title 17" xfId="7050"/>
    <cellStyle name="Title 18" xfId="7051"/>
    <cellStyle name="Title 19" xfId="7052"/>
    <cellStyle name="Title 2" xfId="7053"/>
    <cellStyle name="Title 2 2" xfId="7054"/>
    <cellStyle name="Title 2 3" xfId="7055"/>
    <cellStyle name="Title 2 4" xfId="7056"/>
    <cellStyle name="Title 2 5" xfId="7057"/>
    <cellStyle name="Title 2 6" xfId="7058"/>
    <cellStyle name="Title 20" xfId="7059"/>
    <cellStyle name="Title 21" xfId="7060"/>
    <cellStyle name="Title 22" xfId="7061"/>
    <cellStyle name="Title 23" xfId="7062"/>
    <cellStyle name="Title 24" xfId="7063"/>
    <cellStyle name="Title 25" xfId="7064"/>
    <cellStyle name="Title 26" xfId="7065"/>
    <cellStyle name="Title 27" xfId="7066"/>
    <cellStyle name="Title 28" xfId="7067"/>
    <cellStyle name="Title 29" xfId="7068"/>
    <cellStyle name="Title 3" xfId="7069"/>
    <cellStyle name="Title 30" xfId="7070"/>
    <cellStyle name="Title 31" xfId="7071"/>
    <cellStyle name="Title 32" xfId="7072"/>
    <cellStyle name="Title 33" xfId="7073"/>
    <cellStyle name="Title 34" xfId="7074"/>
    <cellStyle name="Title 35" xfId="7075"/>
    <cellStyle name="Title 36" xfId="7076"/>
    <cellStyle name="Title 37" xfId="7077"/>
    <cellStyle name="Title 38" xfId="7078"/>
    <cellStyle name="Title 39" xfId="7079"/>
    <cellStyle name="Title 4" xfId="7080"/>
    <cellStyle name="Title 40" xfId="7081"/>
    <cellStyle name="Title 41" xfId="7082"/>
    <cellStyle name="Title 42" xfId="7083"/>
    <cellStyle name="Title 43" xfId="7084"/>
    <cellStyle name="Title 44" xfId="7085"/>
    <cellStyle name="Title 45" xfId="7086"/>
    <cellStyle name="Title 46" xfId="7087"/>
    <cellStyle name="Title 47" xfId="7088"/>
    <cellStyle name="Title 48" xfId="7089"/>
    <cellStyle name="Title 49" xfId="7090"/>
    <cellStyle name="Title 5" xfId="7091"/>
    <cellStyle name="Title 50" xfId="7092"/>
    <cellStyle name="Title 51" xfId="7093"/>
    <cellStyle name="Title 52" xfId="7094"/>
    <cellStyle name="Title 6" xfId="7095"/>
    <cellStyle name="Title 7" xfId="7096"/>
    <cellStyle name="Title 8" xfId="7097"/>
    <cellStyle name="Title 9" xfId="7098"/>
    <cellStyle name="todAY" xfId="7099"/>
    <cellStyle name="todAY 10" xfId="27301"/>
    <cellStyle name="todAY 10 2" xfId="33885"/>
    <cellStyle name="todAY 11" xfId="27302"/>
    <cellStyle name="todAY 11 2" xfId="33886"/>
    <cellStyle name="todAY 12" xfId="27303"/>
    <cellStyle name="todAY 12 2" xfId="33887"/>
    <cellStyle name="todAY 13" xfId="27304"/>
    <cellStyle name="todAY 13 2" xfId="33888"/>
    <cellStyle name="todAY 14" xfId="27305"/>
    <cellStyle name="todAY 14 2" xfId="33889"/>
    <cellStyle name="todAY 15" xfId="27306"/>
    <cellStyle name="todAY 15 2" xfId="33890"/>
    <cellStyle name="todAY 16" xfId="27307"/>
    <cellStyle name="todAY 16 2" xfId="33891"/>
    <cellStyle name="todAY 17" xfId="27308"/>
    <cellStyle name="todAY 17 2" xfId="33892"/>
    <cellStyle name="todAY 18" xfId="27309"/>
    <cellStyle name="todAY 18 2" xfId="33893"/>
    <cellStyle name="todAY 19" xfId="27310"/>
    <cellStyle name="todAY 19 2" xfId="33894"/>
    <cellStyle name="todAY 2" xfId="27311"/>
    <cellStyle name="todAY 2 2" xfId="33895"/>
    <cellStyle name="todAY 20" xfId="33896"/>
    <cellStyle name="todAY 3" xfId="27312"/>
    <cellStyle name="todAY 3 2" xfId="33897"/>
    <cellStyle name="todAY 4" xfId="27313"/>
    <cellStyle name="todAY 4 2" xfId="33898"/>
    <cellStyle name="todAY 5" xfId="27314"/>
    <cellStyle name="todAY 5 2" xfId="33899"/>
    <cellStyle name="todAY 6" xfId="27315"/>
    <cellStyle name="todAY 6 2" xfId="33900"/>
    <cellStyle name="todAY 7" xfId="27316"/>
    <cellStyle name="todAY 7 2" xfId="33901"/>
    <cellStyle name="todAY 8" xfId="27317"/>
    <cellStyle name="todAY 8 2" xfId="33902"/>
    <cellStyle name="todAY 9" xfId="27318"/>
    <cellStyle name="todAY 9 2" xfId="33903"/>
    <cellStyle name="Total 10" xfId="7100"/>
    <cellStyle name="Total 10 10" xfId="27319"/>
    <cellStyle name="Total 10 10 2" xfId="33904"/>
    <cellStyle name="Total 10 11" xfId="27320"/>
    <cellStyle name="Total 10 11 2" xfId="33905"/>
    <cellStyle name="Total 10 12" xfId="27321"/>
    <cellStyle name="Total 10 12 2" xfId="33906"/>
    <cellStyle name="Total 10 13" xfId="27322"/>
    <cellStyle name="Total 10 13 2" xfId="33907"/>
    <cellStyle name="Total 10 14" xfId="27323"/>
    <cellStyle name="Total 10 14 2" xfId="33908"/>
    <cellStyle name="Total 10 15" xfId="27324"/>
    <cellStyle name="Total 10 15 2" xfId="33909"/>
    <cellStyle name="Total 10 16" xfId="27325"/>
    <cellStyle name="Total 10 16 2" xfId="33910"/>
    <cellStyle name="Total 10 17" xfId="27326"/>
    <cellStyle name="Total 10 17 2" xfId="33911"/>
    <cellStyle name="Total 10 18" xfId="27327"/>
    <cellStyle name="Total 10 18 2" xfId="33912"/>
    <cellStyle name="Total 10 19" xfId="27328"/>
    <cellStyle name="Total 10 19 2" xfId="33913"/>
    <cellStyle name="Total 10 2" xfId="27329"/>
    <cellStyle name="Total 10 2 2" xfId="33914"/>
    <cellStyle name="Total 10 20" xfId="33915"/>
    <cellStyle name="Total 10 3" xfId="27330"/>
    <cellStyle name="Total 10 3 2" xfId="33916"/>
    <cellStyle name="Total 10 4" xfId="27331"/>
    <cellStyle name="Total 10 4 2" xfId="33917"/>
    <cellStyle name="Total 10 5" xfId="27332"/>
    <cellStyle name="Total 10 5 2" xfId="33918"/>
    <cellStyle name="Total 10 6" xfId="27333"/>
    <cellStyle name="Total 10 6 2" xfId="33919"/>
    <cellStyle name="Total 10 7" xfId="27334"/>
    <cellStyle name="Total 10 7 2" xfId="33920"/>
    <cellStyle name="Total 10 8" xfId="27335"/>
    <cellStyle name="Total 10 8 2" xfId="33921"/>
    <cellStyle name="Total 10 9" xfId="27336"/>
    <cellStyle name="Total 10 9 2" xfId="33922"/>
    <cellStyle name="Total 11" xfId="7101"/>
    <cellStyle name="Total 11 10" xfId="27337"/>
    <cellStyle name="Total 11 10 2" xfId="33923"/>
    <cellStyle name="Total 11 11" xfId="27338"/>
    <cellStyle name="Total 11 11 2" xfId="33924"/>
    <cellStyle name="Total 11 12" xfId="27339"/>
    <cellStyle name="Total 11 12 2" xfId="33925"/>
    <cellStyle name="Total 11 13" xfId="27340"/>
    <cellStyle name="Total 11 13 2" xfId="33926"/>
    <cellStyle name="Total 11 14" xfId="27341"/>
    <cellStyle name="Total 11 14 2" xfId="33927"/>
    <cellStyle name="Total 11 15" xfId="27342"/>
    <cellStyle name="Total 11 15 2" xfId="33928"/>
    <cellStyle name="Total 11 16" xfId="27343"/>
    <cellStyle name="Total 11 16 2" xfId="33929"/>
    <cellStyle name="Total 11 17" xfId="27344"/>
    <cellStyle name="Total 11 17 2" xfId="33930"/>
    <cellStyle name="Total 11 18" xfId="27345"/>
    <cellStyle name="Total 11 18 2" xfId="33931"/>
    <cellStyle name="Total 11 19" xfId="27346"/>
    <cellStyle name="Total 11 19 2" xfId="33932"/>
    <cellStyle name="Total 11 2" xfId="27347"/>
    <cellStyle name="Total 11 2 2" xfId="33933"/>
    <cellStyle name="Total 11 20" xfId="33934"/>
    <cellStyle name="Total 11 3" xfId="27348"/>
    <cellStyle name="Total 11 3 2" xfId="33935"/>
    <cellStyle name="Total 11 4" xfId="27349"/>
    <cellStyle name="Total 11 4 2" xfId="33936"/>
    <cellStyle name="Total 11 5" xfId="27350"/>
    <cellStyle name="Total 11 5 2" xfId="33937"/>
    <cellStyle name="Total 11 6" xfId="27351"/>
    <cellStyle name="Total 11 6 2" xfId="33938"/>
    <cellStyle name="Total 11 7" xfId="27352"/>
    <cellStyle name="Total 11 7 2" xfId="33939"/>
    <cellStyle name="Total 11 8" xfId="27353"/>
    <cellStyle name="Total 11 8 2" xfId="33940"/>
    <cellStyle name="Total 11 9" xfId="27354"/>
    <cellStyle name="Total 11 9 2" xfId="33941"/>
    <cellStyle name="Total 12" xfId="7102"/>
    <cellStyle name="Total 12 10" xfId="27355"/>
    <cellStyle name="Total 12 10 2" xfId="33942"/>
    <cellStyle name="Total 12 11" xfId="27356"/>
    <cellStyle name="Total 12 11 2" xfId="33943"/>
    <cellStyle name="Total 12 12" xfId="27357"/>
    <cellStyle name="Total 12 12 2" xfId="33944"/>
    <cellStyle name="Total 12 13" xfId="27358"/>
    <cellStyle name="Total 12 13 2" xfId="33945"/>
    <cellStyle name="Total 12 14" xfId="27359"/>
    <cellStyle name="Total 12 14 2" xfId="33946"/>
    <cellStyle name="Total 12 15" xfId="27360"/>
    <cellStyle name="Total 12 15 2" xfId="33947"/>
    <cellStyle name="Total 12 16" xfId="27361"/>
    <cellStyle name="Total 12 16 2" xfId="33948"/>
    <cellStyle name="Total 12 17" xfId="27362"/>
    <cellStyle name="Total 12 17 2" xfId="33949"/>
    <cellStyle name="Total 12 18" xfId="27363"/>
    <cellStyle name="Total 12 18 2" xfId="33950"/>
    <cellStyle name="Total 12 19" xfId="27364"/>
    <cellStyle name="Total 12 19 2" xfId="33951"/>
    <cellStyle name="Total 12 2" xfId="27365"/>
    <cellStyle name="Total 12 2 2" xfId="33952"/>
    <cellStyle name="Total 12 20" xfId="33953"/>
    <cellStyle name="Total 12 3" xfId="27366"/>
    <cellStyle name="Total 12 3 2" xfId="33954"/>
    <cellStyle name="Total 12 4" xfId="27367"/>
    <cellStyle name="Total 12 4 2" xfId="33955"/>
    <cellStyle name="Total 12 5" xfId="27368"/>
    <cellStyle name="Total 12 5 2" xfId="33956"/>
    <cellStyle name="Total 12 6" xfId="27369"/>
    <cellStyle name="Total 12 6 2" xfId="33957"/>
    <cellStyle name="Total 12 7" xfId="27370"/>
    <cellStyle name="Total 12 7 2" xfId="33958"/>
    <cellStyle name="Total 12 8" xfId="27371"/>
    <cellStyle name="Total 12 8 2" xfId="33959"/>
    <cellStyle name="Total 12 9" xfId="27372"/>
    <cellStyle name="Total 12 9 2" xfId="33960"/>
    <cellStyle name="Total 13" xfId="7103"/>
    <cellStyle name="Total 13 10" xfId="27373"/>
    <cellStyle name="Total 13 10 2" xfId="33961"/>
    <cellStyle name="Total 13 11" xfId="27374"/>
    <cellStyle name="Total 13 11 2" xfId="33962"/>
    <cellStyle name="Total 13 12" xfId="27375"/>
    <cellStyle name="Total 13 12 2" xfId="33963"/>
    <cellStyle name="Total 13 13" xfId="27376"/>
    <cellStyle name="Total 13 13 2" xfId="33964"/>
    <cellStyle name="Total 13 14" xfId="27377"/>
    <cellStyle name="Total 13 14 2" xfId="33965"/>
    <cellStyle name="Total 13 15" xfId="27378"/>
    <cellStyle name="Total 13 15 2" xfId="33966"/>
    <cellStyle name="Total 13 16" xfId="27379"/>
    <cellStyle name="Total 13 16 2" xfId="33967"/>
    <cellStyle name="Total 13 17" xfId="27380"/>
    <cellStyle name="Total 13 17 2" xfId="33968"/>
    <cellStyle name="Total 13 18" xfId="27381"/>
    <cellStyle name="Total 13 18 2" xfId="33969"/>
    <cellStyle name="Total 13 19" xfId="27382"/>
    <cellStyle name="Total 13 19 2" xfId="33970"/>
    <cellStyle name="Total 13 2" xfId="27383"/>
    <cellStyle name="Total 13 2 2" xfId="33971"/>
    <cellStyle name="Total 13 20" xfId="33972"/>
    <cellStyle name="Total 13 3" xfId="27384"/>
    <cellStyle name="Total 13 3 2" xfId="33973"/>
    <cellStyle name="Total 13 4" xfId="27385"/>
    <cellStyle name="Total 13 4 2" xfId="33974"/>
    <cellStyle name="Total 13 5" xfId="27386"/>
    <cellStyle name="Total 13 5 2" xfId="33975"/>
    <cellStyle name="Total 13 6" xfId="27387"/>
    <cellStyle name="Total 13 6 2" xfId="33976"/>
    <cellStyle name="Total 13 7" xfId="27388"/>
    <cellStyle name="Total 13 7 2" xfId="33977"/>
    <cellStyle name="Total 13 8" xfId="27389"/>
    <cellStyle name="Total 13 8 2" xfId="33978"/>
    <cellStyle name="Total 13 9" xfId="27390"/>
    <cellStyle name="Total 13 9 2" xfId="33979"/>
    <cellStyle name="Total 14" xfId="7104"/>
    <cellStyle name="Total 14 10" xfId="27391"/>
    <cellStyle name="Total 14 10 2" xfId="33980"/>
    <cellStyle name="Total 14 11" xfId="27392"/>
    <cellStyle name="Total 14 11 2" xfId="33981"/>
    <cellStyle name="Total 14 12" xfId="27393"/>
    <cellStyle name="Total 14 12 2" xfId="33982"/>
    <cellStyle name="Total 14 13" xfId="27394"/>
    <cellStyle name="Total 14 13 2" xfId="33983"/>
    <cellStyle name="Total 14 14" xfId="27395"/>
    <cellStyle name="Total 14 14 2" xfId="33984"/>
    <cellStyle name="Total 14 15" xfId="27396"/>
    <cellStyle name="Total 14 15 2" xfId="33985"/>
    <cellStyle name="Total 14 16" xfId="27397"/>
    <cellStyle name="Total 14 16 2" xfId="33986"/>
    <cellStyle name="Total 14 17" xfId="27398"/>
    <cellStyle name="Total 14 17 2" xfId="33987"/>
    <cellStyle name="Total 14 18" xfId="27399"/>
    <cellStyle name="Total 14 18 2" xfId="33988"/>
    <cellStyle name="Total 14 19" xfId="27400"/>
    <cellStyle name="Total 14 19 2" xfId="33989"/>
    <cellStyle name="Total 14 2" xfId="27401"/>
    <cellStyle name="Total 14 2 2" xfId="33990"/>
    <cellStyle name="Total 14 20" xfId="33991"/>
    <cellStyle name="Total 14 3" xfId="27402"/>
    <cellStyle name="Total 14 3 2" xfId="33992"/>
    <cellStyle name="Total 14 4" xfId="27403"/>
    <cellStyle name="Total 14 4 2" xfId="33993"/>
    <cellStyle name="Total 14 5" xfId="27404"/>
    <cellStyle name="Total 14 5 2" xfId="33994"/>
    <cellStyle name="Total 14 6" xfId="27405"/>
    <cellStyle name="Total 14 6 2" xfId="33995"/>
    <cellStyle name="Total 14 7" xfId="27406"/>
    <cellStyle name="Total 14 7 2" xfId="33996"/>
    <cellStyle name="Total 14 8" xfId="27407"/>
    <cellStyle name="Total 14 8 2" xfId="33997"/>
    <cellStyle name="Total 14 9" xfId="27408"/>
    <cellStyle name="Total 14 9 2" xfId="33998"/>
    <cellStyle name="Total 15" xfId="7105"/>
    <cellStyle name="Total 15 10" xfId="27409"/>
    <cellStyle name="Total 15 10 2" xfId="33999"/>
    <cellStyle name="Total 15 11" xfId="27410"/>
    <cellStyle name="Total 15 11 2" xfId="34000"/>
    <cellStyle name="Total 15 12" xfId="27411"/>
    <cellStyle name="Total 15 12 2" xfId="34001"/>
    <cellStyle name="Total 15 13" xfId="27412"/>
    <cellStyle name="Total 15 13 2" xfId="34002"/>
    <cellStyle name="Total 15 14" xfId="27413"/>
    <cellStyle name="Total 15 14 2" xfId="34003"/>
    <cellStyle name="Total 15 15" xfId="27414"/>
    <cellStyle name="Total 15 15 2" xfId="34004"/>
    <cellStyle name="Total 15 16" xfId="27415"/>
    <cellStyle name="Total 15 16 2" xfId="34005"/>
    <cellStyle name="Total 15 17" xfId="27416"/>
    <cellStyle name="Total 15 17 2" xfId="34006"/>
    <cellStyle name="Total 15 18" xfId="27417"/>
    <cellStyle name="Total 15 18 2" xfId="34007"/>
    <cellStyle name="Total 15 19" xfId="27418"/>
    <cellStyle name="Total 15 19 2" xfId="34008"/>
    <cellStyle name="Total 15 2" xfId="27419"/>
    <cellStyle name="Total 15 2 2" xfId="34009"/>
    <cellStyle name="Total 15 20" xfId="34010"/>
    <cellStyle name="Total 15 3" xfId="27420"/>
    <cellStyle name="Total 15 3 2" xfId="34011"/>
    <cellStyle name="Total 15 4" xfId="27421"/>
    <cellStyle name="Total 15 4 2" xfId="34012"/>
    <cellStyle name="Total 15 5" xfId="27422"/>
    <cellStyle name="Total 15 5 2" xfId="34013"/>
    <cellStyle name="Total 15 6" xfId="27423"/>
    <cellStyle name="Total 15 6 2" xfId="34014"/>
    <cellStyle name="Total 15 7" xfId="27424"/>
    <cellStyle name="Total 15 7 2" xfId="34015"/>
    <cellStyle name="Total 15 8" xfId="27425"/>
    <cellStyle name="Total 15 8 2" xfId="34016"/>
    <cellStyle name="Total 15 9" xfId="27426"/>
    <cellStyle name="Total 15 9 2" xfId="34017"/>
    <cellStyle name="Total 16" xfId="7106"/>
    <cellStyle name="Total 16 10" xfId="27427"/>
    <cellStyle name="Total 16 10 2" xfId="34018"/>
    <cellStyle name="Total 16 11" xfId="27428"/>
    <cellStyle name="Total 16 11 2" xfId="34019"/>
    <cellStyle name="Total 16 12" xfId="27429"/>
    <cellStyle name="Total 16 12 2" xfId="34020"/>
    <cellStyle name="Total 16 13" xfId="27430"/>
    <cellStyle name="Total 16 13 2" xfId="34021"/>
    <cellStyle name="Total 16 14" xfId="27431"/>
    <cellStyle name="Total 16 14 2" xfId="34022"/>
    <cellStyle name="Total 16 15" xfId="27432"/>
    <cellStyle name="Total 16 15 2" xfId="34023"/>
    <cellStyle name="Total 16 16" xfId="27433"/>
    <cellStyle name="Total 16 16 2" xfId="34024"/>
    <cellStyle name="Total 16 17" xfId="27434"/>
    <cellStyle name="Total 16 17 2" xfId="34025"/>
    <cellStyle name="Total 16 18" xfId="27435"/>
    <cellStyle name="Total 16 18 2" xfId="34026"/>
    <cellStyle name="Total 16 19" xfId="27436"/>
    <cellStyle name="Total 16 19 2" xfId="34027"/>
    <cellStyle name="Total 16 2" xfId="27437"/>
    <cellStyle name="Total 16 2 2" xfId="34028"/>
    <cellStyle name="Total 16 20" xfId="34029"/>
    <cellStyle name="Total 16 3" xfId="27438"/>
    <cellStyle name="Total 16 3 2" xfId="34030"/>
    <cellStyle name="Total 16 4" xfId="27439"/>
    <cellStyle name="Total 16 4 2" xfId="34031"/>
    <cellStyle name="Total 16 5" xfId="27440"/>
    <cellStyle name="Total 16 5 2" xfId="34032"/>
    <cellStyle name="Total 16 6" xfId="27441"/>
    <cellStyle name="Total 16 6 2" xfId="34033"/>
    <cellStyle name="Total 16 7" xfId="27442"/>
    <cellStyle name="Total 16 7 2" xfId="34034"/>
    <cellStyle name="Total 16 8" xfId="27443"/>
    <cellStyle name="Total 16 8 2" xfId="34035"/>
    <cellStyle name="Total 16 9" xfId="27444"/>
    <cellStyle name="Total 16 9 2" xfId="34036"/>
    <cellStyle name="Total 17" xfId="7107"/>
    <cellStyle name="Total 17 10" xfId="27445"/>
    <cellStyle name="Total 17 10 2" xfId="34037"/>
    <cellStyle name="Total 17 11" xfId="27446"/>
    <cellStyle name="Total 17 11 2" xfId="34038"/>
    <cellStyle name="Total 17 12" xfId="27447"/>
    <cellStyle name="Total 17 12 2" xfId="34039"/>
    <cellStyle name="Total 17 13" xfId="27448"/>
    <cellStyle name="Total 17 13 2" xfId="34040"/>
    <cellStyle name="Total 17 14" xfId="27449"/>
    <cellStyle name="Total 17 14 2" xfId="34041"/>
    <cellStyle name="Total 17 15" xfId="27450"/>
    <cellStyle name="Total 17 15 2" xfId="34042"/>
    <cellStyle name="Total 17 16" xfId="27451"/>
    <cellStyle name="Total 17 16 2" xfId="34043"/>
    <cellStyle name="Total 17 17" xfId="27452"/>
    <cellStyle name="Total 17 17 2" xfId="34044"/>
    <cellStyle name="Total 17 18" xfId="27453"/>
    <cellStyle name="Total 17 18 2" xfId="34045"/>
    <cellStyle name="Total 17 19" xfId="27454"/>
    <cellStyle name="Total 17 19 2" xfId="34046"/>
    <cellStyle name="Total 17 2" xfId="27455"/>
    <cellStyle name="Total 17 2 2" xfId="34047"/>
    <cellStyle name="Total 17 20" xfId="34048"/>
    <cellStyle name="Total 17 3" xfId="27456"/>
    <cellStyle name="Total 17 3 2" xfId="34049"/>
    <cellStyle name="Total 17 4" xfId="27457"/>
    <cellStyle name="Total 17 4 2" xfId="34050"/>
    <cellStyle name="Total 17 5" xfId="27458"/>
    <cellStyle name="Total 17 5 2" xfId="34051"/>
    <cellStyle name="Total 17 6" xfId="27459"/>
    <cellStyle name="Total 17 6 2" xfId="34052"/>
    <cellStyle name="Total 17 7" xfId="27460"/>
    <cellStyle name="Total 17 7 2" xfId="34053"/>
    <cellStyle name="Total 17 8" xfId="27461"/>
    <cellStyle name="Total 17 8 2" xfId="34054"/>
    <cellStyle name="Total 17 9" xfId="27462"/>
    <cellStyle name="Total 17 9 2" xfId="34055"/>
    <cellStyle name="Total 18" xfId="7108"/>
    <cellStyle name="Total 18 10" xfId="27463"/>
    <cellStyle name="Total 18 10 2" xfId="34056"/>
    <cellStyle name="Total 18 11" xfId="27464"/>
    <cellStyle name="Total 18 11 2" xfId="34057"/>
    <cellStyle name="Total 18 12" xfId="27465"/>
    <cellStyle name="Total 18 12 2" xfId="34058"/>
    <cellStyle name="Total 18 13" xfId="27466"/>
    <cellStyle name="Total 18 13 2" xfId="34059"/>
    <cellStyle name="Total 18 14" xfId="27467"/>
    <cellStyle name="Total 18 14 2" xfId="34060"/>
    <cellStyle name="Total 18 15" xfId="27468"/>
    <cellStyle name="Total 18 15 2" xfId="34061"/>
    <cellStyle name="Total 18 16" xfId="27469"/>
    <cellStyle name="Total 18 16 2" xfId="34062"/>
    <cellStyle name="Total 18 17" xfId="27470"/>
    <cellStyle name="Total 18 17 2" xfId="34063"/>
    <cellStyle name="Total 18 18" xfId="27471"/>
    <cellStyle name="Total 18 18 2" xfId="34064"/>
    <cellStyle name="Total 18 19" xfId="27472"/>
    <cellStyle name="Total 18 19 2" xfId="34065"/>
    <cellStyle name="Total 18 2" xfId="27473"/>
    <cellStyle name="Total 18 2 2" xfId="34066"/>
    <cellStyle name="Total 18 20" xfId="34067"/>
    <cellStyle name="Total 18 3" xfId="27474"/>
    <cellStyle name="Total 18 3 2" xfId="34068"/>
    <cellStyle name="Total 18 4" xfId="27475"/>
    <cellStyle name="Total 18 4 2" xfId="34069"/>
    <cellStyle name="Total 18 5" xfId="27476"/>
    <cellStyle name="Total 18 5 2" xfId="34070"/>
    <cellStyle name="Total 18 6" xfId="27477"/>
    <cellStyle name="Total 18 6 2" xfId="34071"/>
    <cellStyle name="Total 18 7" xfId="27478"/>
    <cellStyle name="Total 18 7 2" xfId="34072"/>
    <cellStyle name="Total 18 8" xfId="27479"/>
    <cellStyle name="Total 18 8 2" xfId="34073"/>
    <cellStyle name="Total 18 9" xfId="27480"/>
    <cellStyle name="Total 18 9 2" xfId="34074"/>
    <cellStyle name="Total 19" xfId="7109"/>
    <cellStyle name="Total 19 10" xfId="27481"/>
    <cellStyle name="Total 19 10 2" xfId="34075"/>
    <cellStyle name="Total 19 11" xfId="27482"/>
    <cellStyle name="Total 19 11 2" xfId="34076"/>
    <cellStyle name="Total 19 12" xfId="27483"/>
    <cellStyle name="Total 19 12 2" xfId="34077"/>
    <cellStyle name="Total 19 13" xfId="27484"/>
    <cellStyle name="Total 19 13 2" xfId="34078"/>
    <cellStyle name="Total 19 14" xfId="27485"/>
    <cellStyle name="Total 19 14 2" xfId="34079"/>
    <cellStyle name="Total 19 15" xfId="27486"/>
    <cellStyle name="Total 19 15 2" xfId="34080"/>
    <cellStyle name="Total 19 16" xfId="27487"/>
    <cellStyle name="Total 19 16 2" xfId="34081"/>
    <cellStyle name="Total 19 17" xfId="27488"/>
    <cellStyle name="Total 19 17 2" xfId="34082"/>
    <cellStyle name="Total 19 18" xfId="27489"/>
    <cellStyle name="Total 19 18 2" xfId="34083"/>
    <cellStyle name="Total 19 19" xfId="27490"/>
    <cellStyle name="Total 19 19 2" xfId="34084"/>
    <cellStyle name="Total 19 2" xfId="27491"/>
    <cellStyle name="Total 19 2 2" xfId="34085"/>
    <cellStyle name="Total 19 20" xfId="34086"/>
    <cellStyle name="Total 19 3" xfId="27492"/>
    <cellStyle name="Total 19 3 2" xfId="34087"/>
    <cellStyle name="Total 19 4" xfId="27493"/>
    <cellStyle name="Total 19 4 2" xfId="34088"/>
    <cellStyle name="Total 19 5" xfId="27494"/>
    <cellStyle name="Total 19 5 2" xfId="34089"/>
    <cellStyle name="Total 19 6" xfId="27495"/>
    <cellStyle name="Total 19 6 2" xfId="34090"/>
    <cellStyle name="Total 19 7" xfId="27496"/>
    <cellStyle name="Total 19 7 2" xfId="34091"/>
    <cellStyle name="Total 19 8" xfId="27497"/>
    <cellStyle name="Total 19 8 2" xfId="34092"/>
    <cellStyle name="Total 19 9" xfId="27498"/>
    <cellStyle name="Total 19 9 2" xfId="34093"/>
    <cellStyle name="Total 2" xfId="7110"/>
    <cellStyle name="Total 2 10" xfId="27499"/>
    <cellStyle name="Total 2 10 2" xfId="34094"/>
    <cellStyle name="Total 2 11" xfId="27500"/>
    <cellStyle name="Total 2 11 2" xfId="34095"/>
    <cellStyle name="Total 2 12" xfId="27501"/>
    <cellStyle name="Total 2 12 2" xfId="34096"/>
    <cellStyle name="Total 2 13" xfId="27502"/>
    <cellStyle name="Total 2 13 2" xfId="34097"/>
    <cellStyle name="Total 2 14" xfId="27503"/>
    <cellStyle name="Total 2 14 2" xfId="34098"/>
    <cellStyle name="Total 2 15" xfId="27504"/>
    <cellStyle name="Total 2 15 2" xfId="34099"/>
    <cellStyle name="Total 2 16" xfId="27505"/>
    <cellStyle name="Total 2 16 2" xfId="34100"/>
    <cellStyle name="Total 2 17" xfId="27506"/>
    <cellStyle name="Total 2 17 2" xfId="34101"/>
    <cellStyle name="Total 2 18" xfId="27507"/>
    <cellStyle name="Total 2 18 2" xfId="34102"/>
    <cellStyle name="Total 2 19" xfId="27508"/>
    <cellStyle name="Total 2 19 2" xfId="34103"/>
    <cellStyle name="Total 2 2" xfId="7111"/>
    <cellStyle name="Total 2 2 10" xfId="27509"/>
    <cellStyle name="Total 2 2 10 2" xfId="34104"/>
    <cellStyle name="Total 2 2 11" xfId="27510"/>
    <cellStyle name="Total 2 2 11 2" xfId="34105"/>
    <cellStyle name="Total 2 2 12" xfId="27511"/>
    <cellStyle name="Total 2 2 12 2" xfId="34106"/>
    <cellStyle name="Total 2 2 13" xfId="27512"/>
    <cellStyle name="Total 2 2 13 2" xfId="34107"/>
    <cellStyle name="Total 2 2 14" xfId="27513"/>
    <cellStyle name="Total 2 2 14 2" xfId="34108"/>
    <cellStyle name="Total 2 2 15" xfId="27514"/>
    <cellStyle name="Total 2 2 15 2" xfId="34109"/>
    <cellStyle name="Total 2 2 16" xfId="27515"/>
    <cellStyle name="Total 2 2 16 2" xfId="34110"/>
    <cellStyle name="Total 2 2 17" xfId="27516"/>
    <cellStyle name="Total 2 2 17 2" xfId="34111"/>
    <cellStyle name="Total 2 2 18" xfId="27517"/>
    <cellStyle name="Total 2 2 18 2" xfId="34112"/>
    <cellStyle name="Total 2 2 19" xfId="27518"/>
    <cellStyle name="Total 2 2 19 2" xfId="34113"/>
    <cellStyle name="Total 2 2 2" xfId="27519"/>
    <cellStyle name="Total 2 2 2 2" xfId="34114"/>
    <cellStyle name="Total 2 2 20" xfId="34115"/>
    <cellStyle name="Total 2 2 3" xfId="27520"/>
    <cellStyle name="Total 2 2 3 2" xfId="34116"/>
    <cellStyle name="Total 2 2 4" xfId="27521"/>
    <cellStyle name="Total 2 2 4 2" xfId="34117"/>
    <cellStyle name="Total 2 2 5" xfId="27522"/>
    <cellStyle name="Total 2 2 5 2" xfId="34118"/>
    <cellStyle name="Total 2 2 6" xfId="27523"/>
    <cellStyle name="Total 2 2 6 2" xfId="34119"/>
    <cellStyle name="Total 2 2 7" xfId="27524"/>
    <cellStyle name="Total 2 2 7 2" xfId="34120"/>
    <cellStyle name="Total 2 2 8" xfId="27525"/>
    <cellStyle name="Total 2 2 8 2" xfId="34121"/>
    <cellStyle name="Total 2 2 9" xfId="27526"/>
    <cellStyle name="Total 2 2 9 2" xfId="34122"/>
    <cellStyle name="Total 2 20" xfId="27527"/>
    <cellStyle name="Total 2 20 2" xfId="34123"/>
    <cellStyle name="Total 2 21" xfId="27528"/>
    <cellStyle name="Total 2 21 2" xfId="34124"/>
    <cellStyle name="Total 2 22" xfId="27529"/>
    <cellStyle name="Total 2 22 2" xfId="34125"/>
    <cellStyle name="Total 2 23" xfId="27530"/>
    <cellStyle name="Total 2 23 2" xfId="34126"/>
    <cellStyle name="Total 2 24" xfId="27531"/>
    <cellStyle name="Total 2 24 2" xfId="34127"/>
    <cellStyle name="Total 2 25" xfId="34128"/>
    <cellStyle name="Total 2 3" xfId="7112"/>
    <cellStyle name="Total 2 3 10" xfId="27532"/>
    <cellStyle name="Total 2 3 10 2" xfId="34129"/>
    <cellStyle name="Total 2 3 11" xfId="27533"/>
    <cellStyle name="Total 2 3 11 2" xfId="34130"/>
    <cellStyle name="Total 2 3 12" xfId="27534"/>
    <cellStyle name="Total 2 3 12 2" xfId="34131"/>
    <cellStyle name="Total 2 3 13" xfId="27535"/>
    <cellStyle name="Total 2 3 13 2" xfId="34132"/>
    <cellStyle name="Total 2 3 14" xfId="27536"/>
    <cellStyle name="Total 2 3 14 2" xfId="34133"/>
    <cellStyle name="Total 2 3 15" xfId="27537"/>
    <cellStyle name="Total 2 3 15 2" xfId="34134"/>
    <cellStyle name="Total 2 3 16" xfId="27538"/>
    <cellStyle name="Total 2 3 16 2" xfId="34135"/>
    <cellStyle name="Total 2 3 17" xfId="27539"/>
    <cellStyle name="Total 2 3 17 2" xfId="34136"/>
    <cellStyle name="Total 2 3 18" xfId="27540"/>
    <cellStyle name="Total 2 3 18 2" xfId="34137"/>
    <cellStyle name="Total 2 3 19" xfId="27541"/>
    <cellStyle name="Total 2 3 19 2" xfId="34138"/>
    <cellStyle name="Total 2 3 2" xfId="27542"/>
    <cellStyle name="Total 2 3 2 2" xfId="34139"/>
    <cellStyle name="Total 2 3 20" xfId="34140"/>
    <cellStyle name="Total 2 3 3" xfId="27543"/>
    <cellStyle name="Total 2 3 3 2" xfId="34141"/>
    <cellStyle name="Total 2 3 4" xfId="27544"/>
    <cellStyle name="Total 2 3 4 2" xfId="34142"/>
    <cellStyle name="Total 2 3 5" xfId="27545"/>
    <cellStyle name="Total 2 3 5 2" xfId="34143"/>
    <cellStyle name="Total 2 3 6" xfId="27546"/>
    <cellStyle name="Total 2 3 6 2" xfId="34144"/>
    <cellStyle name="Total 2 3 7" xfId="27547"/>
    <cellStyle name="Total 2 3 7 2" xfId="34145"/>
    <cellStyle name="Total 2 3 8" xfId="27548"/>
    <cellStyle name="Total 2 3 8 2" xfId="34146"/>
    <cellStyle name="Total 2 3 9" xfId="27549"/>
    <cellStyle name="Total 2 3 9 2" xfId="34147"/>
    <cellStyle name="Total 2 4" xfId="7113"/>
    <cellStyle name="Total 2 4 10" xfId="27550"/>
    <cellStyle name="Total 2 4 10 2" xfId="34148"/>
    <cellStyle name="Total 2 4 11" xfId="27551"/>
    <cellStyle name="Total 2 4 11 2" xfId="34149"/>
    <cellStyle name="Total 2 4 12" xfId="27552"/>
    <cellStyle name="Total 2 4 12 2" xfId="34150"/>
    <cellStyle name="Total 2 4 13" xfId="27553"/>
    <cellStyle name="Total 2 4 13 2" xfId="34151"/>
    <cellStyle name="Total 2 4 14" xfId="27554"/>
    <cellStyle name="Total 2 4 14 2" xfId="34152"/>
    <cellStyle name="Total 2 4 15" xfId="27555"/>
    <cellStyle name="Total 2 4 15 2" xfId="34153"/>
    <cellStyle name="Total 2 4 16" xfId="27556"/>
    <cellStyle name="Total 2 4 16 2" xfId="34154"/>
    <cellStyle name="Total 2 4 17" xfId="27557"/>
    <cellStyle name="Total 2 4 17 2" xfId="34155"/>
    <cellStyle name="Total 2 4 18" xfId="27558"/>
    <cellStyle name="Total 2 4 18 2" xfId="34156"/>
    <cellStyle name="Total 2 4 19" xfId="27559"/>
    <cellStyle name="Total 2 4 19 2" xfId="34157"/>
    <cellStyle name="Total 2 4 2" xfId="27560"/>
    <cellStyle name="Total 2 4 2 2" xfId="34158"/>
    <cellStyle name="Total 2 4 20" xfId="34159"/>
    <cellStyle name="Total 2 4 3" xfId="27561"/>
    <cellStyle name="Total 2 4 3 2" xfId="34160"/>
    <cellStyle name="Total 2 4 4" xfId="27562"/>
    <cellStyle name="Total 2 4 4 2" xfId="34161"/>
    <cellStyle name="Total 2 4 5" xfId="27563"/>
    <cellStyle name="Total 2 4 5 2" xfId="34162"/>
    <cellStyle name="Total 2 4 6" xfId="27564"/>
    <cellStyle name="Total 2 4 6 2" xfId="34163"/>
    <cellStyle name="Total 2 4 7" xfId="27565"/>
    <cellStyle name="Total 2 4 7 2" xfId="34164"/>
    <cellStyle name="Total 2 4 8" xfId="27566"/>
    <cellStyle name="Total 2 4 8 2" xfId="34165"/>
    <cellStyle name="Total 2 4 9" xfId="27567"/>
    <cellStyle name="Total 2 4 9 2" xfId="34166"/>
    <cellStyle name="Total 2 5" xfId="7114"/>
    <cellStyle name="Total 2 5 10" xfId="27568"/>
    <cellStyle name="Total 2 5 10 2" xfId="34167"/>
    <cellStyle name="Total 2 5 11" xfId="27569"/>
    <cellStyle name="Total 2 5 11 2" xfId="34168"/>
    <cellStyle name="Total 2 5 12" xfId="27570"/>
    <cellStyle name="Total 2 5 12 2" xfId="34169"/>
    <cellStyle name="Total 2 5 13" xfId="27571"/>
    <cellStyle name="Total 2 5 13 2" xfId="34170"/>
    <cellStyle name="Total 2 5 14" xfId="27572"/>
    <cellStyle name="Total 2 5 14 2" xfId="34171"/>
    <cellStyle name="Total 2 5 15" xfId="27573"/>
    <cellStyle name="Total 2 5 15 2" xfId="34172"/>
    <cellStyle name="Total 2 5 16" xfId="27574"/>
    <cellStyle name="Total 2 5 16 2" xfId="34173"/>
    <cellStyle name="Total 2 5 17" xfId="27575"/>
    <cellStyle name="Total 2 5 17 2" xfId="34174"/>
    <cellStyle name="Total 2 5 18" xfId="27576"/>
    <cellStyle name="Total 2 5 18 2" xfId="34175"/>
    <cellStyle name="Total 2 5 19" xfId="27577"/>
    <cellStyle name="Total 2 5 19 2" xfId="34176"/>
    <cellStyle name="Total 2 5 2" xfId="27578"/>
    <cellStyle name="Total 2 5 2 2" xfId="34177"/>
    <cellStyle name="Total 2 5 20" xfId="34178"/>
    <cellStyle name="Total 2 5 3" xfId="27579"/>
    <cellStyle name="Total 2 5 3 2" xfId="34179"/>
    <cellStyle name="Total 2 5 4" xfId="27580"/>
    <cellStyle name="Total 2 5 4 2" xfId="34180"/>
    <cellStyle name="Total 2 5 5" xfId="27581"/>
    <cellStyle name="Total 2 5 5 2" xfId="34181"/>
    <cellStyle name="Total 2 5 6" xfId="27582"/>
    <cellStyle name="Total 2 5 6 2" xfId="34182"/>
    <cellStyle name="Total 2 5 7" xfId="27583"/>
    <cellStyle name="Total 2 5 7 2" xfId="34183"/>
    <cellStyle name="Total 2 5 8" xfId="27584"/>
    <cellStyle name="Total 2 5 8 2" xfId="34184"/>
    <cellStyle name="Total 2 5 9" xfId="27585"/>
    <cellStyle name="Total 2 5 9 2" xfId="34185"/>
    <cellStyle name="Total 2 6" xfId="7115"/>
    <cellStyle name="Total 2 6 10" xfId="27586"/>
    <cellStyle name="Total 2 6 10 2" xfId="34186"/>
    <cellStyle name="Total 2 6 11" xfId="27587"/>
    <cellStyle name="Total 2 6 11 2" xfId="34187"/>
    <cellStyle name="Total 2 6 12" xfId="27588"/>
    <cellStyle name="Total 2 6 12 2" xfId="34188"/>
    <cellStyle name="Total 2 6 13" xfId="27589"/>
    <cellStyle name="Total 2 6 13 2" xfId="34189"/>
    <cellStyle name="Total 2 6 14" xfId="27590"/>
    <cellStyle name="Total 2 6 14 2" xfId="34190"/>
    <cellStyle name="Total 2 6 15" xfId="27591"/>
    <cellStyle name="Total 2 6 15 2" xfId="34191"/>
    <cellStyle name="Total 2 6 16" xfId="27592"/>
    <cellStyle name="Total 2 6 16 2" xfId="34192"/>
    <cellStyle name="Total 2 6 17" xfId="27593"/>
    <cellStyle name="Total 2 6 17 2" xfId="34193"/>
    <cellStyle name="Total 2 6 18" xfId="27594"/>
    <cellStyle name="Total 2 6 18 2" xfId="34194"/>
    <cellStyle name="Total 2 6 19" xfId="27595"/>
    <cellStyle name="Total 2 6 19 2" xfId="34195"/>
    <cellStyle name="Total 2 6 2" xfId="27596"/>
    <cellStyle name="Total 2 6 2 2" xfId="34196"/>
    <cellStyle name="Total 2 6 20" xfId="34197"/>
    <cellStyle name="Total 2 6 3" xfId="27597"/>
    <cellStyle name="Total 2 6 3 2" xfId="34198"/>
    <cellStyle name="Total 2 6 4" xfId="27598"/>
    <cellStyle name="Total 2 6 4 2" xfId="34199"/>
    <cellStyle name="Total 2 6 5" xfId="27599"/>
    <cellStyle name="Total 2 6 5 2" xfId="34200"/>
    <cellStyle name="Total 2 6 6" xfId="27600"/>
    <cellStyle name="Total 2 6 6 2" xfId="34201"/>
    <cellStyle name="Total 2 6 7" xfId="27601"/>
    <cellStyle name="Total 2 6 7 2" xfId="34202"/>
    <cellStyle name="Total 2 6 8" xfId="27602"/>
    <cellStyle name="Total 2 6 8 2" xfId="34203"/>
    <cellStyle name="Total 2 6 9" xfId="27603"/>
    <cellStyle name="Total 2 6 9 2" xfId="34204"/>
    <cellStyle name="Total 2 7" xfId="27604"/>
    <cellStyle name="Total 2 7 2" xfId="34205"/>
    <cellStyle name="Total 2 8" xfId="27605"/>
    <cellStyle name="Total 2 8 2" xfId="34206"/>
    <cellStyle name="Total 2 9" xfId="27606"/>
    <cellStyle name="Total 2 9 2" xfId="34207"/>
    <cellStyle name="Total 20" xfId="7116"/>
    <cellStyle name="Total 20 10" xfId="27607"/>
    <cellStyle name="Total 20 10 2" xfId="34208"/>
    <cellStyle name="Total 20 11" xfId="27608"/>
    <cellStyle name="Total 20 11 2" xfId="34209"/>
    <cellStyle name="Total 20 12" xfId="27609"/>
    <cellStyle name="Total 20 12 2" xfId="34210"/>
    <cellStyle name="Total 20 13" xfId="27610"/>
    <cellStyle name="Total 20 13 2" xfId="34211"/>
    <cellStyle name="Total 20 14" xfId="27611"/>
    <cellStyle name="Total 20 14 2" xfId="34212"/>
    <cellStyle name="Total 20 15" xfId="27612"/>
    <cellStyle name="Total 20 15 2" xfId="34213"/>
    <cellStyle name="Total 20 16" xfId="27613"/>
    <cellStyle name="Total 20 16 2" xfId="34214"/>
    <cellStyle name="Total 20 17" xfId="27614"/>
    <cellStyle name="Total 20 17 2" xfId="34215"/>
    <cellStyle name="Total 20 18" xfId="27615"/>
    <cellStyle name="Total 20 18 2" xfId="34216"/>
    <cellStyle name="Total 20 19" xfId="27616"/>
    <cellStyle name="Total 20 19 2" xfId="34217"/>
    <cellStyle name="Total 20 2" xfId="27617"/>
    <cellStyle name="Total 20 2 2" xfId="34218"/>
    <cellStyle name="Total 20 20" xfId="34219"/>
    <cellStyle name="Total 20 3" xfId="27618"/>
    <cellStyle name="Total 20 3 2" xfId="34220"/>
    <cellStyle name="Total 20 4" xfId="27619"/>
    <cellStyle name="Total 20 4 2" xfId="34221"/>
    <cellStyle name="Total 20 5" xfId="27620"/>
    <cellStyle name="Total 20 5 2" xfId="34222"/>
    <cellStyle name="Total 20 6" xfId="27621"/>
    <cellStyle name="Total 20 6 2" xfId="34223"/>
    <cellStyle name="Total 20 7" xfId="27622"/>
    <cellStyle name="Total 20 7 2" xfId="34224"/>
    <cellStyle name="Total 20 8" xfId="27623"/>
    <cellStyle name="Total 20 8 2" xfId="34225"/>
    <cellStyle name="Total 20 9" xfId="27624"/>
    <cellStyle name="Total 20 9 2" xfId="34226"/>
    <cellStyle name="Total 21" xfId="7117"/>
    <cellStyle name="Total 21 10" xfId="27625"/>
    <cellStyle name="Total 21 10 2" xfId="34227"/>
    <cellStyle name="Total 21 11" xfId="27626"/>
    <cellStyle name="Total 21 11 2" xfId="34228"/>
    <cellStyle name="Total 21 12" xfId="27627"/>
    <cellStyle name="Total 21 12 2" xfId="34229"/>
    <cellStyle name="Total 21 13" xfId="27628"/>
    <cellStyle name="Total 21 13 2" xfId="34230"/>
    <cellStyle name="Total 21 14" xfId="27629"/>
    <cellStyle name="Total 21 14 2" xfId="34231"/>
    <cellStyle name="Total 21 15" xfId="27630"/>
    <cellStyle name="Total 21 15 2" xfId="34232"/>
    <cellStyle name="Total 21 16" xfId="27631"/>
    <cellStyle name="Total 21 16 2" xfId="34233"/>
    <cellStyle name="Total 21 17" xfId="27632"/>
    <cellStyle name="Total 21 17 2" xfId="34234"/>
    <cellStyle name="Total 21 18" xfId="27633"/>
    <cellStyle name="Total 21 18 2" xfId="34235"/>
    <cellStyle name="Total 21 19" xfId="27634"/>
    <cellStyle name="Total 21 19 2" xfId="34236"/>
    <cellStyle name="Total 21 2" xfId="27635"/>
    <cellStyle name="Total 21 2 2" xfId="34237"/>
    <cellStyle name="Total 21 20" xfId="34238"/>
    <cellStyle name="Total 21 3" xfId="27636"/>
    <cellStyle name="Total 21 3 2" xfId="34239"/>
    <cellStyle name="Total 21 4" xfId="27637"/>
    <cellStyle name="Total 21 4 2" xfId="34240"/>
    <cellStyle name="Total 21 5" xfId="27638"/>
    <cellStyle name="Total 21 5 2" xfId="34241"/>
    <cellStyle name="Total 21 6" xfId="27639"/>
    <cellStyle name="Total 21 6 2" xfId="34242"/>
    <cellStyle name="Total 21 7" xfId="27640"/>
    <cellStyle name="Total 21 7 2" xfId="34243"/>
    <cellStyle name="Total 21 8" xfId="27641"/>
    <cellStyle name="Total 21 8 2" xfId="34244"/>
    <cellStyle name="Total 21 9" xfId="27642"/>
    <cellStyle name="Total 21 9 2" xfId="34245"/>
    <cellStyle name="Total 22" xfId="7118"/>
    <cellStyle name="Total 22 10" xfId="27643"/>
    <cellStyle name="Total 22 10 2" xfId="34246"/>
    <cellStyle name="Total 22 11" xfId="27644"/>
    <cellStyle name="Total 22 11 2" xfId="34247"/>
    <cellStyle name="Total 22 12" xfId="27645"/>
    <cellStyle name="Total 22 12 2" xfId="34248"/>
    <cellStyle name="Total 22 13" xfId="27646"/>
    <cellStyle name="Total 22 13 2" xfId="34249"/>
    <cellStyle name="Total 22 14" xfId="27647"/>
    <cellStyle name="Total 22 14 2" xfId="34250"/>
    <cellStyle name="Total 22 15" xfId="27648"/>
    <cellStyle name="Total 22 15 2" xfId="34251"/>
    <cellStyle name="Total 22 16" xfId="27649"/>
    <cellStyle name="Total 22 16 2" xfId="34252"/>
    <cellStyle name="Total 22 17" xfId="27650"/>
    <cellStyle name="Total 22 17 2" xfId="34253"/>
    <cellStyle name="Total 22 18" xfId="27651"/>
    <cellStyle name="Total 22 18 2" xfId="34254"/>
    <cellStyle name="Total 22 19" xfId="27652"/>
    <cellStyle name="Total 22 19 2" xfId="34255"/>
    <cellStyle name="Total 22 2" xfId="27653"/>
    <cellStyle name="Total 22 2 2" xfId="34256"/>
    <cellStyle name="Total 22 20" xfId="34257"/>
    <cellStyle name="Total 22 3" xfId="27654"/>
    <cellStyle name="Total 22 3 2" xfId="34258"/>
    <cellStyle name="Total 22 4" xfId="27655"/>
    <cellStyle name="Total 22 4 2" xfId="34259"/>
    <cellStyle name="Total 22 5" xfId="27656"/>
    <cellStyle name="Total 22 5 2" xfId="34260"/>
    <cellStyle name="Total 22 6" xfId="27657"/>
    <cellStyle name="Total 22 6 2" xfId="34261"/>
    <cellStyle name="Total 22 7" xfId="27658"/>
    <cellStyle name="Total 22 7 2" xfId="34262"/>
    <cellStyle name="Total 22 8" xfId="27659"/>
    <cellStyle name="Total 22 8 2" xfId="34263"/>
    <cellStyle name="Total 22 9" xfId="27660"/>
    <cellStyle name="Total 22 9 2" xfId="34264"/>
    <cellStyle name="Total 23" xfId="7119"/>
    <cellStyle name="Total 23 10" xfId="27661"/>
    <cellStyle name="Total 23 10 2" xfId="34265"/>
    <cellStyle name="Total 23 11" xfId="27662"/>
    <cellStyle name="Total 23 11 2" xfId="34266"/>
    <cellStyle name="Total 23 12" xfId="27663"/>
    <cellStyle name="Total 23 12 2" xfId="34267"/>
    <cellStyle name="Total 23 13" xfId="27664"/>
    <cellStyle name="Total 23 13 2" xfId="34268"/>
    <cellStyle name="Total 23 14" xfId="27665"/>
    <cellStyle name="Total 23 14 2" xfId="34269"/>
    <cellStyle name="Total 23 15" xfId="27666"/>
    <cellStyle name="Total 23 15 2" xfId="34270"/>
    <cellStyle name="Total 23 16" xfId="27667"/>
    <cellStyle name="Total 23 16 2" xfId="34271"/>
    <cellStyle name="Total 23 17" xfId="27668"/>
    <cellStyle name="Total 23 17 2" xfId="34272"/>
    <cellStyle name="Total 23 18" xfId="27669"/>
    <cellStyle name="Total 23 18 2" xfId="34273"/>
    <cellStyle name="Total 23 19" xfId="27670"/>
    <cellStyle name="Total 23 19 2" xfId="34274"/>
    <cellStyle name="Total 23 2" xfId="27671"/>
    <cellStyle name="Total 23 2 2" xfId="34275"/>
    <cellStyle name="Total 23 20" xfId="34276"/>
    <cellStyle name="Total 23 3" xfId="27672"/>
    <cellStyle name="Total 23 3 2" xfId="34277"/>
    <cellStyle name="Total 23 4" xfId="27673"/>
    <cellStyle name="Total 23 4 2" xfId="34278"/>
    <cellStyle name="Total 23 5" xfId="27674"/>
    <cellStyle name="Total 23 5 2" xfId="34279"/>
    <cellStyle name="Total 23 6" xfId="27675"/>
    <cellStyle name="Total 23 6 2" xfId="34280"/>
    <cellStyle name="Total 23 7" xfId="27676"/>
    <cellStyle name="Total 23 7 2" xfId="34281"/>
    <cellStyle name="Total 23 8" xfId="27677"/>
    <cellStyle name="Total 23 8 2" xfId="34282"/>
    <cellStyle name="Total 23 9" xfId="27678"/>
    <cellStyle name="Total 23 9 2" xfId="34283"/>
    <cellStyle name="Total 24" xfId="7120"/>
    <cellStyle name="Total 24 10" xfId="27679"/>
    <cellStyle name="Total 24 10 2" xfId="34284"/>
    <cellStyle name="Total 24 11" xfId="27680"/>
    <cellStyle name="Total 24 11 2" xfId="34285"/>
    <cellStyle name="Total 24 12" xfId="27681"/>
    <cellStyle name="Total 24 12 2" xfId="34286"/>
    <cellStyle name="Total 24 13" xfId="27682"/>
    <cellStyle name="Total 24 13 2" xfId="34287"/>
    <cellStyle name="Total 24 14" xfId="27683"/>
    <cellStyle name="Total 24 14 2" xfId="34288"/>
    <cellStyle name="Total 24 15" xfId="27684"/>
    <cellStyle name="Total 24 15 2" xfId="34289"/>
    <cellStyle name="Total 24 16" xfId="27685"/>
    <cellStyle name="Total 24 16 2" xfId="34290"/>
    <cellStyle name="Total 24 17" xfId="27686"/>
    <cellStyle name="Total 24 17 2" xfId="34291"/>
    <cellStyle name="Total 24 18" xfId="27687"/>
    <cellStyle name="Total 24 18 2" xfId="34292"/>
    <cellStyle name="Total 24 19" xfId="27688"/>
    <cellStyle name="Total 24 19 2" xfId="34293"/>
    <cellStyle name="Total 24 2" xfId="27689"/>
    <cellStyle name="Total 24 2 2" xfId="34294"/>
    <cellStyle name="Total 24 20" xfId="34295"/>
    <cellStyle name="Total 24 3" xfId="27690"/>
    <cellStyle name="Total 24 3 2" xfId="34296"/>
    <cellStyle name="Total 24 4" xfId="27691"/>
    <cellStyle name="Total 24 4 2" xfId="34297"/>
    <cellStyle name="Total 24 5" xfId="27692"/>
    <cellStyle name="Total 24 5 2" xfId="34298"/>
    <cellStyle name="Total 24 6" xfId="27693"/>
    <cellStyle name="Total 24 6 2" xfId="34299"/>
    <cellStyle name="Total 24 7" xfId="27694"/>
    <cellStyle name="Total 24 7 2" xfId="34300"/>
    <cellStyle name="Total 24 8" xfId="27695"/>
    <cellStyle name="Total 24 8 2" xfId="34301"/>
    <cellStyle name="Total 24 9" xfId="27696"/>
    <cellStyle name="Total 24 9 2" xfId="34302"/>
    <cellStyle name="Total 25" xfId="7121"/>
    <cellStyle name="Total 25 10" xfId="27697"/>
    <cellStyle name="Total 25 10 2" xfId="34303"/>
    <cellStyle name="Total 25 11" xfId="27698"/>
    <cellStyle name="Total 25 11 2" xfId="34304"/>
    <cellStyle name="Total 25 12" xfId="27699"/>
    <cellStyle name="Total 25 12 2" xfId="34305"/>
    <cellStyle name="Total 25 13" xfId="27700"/>
    <cellStyle name="Total 25 13 2" xfId="34306"/>
    <cellStyle name="Total 25 14" xfId="27701"/>
    <cellStyle name="Total 25 14 2" xfId="34307"/>
    <cellStyle name="Total 25 15" xfId="27702"/>
    <cellStyle name="Total 25 15 2" xfId="34308"/>
    <cellStyle name="Total 25 16" xfId="27703"/>
    <cellStyle name="Total 25 16 2" xfId="34309"/>
    <cellStyle name="Total 25 17" xfId="27704"/>
    <cellStyle name="Total 25 17 2" xfId="34310"/>
    <cellStyle name="Total 25 18" xfId="27705"/>
    <cellStyle name="Total 25 18 2" xfId="34311"/>
    <cellStyle name="Total 25 19" xfId="27706"/>
    <cellStyle name="Total 25 19 2" xfId="34312"/>
    <cellStyle name="Total 25 2" xfId="27707"/>
    <cellStyle name="Total 25 2 2" xfId="34313"/>
    <cellStyle name="Total 25 20" xfId="34314"/>
    <cellStyle name="Total 25 3" xfId="27708"/>
    <cellStyle name="Total 25 3 2" xfId="34315"/>
    <cellStyle name="Total 25 4" xfId="27709"/>
    <cellStyle name="Total 25 4 2" xfId="34316"/>
    <cellStyle name="Total 25 5" xfId="27710"/>
    <cellStyle name="Total 25 5 2" xfId="34317"/>
    <cellStyle name="Total 25 6" xfId="27711"/>
    <cellStyle name="Total 25 6 2" xfId="34318"/>
    <cellStyle name="Total 25 7" xfId="27712"/>
    <cellStyle name="Total 25 7 2" xfId="34319"/>
    <cellStyle name="Total 25 8" xfId="27713"/>
    <cellStyle name="Total 25 8 2" xfId="34320"/>
    <cellStyle name="Total 25 9" xfId="27714"/>
    <cellStyle name="Total 25 9 2" xfId="34321"/>
    <cellStyle name="Total 26" xfId="7122"/>
    <cellStyle name="Total 26 10" xfId="27715"/>
    <cellStyle name="Total 26 10 2" xfId="34322"/>
    <cellStyle name="Total 26 11" xfId="27716"/>
    <cellStyle name="Total 26 11 2" xfId="34323"/>
    <cellStyle name="Total 26 12" xfId="27717"/>
    <cellStyle name="Total 26 12 2" xfId="34324"/>
    <cellStyle name="Total 26 13" xfId="27718"/>
    <cellStyle name="Total 26 13 2" xfId="34325"/>
    <cellStyle name="Total 26 14" xfId="27719"/>
    <cellStyle name="Total 26 14 2" xfId="34326"/>
    <cellStyle name="Total 26 15" xfId="27720"/>
    <cellStyle name="Total 26 15 2" xfId="34327"/>
    <cellStyle name="Total 26 16" xfId="27721"/>
    <cellStyle name="Total 26 16 2" xfId="34328"/>
    <cellStyle name="Total 26 17" xfId="27722"/>
    <cellStyle name="Total 26 17 2" xfId="34329"/>
    <cellStyle name="Total 26 18" xfId="27723"/>
    <cellStyle name="Total 26 18 2" xfId="34330"/>
    <cellStyle name="Total 26 19" xfId="27724"/>
    <cellStyle name="Total 26 19 2" xfId="34331"/>
    <cellStyle name="Total 26 2" xfId="27725"/>
    <cellStyle name="Total 26 2 2" xfId="34332"/>
    <cellStyle name="Total 26 20" xfId="34333"/>
    <cellStyle name="Total 26 3" xfId="27726"/>
    <cellStyle name="Total 26 3 2" xfId="34334"/>
    <cellStyle name="Total 26 4" xfId="27727"/>
    <cellStyle name="Total 26 4 2" xfId="34335"/>
    <cellStyle name="Total 26 5" xfId="27728"/>
    <cellStyle name="Total 26 5 2" xfId="34336"/>
    <cellStyle name="Total 26 6" xfId="27729"/>
    <cellStyle name="Total 26 6 2" xfId="34337"/>
    <cellStyle name="Total 26 7" xfId="27730"/>
    <cellStyle name="Total 26 7 2" xfId="34338"/>
    <cellStyle name="Total 26 8" xfId="27731"/>
    <cellStyle name="Total 26 8 2" xfId="34339"/>
    <cellStyle name="Total 26 9" xfId="27732"/>
    <cellStyle name="Total 26 9 2" xfId="34340"/>
    <cellStyle name="Total 27" xfId="7123"/>
    <cellStyle name="Total 27 10" xfId="27733"/>
    <cellStyle name="Total 27 10 2" xfId="34341"/>
    <cellStyle name="Total 27 11" xfId="27734"/>
    <cellStyle name="Total 27 11 2" xfId="34342"/>
    <cellStyle name="Total 27 12" xfId="27735"/>
    <cellStyle name="Total 27 12 2" xfId="34343"/>
    <cellStyle name="Total 27 13" xfId="27736"/>
    <cellStyle name="Total 27 13 2" xfId="34344"/>
    <cellStyle name="Total 27 14" xfId="27737"/>
    <cellStyle name="Total 27 14 2" xfId="34345"/>
    <cellStyle name="Total 27 15" xfId="27738"/>
    <cellStyle name="Total 27 15 2" xfId="34346"/>
    <cellStyle name="Total 27 16" xfId="27739"/>
    <cellStyle name="Total 27 16 2" xfId="34347"/>
    <cellStyle name="Total 27 17" xfId="27740"/>
    <cellStyle name="Total 27 17 2" xfId="34348"/>
    <cellStyle name="Total 27 18" xfId="27741"/>
    <cellStyle name="Total 27 18 2" xfId="34349"/>
    <cellStyle name="Total 27 19" xfId="27742"/>
    <cellStyle name="Total 27 19 2" xfId="34350"/>
    <cellStyle name="Total 27 2" xfId="27743"/>
    <cellStyle name="Total 27 2 2" xfId="34351"/>
    <cellStyle name="Total 27 20" xfId="34352"/>
    <cellStyle name="Total 27 3" xfId="27744"/>
    <cellStyle name="Total 27 3 2" xfId="34353"/>
    <cellStyle name="Total 27 4" xfId="27745"/>
    <cellStyle name="Total 27 4 2" xfId="34354"/>
    <cellStyle name="Total 27 5" xfId="27746"/>
    <cellStyle name="Total 27 5 2" xfId="34355"/>
    <cellStyle name="Total 27 6" xfId="27747"/>
    <cellStyle name="Total 27 6 2" xfId="34356"/>
    <cellStyle name="Total 27 7" xfId="27748"/>
    <cellStyle name="Total 27 7 2" xfId="34357"/>
    <cellStyle name="Total 27 8" xfId="27749"/>
    <cellStyle name="Total 27 8 2" xfId="34358"/>
    <cellStyle name="Total 27 9" xfId="27750"/>
    <cellStyle name="Total 27 9 2" xfId="34359"/>
    <cellStyle name="Total 28" xfId="7124"/>
    <cellStyle name="Total 28 10" xfId="27751"/>
    <cellStyle name="Total 28 10 2" xfId="34360"/>
    <cellStyle name="Total 28 11" xfId="27752"/>
    <cellStyle name="Total 28 11 2" xfId="34361"/>
    <cellStyle name="Total 28 12" xfId="27753"/>
    <cellStyle name="Total 28 12 2" xfId="34362"/>
    <cellStyle name="Total 28 13" xfId="27754"/>
    <cellStyle name="Total 28 13 2" xfId="34363"/>
    <cellStyle name="Total 28 14" xfId="27755"/>
    <cellStyle name="Total 28 14 2" xfId="34364"/>
    <cellStyle name="Total 28 15" xfId="27756"/>
    <cellStyle name="Total 28 15 2" xfId="34365"/>
    <cellStyle name="Total 28 16" xfId="27757"/>
    <cellStyle name="Total 28 16 2" xfId="34366"/>
    <cellStyle name="Total 28 17" xfId="27758"/>
    <cellStyle name="Total 28 17 2" xfId="34367"/>
    <cellStyle name="Total 28 18" xfId="27759"/>
    <cellStyle name="Total 28 18 2" xfId="34368"/>
    <cellStyle name="Total 28 19" xfId="27760"/>
    <cellStyle name="Total 28 19 2" xfId="34369"/>
    <cellStyle name="Total 28 2" xfId="27761"/>
    <cellStyle name="Total 28 2 2" xfId="34370"/>
    <cellStyle name="Total 28 20" xfId="34371"/>
    <cellStyle name="Total 28 3" xfId="27762"/>
    <cellStyle name="Total 28 3 2" xfId="34372"/>
    <cellStyle name="Total 28 4" xfId="27763"/>
    <cellStyle name="Total 28 4 2" xfId="34373"/>
    <cellStyle name="Total 28 5" xfId="27764"/>
    <cellStyle name="Total 28 5 2" xfId="34374"/>
    <cellStyle name="Total 28 6" xfId="27765"/>
    <cellStyle name="Total 28 6 2" xfId="34375"/>
    <cellStyle name="Total 28 7" xfId="27766"/>
    <cellStyle name="Total 28 7 2" xfId="34376"/>
    <cellStyle name="Total 28 8" xfId="27767"/>
    <cellStyle name="Total 28 8 2" xfId="34377"/>
    <cellStyle name="Total 28 9" xfId="27768"/>
    <cellStyle name="Total 28 9 2" xfId="34378"/>
    <cellStyle name="Total 29" xfId="7125"/>
    <cellStyle name="Total 29 10" xfId="27769"/>
    <cellStyle name="Total 29 10 2" xfId="34379"/>
    <cellStyle name="Total 29 11" xfId="27770"/>
    <cellStyle name="Total 29 11 2" xfId="34380"/>
    <cellStyle name="Total 29 12" xfId="27771"/>
    <cellStyle name="Total 29 12 2" xfId="34381"/>
    <cellStyle name="Total 29 13" xfId="27772"/>
    <cellStyle name="Total 29 13 2" xfId="34382"/>
    <cellStyle name="Total 29 14" xfId="27773"/>
    <cellStyle name="Total 29 14 2" xfId="34383"/>
    <cellStyle name="Total 29 15" xfId="27774"/>
    <cellStyle name="Total 29 15 2" xfId="34384"/>
    <cellStyle name="Total 29 16" xfId="27775"/>
    <cellStyle name="Total 29 16 2" xfId="34385"/>
    <cellStyle name="Total 29 17" xfId="27776"/>
    <cellStyle name="Total 29 17 2" xfId="34386"/>
    <cellStyle name="Total 29 18" xfId="27777"/>
    <cellStyle name="Total 29 18 2" xfId="34387"/>
    <cellStyle name="Total 29 19" xfId="27778"/>
    <cellStyle name="Total 29 19 2" xfId="34388"/>
    <cellStyle name="Total 29 2" xfId="27779"/>
    <cellStyle name="Total 29 2 2" xfId="34389"/>
    <cellStyle name="Total 29 20" xfId="34390"/>
    <cellStyle name="Total 29 3" xfId="27780"/>
    <cellStyle name="Total 29 3 2" xfId="34391"/>
    <cellStyle name="Total 29 4" xfId="27781"/>
    <cellStyle name="Total 29 4 2" xfId="34392"/>
    <cellStyle name="Total 29 5" xfId="27782"/>
    <cellStyle name="Total 29 5 2" xfId="34393"/>
    <cellStyle name="Total 29 6" xfId="27783"/>
    <cellStyle name="Total 29 6 2" xfId="34394"/>
    <cellStyle name="Total 29 7" xfId="27784"/>
    <cellStyle name="Total 29 7 2" xfId="34395"/>
    <cellStyle name="Total 29 8" xfId="27785"/>
    <cellStyle name="Total 29 8 2" xfId="34396"/>
    <cellStyle name="Total 29 9" xfId="27786"/>
    <cellStyle name="Total 29 9 2" xfId="34397"/>
    <cellStyle name="Total 3" xfId="7126"/>
    <cellStyle name="Total 3 10" xfId="27787"/>
    <cellStyle name="Total 3 10 2" xfId="34398"/>
    <cellStyle name="Total 3 11" xfId="27788"/>
    <cellStyle name="Total 3 11 2" xfId="34399"/>
    <cellStyle name="Total 3 12" xfId="27789"/>
    <cellStyle name="Total 3 12 2" xfId="34400"/>
    <cellStyle name="Total 3 13" xfId="27790"/>
    <cellStyle name="Total 3 13 2" xfId="34401"/>
    <cellStyle name="Total 3 14" xfId="27791"/>
    <cellStyle name="Total 3 14 2" xfId="34402"/>
    <cellStyle name="Total 3 15" xfId="27792"/>
    <cellStyle name="Total 3 15 2" xfId="34403"/>
    <cellStyle name="Total 3 16" xfId="27793"/>
    <cellStyle name="Total 3 16 2" xfId="34404"/>
    <cellStyle name="Total 3 17" xfId="27794"/>
    <cellStyle name="Total 3 17 2" xfId="34405"/>
    <cellStyle name="Total 3 18" xfId="27795"/>
    <cellStyle name="Total 3 18 2" xfId="34406"/>
    <cellStyle name="Total 3 19" xfId="27796"/>
    <cellStyle name="Total 3 19 2" xfId="34407"/>
    <cellStyle name="Total 3 2" xfId="27797"/>
    <cellStyle name="Total 3 2 2" xfId="34408"/>
    <cellStyle name="Total 3 20" xfId="34409"/>
    <cellStyle name="Total 3 3" xfId="27798"/>
    <cellStyle name="Total 3 3 2" xfId="34410"/>
    <cellStyle name="Total 3 4" xfId="27799"/>
    <cellStyle name="Total 3 4 2" xfId="34411"/>
    <cellStyle name="Total 3 5" xfId="27800"/>
    <cellStyle name="Total 3 5 2" xfId="34412"/>
    <cellStyle name="Total 3 6" xfId="27801"/>
    <cellStyle name="Total 3 6 2" xfId="34413"/>
    <cellStyle name="Total 3 7" xfId="27802"/>
    <cellStyle name="Total 3 7 2" xfId="34414"/>
    <cellStyle name="Total 3 8" xfId="27803"/>
    <cellStyle name="Total 3 8 2" xfId="34415"/>
    <cellStyle name="Total 3 9" xfId="27804"/>
    <cellStyle name="Total 3 9 2" xfId="34416"/>
    <cellStyle name="Total 30" xfId="7127"/>
    <cellStyle name="Total 30 10" xfId="27805"/>
    <cellStyle name="Total 30 10 2" xfId="34417"/>
    <cellStyle name="Total 30 11" xfId="27806"/>
    <cellStyle name="Total 30 11 2" xfId="34418"/>
    <cellStyle name="Total 30 12" xfId="27807"/>
    <cellStyle name="Total 30 12 2" xfId="34419"/>
    <cellStyle name="Total 30 13" xfId="27808"/>
    <cellStyle name="Total 30 13 2" xfId="34420"/>
    <cellStyle name="Total 30 14" xfId="27809"/>
    <cellStyle name="Total 30 14 2" xfId="34421"/>
    <cellStyle name="Total 30 15" xfId="27810"/>
    <cellStyle name="Total 30 15 2" xfId="34422"/>
    <cellStyle name="Total 30 16" xfId="27811"/>
    <cellStyle name="Total 30 16 2" xfId="34423"/>
    <cellStyle name="Total 30 17" xfId="27812"/>
    <cellStyle name="Total 30 17 2" xfId="34424"/>
    <cellStyle name="Total 30 18" xfId="27813"/>
    <cellStyle name="Total 30 18 2" xfId="34425"/>
    <cellStyle name="Total 30 19" xfId="27814"/>
    <cellStyle name="Total 30 19 2" xfId="34426"/>
    <cellStyle name="Total 30 2" xfId="27815"/>
    <cellStyle name="Total 30 2 2" xfId="34427"/>
    <cellStyle name="Total 30 20" xfId="34428"/>
    <cellStyle name="Total 30 3" xfId="27816"/>
    <cellStyle name="Total 30 3 2" xfId="34429"/>
    <cellStyle name="Total 30 4" xfId="27817"/>
    <cellStyle name="Total 30 4 2" xfId="34430"/>
    <cellStyle name="Total 30 5" xfId="27818"/>
    <cellStyle name="Total 30 5 2" xfId="34431"/>
    <cellStyle name="Total 30 6" xfId="27819"/>
    <cellStyle name="Total 30 6 2" xfId="34432"/>
    <cellStyle name="Total 30 7" xfId="27820"/>
    <cellStyle name="Total 30 7 2" xfId="34433"/>
    <cellStyle name="Total 30 8" xfId="27821"/>
    <cellStyle name="Total 30 8 2" xfId="34434"/>
    <cellStyle name="Total 30 9" xfId="27822"/>
    <cellStyle name="Total 30 9 2" xfId="34435"/>
    <cellStyle name="Total 31" xfId="7128"/>
    <cellStyle name="Total 31 10" xfId="27823"/>
    <cellStyle name="Total 31 10 2" xfId="34436"/>
    <cellStyle name="Total 31 11" xfId="27824"/>
    <cellStyle name="Total 31 11 2" xfId="34437"/>
    <cellStyle name="Total 31 12" xfId="27825"/>
    <cellStyle name="Total 31 12 2" xfId="34438"/>
    <cellStyle name="Total 31 13" xfId="27826"/>
    <cellStyle name="Total 31 13 2" xfId="34439"/>
    <cellStyle name="Total 31 14" xfId="27827"/>
    <cellStyle name="Total 31 14 2" xfId="34440"/>
    <cellStyle name="Total 31 15" xfId="27828"/>
    <cellStyle name="Total 31 15 2" xfId="34441"/>
    <cellStyle name="Total 31 16" xfId="27829"/>
    <cellStyle name="Total 31 16 2" xfId="34442"/>
    <cellStyle name="Total 31 17" xfId="27830"/>
    <cellStyle name="Total 31 17 2" xfId="34443"/>
    <cellStyle name="Total 31 18" xfId="27831"/>
    <cellStyle name="Total 31 18 2" xfId="34444"/>
    <cellStyle name="Total 31 19" xfId="27832"/>
    <cellStyle name="Total 31 19 2" xfId="34445"/>
    <cellStyle name="Total 31 2" xfId="27833"/>
    <cellStyle name="Total 31 2 2" xfId="34446"/>
    <cellStyle name="Total 31 20" xfId="34447"/>
    <cellStyle name="Total 31 3" xfId="27834"/>
    <cellStyle name="Total 31 3 2" xfId="34448"/>
    <cellStyle name="Total 31 4" xfId="27835"/>
    <cellStyle name="Total 31 4 2" xfId="34449"/>
    <cellStyle name="Total 31 5" xfId="27836"/>
    <cellStyle name="Total 31 5 2" xfId="34450"/>
    <cellStyle name="Total 31 6" xfId="27837"/>
    <cellStyle name="Total 31 6 2" xfId="34451"/>
    <cellStyle name="Total 31 7" xfId="27838"/>
    <cellStyle name="Total 31 7 2" xfId="34452"/>
    <cellStyle name="Total 31 8" xfId="27839"/>
    <cellStyle name="Total 31 8 2" xfId="34453"/>
    <cellStyle name="Total 31 9" xfId="27840"/>
    <cellStyle name="Total 31 9 2" xfId="34454"/>
    <cellStyle name="Total 32" xfId="7129"/>
    <cellStyle name="Total 32 10" xfId="27841"/>
    <cellStyle name="Total 32 10 2" xfId="34455"/>
    <cellStyle name="Total 32 11" xfId="27842"/>
    <cellStyle name="Total 32 11 2" xfId="34456"/>
    <cellStyle name="Total 32 12" xfId="27843"/>
    <cellStyle name="Total 32 12 2" xfId="34457"/>
    <cellStyle name="Total 32 13" xfId="27844"/>
    <cellStyle name="Total 32 13 2" xfId="34458"/>
    <cellStyle name="Total 32 14" xfId="27845"/>
    <cellStyle name="Total 32 14 2" xfId="34459"/>
    <cellStyle name="Total 32 15" xfId="27846"/>
    <cellStyle name="Total 32 15 2" xfId="34460"/>
    <cellStyle name="Total 32 16" xfId="27847"/>
    <cellStyle name="Total 32 16 2" xfId="34461"/>
    <cellStyle name="Total 32 17" xfId="27848"/>
    <cellStyle name="Total 32 17 2" xfId="34462"/>
    <cellStyle name="Total 32 18" xfId="27849"/>
    <cellStyle name="Total 32 18 2" xfId="34463"/>
    <cellStyle name="Total 32 19" xfId="27850"/>
    <cellStyle name="Total 32 19 2" xfId="34464"/>
    <cellStyle name="Total 32 2" xfId="27851"/>
    <cellStyle name="Total 32 2 2" xfId="34465"/>
    <cellStyle name="Total 32 20" xfId="34466"/>
    <cellStyle name="Total 32 3" xfId="27852"/>
    <cellStyle name="Total 32 3 2" xfId="34467"/>
    <cellStyle name="Total 32 4" xfId="27853"/>
    <cellStyle name="Total 32 4 2" xfId="34468"/>
    <cellStyle name="Total 32 5" xfId="27854"/>
    <cellStyle name="Total 32 5 2" xfId="34469"/>
    <cellStyle name="Total 32 6" xfId="27855"/>
    <cellStyle name="Total 32 6 2" xfId="34470"/>
    <cellStyle name="Total 32 7" xfId="27856"/>
    <cellStyle name="Total 32 7 2" xfId="34471"/>
    <cellStyle name="Total 32 8" xfId="27857"/>
    <cellStyle name="Total 32 8 2" xfId="34472"/>
    <cellStyle name="Total 32 9" xfId="27858"/>
    <cellStyle name="Total 32 9 2" xfId="34473"/>
    <cellStyle name="Total 33" xfId="7130"/>
    <cellStyle name="Total 33 10" xfId="27859"/>
    <cellStyle name="Total 33 10 2" xfId="34474"/>
    <cellStyle name="Total 33 11" xfId="27860"/>
    <cellStyle name="Total 33 11 2" xfId="34475"/>
    <cellStyle name="Total 33 12" xfId="27861"/>
    <cellStyle name="Total 33 12 2" xfId="34476"/>
    <cellStyle name="Total 33 13" xfId="27862"/>
    <cellStyle name="Total 33 13 2" xfId="34477"/>
    <cellStyle name="Total 33 14" xfId="27863"/>
    <cellStyle name="Total 33 14 2" xfId="34478"/>
    <cellStyle name="Total 33 15" xfId="27864"/>
    <cellStyle name="Total 33 15 2" xfId="34479"/>
    <cellStyle name="Total 33 16" xfId="27865"/>
    <cellStyle name="Total 33 16 2" xfId="34480"/>
    <cellStyle name="Total 33 17" xfId="27866"/>
    <cellStyle name="Total 33 17 2" xfId="34481"/>
    <cellStyle name="Total 33 18" xfId="27867"/>
    <cellStyle name="Total 33 18 2" xfId="34482"/>
    <cellStyle name="Total 33 19" xfId="27868"/>
    <cellStyle name="Total 33 19 2" xfId="34483"/>
    <cellStyle name="Total 33 2" xfId="27869"/>
    <cellStyle name="Total 33 2 2" xfId="34484"/>
    <cellStyle name="Total 33 20" xfId="34485"/>
    <cellStyle name="Total 33 3" xfId="27870"/>
    <cellStyle name="Total 33 3 2" xfId="34486"/>
    <cellStyle name="Total 33 4" xfId="27871"/>
    <cellStyle name="Total 33 4 2" xfId="34487"/>
    <cellStyle name="Total 33 5" xfId="27872"/>
    <cellStyle name="Total 33 5 2" xfId="34488"/>
    <cellStyle name="Total 33 6" xfId="27873"/>
    <cellStyle name="Total 33 6 2" xfId="34489"/>
    <cellStyle name="Total 33 7" xfId="27874"/>
    <cellStyle name="Total 33 7 2" xfId="34490"/>
    <cellStyle name="Total 33 8" xfId="27875"/>
    <cellStyle name="Total 33 8 2" xfId="34491"/>
    <cellStyle name="Total 33 9" xfId="27876"/>
    <cellStyle name="Total 33 9 2" xfId="34492"/>
    <cellStyle name="Total 34" xfId="7131"/>
    <cellStyle name="Total 34 10" xfId="27877"/>
    <cellStyle name="Total 34 10 2" xfId="34493"/>
    <cellStyle name="Total 34 11" xfId="27878"/>
    <cellStyle name="Total 34 11 2" xfId="34494"/>
    <cellStyle name="Total 34 12" xfId="27879"/>
    <cellStyle name="Total 34 12 2" xfId="34495"/>
    <cellStyle name="Total 34 13" xfId="27880"/>
    <cellStyle name="Total 34 13 2" xfId="34496"/>
    <cellStyle name="Total 34 14" xfId="27881"/>
    <cellStyle name="Total 34 14 2" xfId="34497"/>
    <cellStyle name="Total 34 15" xfId="27882"/>
    <cellStyle name="Total 34 15 2" xfId="34498"/>
    <cellStyle name="Total 34 16" xfId="27883"/>
    <cellStyle name="Total 34 16 2" xfId="34499"/>
    <cellStyle name="Total 34 17" xfId="27884"/>
    <cellStyle name="Total 34 17 2" xfId="34500"/>
    <cellStyle name="Total 34 18" xfId="27885"/>
    <cellStyle name="Total 34 18 2" xfId="34501"/>
    <cellStyle name="Total 34 19" xfId="27886"/>
    <cellStyle name="Total 34 19 2" xfId="34502"/>
    <cellStyle name="Total 34 2" xfId="27887"/>
    <cellStyle name="Total 34 2 2" xfId="34503"/>
    <cellStyle name="Total 34 20" xfId="34504"/>
    <cellStyle name="Total 34 3" xfId="27888"/>
    <cellStyle name="Total 34 3 2" xfId="34505"/>
    <cellStyle name="Total 34 4" xfId="27889"/>
    <cellStyle name="Total 34 4 2" xfId="34506"/>
    <cellStyle name="Total 34 5" xfId="27890"/>
    <cellStyle name="Total 34 5 2" xfId="34507"/>
    <cellStyle name="Total 34 6" xfId="27891"/>
    <cellStyle name="Total 34 6 2" xfId="34508"/>
    <cellStyle name="Total 34 7" xfId="27892"/>
    <cellStyle name="Total 34 7 2" xfId="34509"/>
    <cellStyle name="Total 34 8" xfId="27893"/>
    <cellStyle name="Total 34 8 2" xfId="34510"/>
    <cellStyle name="Total 34 9" xfId="27894"/>
    <cellStyle name="Total 34 9 2" xfId="34511"/>
    <cellStyle name="Total 35" xfId="7132"/>
    <cellStyle name="Total 35 10" xfId="27895"/>
    <cellStyle name="Total 35 10 2" xfId="34512"/>
    <cellStyle name="Total 35 11" xfId="27896"/>
    <cellStyle name="Total 35 11 2" xfId="34513"/>
    <cellStyle name="Total 35 12" xfId="27897"/>
    <cellStyle name="Total 35 12 2" xfId="34514"/>
    <cellStyle name="Total 35 13" xfId="27898"/>
    <cellStyle name="Total 35 13 2" xfId="34515"/>
    <cellStyle name="Total 35 14" xfId="27899"/>
    <cellStyle name="Total 35 14 2" xfId="34516"/>
    <cellStyle name="Total 35 15" xfId="27900"/>
    <cellStyle name="Total 35 15 2" xfId="34517"/>
    <cellStyle name="Total 35 16" xfId="27901"/>
    <cellStyle name="Total 35 16 2" xfId="34518"/>
    <cellStyle name="Total 35 17" xfId="27902"/>
    <cellStyle name="Total 35 17 2" xfId="34519"/>
    <cellStyle name="Total 35 18" xfId="27903"/>
    <cellStyle name="Total 35 18 2" xfId="34520"/>
    <cellStyle name="Total 35 19" xfId="27904"/>
    <cellStyle name="Total 35 19 2" xfId="34521"/>
    <cellStyle name="Total 35 2" xfId="27905"/>
    <cellStyle name="Total 35 2 2" xfId="34522"/>
    <cellStyle name="Total 35 20" xfId="34523"/>
    <cellStyle name="Total 35 3" xfId="27906"/>
    <cellStyle name="Total 35 3 2" xfId="34524"/>
    <cellStyle name="Total 35 4" xfId="27907"/>
    <cellStyle name="Total 35 4 2" xfId="34525"/>
    <cellStyle name="Total 35 5" xfId="27908"/>
    <cellStyle name="Total 35 5 2" xfId="34526"/>
    <cellStyle name="Total 35 6" xfId="27909"/>
    <cellStyle name="Total 35 6 2" xfId="34527"/>
    <cellStyle name="Total 35 7" xfId="27910"/>
    <cellStyle name="Total 35 7 2" xfId="34528"/>
    <cellStyle name="Total 35 8" xfId="27911"/>
    <cellStyle name="Total 35 8 2" xfId="34529"/>
    <cellStyle name="Total 35 9" xfId="27912"/>
    <cellStyle name="Total 35 9 2" xfId="34530"/>
    <cellStyle name="Total 36" xfId="7133"/>
    <cellStyle name="Total 36 10" xfId="27913"/>
    <cellStyle name="Total 36 10 2" xfId="34531"/>
    <cellStyle name="Total 36 11" xfId="27914"/>
    <cellStyle name="Total 36 11 2" xfId="34532"/>
    <cellStyle name="Total 36 12" xfId="27915"/>
    <cellStyle name="Total 36 12 2" xfId="34533"/>
    <cellStyle name="Total 36 13" xfId="27916"/>
    <cellStyle name="Total 36 13 2" xfId="34534"/>
    <cellStyle name="Total 36 14" xfId="27917"/>
    <cellStyle name="Total 36 14 2" xfId="34535"/>
    <cellStyle name="Total 36 15" xfId="27918"/>
    <cellStyle name="Total 36 15 2" xfId="34536"/>
    <cellStyle name="Total 36 16" xfId="27919"/>
    <cellStyle name="Total 36 16 2" xfId="34537"/>
    <cellStyle name="Total 36 17" xfId="27920"/>
    <cellStyle name="Total 36 17 2" xfId="34538"/>
    <cellStyle name="Total 36 18" xfId="27921"/>
    <cellStyle name="Total 36 18 2" xfId="34539"/>
    <cellStyle name="Total 36 19" xfId="27922"/>
    <cellStyle name="Total 36 19 2" xfId="34540"/>
    <cellStyle name="Total 36 2" xfId="27923"/>
    <cellStyle name="Total 36 2 2" xfId="34541"/>
    <cellStyle name="Total 36 20" xfId="34542"/>
    <cellStyle name="Total 36 3" xfId="27924"/>
    <cellStyle name="Total 36 3 2" xfId="34543"/>
    <cellStyle name="Total 36 4" xfId="27925"/>
    <cellStyle name="Total 36 4 2" xfId="34544"/>
    <cellStyle name="Total 36 5" xfId="27926"/>
    <cellStyle name="Total 36 5 2" xfId="34545"/>
    <cellStyle name="Total 36 6" xfId="27927"/>
    <cellStyle name="Total 36 6 2" xfId="34546"/>
    <cellStyle name="Total 36 7" xfId="27928"/>
    <cellStyle name="Total 36 7 2" xfId="34547"/>
    <cellStyle name="Total 36 8" xfId="27929"/>
    <cellStyle name="Total 36 8 2" xfId="34548"/>
    <cellStyle name="Total 36 9" xfId="27930"/>
    <cellStyle name="Total 36 9 2" xfId="34549"/>
    <cellStyle name="Total 37" xfId="7134"/>
    <cellStyle name="Total 37 10" xfId="27931"/>
    <cellStyle name="Total 37 10 2" xfId="34550"/>
    <cellStyle name="Total 37 11" xfId="27932"/>
    <cellStyle name="Total 37 11 2" xfId="34551"/>
    <cellStyle name="Total 37 12" xfId="27933"/>
    <cellStyle name="Total 37 12 2" xfId="34552"/>
    <cellStyle name="Total 37 13" xfId="27934"/>
    <cellStyle name="Total 37 13 2" xfId="34553"/>
    <cellStyle name="Total 37 14" xfId="27935"/>
    <cellStyle name="Total 37 14 2" xfId="34554"/>
    <cellStyle name="Total 37 15" xfId="27936"/>
    <cellStyle name="Total 37 15 2" xfId="34555"/>
    <cellStyle name="Total 37 16" xfId="27937"/>
    <cellStyle name="Total 37 16 2" xfId="34556"/>
    <cellStyle name="Total 37 17" xfId="27938"/>
    <cellStyle name="Total 37 17 2" xfId="34557"/>
    <cellStyle name="Total 37 18" xfId="27939"/>
    <cellStyle name="Total 37 18 2" xfId="34558"/>
    <cellStyle name="Total 37 19" xfId="27940"/>
    <cellStyle name="Total 37 19 2" xfId="34559"/>
    <cellStyle name="Total 37 2" xfId="27941"/>
    <cellStyle name="Total 37 2 2" xfId="34560"/>
    <cellStyle name="Total 37 20" xfId="34561"/>
    <cellStyle name="Total 37 3" xfId="27942"/>
    <cellStyle name="Total 37 3 2" xfId="34562"/>
    <cellStyle name="Total 37 4" xfId="27943"/>
    <cellStyle name="Total 37 4 2" xfId="34563"/>
    <cellStyle name="Total 37 5" xfId="27944"/>
    <cellStyle name="Total 37 5 2" xfId="34564"/>
    <cellStyle name="Total 37 6" xfId="27945"/>
    <cellStyle name="Total 37 6 2" xfId="34565"/>
    <cellStyle name="Total 37 7" xfId="27946"/>
    <cellStyle name="Total 37 7 2" xfId="34566"/>
    <cellStyle name="Total 37 8" xfId="27947"/>
    <cellStyle name="Total 37 8 2" xfId="34567"/>
    <cellStyle name="Total 37 9" xfId="27948"/>
    <cellStyle name="Total 37 9 2" xfId="34568"/>
    <cellStyle name="Total 38" xfId="7135"/>
    <cellStyle name="Total 38 10" xfId="27949"/>
    <cellStyle name="Total 38 10 2" xfId="34569"/>
    <cellStyle name="Total 38 11" xfId="27950"/>
    <cellStyle name="Total 38 11 2" xfId="34570"/>
    <cellStyle name="Total 38 12" xfId="27951"/>
    <cellStyle name="Total 38 12 2" xfId="34571"/>
    <cellStyle name="Total 38 13" xfId="27952"/>
    <cellStyle name="Total 38 13 2" xfId="34572"/>
    <cellStyle name="Total 38 14" xfId="27953"/>
    <cellStyle name="Total 38 14 2" xfId="34573"/>
    <cellStyle name="Total 38 15" xfId="27954"/>
    <cellStyle name="Total 38 15 2" xfId="34574"/>
    <cellStyle name="Total 38 16" xfId="27955"/>
    <cellStyle name="Total 38 16 2" xfId="34575"/>
    <cellStyle name="Total 38 17" xfId="27956"/>
    <cellStyle name="Total 38 17 2" xfId="34576"/>
    <cellStyle name="Total 38 18" xfId="27957"/>
    <cellStyle name="Total 38 18 2" xfId="34577"/>
    <cellStyle name="Total 38 19" xfId="27958"/>
    <cellStyle name="Total 38 19 2" xfId="34578"/>
    <cellStyle name="Total 38 2" xfId="27959"/>
    <cellStyle name="Total 38 2 2" xfId="34579"/>
    <cellStyle name="Total 38 20" xfId="34580"/>
    <cellStyle name="Total 38 3" xfId="27960"/>
    <cellStyle name="Total 38 3 2" xfId="34581"/>
    <cellStyle name="Total 38 4" xfId="27961"/>
    <cellStyle name="Total 38 4 2" xfId="34582"/>
    <cellStyle name="Total 38 5" xfId="27962"/>
    <cellStyle name="Total 38 5 2" xfId="34583"/>
    <cellStyle name="Total 38 6" xfId="27963"/>
    <cellStyle name="Total 38 6 2" xfId="34584"/>
    <cellStyle name="Total 38 7" xfId="27964"/>
    <cellStyle name="Total 38 7 2" xfId="34585"/>
    <cellStyle name="Total 38 8" xfId="27965"/>
    <cellStyle name="Total 38 8 2" xfId="34586"/>
    <cellStyle name="Total 38 9" xfId="27966"/>
    <cellStyle name="Total 38 9 2" xfId="34587"/>
    <cellStyle name="Total 39" xfId="7136"/>
    <cellStyle name="Total 39 10" xfId="27967"/>
    <cellStyle name="Total 39 10 2" xfId="34588"/>
    <cellStyle name="Total 39 11" xfId="27968"/>
    <cellStyle name="Total 39 11 2" xfId="34589"/>
    <cellStyle name="Total 39 12" xfId="27969"/>
    <cellStyle name="Total 39 12 2" xfId="34590"/>
    <cellStyle name="Total 39 13" xfId="27970"/>
    <cellStyle name="Total 39 13 2" xfId="34591"/>
    <cellStyle name="Total 39 14" xfId="27971"/>
    <cellStyle name="Total 39 14 2" xfId="34592"/>
    <cellStyle name="Total 39 15" xfId="27972"/>
    <cellStyle name="Total 39 15 2" xfId="34593"/>
    <cellStyle name="Total 39 16" xfId="27973"/>
    <cellStyle name="Total 39 16 2" xfId="34594"/>
    <cellStyle name="Total 39 17" xfId="27974"/>
    <cellStyle name="Total 39 17 2" xfId="34595"/>
    <cellStyle name="Total 39 18" xfId="27975"/>
    <cellStyle name="Total 39 18 2" xfId="34596"/>
    <cellStyle name="Total 39 19" xfId="27976"/>
    <cellStyle name="Total 39 19 2" xfId="34597"/>
    <cellStyle name="Total 39 2" xfId="27977"/>
    <cellStyle name="Total 39 2 2" xfId="34598"/>
    <cellStyle name="Total 39 20" xfId="34599"/>
    <cellStyle name="Total 39 3" xfId="27978"/>
    <cellStyle name="Total 39 3 2" xfId="34600"/>
    <cellStyle name="Total 39 4" xfId="27979"/>
    <cellStyle name="Total 39 4 2" xfId="34601"/>
    <cellStyle name="Total 39 5" xfId="27980"/>
    <cellStyle name="Total 39 5 2" xfId="34602"/>
    <cellStyle name="Total 39 6" xfId="27981"/>
    <cellStyle name="Total 39 6 2" xfId="34603"/>
    <cellStyle name="Total 39 7" xfId="27982"/>
    <cellStyle name="Total 39 7 2" xfId="34604"/>
    <cellStyle name="Total 39 8" xfId="27983"/>
    <cellStyle name="Total 39 8 2" xfId="34605"/>
    <cellStyle name="Total 39 9" xfId="27984"/>
    <cellStyle name="Total 39 9 2" xfId="34606"/>
    <cellStyle name="Total 4" xfId="7137"/>
    <cellStyle name="Total 4 10" xfId="27985"/>
    <cellStyle name="Total 4 10 2" xfId="34607"/>
    <cellStyle name="Total 4 11" xfId="27986"/>
    <cellStyle name="Total 4 11 2" xfId="34608"/>
    <cellStyle name="Total 4 12" xfId="27987"/>
    <cellStyle name="Total 4 12 2" xfId="34609"/>
    <cellStyle name="Total 4 13" xfId="27988"/>
    <cellStyle name="Total 4 13 2" xfId="34610"/>
    <cellStyle name="Total 4 14" xfId="27989"/>
    <cellStyle name="Total 4 14 2" xfId="34611"/>
    <cellStyle name="Total 4 15" xfId="27990"/>
    <cellStyle name="Total 4 15 2" xfId="34612"/>
    <cellStyle name="Total 4 16" xfId="27991"/>
    <cellStyle name="Total 4 16 2" xfId="34613"/>
    <cellStyle name="Total 4 17" xfId="27992"/>
    <cellStyle name="Total 4 17 2" xfId="34614"/>
    <cellStyle name="Total 4 18" xfId="27993"/>
    <cellStyle name="Total 4 18 2" xfId="34615"/>
    <cellStyle name="Total 4 19" xfId="27994"/>
    <cellStyle name="Total 4 19 2" xfId="34616"/>
    <cellStyle name="Total 4 2" xfId="27995"/>
    <cellStyle name="Total 4 2 2" xfId="34617"/>
    <cellStyle name="Total 4 20" xfId="34618"/>
    <cellStyle name="Total 4 3" xfId="27996"/>
    <cellStyle name="Total 4 3 2" xfId="34619"/>
    <cellStyle name="Total 4 4" xfId="27997"/>
    <cellStyle name="Total 4 4 2" xfId="34620"/>
    <cellStyle name="Total 4 5" xfId="27998"/>
    <cellStyle name="Total 4 5 2" xfId="34621"/>
    <cellStyle name="Total 4 6" xfId="27999"/>
    <cellStyle name="Total 4 6 2" xfId="34622"/>
    <cellStyle name="Total 4 7" xfId="28000"/>
    <cellStyle name="Total 4 7 2" xfId="34623"/>
    <cellStyle name="Total 4 8" xfId="28001"/>
    <cellStyle name="Total 4 8 2" xfId="34624"/>
    <cellStyle name="Total 4 9" xfId="28002"/>
    <cellStyle name="Total 4 9 2" xfId="34625"/>
    <cellStyle name="Total 40" xfId="7138"/>
    <cellStyle name="Total 40 10" xfId="28003"/>
    <cellStyle name="Total 40 10 2" xfId="34626"/>
    <cellStyle name="Total 40 11" xfId="28004"/>
    <cellStyle name="Total 40 11 2" xfId="34627"/>
    <cellStyle name="Total 40 12" xfId="28005"/>
    <cellStyle name="Total 40 12 2" xfId="34628"/>
    <cellStyle name="Total 40 13" xfId="28006"/>
    <cellStyle name="Total 40 13 2" xfId="34629"/>
    <cellStyle name="Total 40 14" xfId="28007"/>
    <cellStyle name="Total 40 14 2" xfId="34630"/>
    <cellStyle name="Total 40 15" xfId="28008"/>
    <cellStyle name="Total 40 15 2" xfId="34631"/>
    <cellStyle name="Total 40 16" xfId="28009"/>
    <cellStyle name="Total 40 16 2" xfId="34632"/>
    <cellStyle name="Total 40 17" xfId="28010"/>
    <cellStyle name="Total 40 17 2" xfId="34633"/>
    <cellStyle name="Total 40 18" xfId="28011"/>
    <cellStyle name="Total 40 18 2" xfId="34634"/>
    <cellStyle name="Total 40 19" xfId="28012"/>
    <cellStyle name="Total 40 19 2" xfId="34635"/>
    <cellStyle name="Total 40 2" xfId="28013"/>
    <cellStyle name="Total 40 2 2" xfId="34636"/>
    <cellStyle name="Total 40 20" xfId="34637"/>
    <cellStyle name="Total 40 3" xfId="28014"/>
    <cellStyle name="Total 40 3 2" xfId="34638"/>
    <cellStyle name="Total 40 4" xfId="28015"/>
    <cellStyle name="Total 40 4 2" xfId="34639"/>
    <cellStyle name="Total 40 5" xfId="28016"/>
    <cellStyle name="Total 40 5 2" xfId="34640"/>
    <cellStyle name="Total 40 6" xfId="28017"/>
    <cellStyle name="Total 40 6 2" xfId="34641"/>
    <cellStyle name="Total 40 7" xfId="28018"/>
    <cellStyle name="Total 40 7 2" xfId="34642"/>
    <cellStyle name="Total 40 8" xfId="28019"/>
    <cellStyle name="Total 40 8 2" xfId="34643"/>
    <cellStyle name="Total 40 9" xfId="28020"/>
    <cellStyle name="Total 40 9 2" xfId="34644"/>
    <cellStyle name="Total 41" xfId="7139"/>
    <cellStyle name="Total 41 10" xfId="28021"/>
    <cellStyle name="Total 41 10 2" xfId="34645"/>
    <cellStyle name="Total 41 11" xfId="28022"/>
    <cellStyle name="Total 41 11 2" xfId="34646"/>
    <cellStyle name="Total 41 12" xfId="28023"/>
    <cellStyle name="Total 41 12 2" xfId="34647"/>
    <cellStyle name="Total 41 13" xfId="28024"/>
    <cellStyle name="Total 41 13 2" xfId="34648"/>
    <cellStyle name="Total 41 14" xfId="28025"/>
    <cellStyle name="Total 41 14 2" xfId="34649"/>
    <cellStyle name="Total 41 15" xfId="28026"/>
    <cellStyle name="Total 41 15 2" xfId="34650"/>
    <cellStyle name="Total 41 16" xfId="28027"/>
    <cellStyle name="Total 41 16 2" xfId="34651"/>
    <cellStyle name="Total 41 17" xfId="28028"/>
    <cellStyle name="Total 41 17 2" xfId="34652"/>
    <cellStyle name="Total 41 18" xfId="28029"/>
    <cellStyle name="Total 41 18 2" xfId="34653"/>
    <cellStyle name="Total 41 19" xfId="28030"/>
    <cellStyle name="Total 41 19 2" xfId="34654"/>
    <cellStyle name="Total 41 2" xfId="28031"/>
    <cellStyle name="Total 41 2 2" xfId="34655"/>
    <cellStyle name="Total 41 20" xfId="34656"/>
    <cellStyle name="Total 41 3" xfId="28032"/>
    <cellStyle name="Total 41 3 2" xfId="34657"/>
    <cellStyle name="Total 41 4" xfId="28033"/>
    <cellStyle name="Total 41 4 2" xfId="34658"/>
    <cellStyle name="Total 41 5" xfId="28034"/>
    <cellStyle name="Total 41 5 2" xfId="34659"/>
    <cellStyle name="Total 41 6" xfId="28035"/>
    <cellStyle name="Total 41 6 2" xfId="34660"/>
    <cellStyle name="Total 41 7" xfId="28036"/>
    <cellStyle name="Total 41 7 2" xfId="34661"/>
    <cellStyle name="Total 41 8" xfId="28037"/>
    <cellStyle name="Total 41 8 2" xfId="34662"/>
    <cellStyle name="Total 41 9" xfId="28038"/>
    <cellStyle name="Total 41 9 2" xfId="34663"/>
    <cellStyle name="Total 42" xfId="7140"/>
    <cellStyle name="Total 42 10" xfId="28039"/>
    <cellStyle name="Total 42 10 2" xfId="34664"/>
    <cellStyle name="Total 42 11" xfId="28040"/>
    <cellStyle name="Total 42 11 2" xfId="34665"/>
    <cellStyle name="Total 42 12" xfId="28041"/>
    <cellStyle name="Total 42 12 2" xfId="34666"/>
    <cellStyle name="Total 42 13" xfId="28042"/>
    <cellStyle name="Total 42 13 2" xfId="34667"/>
    <cellStyle name="Total 42 14" xfId="28043"/>
    <cellStyle name="Total 42 14 2" xfId="34668"/>
    <cellStyle name="Total 42 15" xfId="28044"/>
    <cellStyle name="Total 42 15 2" xfId="34669"/>
    <cellStyle name="Total 42 16" xfId="28045"/>
    <cellStyle name="Total 42 16 2" xfId="34670"/>
    <cellStyle name="Total 42 17" xfId="28046"/>
    <cellStyle name="Total 42 17 2" xfId="34671"/>
    <cellStyle name="Total 42 18" xfId="28047"/>
    <cellStyle name="Total 42 18 2" xfId="34672"/>
    <cellStyle name="Total 42 19" xfId="28048"/>
    <cellStyle name="Total 42 19 2" xfId="34673"/>
    <cellStyle name="Total 42 2" xfId="28049"/>
    <cellStyle name="Total 42 2 2" xfId="34674"/>
    <cellStyle name="Total 42 20" xfId="34675"/>
    <cellStyle name="Total 42 3" xfId="28050"/>
    <cellStyle name="Total 42 3 2" xfId="34676"/>
    <cellStyle name="Total 42 4" xfId="28051"/>
    <cellStyle name="Total 42 4 2" xfId="34677"/>
    <cellStyle name="Total 42 5" xfId="28052"/>
    <cellStyle name="Total 42 5 2" xfId="34678"/>
    <cellStyle name="Total 42 6" xfId="28053"/>
    <cellStyle name="Total 42 6 2" xfId="34679"/>
    <cellStyle name="Total 42 7" xfId="28054"/>
    <cellStyle name="Total 42 7 2" xfId="34680"/>
    <cellStyle name="Total 42 8" xfId="28055"/>
    <cellStyle name="Total 42 8 2" xfId="34681"/>
    <cellStyle name="Total 42 9" xfId="28056"/>
    <cellStyle name="Total 42 9 2" xfId="34682"/>
    <cellStyle name="Total 43" xfId="7141"/>
    <cellStyle name="Total 43 10" xfId="28057"/>
    <cellStyle name="Total 43 10 2" xfId="34683"/>
    <cellStyle name="Total 43 11" xfId="28058"/>
    <cellStyle name="Total 43 11 2" xfId="34684"/>
    <cellStyle name="Total 43 12" xfId="28059"/>
    <cellStyle name="Total 43 12 2" xfId="34685"/>
    <cellStyle name="Total 43 13" xfId="28060"/>
    <cellStyle name="Total 43 13 2" xfId="34686"/>
    <cellStyle name="Total 43 14" xfId="28061"/>
    <cellStyle name="Total 43 14 2" xfId="34687"/>
    <cellStyle name="Total 43 15" xfId="28062"/>
    <cellStyle name="Total 43 15 2" xfId="34688"/>
    <cellStyle name="Total 43 16" xfId="28063"/>
    <cellStyle name="Total 43 16 2" xfId="34689"/>
    <cellStyle name="Total 43 17" xfId="28064"/>
    <cellStyle name="Total 43 17 2" xfId="34690"/>
    <cellStyle name="Total 43 18" xfId="28065"/>
    <cellStyle name="Total 43 18 2" xfId="34691"/>
    <cellStyle name="Total 43 19" xfId="28066"/>
    <cellStyle name="Total 43 19 2" xfId="34692"/>
    <cellStyle name="Total 43 2" xfId="28067"/>
    <cellStyle name="Total 43 2 2" xfId="34693"/>
    <cellStyle name="Total 43 20" xfId="34694"/>
    <cellStyle name="Total 43 3" xfId="28068"/>
    <cellStyle name="Total 43 3 2" xfId="34695"/>
    <cellStyle name="Total 43 4" xfId="28069"/>
    <cellStyle name="Total 43 4 2" xfId="34696"/>
    <cellStyle name="Total 43 5" xfId="28070"/>
    <cellStyle name="Total 43 5 2" xfId="34697"/>
    <cellStyle name="Total 43 6" xfId="28071"/>
    <cellStyle name="Total 43 6 2" xfId="34698"/>
    <cellStyle name="Total 43 7" xfId="28072"/>
    <cellStyle name="Total 43 7 2" xfId="34699"/>
    <cellStyle name="Total 43 8" xfId="28073"/>
    <cellStyle name="Total 43 8 2" xfId="34700"/>
    <cellStyle name="Total 43 9" xfId="28074"/>
    <cellStyle name="Total 43 9 2" xfId="34701"/>
    <cellStyle name="Total 44" xfId="7142"/>
    <cellStyle name="Total 44 10" xfId="28075"/>
    <cellStyle name="Total 44 10 2" xfId="34702"/>
    <cellStyle name="Total 44 11" xfId="28076"/>
    <cellStyle name="Total 44 11 2" xfId="34703"/>
    <cellStyle name="Total 44 12" xfId="28077"/>
    <cellStyle name="Total 44 12 2" xfId="34704"/>
    <cellStyle name="Total 44 13" xfId="28078"/>
    <cellStyle name="Total 44 13 2" xfId="34705"/>
    <cellStyle name="Total 44 14" xfId="28079"/>
    <cellStyle name="Total 44 14 2" xfId="34706"/>
    <cellStyle name="Total 44 15" xfId="28080"/>
    <cellStyle name="Total 44 15 2" xfId="34707"/>
    <cellStyle name="Total 44 16" xfId="28081"/>
    <cellStyle name="Total 44 16 2" xfId="34708"/>
    <cellStyle name="Total 44 17" xfId="28082"/>
    <cellStyle name="Total 44 17 2" xfId="34709"/>
    <cellStyle name="Total 44 18" xfId="28083"/>
    <cellStyle name="Total 44 18 2" xfId="34710"/>
    <cellStyle name="Total 44 19" xfId="28084"/>
    <cellStyle name="Total 44 19 2" xfId="34711"/>
    <cellStyle name="Total 44 2" xfId="28085"/>
    <cellStyle name="Total 44 2 2" xfId="34712"/>
    <cellStyle name="Total 44 20" xfId="34713"/>
    <cellStyle name="Total 44 3" xfId="28086"/>
    <cellStyle name="Total 44 3 2" xfId="34714"/>
    <cellStyle name="Total 44 4" xfId="28087"/>
    <cellStyle name="Total 44 4 2" xfId="34715"/>
    <cellStyle name="Total 44 5" xfId="28088"/>
    <cellStyle name="Total 44 5 2" xfId="34716"/>
    <cellStyle name="Total 44 6" xfId="28089"/>
    <cellStyle name="Total 44 6 2" xfId="34717"/>
    <cellStyle name="Total 44 7" xfId="28090"/>
    <cellStyle name="Total 44 7 2" xfId="34718"/>
    <cellStyle name="Total 44 8" xfId="28091"/>
    <cellStyle name="Total 44 8 2" xfId="34719"/>
    <cellStyle name="Total 44 9" xfId="28092"/>
    <cellStyle name="Total 44 9 2" xfId="34720"/>
    <cellStyle name="Total 45" xfId="7143"/>
    <cellStyle name="Total 45 10" xfId="28093"/>
    <cellStyle name="Total 45 10 2" xfId="34721"/>
    <cellStyle name="Total 45 11" xfId="28094"/>
    <cellStyle name="Total 45 11 2" xfId="34722"/>
    <cellStyle name="Total 45 12" xfId="28095"/>
    <cellStyle name="Total 45 12 2" xfId="34723"/>
    <cellStyle name="Total 45 13" xfId="28096"/>
    <cellStyle name="Total 45 13 2" xfId="34724"/>
    <cellStyle name="Total 45 14" xfId="28097"/>
    <cellStyle name="Total 45 14 2" xfId="34725"/>
    <cellStyle name="Total 45 15" xfId="28098"/>
    <cellStyle name="Total 45 15 2" xfId="34726"/>
    <cellStyle name="Total 45 16" xfId="28099"/>
    <cellStyle name="Total 45 16 2" xfId="34727"/>
    <cellStyle name="Total 45 17" xfId="28100"/>
    <cellStyle name="Total 45 17 2" xfId="34728"/>
    <cellStyle name="Total 45 18" xfId="28101"/>
    <cellStyle name="Total 45 18 2" xfId="34729"/>
    <cellStyle name="Total 45 19" xfId="28102"/>
    <cellStyle name="Total 45 19 2" xfId="34730"/>
    <cellStyle name="Total 45 2" xfId="28103"/>
    <cellStyle name="Total 45 2 2" xfId="34731"/>
    <cellStyle name="Total 45 20" xfId="34732"/>
    <cellStyle name="Total 45 3" xfId="28104"/>
    <cellStyle name="Total 45 3 2" xfId="34733"/>
    <cellStyle name="Total 45 4" xfId="28105"/>
    <cellStyle name="Total 45 4 2" xfId="34734"/>
    <cellStyle name="Total 45 5" xfId="28106"/>
    <cellStyle name="Total 45 5 2" xfId="34735"/>
    <cellStyle name="Total 45 6" xfId="28107"/>
    <cellStyle name="Total 45 6 2" xfId="34736"/>
    <cellStyle name="Total 45 7" xfId="28108"/>
    <cellStyle name="Total 45 7 2" xfId="34737"/>
    <cellStyle name="Total 45 8" xfId="28109"/>
    <cellStyle name="Total 45 8 2" xfId="34738"/>
    <cellStyle name="Total 45 9" xfId="28110"/>
    <cellStyle name="Total 45 9 2" xfId="34739"/>
    <cellStyle name="Total 46" xfId="7144"/>
    <cellStyle name="Total 46 10" xfId="28111"/>
    <cellStyle name="Total 46 10 2" xfId="34740"/>
    <cellStyle name="Total 46 11" xfId="28112"/>
    <cellStyle name="Total 46 11 2" xfId="34741"/>
    <cellStyle name="Total 46 12" xfId="28113"/>
    <cellStyle name="Total 46 12 2" xfId="34742"/>
    <cellStyle name="Total 46 13" xfId="28114"/>
    <cellStyle name="Total 46 13 2" xfId="34743"/>
    <cellStyle name="Total 46 14" xfId="28115"/>
    <cellStyle name="Total 46 14 2" xfId="34744"/>
    <cellStyle name="Total 46 15" xfId="28116"/>
    <cellStyle name="Total 46 15 2" xfId="34745"/>
    <cellStyle name="Total 46 16" xfId="28117"/>
    <cellStyle name="Total 46 16 2" xfId="34746"/>
    <cellStyle name="Total 46 17" xfId="28118"/>
    <cellStyle name="Total 46 17 2" xfId="34747"/>
    <cellStyle name="Total 46 18" xfId="28119"/>
    <cellStyle name="Total 46 18 2" xfId="34748"/>
    <cellStyle name="Total 46 19" xfId="28120"/>
    <cellStyle name="Total 46 19 2" xfId="34749"/>
    <cellStyle name="Total 46 2" xfId="28121"/>
    <cellStyle name="Total 46 2 2" xfId="34750"/>
    <cellStyle name="Total 46 20" xfId="34751"/>
    <cellStyle name="Total 46 3" xfId="28122"/>
    <cellStyle name="Total 46 3 2" xfId="34752"/>
    <cellStyle name="Total 46 4" xfId="28123"/>
    <cellStyle name="Total 46 4 2" xfId="34753"/>
    <cellStyle name="Total 46 5" xfId="28124"/>
    <cellStyle name="Total 46 5 2" xfId="34754"/>
    <cellStyle name="Total 46 6" xfId="28125"/>
    <cellStyle name="Total 46 6 2" xfId="34755"/>
    <cellStyle name="Total 46 7" xfId="28126"/>
    <cellStyle name="Total 46 7 2" xfId="34756"/>
    <cellStyle name="Total 46 8" xfId="28127"/>
    <cellStyle name="Total 46 8 2" xfId="34757"/>
    <cellStyle name="Total 46 9" xfId="28128"/>
    <cellStyle name="Total 46 9 2" xfId="34758"/>
    <cellStyle name="Total 47" xfId="7145"/>
    <cellStyle name="Total 47 10" xfId="28129"/>
    <cellStyle name="Total 47 10 2" xfId="34759"/>
    <cellStyle name="Total 47 11" xfId="28130"/>
    <cellStyle name="Total 47 11 2" xfId="34760"/>
    <cellStyle name="Total 47 12" xfId="28131"/>
    <cellStyle name="Total 47 12 2" xfId="34761"/>
    <cellStyle name="Total 47 13" xfId="28132"/>
    <cellStyle name="Total 47 13 2" xfId="34762"/>
    <cellStyle name="Total 47 14" xfId="28133"/>
    <cellStyle name="Total 47 14 2" xfId="34763"/>
    <cellStyle name="Total 47 15" xfId="28134"/>
    <cellStyle name="Total 47 15 2" xfId="34764"/>
    <cellStyle name="Total 47 16" xfId="28135"/>
    <cellStyle name="Total 47 16 2" xfId="34765"/>
    <cellStyle name="Total 47 17" xfId="28136"/>
    <cellStyle name="Total 47 17 2" xfId="34766"/>
    <cellStyle name="Total 47 18" xfId="28137"/>
    <cellStyle name="Total 47 18 2" xfId="34767"/>
    <cellStyle name="Total 47 19" xfId="28138"/>
    <cellStyle name="Total 47 19 2" xfId="34768"/>
    <cellStyle name="Total 47 2" xfId="28139"/>
    <cellStyle name="Total 47 2 2" xfId="34769"/>
    <cellStyle name="Total 47 20" xfId="34770"/>
    <cellStyle name="Total 47 3" xfId="28140"/>
    <cellStyle name="Total 47 3 2" xfId="34771"/>
    <cellStyle name="Total 47 4" xfId="28141"/>
    <cellStyle name="Total 47 4 2" xfId="34772"/>
    <cellStyle name="Total 47 5" xfId="28142"/>
    <cellStyle name="Total 47 5 2" xfId="34773"/>
    <cellStyle name="Total 47 6" xfId="28143"/>
    <cellStyle name="Total 47 6 2" xfId="34774"/>
    <cellStyle name="Total 47 7" xfId="28144"/>
    <cellStyle name="Total 47 7 2" xfId="34775"/>
    <cellStyle name="Total 47 8" xfId="28145"/>
    <cellStyle name="Total 47 8 2" xfId="34776"/>
    <cellStyle name="Total 47 9" xfId="28146"/>
    <cellStyle name="Total 47 9 2" xfId="34777"/>
    <cellStyle name="Total 48" xfId="7146"/>
    <cellStyle name="Total 48 10" xfId="28147"/>
    <cellStyle name="Total 48 10 2" xfId="34778"/>
    <cellStyle name="Total 48 11" xfId="28148"/>
    <cellStyle name="Total 48 11 2" xfId="34779"/>
    <cellStyle name="Total 48 12" xfId="28149"/>
    <cellStyle name="Total 48 12 2" xfId="34780"/>
    <cellStyle name="Total 48 13" xfId="28150"/>
    <cellStyle name="Total 48 13 2" xfId="34781"/>
    <cellStyle name="Total 48 14" xfId="28151"/>
    <cellStyle name="Total 48 14 2" xfId="34782"/>
    <cellStyle name="Total 48 15" xfId="28152"/>
    <cellStyle name="Total 48 15 2" xfId="34783"/>
    <cellStyle name="Total 48 16" xfId="28153"/>
    <cellStyle name="Total 48 16 2" xfId="34784"/>
    <cellStyle name="Total 48 17" xfId="28154"/>
    <cellStyle name="Total 48 17 2" xfId="34785"/>
    <cellStyle name="Total 48 18" xfId="28155"/>
    <cellStyle name="Total 48 18 2" xfId="34786"/>
    <cellStyle name="Total 48 19" xfId="28156"/>
    <cellStyle name="Total 48 19 2" xfId="34787"/>
    <cellStyle name="Total 48 2" xfId="28157"/>
    <cellStyle name="Total 48 2 2" xfId="34788"/>
    <cellStyle name="Total 48 20" xfId="34789"/>
    <cellStyle name="Total 48 3" xfId="28158"/>
    <cellStyle name="Total 48 3 2" xfId="34790"/>
    <cellStyle name="Total 48 4" xfId="28159"/>
    <cellStyle name="Total 48 4 2" xfId="34791"/>
    <cellStyle name="Total 48 5" xfId="28160"/>
    <cellStyle name="Total 48 5 2" xfId="34792"/>
    <cellStyle name="Total 48 6" xfId="28161"/>
    <cellStyle name="Total 48 6 2" xfId="34793"/>
    <cellStyle name="Total 48 7" xfId="28162"/>
    <cellStyle name="Total 48 7 2" xfId="34794"/>
    <cellStyle name="Total 48 8" xfId="28163"/>
    <cellStyle name="Total 48 8 2" xfId="34795"/>
    <cellStyle name="Total 48 9" xfId="28164"/>
    <cellStyle name="Total 48 9 2" xfId="34796"/>
    <cellStyle name="Total 49" xfId="7147"/>
    <cellStyle name="Total 49 10" xfId="28165"/>
    <cellStyle name="Total 49 10 2" xfId="34797"/>
    <cellStyle name="Total 49 11" xfId="28166"/>
    <cellStyle name="Total 49 11 2" xfId="34798"/>
    <cellStyle name="Total 49 12" xfId="28167"/>
    <cellStyle name="Total 49 12 2" xfId="34799"/>
    <cellStyle name="Total 49 13" xfId="28168"/>
    <cellStyle name="Total 49 13 2" xfId="34800"/>
    <cellStyle name="Total 49 14" xfId="28169"/>
    <cellStyle name="Total 49 14 2" xfId="34801"/>
    <cellStyle name="Total 49 15" xfId="28170"/>
    <cellStyle name="Total 49 15 2" xfId="34802"/>
    <cellStyle name="Total 49 16" xfId="28171"/>
    <cellStyle name="Total 49 16 2" xfId="34803"/>
    <cellStyle name="Total 49 17" xfId="28172"/>
    <cellStyle name="Total 49 17 2" xfId="34804"/>
    <cellStyle name="Total 49 18" xfId="28173"/>
    <cellStyle name="Total 49 18 2" xfId="34805"/>
    <cellStyle name="Total 49 19" xfId="28174"/>
    <cellStyle name="Total 49 19 2" xfId="34806"/>
    <cellStyle name="Total 49 2" xfId="28175"/>
    <cellStyle name="Total 49 2 2" xfId="34807"/>
    <cellStyle name="Total 49 20" xfId="34808"/>
    <cellStyle name="Total 49 3" xfId="28176"/>
    <cellStyle name="Total 49 3 2" xfId="34809"/>
    <cellStyle name="Total 49 4" xfId="28177"/>
    <cellStyle name="Total 49 4 2" xfId="34810"/>
    <cellStyle name="Total 49 5" xfId="28178"/>
    <cellStyle name="Total 49 5 2" xfId="34811"/>
    <cellStyle name="Total 49 6" xfId="28179"/>
    <cellStyle name="Total 49 6 2" xfId="34812"/>
    <cellStyle name="Total 49 7" xfId="28180"/>
    <cellStyle name="Total 49 7 2" xfId="34813"/>
    <cellStyle name="Total 49 8" xfId="28181"/>
    <cellStyle name="Total 49 8 2" xfId="34814"/>
    <cellStyle name="Total 49 9" xfId="28182"/>
    <cellStyle name="Total 49 9 2" xfId="34815"/>
    <cellStyle name="Total 5" xfId="7148"/>
    <cellStyle name="Total 5 10" xfId="28183"/>
    <cellStyle name="Total 5 10 2" xfId="34816"/>
    <cellStyle name="Total 5 11" xfId="28184"/>
    <cellStyle name="Total 5 11 2" xfId="34817"/>
    <cellStyle name="Total 5 12" xfId="28185"/>
    <cellStyle name="Total 5 12 2" xfId="34818"/>
    <cellStyle name="Total 5 13" xfId="28186"/>
    <cellStyle name="Total 5 13 2" xfId="34819"/>
    <cellStyle name="Total 5 14" xfId="28187"/>
    <cellStyle name="Total 5 14 2" xfId="34820"/>
    <cellStyle name="Total 5 15" xfId="28188"/>
    <cellStyle name="Total 5 15 2" xfId="34821"/>
    <cellStyle name="Total 5 16" xfId="28189"/>
    <cellStyle name="Total 5 16 2" xfId="34822"/>
    <cellStyle name="Total 5 17" xfId="28190"/>
    <cellStyle name="Total 5 17 2" xfId="34823"/>
    <cellStyle name="Total 5 18" xfId="28191"/>
    <cellStyle name="Total 5 18 2" xfId="34824"/>
    <cellStyle name="Total 5 19" xfId="28192"/>
    <cellStyle name="Total 5 19 2" xfId="34825"/>
    <cellStyle name="Total 5 2" xfId="28193"/>
    <cellStyle name="Total 5 2 2" xfId="34826"/>
    <cellStyle name="Total 5 20" xfId="34827"/>
    <cellStyle name="Total 5 3" xfId="28194"/>
    <cellStyle name="Total 5 3 2" xfId="34828"/>
    <cellStyle name="Total 5 4" xfId="28195"/>
    <cellStyle name="Total 5 4 2" xfId="34829"/>
    <cellStyle name="Total 5 5" xfId="28196"/>
    <cellStyle name="Total 5 5 2" xfId="34830"/>
    <cellStyle name="Total 5 6" xfId="28197"/>
    <cellStyle name="Total 5 6 2" xfId="34831"/>
    <cellStyle name="Total 5 7" xfId="28198"/>
    <cellStyle name="Total 5 7 2" xfId="34832"/>
    <cellStyle name="Total 5 8" xfId="28199"/>
    <cellStyle name="Total 5 8 2" xfId="34833"/>
    <cellStyle name="Total 5 9" xfId="28200"/>
    <cellStyle name="Total 5 9 2" xfId="34834"/>
    <cellStyle name="Total 50" xfId="7149"/>
    <cellStyle name="Total 50 10" xfId="28201"/>
    <cellStyle name="Total 50 10 2" xfId="34835"/>
    <cellStyle name="Total 50 11" xfId="28202"/>
    <cellStyle name="Total 50 11 2" xfId="34836"/>
    <cellStyle name="Total 50 12" xfId="28203"/>
    <cellStyle name="Total 50 12 2" xfId="34837"/>
    <cellStyle name="Total 50 13" xfId="28204"/>
    <cellStyle name="Total 50 13 2" xfId="34838"/>
    <cellStyle name="Total 50 14" xfId="28205"/>
    <cellStyle name="Total 50 14 2" xfId="34839"/>
    <cellStyle name="Total 50 15" xfId="28206"/>
    <cellStyle name="Total 50 15 2" xfId="34840"/>
    <cellStyle name="Total 50 16" xfId="28207"/>
    <cellStyle name="Total 50 16 2" xfId="34841"/>
    <cellStyle name="Total 50 17" xfId="28208"/>
    <cellStyle name="Total 50 17 2" xfId="34842"/>
    <cellStyle name="Total 50 18" xfId="28209"/>
    <cellStyle name="Total 50 18 2" xfId="34843"/>
    <cellStyle name="Total 50 19" xfId="28210"/>
    <cellStyle name="Total 50 19 2" xfId="34844"/>
    <cellStyle name="Total 50 2" xfId="28211"/>
    <cellStyle name="Total 50 2 2" xfId="34845"/>
    <cellStyle name="Total 50 20" xfId="34846"/>
    <cellStyle name="Total 50 3" xfId="28212"/>
    <cellStyle name="Total 50 3 2" xfId="34847"/>
    <cellStyle name="Total 50 4" xfId="28213"/>
    <cellStyle name="Total 50 4 2" xfId="34848"/>
    <cellStyle name="Total 50 5" xfId="28214"/>
    <cellStyle name="Total 50 5 2" xfId="34849"/>
    <cellStyle name="Total 50 6" xfId="28215"/>
    <cellStyle name="Total 50 6 2" xfId="34850"/>
    <cellStyle name="Total 50 7" xfId="28216"/>
    <cellStyle name="Total 50 7 2" xfId="34851"/>
    <cellStyle name="Total 50 8" xfId="28217"/>
    <cellStyle name="Total 50 8 2" xfId="34852"/>
    <cellStyle name="Total 50 9" xfId="28218"/>
    <cellStyle name="Total 50 9 2" xfId="34853"/>
    <cellStyle name="Total 51" xfId="7150"/>
    <cellStyle name="Total 51 10" xfId="28219"/>
    <cellStyle name="Total 51 10 2" xfId="34854"/>
    <cellStyle name="Total 51 11" xfId="28220"/>
    <cellStyle name="Total 51 11 2" xfId="34855"/>
    <cellStyle name="Total 51 12" xfId="28221"/>
    <cellStyle name="Total 51 12 2" xfId="34856"/>
    <cellStyle name="Total 51 13" xfId="28222"/>
    <cellStyle name="Total 51 13 2" xfId="34857"/>
    <cellStyle name="Total 51 14" xfId="28223"/>
    <cellStyle name="Total 51 14 2" xfId="34858"/>
    <cellStyle name="Total 51 15" xfId="28224"/>
    <cellStyle name="Total 51 15 2" xfId="34859"/>
    <cellStyle name="Total 51 16" xfId="28225"/>
    <cellStyle name="Total 51 16 2" xfId="34860"/>
    <cellStyle name="Total 51 17" xfId="28226"/>
    <cellStyle name="Total 51 17 2" xfId="34861"/>
    <cellStyle name="Total 51 18" xfId="28227"/>
    <cellStyle name="Total 51 18 2" xfId="34862"/>
    <cellStyle name="Total 51 19" xfId="28228"/>
    <cellStyle name="Total 51 19 2" xfId="34863"/>
    <cellStyle name="Total 51 2" xfId="28229"/>
    <cellStyle name="Total 51 2 2" xfId="34864"/>
    <cellStyle name="Total 51 20" xfId="34865"/>
    <cellStyle name="Total 51 3" xfId="28230"/>
    <cellStyle name="Total 51 3 2" xfId="34866"/>
    <cellStyle name="Total 51 4" xfId="28231"/>
    <cellStyle name="Total 51 4 2" xfId="34867"/>
    <cellStyle name="Total 51 5" xfId="28232"/>
    <cellStyle name="Total 51 5 2" xfId="34868"/>
    <cellStyle name="Total 51 6" xfId="28233"/>
    <cellStyle name="Total 51 6 2" xfId="34869"/>
    <cellStyle name="Total 51 7" xfId="28234"/>
    <cellStyle name="Total 51 7 2" xfId="34870"/>
    <cellStyle name="Total 51 8" xfId="28235"/>
    <cellStyle name="Total 51 8 2" xfId="34871"/>
    <cellStyle name="Total 51 9" xfId="28236"/>
    <cellStyle name="Total 51 9 2" xfId="34872"/>
    <cellStyle name="Total 52" xfId="7151"/>
    <cellStyle name="Total 52 10" xfId="28237"/>
    <cellStyle name="Total 52 10 2" xfId="34873"/>
    <cellStyle name="Total 52 11" xfId="28238"/>
    <cellStyle name="Total 52 11 2" xfId="34874"/>
    <cellStyle name="Total 52 12" xfId="28239"/>
    <cellStyle name="Total 52 12 2" xfId="34875"/>
    <cellStyle name="Total 52 13" xfId="28240"/>
    <cellStyle name="Total 52 13 2" xfId="34876"/>
    <cellStyle name="Total 52 14" xfId="28241"/>
    <cellStyle name="Total 52 14 2" xfId="34877"/>
    <cellStyle name="Total 52 15" xfId="28242"/>
    <cellStyle name="Total 52 15 2" xfId="34878"/>
    <cellStyle name="Total 52 16" xfId="28243"/>
    <cellStyle name="Total 52 16 2" xfId="34879"/>
    <cellStyle name="Total 52 17" xfId="28244"/>
    <cellStyle name="Total 52 17 2" xfId="34880"/>
    <cellStyle name="Total 52 18" xfId="28245"/>
    <cellStyle name="Total 52 18 2" xfId="34881"/>
    <cellStyle name="Total 52 19" xfId="28246"/>
    <cellStyle name="Total 52 19 2" xfId="34882"/>
    <cellStyle name="Total 52 2" xfId="28247"/>
    <cellStyle name="Total 52 2 2" xfId="34883"/>
    <cellStyle name="Total 52 20" xfId="34884"/>
    <cellStyle name="Total 52 3" xfId="28248"/>
    <cellStyle name="Total 52 3 2" xfId="34885"/>
    <cellStyle name="Total 52 4" xfId="28249"/>
    <cellStyle name="Total 52 4 2" xfId="34886"/>
    <cellStyle name="Total 52 5" xfId="28250"/>
    <cellStyle name="Total 52 5 2" xfId="34887"/>
    <cellStyle name="Total 52 6" xfId="28251"/>
    <cellStyle name="Total 52 6 2" xfId="34888"/>
    <cellStyle name="Total 52 7" xfId="28252"/>
    <cellStyle name="Total 52 7 2" xfId="34889"/>
    <cellStyle name="Total 52 8" xfId="28253"/>
    <cellStyle name="Total 52 8 2" xfId="34890"/>
    <cellStyle name="Total 52 9" xfId="28254"/>
    <cellStyle name="Total 52 9 2" xfId="34891"/>
    <cellStyle name="Total 6" xfId="7152"/>
    <cellStyle name="Total 6 10" xfId="28255"/>
    <cellStyle name="Total 6 10 2" xfId="34892"/>
    <cellStyle name="Total 6 11" xfId="28256"/>
    <cellStyle name="Total 6 11 2" xfId="34893"/>
    <cellStyle name="Total 6 12" xfId="28257"/>
    <cellStyle name="Total 6 12 2" xfId="34894"/>
    <cellStyle name="Total 6 13" xfId="28258"/>
    <cellStyle name="Total 6 13 2" xfId="34895"/>
    <cellStyle name="Total 6 14" xfId="28259"/>
    <cellStyle name="Total 6 14 2" xfId="34896"/>
    <cellStyle name="Total 6 15" xfId="28260"/>
    <cellStyle name="Total 6 15 2" xfId="34897"/>
    <cellStyle name="Total 6 16" xfId="28261"/>
    <cellStyle name="Total 6 16 2" xfId="34898"/>
    <cellStyle name="Total 6 17" xfId="28262"/>
    <cellStyle name="Total 6 17 2" xfId="34899"/>
    <cellStyle name="Total 6 18" xfId="28263"/>
    <cellStyle name="Total 6 18 2" xfId="34900"/>
    <cellStyle name="Total 6 19" xfId="28264"/>
    <cellStyle name="Total 6 19 2" xfId="34901"/>
    <cellStyle name="Total 6 2" xfId="28265"/>
    <cellStyle name="Total 6 2 2" xfId="34902"/>
    <cellStyle name="Total 6 20" xfId="34903"/>
    <cellStyle name="Total 6 3" xfId="28266"/>
    <cellStyle name="Total 6 3 2" xfId="34904"/>
    <cellStyle name="Total 6 4" xfId="28267"/>
    <cellStyle name="Total 6 4 2" xfId="34905"/>
    <cellStyle name="Total 6 5" xfId="28268"/>
    <cellStyle name="Total 6 5 2" xfId="34906"/>
    <cellStyle name="Total 6 6" xfId="28269"/>
    <cellStyle name="Total 6 6 2" xfId="34907"/>
    <cellStyle name="Total 6 7" xfId="28270"/>
    <cellStyle name="Total 6 7 2" xfId="34908"/>
    <cellStyle name="Total 6 8" xfId="28271"/>
    <cellStyle name="Total 6 8 2" xfId="34909"/>
    <cellStyle name="Total 6 9" xfId="28272"/>
    <cellStyle name="Total 6 9 2" xfId="34910"/>
    <cellStyle name="Total 7" xfId="7153"/>
    <cellStyle name="Total 7 10" xfId="28273"/>
    <cellStyle name="Total 7 10 2" xfId="34911"/>
    <cellStyle name="Total 7 11" xfId="28274"/>
    <cellStyle name="Total 7 11 2" xfId="34912"/>
    <cellStyle name="Total 7 12" xfId="28275"/>
    <cellStyle name="Total 7 12 2" xfId="34913"/>
    <cellStyle name="Total 7 13" xfId="28276"/>
    <cellStyle name="Total 7 13 2" xfId="34914"/>
    <cellStyle name="Total 7 14" xfId="28277"/>
    <cellStyle name="Total 7 14 2" xfId="34915"/>
    <cellStyle name="Total 7 15" xfId="28278"/>
    <cellStyle name="Total 7 15 2" xfId="34916"/>
    <cellStyle name="Total 7 16" xfId="28279"/>
    <cellStyle name="Total 7 16 2" xfId="34917"/>
    <cellStyle name="Total 7 17" xfId="28280"/>
    <cellStyle name="Total 7 17 2" xfId="34918"/>
    <cellStyle name="Total 7 18" xfId="28281"/>
    <cellStyle name="Total 7 18 2" xfId="34919"/>
    <cellStyle name="Total 7 19" xfId="28282"/>
    <cellStyle name="Total 7 19 2" xfId="34920"/>
    <cellStyle name="Total 7 2" xfId="28283"/>
    <cellStyle name="Total 7 2 2" xfId="34921"/>
    <cellStyle name="Total 7 20" xfId="34922"/>
    <cellStyle name="Total 7 3" xfId="28284"/>
    <cellStyle name="Total 7 3 2" xfId="34923"/>
    <cellStyle name="Total 7 4" xfId="28285"/>
    <cellStyle name="Total 7 4 2" xfId="34924"/>
    <cellStyle name="Total 7 5" xfId="28286"/>
    <cellStyle name="Total 7 5 2" xfId="34925"/>
    <cellStyle name="Total 7 6" xfId="28287"/>
    <cellStyle name="Total 7 6 2" xfId="34926"/>
    <cellStyle name="Total 7 7" xfId="28288"/>
    <cellStyle name="Total 7 7 2" xfId="34927"/>
    <cellStyle name="Total 7 8" xfId="28289"/>
    <cellStyle name="Total 7 8 2" xfId="34928"/>
    <cellStyle name="Total 7 9" xfId="28290"/>
    <cellStyle name="Total 7 9 2" xfId="34929"/>
    <cellStyle name="Total 8" xfId="7154"/>
    <cellStyle name="Total 8 10" xfId="28291"/>
    <cellStyle name="Total 8 10 2" xfId="34930"/>
    <cellStyle name="Total 8 11" xfId="28292"/>
    <cellStyle name="Total 8 11 2" xfId="34931"/>
    <cellStyle name="Total 8 12" xfId="28293"/>
    <cellStyle name="Total 8 12 2" xfId="34932"/>
    <cellStyle name="Total 8 13" xfId="28294"/>
    <cellStyle name="Total 8 13 2" xfId="34933"/>
    <cellStyle name="Total 8 14" xfId="28295"/>
    <cellStyle name="Total 8 14 2" xfId="34934"/>
    <cellStyle name="Total 8 15" xfId="28296"/>
    <cellStyle name="Total 8 15 2" xfId="34935"/>
    <cellStyle name="Total 8 16" xfId="28297"/>
    <cellStyle name="Total 8 16 2" xfId="34936"/>
    <cellStyle name="Total 8 17" xfId="28298"/>
    <cellStyle name="Total 8 17 2" xfId="34937"/>
    <cellStyle name="Total 8 18" xfId="28299"/>
    <cellStyle name="Total 8 18 2" xfId="34938"/>
    <cellStyle name="Total 8 19" xfId="28300"/>
    <cellStyle name="Total 8 19 2" xfId="34939"/>
    <cellStyle name="Total 8 2" xfId="28301"/>
    <cellStyle name="Total 8 2 2" xfId="34940"/>
    <cellStyle name="Total 8 20" xfId="34941"/>
    <cellStyle name="Total 8 3" xfId="28302"/>
    <cellStyle name="Total 8 3 2" xfId="34942"/>
    <cellStyle name="Total 8 4" xfId="28303"/>
    <cellStyle name="Total 8 4 2" xfId="34943"/>
    <cellStyle name="Total 8 5" xfId="28304"/>
    <cellStyle name="Total 8 5 2" xfId="34944"/>
    <cellStyle name="Total 8 6" xfId="28305"/>
    <cellStyle name="Total 8 6 2" xfId="34945"/>
    <cellStyle name="Total 8 7" xfId="28306"/>
    <cellStyle name="Total 8 7 2" xfId="34946"/>
    <cellStyle name="Total 8 8" xfId="28307"/>
    <cellStyle name="Total 8 8 2" xfId="34947"/>
    <cellStyle name="Total 8 9" xfId="28308"/>
    <cellStyle name="Total 8 9 2" xfId="34948"/>
    <cellStyle name="Total 9" xfId="7155"/>
    <cellStyle name="Total 9 10" xfId="28309"/>
    <cellStyle name="Total 9 10 2" xfId="34949"/>
    <cellStyle name="Total 9 11" xfId="28310"/>
    <cellStyle name="Total 9 11 2" xfId="34950"/>
    <cellStyle name="Total 9 12" xfId="28311"/>
    <cellStyle name="Total 9 12 2" xfId="34951"/>
    <cellStyle name="Total 9 13" xfId="28312"/>
    <cellStyle name="Total 9 13 2" xfId="34952"/>
    <cellStyle name="Total 9 14" xfId="28313"/>
    <cellStyle name="Total 9 14 2" xfId="34953"/>
    <cellStyle name="Total 9 15" xfId="28314"/>
    <cellStyle name="Total 9 15 2" xfId="34954"/>
    <cellStyle name="Total 9 16" xfId="28315"/>
    <cellStyle name="Total 9 16 2" xfId="34955"/>
    <cellStyle name="Total 9 17" xfId="28316"/>
    <cellStyle name="Total 9 17 2" xfId="34956"/>
    <cellStyle name="Total 9 18" xfId="28317"/>
    <cellStyle name="Total 9 18 2" xfId="34957"/>
    <cellStyle name="Total 9 19" xfId="28318"/>
    <cellStyle name="Total 9 19 2" xfId="34958"/>
    <cellStyle name="Total 9 2" xfId="28319"/>
    <cellStyle name="Total 9 2 2" xfId="34959"/>
    <cellStyle name="Total 9 20" xfId="34960"/>
    <cellStyle name="Total 9 3" xfId="28320"/>
    <cellStyle name="Total 9 3 2" xfId="34961"/>
    <cellStyle name="Total 9 4" xfId="28321"/>
    <cellStyle name="Total 9 4 2" xfId="34962"/>
    <cellStyle name="Total 9 5" xfId="28322"/>
    <cellStyle name="Total 9 5 2" xfId="34963"/>
    <cellStyle name="Total 9 6" xfId="28323"/>
    <cellStyle name="Total 9 6 2" xfId="34964"/>
    <cellStyle name="Total 9 7" xfId="28324"/>
    <cellStyle name="Total 9 7 2" xfId="34965"/>
    <cellStyle name="Total 9 8" xfId="28325"/>
    <cellStyle name="Total 9 8 2" xfId="34966"/>
    <cellStyle name="Total 9 9" xfId="28326"/>
    <cellStyle name="Total 9 9 2" xfId="34967"/>
    <cellStyle name="Warning Text 10" xfId="7156"/>
    <cellStyle name="Warning Text 11" xfId="7157"/>
    <cellStyle name="Warning Text 12" xfId="7158"/>
    <cellStyle name="Warning Text 13" xfId="7159"/>
    <cellStyle name="Warning Text 14" xfId="7160"/>
    <cellStyle name="Warning Text 15" xfId="7161"/>
    <cellStyle name="Warning Text 16" xfId="7162"/>
    <cellStyle name="Warning Text 17" xfId="7163"/>
    <cellStyle name="Warning Text 18" xfId="7164"/>
    <cellStyle name="Warning Text 19" xfId="7165"/>
    <cellStyle name="Warning Text 2" xfId="7166"/>
    <cellStyle name="Warning Text 2 2" xfId="7167"/>
    <cellStyle name="Warning Text 2 3" xfId="7168"/>
    <cellStyle name="Warning Text 2 4" xfId="7169"/>
    <cellStyle name="Warning Text 2 5" xfId="7170"/>
    <cellStyle name="Warning Text 2 6" xfId="7171"/>
    <cellStyle name="Warning Text 20" xfId="7172"/>
    <cellStyle name="Warning Text 21" xfId="7173"/>
    <cellStyle name="Warning Text 22" xfId="7174"/>
    <cellStyle name="Warning Text 23" xfId="7175"/>
    <cellStyle name="Warning Text 24" xfId="7176"/>
    <cellStyle name="Warning Text 25" xfId="7177"/>
    <cellStyle name="Warning Text 26" xfId="7178"/>
    <cellStyle name="Warning Text 27" xfId="7179"/>
    <cellStyle name="Warning Text 28" xfId="7180"/>
    <cellStyle name="Warning Text 29" xfId="7181"/>
    <cellStyle name="Warning Text 3" xfId="7182"/>
    <cellStyle name="Warning Text 30" xfId="7183"/>
    <cellStyle name="Warning Text 31" xfId="7184"/>
    <cellStyle name="Warning Text 32" xfId="7185"/>
    <cellStyle name="Warning Text 33" xfId="7186"/>
    <cellStyle name="Warning Text 34" xfId="7187"/>
    <cellStyle name="Warning Text 35" xfId="7188"/>
    <cellStyle name="Warning Text 36" xfId="7189"/>
    <cellStyle name="Warning Text 37" xfId="7190"/>
    <cellStyle name="Warning Text 38" xfId="7191"/>
    <cellStyle name="Warning Text 39" xfId="7192"/>
    <cellStyle name="Warning Text 4" xfId="7193"/>
    <cellStyle name="Warning Text 40" xfId="7194"/>
    <cellStyle name="Warning Text 41" xfId="7195"/>
    <cellStyle name="Warning Text 42" xfId="7196"/>
    <cellStyle name="Warning Text 43" xfId="7197"/>
    <cellStyle name="Warning Text 44" xfId="7198"/>
    <cellStyle name="Warning Text 45" xfId="7199"/>
    <cellStyle name="Warning Text 46" xfId="7200"/>
    <cellStyle name="Warning Text 47" xfId="7201"/>
    <cellStyle name="Warning Text 48" xfId="7202"/>
    <cellStyle name="Warning Text 49" xfId="7203"/>
    <cellStyle name="Warning Text 5" xfId="7204"/>
    <cellStyle name="Warning Text 50" xfId="7205"/>
    <cellStyle name="Warning Text 51" xfId="7206"/>
    <cellStyle name="Warning Text 52" xfId="7207"/>
    <cellStyle name="Warning Text 6" xfId="7208"/>
    <cellStyle name="Warning Text 7" xfId="7209"/>
    <cellStyle name="Warning Text 8" xfId="7210"/>
    <cellStyle name="Warning Text 9" xfId="7211"/>
    <cellStyle name="Обычный_Лист1" xfId="72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6.xml"/><Relationship Id="rId68" Type="http://schemas.openxmlformats.org/officeDocument/2006/relationships/externalLink" Target="externalLinks/externalLink11.xml"/><Relationship Id="rId76" Type="http://schemas.openxmlformats.org/officeDocument/2006/relationships/externalLink" Target="externalLinks/externalLink19.xml"/><Relationship Id="rId84" Type="http://schemas.openxmlformats.org/officeDocument/2006/relationships/externalLink" Target="externalLinks/externalLink27.xml"/><Relationship Id="rId89" Type="http://schemas.openxmlformats.org/officeDocument/2006/relationships/externalLink" Target="externalLinks/externalLink32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4.xml"/><Relationship Id="rId92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externalLink" Target="externalLinks/externalLink9.xml"/><Relationship Id="rId74" Type="http://schemas.openxmlformats.org/officeDocument/2006/relationships/externalLink" Target="externalLinks/externalLink17.xml"/><Relationship Id="rId79" Type="http://schemas.openxmlformats.org/officeDocument/2006/relationships/externalLink" Target="externalLinks/externalLink22.xml"/><Relationship Id="rId87" Type="http://schemas.openxmlformats.org/officeDocument/2006/relationships/externalLink" Target="externalLinks/externalLink3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82" Type="http://schemas.openxmlformats.org/officeDocument/2006/relationships/externalLink" Target="externalLinks/externalLink25.xml"/><Relationship Id="rId90" Type="http://schemas.openxmlformats.org/officeDocument/2006/relationships/externalLink" Target="externalLinks/externalLink33.xml"/><Relationship Id="rId95" Type="http://schemas.openxmlformats.org/officeDocument/2006/relationships/externalLink" Target="externalLinks/externalLink3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7.xml"/><Relationship Id="rId69" Type="http://schemas.openxmlformats.org/officeDocument/2006/relationships/externalLink" Target="externalLinks/externalLink12.xml"/><Relationship Id="rId77" Type="http://schemas.openxmlformats.org/officeDocument/2006/relationships/externalLink" Target="externalLinks/externalLink20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5.xml"/><Relationship Id="rId80" Type="http://schemas.openxmlformats.org/officeDocument/2006/relationships/externalLink" Target="externalLinks/externalLink23.xml"/><Relationship Id="rId85" Type="http://schemas.openxmlformats.org/officeDocument/2006/relationships/externalLink" Target="externalLinks/externalLink28.xml"/><Relationship Id="rId93" Type="http://schemas.openxmlformats.org/officeDocument/2006/relationships/externalLink" Target="externalLinks/externalLink36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openxmlformats.org/officeDocument/2006/relationships/externalLink" Target="externalLinks/externalLink13.xml"/><Relationship Id="rId75" Type="http://schemas.openxmlformats.org/officeDocument/2006/relationships/externalLink" Target="externalLinks/externalLink18.xml"/><Relationship Id="rId83" Type="http://schemas.openxmlformats.org/officeDocument/2006/relationships/externalLink" Target="externalLinks/externalLink26.xml"/><Relationship Id="rId88" Type="http://schemas.openxmlformats.org/officeDocument/2006/relationships/externalLink" Target="externalLinks/externalLink31.xml"/><Relationship Id="rId91" Type="http://schemas.openxmlformats.org/officeDocument/2006/relationships/externalLink" Target="externalLinks/externalLink34.xml"/><Relationship Id="rId96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73" Type="http://schemas.openxmlformats.org/officeDocument/2006/relationships/externalLink" Target="externalLinks/externalLink16.xml"/><Relationship Id="rId78" Type="http://schemas.openxmlformats.org/officeDocument/2006/relationships/externalLink" Target="externalLinks/externalLink21.xml"/><Relationship Id="rId81" Type="http://schemas.openxmlformats.org/officeDocument/2006/relationships/externalLink" Target="externalLinks/externalLink24.xml"/><Relationship Id="rId86" Type="http://schemas.openxmlformats.org/officeDocument/2006/relationships/externalLink" Target="externalLinks/externalLink29.xml"/><Relationship Id="rId94" Type="http://schemas.openxmlformats.org/officeDocument/2006/relationships/externalLink" Target="externalLinks/externalLink37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Pr>
        <a:bodyPr/>
        <a:lstStyle/>
        <a:p>
          <a:pPr>
            <a:defRPr lang="en-GB" b="0"/>
          </a:pPr>
          <a:endParaRPr lang="en-US"/>
        </a:p>
      </c:txPr>
    </c:title>
    <c:plotArea>
      <c:layout/>
      <c:lineChart>
        <c:grouping val="standard"/>
        <c:ser>
          <c:idx val="0"/>
          <c:order val="0"/>
          <c:tx>
            <c:strRef>
              <c:f>'Real listrik'!$I$5</c:f>
              <c:strCache>
                <c:ptCount val="1"/>
                <c:pt idx="0">
                  <c:v>Belanja Telepon</c:v>
                </c:pt>
              </c:strCache>
            </c:strRef>
          </c:tx>
          <c:cat>
            <c:numRef>
              <c:f>'Real listrik'!$J$3:$L$3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'Real listrik'!$J$5:$L$5</c:f>
              <c:numCache>
                <c:formatCode>_-* #,##0.00_-;\-* #,##0.00_-;_-* "-"??_-;_-@_-</c:formatCode>
                <c:ptCount val="3"/>
                <c:pt idx="0">
                  <c:v>5559314</c:v>
                </c:pt>
                <c:pt idx="1">
                  <c:v>670988.16666666663</c:v>
                </c:pt>
                <c:pt idx="2">
                  <c:v>439725.28571428574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4E-4298-AD31-81B77C964004}"/>
            </c:ext>
          </c:extLst>
        </c:ser>
        <c:marker val="1"/>
        <c:axId val="141518336"/>
        <c:axId val="141519872"/>
      </c:lineChart>
      <c:catAx>
        <c:axId val="1415183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41519872"/>
        <c:crosses val="autoZero"/>
        <c:auto val="1"/>
        <c:lblAlgn val="ctr"/>
        <c:lblOffset val="100"/>
      </c:catAx>
      <c:valAx>
        <c:axId val="141519872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415183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Pr>
        <a:bodyPr/>
        <a:lstStyle/>
        <a:p>
          <a:pPr>
            <a:defRPr lang="en-GB" b="0"/>
          </a:pPr>
          <a:endParaRPr lang="en-US"/>
        </a:p>
      </c:txPr>
    </c:title>
    <c:plotArea>
      <c:layout/>
      <c:lineChart>
        <c:grouping val="standard"/>
        <c:ser>
          <c:idx val="0"/>
          <c:order val="0"/>
          <c:tx>
            <c:strRef>
              <c:f>'Real listrik'!$I$6</c:f>
              <c:strCache>
                <c:ptCount val="1"/>
                <c:pt idx="0">
                  <c:v>Belanja Air</c:v>
                </c:pt>
              </c:strCache>
            </c:strRef>
          </c:tx>
          <c:cat>
            <c:numRef>
              <c:f>'Real listrik'!$J$3:$L$3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'Real listrik'!$J$6:$L$6</c:f>
              <c:numCache>
                <c:formatCode>_-* #,##0.00_-;\-* #,##0.00_-;_-* "-"??_-;_-@_-</c:formatCode>
                <c:ptCount val="3"/>
                <c:pt idx="0">
                  <c:v>8767083</c:v>
                </c:pt>
                <c:pt idx="1">
                  <c:v>10913827.083333334</c:v>
                </c:pt>
                <c:pt idx="2">
                  <c:v>8947464.2857142854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4E-4216-BC59-15608369BA2E}"/>
            </c:ext>
          </c:extLst>
        </c:ser>
        <c:marker val="1"/>
        <c:axId val="141544448"/>
        <c:axId val="141546240"/>
      </c:lineChart>
      <c:catAx>
        <c:axId val="1415444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41546240"/>
        <c:crosses val="autoZero"/>
        <c:auto val="1"/>
        <c:lblAlgn val="ctr"/>
        <c:lblOffset val="100"/>
      </c:catAx>
      <c:valAx>
        <c:axId val="141546240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415444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Pr>
        <a:bodyPr/>
        <a:lstStyle/>
        <a:p>
          <a:pPr>
            <a:defRPr lang="en-GB" b="0"/>
          </a:pPr>
          <a:endParaRPr lang="en-US"/>
        </a:p>
      </c:txPr>
    </c:title>
    <c:plotArea>
      <c:layout/>
      <c:lineChart>
        <c:grouping val="standard"/>
        <c:ser>
          <c:idx val="0"/>
          <c:order val="0"/>
          <c:tx>
            <c:strRef>
              <c:f>'Real listrik'!$I$7</c:f>
              <c:strCache>
                <c:ptCount val="1"/>
                <c:pt idx="0">
                  <c:v>Belanja Listrik</c:v>
                </c:pt>
              </c:strCache>
            </c:strRef>
          </c:tx>
          <c:cat>
            <c:numRef>
              <c:f>'Real listrik'!$J$3:$L$3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'Real listrik'!$J$7:$L$7</c:f>
              <c:numCache>
                <c:formatCode>_-* #,##0.00_-;\-* #,##0.00_-;_-* "-"??_-;_-@_-</c:formatCode>
                <c:ptCount val="3"/>
                <c:pt idx="0">
                  <c:v>81174033.333333328</c:v>
                </c:pt>
                <c:pt idx="1">
                  <c:v>80814050</c:v>
                </c:pt>
                <c:pt idx="2">
                  <c:v>82992500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45-4538-9F68-13156C8015FF}"/>
            </c:ext>
          </c:extLst>
        </c:ser>
        <c:marker val="1"/>
        <c:axId val="142418304"/>
        <c:axId val="142419840"/>
      </c:lineChart>
      <c:catAx>
        <c:axId val="1424183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42419840"/>
        <c:crosses val="autoZero"/>
        <c:auto val="1"/>
        <c:lblAlgn val="ctr"/>
        <c:lblOffset val="100"/>
      </c:catAx>
      <c:valAx>
        <c:axId val="142419840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424183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Pr>
        <a:bodyPr/>
        <a:lstStyle/>
        <a:p>
          <a:pPr>
            <a:defRPr lang="en-GB" b="0"/>
          </a:pPr>
          <a:endParaRPr lang="en-US"/>
        </a:p>
      </c:txPr>
    </c:title>
    <c:plotArea>
      <c:layout/>
      <c:lineChart>
        <c:grouping val="standard"/>
        <c:ser>
          <c:idx val="0"/>
          <c:order val="0"/>
          <c:tx>
            <c:strRef>
              <c:f>'Real listrik'!$I$8</c:f>
              <c:strCache>
                <c:ptCount val="1"/>
                <c:pt idx="0">
                  <c:v>Belanja Kawat/Faksimili/Internet</c:v>
                </c:pt>
              </c:strCache>
            </c:strRef>
          </c:tx>
          <c:cat>
            <c:numRef>
              <c:f>'Real listrik'!$J$3:$L$3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'Real listrik'!$J$8:$L$8</c:f>
              <c:numCache>
                <c:formatCode>_-* #,##0.00_-;\-* #,##0.00_-;_-* "-"??_-;_-@_-</c:formatCode>
                <c:ptCount val="3"/>
                <c:pt idx="0">
                  <c:v>3104459</c:v>
                </c:pt>
                <c:pt idx="1">
                  <c:v>3837233.8333333335</c:v>
                </c:pt>
                <c:pt idx="2">
                  <c:v>2536251.4285714286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2B-47CE-B08A-34CF5D4D1F9C}"/>
            </c:ext>
          </c:extLst>
        </c:ser>
        <c:marker val="1"/>
        <c:axId val="75781632"/>
        <c:axId val="75783168"/>
      </c:lineChart>
      <c:catAx>
        <c:axId val="757816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75783168"/>
        <c:crosses val="autoZero"/>
        <c:auto val="1"/>
        <c:lblAlgn val="ctr"/>
        <c:lblOffset val="100"/>
      </c:catAx>
      <c:valAx>
        <c:axId val="75783168"/>
        <c:scaling>
          <c:orientation val="minMax"/>
        </c:scaling>
        <c:axPos val="l"/>
        <c:majorGridlines/>
        <c:numFmt formatCode="_-* #,##0.00_-;\-* #,##0.00_-;_-* &quot;-&quot;??_-;_-@_-" sourceLinked="1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757816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4.jpeg"/><Relationship Id="rId4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3" Type="http://schemas.openxmlformats.org/officeDocument/2006/relationships/image" Target="../media/image3.jpeg"/><Relationship Id="rId21" Type="http://schemas.openxmlformats.org/officeDocument/2006/relationships/image" Target="../media/image27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" Type="http://schemas.openxmlformats.org/officeDocument/2006/relationships/image" Target="../media/image9.jpeg"/><Relationship Id="rId16" Type="http://schemas.openxmlformats.org/officeDocument/2006/relationships/image" Target="../media/image22.jpeg"/><Relationship Id="rId20" Type="http://schemas.openxmlformats.org/officeDocument/2006/relationships/image" Target="../media/image26.jpeg"/><Relationship Id="rId1" Type="http://schemas.openxmlformats.org/officeDocument/2006/relationships/image" Target="../media/image8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117585</xdr:colOff>
      <xdr:row>0</xdr:row>
      <xdr:rowOff>28575</xdr:rowOff>
    </xdr:from>
    <xdr:to>
      <xdr:col>1</xdr:col>
      <xdr:colOff>80799</xdr:colOff>
      <xdr:row>3</xdr:row>
      <xdr:rowOff>171450</xdr:rowOff>
    </xdr:to>
    <xdr:pic>
      <xdr:nvPicPr>
        <xdr:cNvPr id="2" name="Picture 1" descr="PACATITA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585" y="28575"/>
          <a:ext cx="685800" cy="720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142875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</xdr:row>
      <xdr:rowOff>19050</xdr:rowOff>
    </xdr:from>
    <xdr:to>
      <xdr:col>3</xdr:col>
      <xdr:colOff>5796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00" y="200025"/>
          <a:ext cx="4058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57151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57151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57151</xdr:colOff>
      <xdr:row>2</xdr:row>
      <xdr:rowOff>197067</xdr:rowOff>
    </xdr:to>
    <xdr:pic>
      <xdr:nvPicPr>
        <xdr:cNvPr id="7" name="Picture 1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205937"/>
          <a:ext cx="419101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878" y="202981"/>
          <a:ext cx="37935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197067</xdr:rowOff>
    </xdr:to>
    <xdr:pic>
      <xdr:nvPicPr>
        <xdr:cNvPr id="9" name="Picture 1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928" y="208893"/>
          <a:ext cx="360308" cy="38888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4765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401546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48275" y="2476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5356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48275" y="2476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48275" y="2476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286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406175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29250" y="228600"/>
          <a:ext cx="40584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3451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438480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48300" y="228600"/>
          <a:ext cx="4381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438480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48300" y="228600"/>
          <a:ext cx="4381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438479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48300" y="228600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438479</xdr:colOff>
      <xdr:row>1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48300" y="228600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438479</xdr:colOff>
      <xdr:row>1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48300" y="228600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123168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</xdr:row>
      <xdr:rowOff>19050</xdr:rowOff>
    </xdr:from>
    <xdr:to>
      <xdr:col>3</xdr:col>
      <xdr:colOff>5796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76850" y="200025"/>
          <a:ext cx="40584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57151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95900" y="200025"/>
          <a:ext cx="4381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57151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95900" y="200025"/>
          <a:ext cx="4381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57151</xdr:colOff>
      <xdr:row>2</xdr:row>
      <xdr:rowOff>197069</xdr:rowOff>
    </xdr:to>
    <xdr:pic>
      <xdr:nvPicPr>
        <xdr:cNvPr id="7" name="Picture 1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14950" y="205937"/>
          <a:ext cx="419102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95900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9" name="Picture 1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14950" y="205937"/>
          <a:ext cx="419101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95900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11" name="Picture 1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14950" y="205937"/>
          <a:ext cx="419101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878" y="202981"/>
          <a:ext cx="37935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13" name="Picture 1"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928" y="208893"/>
          <a:ext cx="360308" cy="38888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147910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" y="200025"/>
          <a:ext cx="39556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</xdr:row>
      <xdr:rowOff>19050</xdr:rowOff>
    </xdr:from>
    <xdr:to>
      <xdr:col>3</xdr:col>
      <xdr:colOff>12195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200025"/>
          <a:ext cx="42177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72393</xdr:colOff>
      <xdr:row>1</xdr:row>
      <xdr:rowOff>19050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6225" y="200025"/>
          <a:ext cx="46291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72393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6225" y="200025"/>
          <a:ext cx="46291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22224</xdr:rowOff>
    </xdr:from>
    <xdr:to>
      <xdr:col>3</xdr:col>
      <xdr:colOff>75441</xdr:colOff>
      <xdr:row>2</xdr:row>
      <xdr:rowOff>190500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" y="203199"/>
          <a:ext cx="446916" cy="3873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401546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19925" y="200025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19925" y="200025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19925" y="200025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401546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00025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3663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00025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3663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29425" y="200025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47879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286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402974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087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50927</xdr:colOff>
      <xdr:row>1</xdr:row>
      <xdr:rowOff>30953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3451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435279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435279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435278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435278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47625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408773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24525" y="200025"/>
          <a:ext cx="4058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47625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441078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43575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441078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43575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441077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43575" y="200025"/>
          <a:ext cx="438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441077</xdr:colOff>
      <xdr:row>1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878" y="202981"/>
          <a:ext cx="37935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128221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200025"/>
          <a:ext cx="38539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</xdr:row>
      <xdr:rowOff>19050</xdr:rowOff>
    </xdr:from>
    <xdr:to>
      <xdr:col>3</xdr:col>
      <xdr:colOff>5796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200025"/>
          <a:ext cx="4058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57151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57151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57151</xdr:colOff>
      <xdr:row>3</xdr:row>
      <xdr:rowOff>35876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419101" cy="3919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0</xdr:col>
      <xdr:colOff>704850</xdr:colOff>
      <xdr:row>3</xdr:row>
      <xdr:rowOff>171450</xdr:rowOff>
    </xdr:to>
    <xdr:pic>
      <xdr:nvPicPr>
        <xdr:cNvPr id="2" name="Picture 1" descr="PACATITA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8575"/>
          <a:ext cx="685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193430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38125"/>
          <a:ext cx="5238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260641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76875" y="238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5861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4765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348697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57825" y="247650"/>
          <a:ext cx="4058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5861</xdr:colOff>
      <xdr:row>2</xdr:row>
      <xdr:rowOff>197069</xdr:rowOff>
    </xdr:to>
    <xdr:pic>
      <xdr:nvPicPr>
        <xdr:cNvPr id="8" name="Picture 1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5356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381001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76875" y="247650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381001</xdr:colOff>
      <xdr:row>1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76875" y="247650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251116</xdr:colOff>
      <xdr:row>1</xdr:row>
      <xdr:rowOff>19050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1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8044" y="246185"/>
          <a:ext cx="5209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0</xdr:colOff>
      <xdr:row>1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1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8044" y="246185"/>
          <a:ext cx="333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193430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5172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702290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69796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5861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32971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350768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5076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5861</xdr:colOff>
      <xdr:row>2</xdr:row>
      <xdr:rowOff>197069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" y="205937"/>
          <a:ext cx="310661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51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51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692765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68843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432766</xdr:colOff>
      <xdr:row>1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43276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569046</xdr:colOff>
      <xdr:row>1</xdr:row>
      <xdr:rowOff>19050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1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56471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1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14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569046</xdr:colOff>
      <xdr:row>1</xdr:row>
      <xdr:rowOff>19050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1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56471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14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193430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47650"/>
          <a:ext cx="5172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702289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1675" y="247650"/>
          <a:ext cx="69532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5861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47650"/>
          <a:ext cx="32971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350768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1675" y="247650"/>
          <a:ext cx="34869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5861</xdr:colOff>
      <xdr:row>2</xdr:row>
      <xdr:rowOff>197069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1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" y="253562"/>
          <a:ext cx="310661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00725" y="247650"/>
          <a:ext cx="38100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00725" y="247650"/>
          <a:ext cx="38100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692764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00725" y="247650"/>
          <a:ext cx="68580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437095</xdr:colOff>
      <xdr:row>1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00725" y="247650"/>
          <a:ext cx="4286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569045</xdr:colOff>
      <xdr:row>1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1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00725" y="247650"/>
          <a:ext cx="56490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1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00725" y="247650"/>
          <a:ext cx="37733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569045</xdr:colOff>
      <xdr:row>1</xdr:row>
      <xdr:rowOff>19050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1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318" y="250963"/>
          <a:ext cx="51106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1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318" y="250963"/>
          <a:ext cx="3235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193430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5172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697961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69796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5861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32971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350768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5076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5861</xdr:colOff>
      <xdr:row>2</xdr:row>
      <xdr:rowOff>197069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" y="205937"/>
          <a:ext cx="310661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51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51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688436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68843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432766</xdr:colOff>
      <xdr:row>1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43276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564717</xdr:colOff>
      <xdr:row>1</xdr:row>
      <xdr:rowOff>19050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1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56471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1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14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564717</xdr:colOff>
      <xdr:row>1</xdr:row>
      <xdr:rowOff>19050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1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56471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14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193430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5172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269336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69796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5861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32971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350768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5076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5861</xdr:colOff>
      <xdr:row>2</xdr:row>
      <xdr:rowOff>197069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" y="205937"/>
          <a:ext cx="310661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51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51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259811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68843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432766</xdr:colOff>
      <xdr:row>1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43276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136092</xdr:colOff>
      <xdr:row>1</xdr:row>
      <xdr:rowOff>19050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1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56471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1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14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136092</xdr:colOff>
      <xdr:row>1</xdr:row>
      <xdr:rowOff>19050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1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56471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1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81850" y="200025"/>
          <a:ext cx="3814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66430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125" y="247650"/>
          <a:ext cx="51410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699116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70402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2</xdr:col>
      <xdr:colOff>156674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125" y="247650"/>
          <a:ext cx="32812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350768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35076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55562</xdr:colOff>
      <xdr:row>2</xdr:row>
      <xdr:rowOff>197069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1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253562"/>
          <a:ext cx="484187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3851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385142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3851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689591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69449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432766</xdr:colOff>
      <xdr:row>1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43276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567314</xdr:colOff>
      <xdr:row>1</xdr:row>
      <xdr:rowOff>19050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1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5690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1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3814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567314</xdr:colOff>
      <xdr:row>1</xdr:row>
      <xdr:rowOff>19050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1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5690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381477</xdr:colOff>
      <xdr:row>1</xdr:row>
      <xdr:rowOff>19050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1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62800" y="247650"/>
          <a:ext cx="3814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2</xdr:col>
      <xdr:colOff>153163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4765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</xdr:row>
      <xdr:rowOff>19050</xdr:rowOff>
    </xdr:from>
    <xdr:to>
      <xdr:col>11</xdr:col>
      <xdr:colOff>111525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05450" y="247650"/>
          <a:ext cx="40136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</xdr:row>
      <xdr:rowOff>24962</xdr:rowOff>
    </xdr:from>
    <xdr:to>
      <xdr:col>2</xdr:col>
      <xdr:colOff>162307</xdr:colOff>
      <xdr:row>1</xdr:row>
      <xdr:rowOff>24979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5356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</xdr:row>
      <xdr:rowOff>19050</xdr:rowOff>
    </xdr:from>
    <xdr:to>
      <xdr:col>11</xdr:col>
      <xdr:colOff>149178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24500" y="247650"/>
          <a:ext cx="438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</xdr:row>
      <xdr:rowOff>19050</xdr:rowOff>
    </xdr:from>
    <xdr:to>
      <xdr:col>11</xdr:col>
      <xdr:colOff>149178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24500" y="247650"/>
          <a:ext cx="438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</xdr:row>
      <xdr:rowOff>19050</xdr:rowOff>
    </xdr:from>
    <xdr:to>
      <xdr:col>11</xdr:col>
      <xdr:colOff>149178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1455" y="201930"/>
          <a:ext cx="38290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148162</xdr:colOff>
      <xdr:row>1</xdr:row>
      <xdr:rowOff>10582</xdr:rowOff>
    </xdr:from>
    <xdr:to>
      <xdr:col>2</xdr:col>
      <xdr:colOff>117014</xdr:colOff>
      <xdr:row>2</xdr:row>
      <xdr:rowOff>179915</xdr:rowOff>
    </xdr:to>
    <xdr:pic>
      <xdr:nvPicPr>
        <xdr:cNvPr id="8" name="Picture 1">
          <a:extLst>
            <a:ext uri="{FF2B5EF4-FFF2-40B4-BE49-F238E27FC236}">
              <a16:creationId xmlns=""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5" y="190499"/>
          <a:ext cx="402769" cy="39158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33303</xdr:colOff>
      <xdr:row>1</xdr:row>
      <xdr:rowOff>19812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200025"/>
          <a:ext cx="384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94422</xdr:colOff>
      <xdr:row>1</xdr:row>
      <xdr:rowOff>19812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8925" y="200025"/>
          <a:ext cx="4087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15436</xdr:rowOff>
    </xdr:from>
    <xdr:to>
      <xdr:col>3</xdr:col>
      <xdr:colOff>38637</xdr:colOff>
      <xdr:row>2</xdr:row>
      <xdr:rowOff>200024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96411"/>
          <a:ext cx="391062" cy="40366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126727</xdr:colOff>
      <xdr:row>1</xdr:row>
      <xdr:rowOff>19812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8925" y="200025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126727</xdr:colOff>
      <xdr:row>1</xdr:row>
      <xdr:rowOff>19812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8925" y="200025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126726</xdr:colOff>
      <xdr:row>1</xdr:row>
      <xdr:rowOff>19812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8925" y="200025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126726</xdr:colOff>
      <xdr:row>1</xdr:row>
      <xdr:rowOff>19812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8925" y="200025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9525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286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408746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087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9525</xdr:colOff>
      <xdr:row>2</xdr:row>
      <xdr:rowOff>197070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3451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441051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441051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1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441050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441050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2</xdr:col>
      <xdr:colOff>235743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286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408746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087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2</xdr:col>
      <xdr:colOff>235743</xdr:colOff>
      <xdr:row>2</xdr:row>
      <xdr:rowOff>197070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3451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441051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441051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441050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441050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228600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401546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77050" y="200025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361950" cy="39118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77050" y="200025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77050" y="200025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286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408746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087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197070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3451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441051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441051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410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441050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441050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228600"/>
          <a:ext cx="44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406175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62825" y="200025"/>
          <a:ext cx="406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5526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6282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5526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6282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5525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6282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5525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6282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97155</xdr:colOff>
      <xdr:row>1</xdr:row>
      <xdr:rowOff>19812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406175</xdr:colOff>
      <xdr:row>1</xdr:row>
      <xdr:rowOff>19812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10375" y="200025"/>
          <a:ext cx="406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100965</xdr:colOff>
      <xdr:row>1</xdr:row>
      <xdr:rowOff>67249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847" y="206900"/>
          <a:ext cx="396467" cy="3817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9855</xdr:colOff>
      <xdr:row>1</xdr:row>
      <xdr:rowOff>19812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9855</xdr:colOff>
      <xdr:row>1</xdr:row>
      <xdr:rowOff>19812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9854</xdr:colOff>
      <xdr:row>1</xdr:row>
      <xdr:rowOff>19812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9854</xdr:colOff>
      <xdr:row>1</xdr:row>
      <xdr:rowOff>19812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65152</xdr:colOff>
      <xdr:row>1</xdr:row>
      <xdr:rowOff>19812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120425</xdr:colOff>
      <xdr:row>1</xdr:row>
      <xdr:rowOff>19812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10375" y="200025"/>
          <a:ext cx="406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65914</xdr:colOff>
      <xdr:row>2</xdr:row>
      <xdr:rowOff>164523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3711" y="206803"/>
          <a:ext cx="366384" cy="3560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152730</xdr:colOff>
      <xdr:row>1</xdr:row>
      <xdr:rowOff>19812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152730</xdr:colOff>
      <xdr:row>1</xdr:row>
      <xdr:rowOff>19812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152729</xdr:colOff>
      <xdr:row>1</xdr:row>
      <xdr:rowOff>19812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152729</xdr:colOff>
      <xdr:row>1</xdr:row>
      <xdr:rowOff>19812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406175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06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438480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438480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438479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438479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65151</xdr:colOff>
      <xdr:row>1</xdr:row>
      <xdr:rowOff>19812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406175</xdr:colOff>
      <xdr:row>1</xdr:row>
      <xdr:rowOff>19812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00025"/>
          <a:ext cx="406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65913</xdr:colOff>
      <xdr:row>2</xdr:row>
      <xdr:rowOff>181841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98" y="206803"/>
          <a:ext cx="366383" cy="3733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438480</xdr:colOff>
      <xdr:row>1</xdr:row>
      <xdr:rowOff>19812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438480</xdr:colOff>
      <xdr:row>1</xdr:row>
      <xdr:rowOff>19812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438479</xdr:colOff>
      <xdr:row>1</xdr:row>
      <xdr:rowOff>19812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438479</xdr:colOff>
      <xdr:row>1</xdr:row>
      <xdr:rowOff>19812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9525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19050</xdr:rowOff>
    </xdr:from>
    <xdr:to>
      <xdr:col>12</xdr:col>
      <xdr:colOff>406175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06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9525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19050</xdr:rowOff>
    </xdr:from>
    <xdr:to>
      <xdr:col>12</xdr:col>
      <xdr:colOff>434150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19050</xdr:rowOff>
    </xdr:from>
    <xdr:to>
      <xdr:col>12</xdr:col>
      <xdr:colOff>434150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19050</xdr:rowOff>
    </xdr:from>
    <xdr:to>
      <xdr:col>12</xdr:col>
      <xdr:colOff>434149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19050</xdr:rowOff>
    </xdr:from>
    <xdr:to>
      <xdr:col>12</xdr:col>
      <xdr:colOff>434149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59811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15150" y="200025"/>
          <a:ext cx="406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92116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15150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92116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15150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92115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15150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92115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15150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92115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2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15150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286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120425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34075" y="228600"/>
          <a:ext cx="406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3451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152730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34075" y="228600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152730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34075" y="228600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152729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34075" y="228600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152729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34075" y="228600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152729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2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34075" y="228600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406175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86575" y="200025"/>
          <a:ext cx="406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9855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865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9855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86575" y="200025"/>
          <a:ext cx="43848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9854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865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9854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865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12</xdr:col>
      <xdr:colOff>9854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2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86575" y="200025"/>
          <a:ext cx="4384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4765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</xdr:row>
      <xdr:rowOff>19050</xdr:rowOff>
    </xdr:from>
    <xdr:to>
      <xdr:col>18</xdr:col>
      <xdr:colOff>401546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00650" y="2476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5356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</xdr:row>
      <xdr:rowOff>19050</xdr:rowOff>
    </xdr:from>
    <xdr:to>
      <xdr:col>18</xdr:col>
      <xdr:colOff>435952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00650" y="2476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</xdr:row>
      <xdr:rowOff>19050</xdr:rowOff>
    </xdr:from>
    <xdr:to>
      <xdr:col>18</xdr:col>
      <xdr:colOff>435952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00650" y="2476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128221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200025"/>
          <a:ext cx="38539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</xdr:row>
      <xdr:rowOff>19050</xdr:rowOff>
    </xdr:from>
    <xdr:to>
      <xdr:col>3</xdr:col>
      <xdr:colOff>5796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200025"/>
          <a:ext cx="4058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57151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57151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43815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57151</xdr:colOff>
      <xdr:row>3</xdr:row>
      <xdr:rowOff>35876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05937"/>
          <a:ext cx="419101" cy="3919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19050</xdr:rowOff>
    </xdr:from>
    <xdr:to>
      <xdr:col>3</xdr:col>
      <xdr:colOff>128015</xdr:colOff>
      <xdr:row>0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9050"/>
          <a:ext cx="45186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0</xdr:row>
      <xdr:rowOff>24959</xdr:rowOff>
    </xdr:from>
    <xdr:to>
      <xdr:col>3</xdr:col>
      <xdr:colOff>174116</xdr:colOff>
      <xdr:row>0</xdr:row>
      <xdr:rowOff>25133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24959"/>
          <a:ext cx="440816" cy="17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18" name="Picture 117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401546</xdr:colOff>
      <xdr:row>0</xdr:row>
      <xdr:rowOff>19050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01025" y="190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22" name="Picture 121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435952</xdr:colOff>
      <xdr:row>0</xdr:row>
      <xdr:rowOff>19050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1025" y="190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114301</xdr:colOff>
      <xdr:row>0</xdr:row>
      <xdr:rowOff>28575</xdr:rowOff>
    </xdr:from>
    <xdr:to>
      <xdr:col>3</xdr:col>
      <xdr:colOff>152380</xdr:colOff>
      <xdr:row>0</xdr:row>
      <xdr:rowOff>28702</xdr:rowOff>
    </xdr:to>
    <xdr:pic>
      <xdr:nvPicPr>
        <xdr:cNvPr id="124" name="Picture 1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6" y="28575"/>
          <a:ext cx="466704" cy="12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0</xdr:row>
      <xdr:rowOff>28575</xdr:rowOff>
    </xdr:from>
    <xdr:to>
      <xdr:col>3</xdr:col>
      <xdr:colOff>85724</xdr:colOff>
      <xdr:row>2</xdr:row>
      <xdr:rowOff>128586</xdr:rowOff>
    </xdr:to>
    <xdr:pic>
      <xdr:nvPicPr>
        <xdr:cNvPr id="125" name="Picture 1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" y="28575"/>
          <a:ext cx="380999" cy="4524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3</xdr:col>
      <xdr:colOff>11627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200025"/>
          <a:ext cx="50692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</xdr:row>
      <xdr:rowOff>19050</xdr:rowOff>
    </xdr:from>
    <xdr:to>
      <xdr:col>4</xdr:col>
      <xdr:colOff>50293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200025"/>
          <a:ext cx="69532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19050</xdr:rowOff>
    </xdr:from>
    <xdr:to>
      <xdr:col>2</xdr:col>
      <xdr:colOff>73779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200025"/>
          <a:ext cx="32142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</xdr:row>
      <xdr:rowOff>19050</xdr:rowOff>
    </xdr:from>
    <xdr:to>
      <xdr:col>2</xdr:col>
      <xdr:colOff>198964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2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200025"/>
          <a:ext cx="34869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2</xdr:col>
      <xdr:colOff>243840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2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2</xdr:col>
      <xdr:colOff>243840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4</xdr:col>
      <xdr:colOff>62866</xdr:colOff>
      <xdr:row>1</xdr:row>
      <xdr:rowOff>19050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2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68580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53339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2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42862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181710</xdr:colOff>
      <xdr:row>1</xdr:row>
      <xdr:rowOff>21981</xdr:rowOff>
    </xdr:from>
    <xdr:to>
      <xdr:col>3</xdr:col>
      <xdr:colOff>76200</xdr:colOff>
      <xdr:row>2</xdr:row>
      <xdr:rowOff>180975</xdr:rowOff>
    </xdr:to>
    <xdr:pic>
      <xdr:nvPicPr>
        <xdr:cNvPr id="10" name="Picture 1">
          <a:extLst>
            <a:ext uri="{FF2B5EF4-FFF2-40B4-BE49-F238E27FC236}">
              <a16:creationId xmlns="" xmlns:a16="http://schemas.microsoft.com/office/drawing/2014/main" id="{00000000-0008-0000-2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910" y="202956"/>
          <a:ext cx="389790" cy="37806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189619</xdr:colOff>
      <xdr:row>1</xdr:row>
      <xdr:rowOff>19050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2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56490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2050</xdr:colOff>
      <xdr:row>1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2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00025"/>
          <a:ext cx="37733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390525</xdr:colOff>
      <xdr:row>23</xdr:row>
      <xdr:rowOff>0</xdr:rowOff>
    </xdr:to>
    <xdr:pic>
      <xdr:nvPicPr>
        <xdr:cNvPr id="1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4125" y="4981575"/>
          <a:ext cx="390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104776</xdr:rowOff>
    </xdr:from>
    <xdr:to>
      <xdr:col>9</xdr:col>
      <xdr:colOff>857250</xdr:colOff>
      <xdr:row>24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19050</xdr:colOff>
      <xdr:row>12</xdr:row>
      <xdr:rowOff>114300</xdr:rowOff>
    </xdr:from>
    <xdr:to>
      <xdr:col>13</xdr:col>
      <xdr:colOff>285750</xdr:colOff>
      <xdr:row>23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00000000-0008-0000-3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361950</xdr:colOff>
      <xdr:row>12</xdr:row>
      <xdr:rowOff>9526</xdr:rowOff>
    </xdr:from>
    <xdr:to>
      <xdr:col>18</xdr:col>
      <xdr:colOff>0</xdr:colOff>
      <xdr:row>24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00000000-0008-0000-3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76201</xdr:colOff>
      <xdr:row>10</xdr:row>
      <xdr:rowOff>161926</xdr:rowOff>
    </xdr:from>
    <xdr:to>
      <xdr:col>23</xdr:col>
      <xdr:colOff>342901</xdr:colOff>
      <xdr:row>22</xdr:row>
      <xdr:rowOff>180976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00000000-0008-0000-3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15</xdr:row>
      <xdr:rowOff>28575</xdr:rowOff>
    </xdr:from>
    <xdr:to>
      <xdr:col>4</xdr:col>
      <xdr:colOff>190500</xdr:colOff>
      <xdr:row>21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SpPr/>
      </xdr:nvSpPr>
      <xdr:spPr>
        <a:xfrm>
          <a:off x="1323975" y="2886075"/>
          <a:ext cx="1304925" cy="1257300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/>
            <a:t>POLI</a:t>
          </a:r>
          <a:r>
            <a:rPr lang="en-GB" sz="1100" baseline="0"/>
            <a:t> </a:t>
          </a:r>
          <a:r>
            <a:rPr lang="id-ID" sz="1100" baseline="0"/>
            <a:t> SUB SPESIALIS  ANAK</a:t>
          </a:r>
          <a:endParaRPr lang="en-GB" sz="1100"/>
        </a:p>
      </xdr:txBody>
    </xdr:sp>
    <xdr:clientData/>
  </xdr:twoCellAnchor>
  <xdr:twoCellAnchor>
    <xdr:from>
      <xdr:col>8</xdr:col>
      <xdr:colOff>552450</xdr:colOff>
      <xdr:row>11</xdr:row>
      <xdr:rowOff>123824</xdr:rowOff>
    </xdr:from>
    <xdr:to>
      <xdr:col>11</xdr:col>
      <xdr:colOff>28575</xdr:colOff>
      <xdr:row>21</xdr:row>
      <xdr:rowOff>114299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SpPr/>
      </xdr:nvSpPr>
      <xdr:spPr>
        <a:xfrm>
          <a:off x="5429250" y="2219324"/>
          <a:ext cx="1304925" cy="1895475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lt1"/>
              </a:solidFill>
              <a:latin typeface="+mn-lt"/>
              <a:ea typeface="+mn-ea"/>
              <a:cs typeface="+mn-cs"/>
            </a:rPr>
            <a:t>POLI</a:t>
          </a:r>
          <a:r>
            <a:rPr lang="en-GB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</a:t>
          </a:r>
          <a:r>
            <a:rPr lang="id-ID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OBGYN &amp; SUB SPESIALIS</a:t>
          </a:r>
          <a:endParaRPr lang="en-GB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561975</xdr:colOff>
      <xdr:row>1</xdr:row>
      <xdr:rowOff>9525</xdr:rowOff>
    </xdr:from>
    <xdr:to>
      <xdr:col>11</xdr:col>
      <xdr:colOff>38100</xdr:colOff>
      <xdr:row>11</xdr:row>
      <xdr:rowOff>19050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3200-000004000000}"/>
            </a:ext>
          </a:extLst>
        </xdr:cNvPr>
        <xdr:cNvSpPr/>
      </xdr:nvSpPr>
      <xdr:spPr>
        <a:xfrm>
          <a:off x="5438775" y="200025"/>
          <a:ext cx="1304925" cy="19145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/>
            <a:t>POLI</a:t>
          </a:r>
          <a:r>
            <a:rPr lang="en-GB" sz="1100" baseline="0"/>
            <a:t> GIGI</a:t>
          </a:r>
          <a:endParaRPr lang="en-GB" sz="1100"/>
        </a:p>
      </xdr:txBody>
    </xdr:sp>
    <xdr:clientData/>
  </xdr:twoCellAnchor>
  <xdr:twoCellAnchor>
    <xdr:from>
      <xdr:col>4</xdr:col>
      <xdr:colOff>295275</xdr:colOff>
      <xdr:row>1</xdr:row>
      <xdr:rowOff>19050</xdr:rowOff>
    </xdr:from>
    <xdr:to>
      <xdr:col>6</xdr:col>
      <xdr:colOff>342900</xdr:colOff>
      <xdr:row>7</xdr:row>
      <xdr:rowOff>133350</xdr:rowOff>
    </xdr:to>
    <xdr:sp macro="" textlink="">
      <xdr:nvSpPr>
        <xdr:cNvPr id="5" name="Rectangle 4">
          <a:extLst>
            <a:ext uri="{FF2B5EF4-FFF2-40B4-BE49-F238E27FC236}">
              <a16:creationId xmlns="" xmlns:a16="http://schemas.microsoft.com/office/drawing/2014/main" id="{00000000-0008-0000-3200-000005000000}"/>
            </a:ext>
          </a:extLst>
        </xdr:cNvPr>
        <xdr:cNvSpPr/>
      </xdr:nvSpPr>
      <xdr:spPr>
        <a:xfrm>
          <a:off x="2733675" y="209550"/>
          <a:ext cx="1266825" cy="1257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/>
            <a:t>POLI</a:t>
          </a:r>
          <a:r>
            <a:rPr lang="en-GB" sz="1100" baseline="0"/>
            <a:t> BEDAH ANAK</a:t>
          </a:r>
          <a:endParaRPr lang="en-GB" sz="1100"/>
        </a:p>
      </xdr:txBody>
    </xdr:sp>
    <xdr:clientData/>
  </xdr:twoCellAnchor>
  <xdr:twoCellAnchor>
    <xdr:from>
      <xdr:col>6</xdr:col>
      <xdr:colOff>419100</xdr:colOff>
      <xdr:row>1</xdr:row>
      <xdr:rowOff>9525</xdr:rowOff>
    </xdr:from>
    <xdr:to>
      <xdr:col>8</xdr:col>
      <xdr:colOff>495299</xdr:colOff>
      <xdr:row>7</xdr:row>
      <xdr:rowOff>123825</xdr:rowOff>
    </xdr:to>
    <xdr:sp macro="" textlink="">
      <xdr:nvSpPr>
        <xdr:cNvPr id="6" name="Rectangle 5">
          <a:extLst>
            <a:ext uri="{FF2B5EF4-FFF2-40B4-BE49-F238E27FC236}">
              <a16:creationId xmlns="" xmlns:a16="http://schemas.microsoft.com/office/drawing/2014/main" id="{00000000-0008-0000-3200-000006000000}"/>
            </a:ext>
          </a:extLst>
        </xdr:cNvPr>
        <xdr:cNvSpPr/>
      </xdr:nvSpPr>
      <xdr:spPr>
        <a:xfrm>
          <a:off x="4076700" y="200025"/>
          <a:ext cx="1295399" cy="1257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/>
            <a:t>POLI</a:t>
          </a:r>
          <a:r>
            <a:rPr lang="en-GB" sz="1100" baseline="0"/>
            <a:t> PENYAKIT DALAM</a:t>
          </a:r>
          <a:endParaRPr lang="en-GB" sz="1100"/>
        </a:p>
      </xdr:txBody>
    </xdr:sp>
    <xdr:clientData/>
  </xdr:twoCellAnchor>
  <xdr:twoCellAnchor>
    <xdr:from>
      <xdr:col>4</xdr:col>
      <xdr:colOff>257175</xdr:colOff>
      <xdr:row>15</xdr:row>
      <xdr:rowOff>38100</xdr:rowOff>
    </xdr:from>
    <xdr:to>
      <xdr:col>6</xdr:col>
      <xdr:colOff>342900</xdr:colOff>
      <xdr:row>21</xdr:row>
      <xdr:rowOff>152400</xdr:rowOff>
    </xdr:to>
    <xdr:sp macro="" textlink="">
      <xdr:nvSpPr>
        <xdr:cNvPr id="7" name="Rectangle 6">
          <a:extLst>
            <a:ext uri="{FF2B5EF4-FFF2-40B4-BE49-F238E27FC236}">
              <a16:creationId xmlns="" xmlns:a16="http://schemas.microsoft.com/office/drawing/2014/main" id="{00000000-0008-0000-3200-000007000000}"/>
            </a:ext>
          </a:extLst>
        </xdr:cNvPr>
        <xdr:cNvSpPr/>
      </xdr:nvSpPr>
      <xdr:spPr>
        <a:xfrm>
          <a:off x="2695575" y="2895600"/>
          <a:ext cx="1304925" cy="1257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/>
            <a:t>POLI</a:t>
          </a:r>
          <a:r>
            <a:rPr lang="en-GB" sz="1100" baseline="0"/>
            <a:t> </a:t>
          </a:r>
          <a:r>
            <a:rPr lang="id-ID" sz="1100" baseline="0"/>
            <a:t>ANAK</a:t>
          </a:r>
          <a:endParaRPr lang="en-GB" sz="1100"/>
        </a:p>
      </xdr:txBody>
    </xdr:sp>
    <xdr:clientData/>
  </xdr:twoCellAnchor>
  <xdr:twoCellAnchor>
    <xdr:from>
      <xdr:col>6</xdr:col>
      <xdr:colOff>400050</xdr:colOff>
      <xdr:row>15</xdr:row>
      <xdr:rowOff>47625</xdr:rowOff>
    </xdr:from>
    <xdr:to>
      <xdr:col>8</xdr:col>
      <xdr:colOff>476250</xdr:colOff>
      <xdr:row>21</xdr:row>
      <xdr:rowOff>133350</xdr:rowOff>
    </xdr:to>
    <xdr:sp macro="" textlink="">
      <xdr:nvSpPr>
        <xdr:cNvPr id="8" name="Rectangle 7">
          <a:extLst>
            <a:ext uri="{FF2B5EF4-FFF2-40B4-BE49-F238E27FC236}">
              <a16:creationId xmlns="" xmlns:a16="http://schemas.microsoft.com/office/drawing/2014/main" id="{00000000-0008-0000-3200-000008000000}"/>
            </a:ext>
          </a:extLst>
        </xdr:cNvPr>
        <xdr:cNvSpPr/>
      </xdr:nvSpPr>
      <xdr:spPr>
        <a:xfrm>
          <a:off x="4057650" y="2905125"/>
          <a:ext cx="1295400" cy="1228725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/>
            <a:t>POLI</a:t>
          </a:r>
          <a:r>
            <a:rPr lang="en-GB" sz="1100" baseline="0"/>
            <a:t> </a:t>
          </a:r>
          <a:r>
            <a:rPr lang="id-ID" sz="1100" baseline="0"/>
            <a:t>TERPADU ANAK SEHAT</a:t>
          </a:r>
          <a:endParaRPr lang="en-GB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4765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401546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00650" y="247650"/>
          <a:ext cx="40154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53562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00650" y="2476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00650" y="24765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1880</xdr:colOff>
      <xdr:row>1</xdr:row>
      <xdr:rowOff>21590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2381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115962</xdr:colOff>
      <xdr:row>1</xdr:row>
      <xdr:rowOff>16566</xdr:rowOff>
    </xdr:from>
    <xdr:to>
      <xdr:col>3</xdr:col>
      <xdr:colOff>74159</xdr:colOff>
      <xdr:row>2</xdr:row>
      <xdr:rowOff>173934</xdr:rowOff>
    </xdr:to>
    <xdr:pic>
      <xdr:nvPicPr>
        <xdr:cNvPr id="10" name="Picture 1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7875" y="248479"/>
          <a:ext cx="446553" cy="37271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64770</xdr:colOff>
      <xdr:row>1</xdr:row>
      <xdr:rowOff>21590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200025"/>
          <a:ext cx="388620" cy="25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401546</xdr:colOff>
      <xdr:row>1</xdr:row>
      <xdr:rowOff>21590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10325" y="200025"/>
          <a:ext cx="401546" cy="25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64770</xdr:colOff>
      <xdr:row>2</xdr:row>
      <xdr:rowOff>183173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205937"/>
          <a:ext cx="369570" cy="3772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21590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10325" y="200025"/>
          <a:ext cx="435952" cy="25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21590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10325" y="200025"/>
          <a:ext cx="435952" cy="25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28600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403648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1675" y="228600"/>
          <a:ext cx="40364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34512"/>
          <a:ext cx="361950" cy="39118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435953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1675" y="228600"/>
          <a:ext cx="43595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435953</xdr:colOff>
      <xdr:row>1</xdr:row>
      <xdr:rowOff>19050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1675" y="228600"/>
          <a:ext cx="43595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1675" y="228600"/>
          <a:ext cx="43595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3</xdr:col>
      <xdr:colOff>57150</xdr:colOff>
      <xdr:row>1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381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403648</xdr:colOff>
      <xdr:row>1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10200" y="238125"/>
          <a:ext cx="40136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</xdr:row>
      <xdr:rowOff>24962</xdr:rowOff>
    </xdr:from>
    <xdr:to>
      <xdr:col>3</xdr:col>
      <xdr:colOff>57150</xdr:colOff>
      <xdr:row>2</xdr:row>
      <xdr:rowOff>197069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44037"/>
          <a:ext cx="361950" cy="3911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435953</xdr:colOff>
      <xdr:row>1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29250" y="238125"/>
          <a:ext cx="438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435953</xdr:colOff>
      <xdr:row>1</xdr:row>
      <xdr:rowOff>19050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878" y="235826"/>
          <a:ext cx="37935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19050</xdr:rowOff>
    </xdr:from>
    <xdr:to>
      <xdr:col>11</xdr:col>
      <xdr:colOff>435952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878" y="202981"/>
          <a:ext cx="37935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Users/ASUS/Downloads/04%20APBA%202013/FORMAT%202013/RKA/0_Genset_A_20130206_Jam_10.17%20MASTER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DATA%202012/RPJM%202013/BAHAN%20DINAS/DISBUDPAR/RPJM%20ACEH%2021%20Mei%202012%20edit%20disbudpar/mydata/RENJA%20DISBUDPAR%202013/2012%20p2k/DISPOSISI%202012/DATA%202008/OTSUS%20DAN%20MIGAS%20MEI/DAU%202006/simulasi%20KK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DATA%202012\RPJM%202013\BAHAN%20DINAS\DISBUDPAR\RPJM%20ACEH%2021%20Mei%202012%20edit%20disbudpar\mydata\RENJA%20DISBUDPAR%202013\2012%20p2k\DISPOSISI%202012\DATA%202008\OTSUS%20DAN%20MIGAS%20MEI\DAU%202006\simulasi%20KK%2020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ATA%202012/RPJM%202013/BAHAN%20DINAS/DISBUDPAR/RPJM%20ACEH%2021%20Mei%202012%20edit%20disbudpar/mydata/RENJA%20DISBUDPAR%202013/2012%20p2k/DISPOSISI%202012/DATA%202008/OTSUS%20DAN%20MIGAS%20MEI/Pribados%20AA/Simulasi%20DAU/DAU%202001-2005/DAU%202005/dape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MATRIK%20RPJMA%20SKPA%20dasar/mydata/RENJA%20DISBUDPAR%202013/2012%20p2k/DISPOSISI%202012/DATA%202008/OTSUS%20DAN%20MIGAS%20MEI/DAU%202006/data%20rekon/Belanja%20Pegawai/Banding%20data%20DAU%20Mast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MATRIK%20RPJMA%20SKPA%20dasar\mydata\RENJA%20DISBUDPAR%202013\2012%20p2k\DISPOSISI%202012\DATA%202008\OTSUS%20DAN%20MIGAS%20MEI\DAU%202006\data%20rekon\Belanja%20Pegawai\Banding%20data%20DAU%20Maste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214\Data%202007\FORMAT%20PANTAU%20P4W%20PAKET%20pisah%20AP%20&amp;%20PROGWILAYAH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DATA%202012/RPJM%202013/BAHAN%20DINAS/DISBUDPAR/RPJM%20ACEH%2021%20Mei%202012%20edit%20disbudpar/mydata/RENJA%20DISBUDPAR%202013/2012%20p2k/DISPOSISI%202012/DATA%202008/OTSUS%20DAN%20MIGAS%20MEI/data%20BK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DATA%202012\RPJM%202013\BAHAN%20DINAS\DISBUDPAR\RPJM%20ACEH%2021%20Mei%202012%20edit%20disbudpar\mydata\RENJA%20DISBUDPAR%202013\2012%20p2k\DISPOSISI%202012\DATA%202008\OTSUS%20DAN%20MIGAS%20MEI\data%20BK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DATA%202012/RPJM%202013/BAHAN%20DINAS/DISBUDPAR/RPJM%20ACEH%2021%20Mei%202012%20edit%20disbudpar/mydata/RENJA%20DISBUDPAR%202013/2012%20p2k/DISPOSISI%202012/DATA%202008/OTSUS%20DAN%20MIGAS%20MEI/DAU%202006/data%20rekon/Belanja%20Pegawai/Rekon%20B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MATRIK%20RPJMA%20SKPA%20dasar/mydata/RENJA%20DISBUDPAR%202013/2012%20p2k/DISPOSISI%202012/DATA%202008/OTSUS%20DAN%20MIGAS%20MEI/A.%20KANTOR/File%20Laptop/Simulasi%20DAU/DAU%202001-2004/DAU%202004/2-Simulasi%20PRO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04%20APBA%202013\FORMAT%202013\RKA\0_Genset_A_20130206_Jam_10.17%20MASTER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MATRIK%20RPJMA%20SKPA%20dasar\mydata\RENJA%20DISBUDPAR%202013\2012%20p2k\DISPOSISI%202012\DATA%202008\OTSUS%20DAN%20MIGAS%20MEI\A.%20KANTOR\File%20Laptop\Simulasi%20DAU\DAU%202001-2004\DAU%202004\2-Simulasi%20PROV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DATA%202012/MUSRENBANG%202013/BAHAN%20KAB%20KOTA/23.%20ACEH%20TAMIANG/APBA,%20APBN,%20OTSUS%20MIGAS%202013/feri%20OTSUS-PU%20kel%20I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DATA%202012\MUSRENBANG%202013\BAHAN%20KAB%20KOTA\23.%20ACEH%20TAMIANG\APBA,%20APBN,%20OTSUS%20MIGAS%202013\feri%20OTSUS-PU%20kel%20I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50\Litbang%202010\Program%20&amp;%20Anggaran\APBA\P2K\B.%2019.%20PENGAIRAN\Program%202010\FAIZ%20Padang\Documents%20and%20Settings\Romo\Local%20Settings\Temp\KHUSUS\LAPORAN\LAPORAN%20BULANAN%20APBD%20DESEMBER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Users\P2KSDM\Desktop\Users\BAPPEDA%20ACEH\Desktop\soft%20copy%20otsus%20n%20migas%2009\Documents%20and%20Settings\Romo\Local%20Settings\Temp\KHUSUS\LAPORAN\LAPORAN%20BULANAN%20APBD%20DESEMBER%2020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MATRIK%20RPJMA%20SKPA%20dasar/mydata/RENJA%20DISBUDPAR%202013/2012%20p2k/DISPOSISI%202012/DATA%202008/OTSUS%20DAN%20MIGAS%20MEI/PROYEK-DAU%20II%202004/Paper%20Palu/Simulasi%202004/simulasi%20provinsi%20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MATRIK%20RPJMA%20SKPA%20dasar\mydata\RENJA%20DISBUDPAR%202013\2012%20p2k\DISPOSISI%202012\DATA%202008\OTSUS%20DAN%20MIGAS%20MEI\PROYEK-DAU%20II%202004\Paper%20Palu\Simulasi%202004\simulasi%20provinsi%2020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My%20Documents/Jantho/rab/RAB%20LAmpulo/CAIXA%20&amp;%20HUSNI/CONSULTANT%20FILE/ANALISA%20STANDAR%20BINA%20MARGA/BINA%20MARGA%20FILE/OE-EE/6-AGG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My%20Documents\Jantho\rab\RAB%20LAmpulo\CAIXA%20&amp;%20HUSNI\CONSULTANT%20FILE\ANALISA%20STANDAR%20BINA%20MARGA\BINA%20MARGA%20FILE\OE-EE\6-AGG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DATA%202012/RPJM%202013/BAHAN%20DINAS/DISBUDPAR/RPJM%20ACEH%2021%20Mei%202012%20edit%20disbudpar/mydata/RENJA%20DISBUDPAR%202013/2012%20p2k/DISPOSISI%202012/FORMAT%20A1%20A2%20A3%20MASTER%20Disbudpar%20TO%20BYUNI%2021_02_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Users/ASUS/Downloads/KANTOR/2013/INPUT%20A1_6%20FEB/PASCA%20DESK/0_Genset_A_20130218_Jam_20.48%20MASTER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DATA%202012\RPJM%202013\BAHAN%20DINAS\DISBUDPAR\RPJM%20ACEH%2021%20Mei%202012%20edit%20disbudpar\mydata\RENJA%20DISBUDPAR%202013\2012%20p2k\DISPOSISI%202012\FORMAT%20A1%20A2%20A3%20MASTER%20Disbudpar%20TO%20BYUNI%2021_02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2.PRA%20RAPIM\12.DESEMBER\Kurva%20S%2020101208\Kurva%20S%20Iin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edd1n\master%20(d)\APBD%20TA%202007\Data1.Gaji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Users/ASUS/Downloads/New%20FIle/P2K/1%20P2K%20Update/SURAT%20RAPIMSUS%20BMCK%2015-09-11/00.%20D1%20AMAT/GENERATOR_SMEA_KORWIL%20ALAM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New%20FIle\P2K\1%20P2K%20Update\SURAT%20RAPIMSUS%20BMCK%2015-09-11\00.%20D1%20AMAT\GENERATOR_SMEA_KORWIL%20ALAM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7/Perubahan%202017/DATA%202012/RPJM%202013/BAHAN%20DINAS/DISBUDPAR/RPJM%20ACEH%2021%20Mei%202012%20edit%20disbudpar/mydata/RENJA%20DISBUDPAR%202013/2012%20p2k/DISPOSISI%202012/DATA%202008/OTSUS%20DAN%20MIGAS%20MEI/Daper/DAU2003/LAMP-DA%20DAU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DATA%202012\RPJM%202013\BAHAN%20DINAS\DISBUDPAR\RPJM%20ACEH%2021%20Mei%202012%20edit%20disbudpar\mydata\RENJA%20DISBUDPAR%202013\2012%20p2k\DISPOSISI%202012\DATA%202008\OTSUS%20DAN%20MIGAS%20MEI\Daper\DAU2003\LAMP-DA%20DAU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RKA%202018%20Kebutuhan%20070817%20Renja%20Asli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BA%202017\RBA%202017\RKA%202017\RKA%202017%2098M,%2007022017%20Final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RBA%202018/ANGGARAN%20BTL%20TA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KANTOR\2013\INPUT%20A1_6%20FEB\PASCA%20DESK\0_Genset_A_20130218_Jam_20.48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Litbang%202010\Program%20&amp;%20Anggaran\APBA\P2K\B.%2019.%20PENGAIRAN\Program%202010\FAIZ%20Padang\Documents%20and%20Settings\Romo\Local%20Settings\Temp\KHUSUS\LAPORAN\LAPORAN%20BULANAN%20APBD%20DESEMBER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SUS/Downloads/Users/DPKKA_21/Desktop/Normalisasi%20A1,A2,B1%20SKPA%20Agam/4.%20Normalisasi%20Format%20P2K%20DPA%20-%20APBA-2012%20DKP/New%20FIle/P2K/1%20P2K%20Update/SURAT%20RAPIMSUS%20BMCK%2015-09-11/00.%20D1%20AMAT/GENERATOR_SMEA_KORWIL%20ALAM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Users\DPKKA_21\Desktop\Normalisasi%20A1,A2,B1%20SKPA%20Agam\4.%20Normalisasi%20Format%20P2K%20DPA%20-%20APBA-2012%20DKP\New%20FIle\P2K\1%20P2K%20Update\SURAT%20RAPIMSUS%20BMCK%2015-09-11\00.%20D1%20AMAT\GENERATOR_SMEA_KORWIL%20ALAM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56\AppData\Roaming\Microsoft\Excel\Users\BAPPEDA%20ACEH\Desktop\soft%20copy%20otsus%20n%20migas%2009\Documents%20and%20Settings\Romo\Local%20Settings\Temp\KHUSUS\LAPORAN\LAPORAN%20BULANAN%20APBD%20DESEMBER%2020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e Pengadaan"/>
      <sheetName val="Lokasi"/>
      <sheetName val="SKPD"/>
      <sheetName val="KPA"/>
      <sheetName val="A1"/>
      <sheetName val="A3"/>
      <sheetName val="A2"/>
      <sheetName val="A4.P"/>
      <sheetName val="A4.S"/>
      <sheetName val="A5"/>
      <sheetName val="Rekap A5"/>
      <sheetName val="A6"/>
      <sheetName val="Rekap A6"/>
      <sheetName val="B"/>
      <sheetName val="B1"/>
      <sheetName val="B2"/>
      <sheetName val="B3"/>
      <sheetName val="B6"/>
    </sheetNames>
    <sheetDataSet>
      <sheetData sheetId="0"/>
      <sheetData sheetId="1"/>
      <sheetData sheetId="2"/>
      <sheetData sheetId="3"/>
      <sheetData sheetId="4">
        <row r="4">
          <cell r="B4" t="str">
            <v>APBA</v>
          </cell>
        </row>
        <row r="6">
          <cell r="A6" t="str">
            <v>SKPA</v>
          </cell>
          <cell r="B6" t="str">
            <v>TAMBEN</v>
          </cell>
        </row>
        <row r="7">
          <cell r="B7">
            <v>2013</v>
          </cell>
        </row>
        <row r="78">
          <cell r="M78" t="str">
            <v>Banda Aceh, 08 Februari 2013</v>
          </cell>
        </row>
        <row r="79">
          <cell r="D79" t="str">
            <v>Kepala Dinas Pertambangan &amp; Energi</v>
          </cell>
          <cell r="M79" t="str">
            <v>Kepala Bidang Program</v>
          </cell>
        </row>
        <row r="83">
          <cell r="D83" t="str">
            <v>( Ir. SAID IKHSAN, M.Si )</v>
          </cell>
          <cell r="M83" t="str">
            <v>( Ir. T. ZULFIKAR, MT )</v>
          </cell>
        </row>
        <row r="84">
          <cell r="D84" t="str">
            <v>NIP. 19561230 168903 1 004</v>
          </cell>
          <cell r="M84" t="str">
            <v>NIP. 19580912 199403 1 004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a KK"/>
      <sheetName val="DAU suatu daerah"/>
      <sheetName val="40 db"/>
    </sheetNames>
    <sheetDataSet>
      <sheetData sheetId="0">
        <row r="9">
          <cell r="E9">
            <v>1</v>
          </cell>
          <cell r="F9" t="str">
            <v>Kab. Aceh Barat</v>
          </cell>
          <cell r="G9">
            <v>162.24700000000001</v>
          </cell>
          <cell r="H9">
            <v>2312.39</v>
          </cell>
          <cell r="I9">
            <v>57.013262499999996</v>
          </cell>
          <cell r="J9">
            <v>8.4503410922032316</v>
          </cell>
          <cell r="K9">
            <v>97.79</v>
          </cell>
          <cell r="L9">
            <v>1.3824203953973311</v>
          </cell>
          <cell r="M9">
            <v>249.83153156490141</v>
          </cell>
          <cell r="N9">
            <v>6.8878199999999996</v>
          </cell>
          <cell r="O9">
            <v>11.087138922086233</v>
          </cell>
          <cell r="P9">
            <v>10.704087344347371</v>
          </cell>
          <cell r="Q9">
            <v>5.8262567172899047</v>
          </cell>
          <cell r="R9">
            <v>73.929768172207375</v>
          </cell>
          <cell r="S9">
            <v>115.73231908331931</v>
          </cell>
          <cell r="T9">
            <v>35.139794572472823</v>
          </cell>
          <cell r="U9">
            <v>0.24047781710206431</v>
          </cell>
        </row>
        <row r="10">
          <cell r="E10">
            <v>2</v>
          </cell>
          <cell r="F10" t="str">
            <v>Kab. Aceh Besar</v>
          </cell>
          <cell r="G10">
            <v>303.01600000000002</v>
          </cell>
          <cell r="H10">
            <v>2686.1</v>
          </cell>
          <cell r="I10">
            <v>89.939607800000005</v>
          </cell>
          <cell r="J10">
            <v>3.4146100731377942</v>
          </cell>
          <cell r="K10">
            <v>96.13</v>
          </cell>
          <cell r="L10">
            <v>0.66133392276772762</v>
          </cell>
          <cell r="M10">
            <v>361.37298299999998</v>
          </cell>
          <cell r="N10">
            <v>3.7630972370497613</v>
          </cell>
          <cell r="O10">
            <v>12.318498206825616</v>
          </cell>
          <cell r="P10">
            <v>10.32737942434737</v>
          </cell>
          <cell r="Q10">
            <v>6.2991112268899041</v>
          </cell>
          <cell r="R10">
            <v>140.48244978978011</v>
          </cell>
          <cell r="S10">
            <v>192.2</v>
          </cell>
          <cell r="T10">
            <v>29.681471539456659</v>
          </cell>
          <cell r="U10">
            <v>0.11504180541044365</v>
          </cell>
        </row>
        <row r="11">
          <cell r="E11">
            <v>3</v>
          </cell>
          <cell r="F11" t="str">
            <v>Kab. Aceh Selatan</v>
          </cell>
          <cell r="G11">
            <v>186.857</v>
          </cell>
          <cell r="H11">
            <v>3642.6109999999999</v>
          </cell>
          <cell r="I11">
            <v>51.08544150036068</v>
          </cell>
          <cell r="J11">
            <v>4.9420567356934955</v>
          </cell>
          <cell r="K11">
            <v>95.31</v>
          </cell>
          <cell r="L11">
            <v>1.0391663120288597</v>
          </cell>
          <cell r="M11">
            <v>219.45546770000001</v>
          </cell>
          <cell r="N11">
            <v>3.3156215772462061</v>
          </cell>
          <cell r="O11">
            <v>10.751803064495689</v>
          </cell>
          <cell r="P11">
            <v>10.399244454437369</v>
          </cell>
          <cell r="Q11">
            <v>4.8968070174899037</v>
          </cell>
          <cell r="R11">
            <v>81.071172299999986</v>
          </cell>
          <cell r="S11">
            <v>126.33934757205338</v>
          </cell>
          <cell r="T11">
            <v>27.3393244568631</v>
          </cell>
          <cell r="U11">
            <v>0.18076733181506507</v>
          </cell>
        </row>
        <row r="12">
          <cell r="E12">
            <v>4</v>
          </cell>
          <cell r="F12" t="str">
            <v>Kab. Aceh Singkil</v>
          </cell>
          <cell r="G12">
            <v>147.11699999999999</v>
          </cell>
          <cell r="H12">
            <v>3964</v>
          </cell>
          <cell r="I12">
            <v>41.863081000000008</v>
          </cell>
          <cell r="J12">
            <v>6.2516791976345703</v>
          </cell>
          <cell r="K12">
            <v>95.81</v>
          </cell>
          <cell r="L12">
            <v>1.262971260194766</v>
          </cell>
          <cell r="M12">
            <v>114.1551</v>
          </cell>
          <cell r="N12">
            <v>5.3420764096399997</v>
          </cell>
          <cell r="O12">
            <v>9.5893420799413374</v>
          </cell>
          <cell r="P12">
            <v>10.310661874437368</v>
          </cell>
          <cell r="Q12">
            <v>7.225287175089905</v>
          </cell>
          <cell r="R12">
            <v>35.450567399999997</v>
          </cell>
          <cell r="S12">
            <v>106.03430843184358</v>
          </cell>
          <cell r="T12">
            <v>28.455638029595498</v>
          </cell>
          <cell r="U12">
            <v>0.21969913980253983</v>
          </cell>
        </row>
        <row r="13">
          <cell r="E13">
            <v>5</v>
          </cell>
          <cell r="F13" t="str">
            <v>Kab. Aceh Tengah</v>
          </cell>
          <cell r="G13">
            <v>287.8</v>
          </cell>
          <cell r="H13">
            <v>5790.3</v>
          </cell>
          <cell r="I13">
            <v>79.547933652685515</v>
          </cell>
          <cell r="J13">
            <v>4.6955156882726889</v>
          </cell>
          <cell r="K13">
            <v>96.54</v>
          </cell>
          <cell r="L13">
            <v>0.97658555039088013</v>
          </cell>
          <cell r="M13">
            <v>243.63649115674903</v>
          </cell>
          <cell r="N13">
            <v>6.7597500000000004</v>
          </cell>
          <cell r="O13">
            <v>11.018748916148819</v>
          </cell>
          <cell r="P13">
            <v>10.334257994437369</v>
          </cell>
          <cell r="Q13">
            <v>6.6980868648899037</v>
          </cell>
          <cell r="R13">
            <v>107.97834059999998</v>
          </cell>
          <cell r="S13">
            <v>158.67541338730223</v>
          </cell>
          <cell r="T13">
            <v>27.640004743810113</v>
          </cell>
          <cell r="U13">
            <v>0.16988114625140338</v>
          </cell>
        </row>
        <row r="14">
          <cell r="E14">
            <v>6</v>
          </cell>
          <cell r="F14" t="str">
            <v>Kab. Aceh Tenggara</v>
          </cell>
          <cell r="G14">
            <v>168.30600000000001</v>
          </cell>
          <cell r="H14">
            <v>4231.2870000000003</v>
          </cell>
          <cell r="I14">
            <v>39.952651200000005</v>
          </cell>
          <cell r="J14">
            <v>7.9440960879781368</v>
          </cell>
          <cell r="K14">
            <v>97.37</v>
          </cell>
          <cell r="L14">
            <v>1.9238162767237483</v>
          </cell>
          <cell r="M14">
            <v>76.899419999999992</v>
          </cell>
          <cell r="N14">
            <v>5.0162500000000003</v>
          </cell>
          <cell r="O14">
            <v>9.178058858438952</v>
          </cell>
          <cell r="P14">
            <v>10.310661874437368</v>
          </cell>
          <cell r="Q14">
            <v>5.3971095402899039</v>
          </cell>
          <cell r="R14">
            <v>70.412895599999985</v>
          </cell>
          <cell r="S14">
            <v>117.29617433893213</v>
          </cell>
          <cell r="T14">
            <v>23.738102741435245</v>
          </cell>
          <cell r="U14">
            <v>0.3346558979253042</v>
          </cell>
        </row>
        <row r="15">
          <cell r="E15">
            <v>7</v>
          </cell>
          <cell r="F15" t="str">
            <v>Kab. Aceh Timur</v>
          </cell>
          <cell r="G15">
            <v>312.06700000000001</v>
          </cell>
          <cell r="H15">
            <v>6085.893</v>
          </cell>
          <cell r="I15">
            <v>93.461208619999994</v>
          </cell>
          <cell r="J15">
            <v>6.0467784817147612</v>
          </cell>
          <cell r="K15">
            <v>96.25</v>
          </cell>
          <cell r="L15">
            <v>1.1606616192278656</v>
          </cell>
          <cell r="M15">
            <v>224.12662</v>
          </cell>
          <cell r="N15">
            <v>6.2472825543704316</v>
          </cell>
          <cell r="O15">
            <v>10.803370142752543</v>
          </cell>
          <cell r="P15">
            <v>37.376025004437366</v>
          </cell>
          <cell r="Q15">
            <v>14.660944626089904</v>
          </cell>
          <cell r="R15">
            <v>92.800510199999991</v>
          </cell>
          <cell r="S15">
            <v>143.89976776499071</v>
          </cell>
          <cell r="T15">
            <v>29.949084209480652</v>
          </cell>
          <cell r="U15">
            <v>0.20190194930236294</v>
          </cell>
        </row>
        <row r="16">
          <cell r="E16">
            <v>8</v>
          </cell>
          <cell r="F16" t="str">
            <v>Kab. Aceh Utara</v>
          </cell>
          <cell r="G16">
            <v>487.37200000000001</v>
          </cell>
          <cell r="H16">
            <v>3191.91</v>
          </cell>
          <cell r="I16">
            <v>166.70806680000001</v>
          </cell>
          <cell r="J16">
            <v>10.355968019430854</v>
          </cell>
          <cell r="K16">
            <v>95.83</v>
          </cell>
          <cell r="L16">
            <v>1.7404428681634427</v>
          </cell>
          <cell r="M16">
            <v>653.09171980758515</v>
          </cell>
          <cell r="N16">
            <v>37.774709999999999</v>
          </cell>
          <cell r="O16">
            <v>15.538920484632129</v>
          </cell>
          <cell r="P16">
            <v>146.13951798443739</v>
          </cell>
          <cell r="Q16">
            <v>29.996770475889896</v>
          </cell>
          <cell r="R16">
            <v>130.68605579999999</v>
          </cell>
          <cell r="S16">
            <v>199.89551900000001</v>
          </cell>
          <cell r="T16">
            <v>34.205507661498814</v>
          </cell>
          <cell r="U16">
            <v>0.30275732557208529</v>
          </cell>
        </row>
        <row r="17">
          <cell r="E17">
            <v>9</v>
          </cell>
          <cell r="F17" t="str">
            <v>Kab. Bireuen</v>
          </cell>
          <cell r="G17">
            <v>349.34500000000003</v>
          </cell>
          <cell r="H17">
            <v>1901.21</v>
          </cell>
          <cell r="I17">
            <v>101.46123</v>
          </cell>
          <cell r="J17">
            <v>5.2943588498777787</v>
          </cell>
          <cell r="K17">
            <v>98.36</v>
          </cell>
          <cell r="L17">
            <v>1.0479314989436521</v>
          </cell>
          <cell r="M17">
            <v>610.03206136787037</v>
          </cell>
          <cell r="N17">
            <v>3.0979800000000002</v>
          </cell>
          <cell r="O17">
            <v>15.063564376788214</v>
          </cell>
          <cell r="P17">
            <v>10.310661874437368</v>
          </cell>
          <cell r="Q17">
            <v>11.152586686889904</v>
          </cell>
          <cell r="R17">
            <v>127.22263039829002</v>
          </cell>
          <cell r="S17">
            <v>159.11633269277527</v>
          </cell>
          <cell r="T17">
            <v>29.043275272295293</v>
          </cell>
          <cell r="U17">
            <v>0.18229207278588608</v>
          </cell>
        </row>
        <row r="18">
          <cell r="E18">
            <v>10</v>
          </cell>
          <cell r="F18" t="str">
            <v>Kab. Aceh Pidie</v>
          </cell>
          <cell r="G18">
            <v>473.50400000000002</v>
          </cell>
          <cell r="H18">
            <v>4160.6000000000004</v>
          </cell>
          <cell r="I18">
            <v>165.52228000000002</v>
          </cell>
          <cell r="J18">
            <v>6.2794656156148392</v>
          </cell>
          <cell r="K18">
            <v>94.96</v>
          </cell>
          <cell r="L18">
            <v>1.0326543775347055</v>
          </cell>
          <cell r="M18">
            <v>329.01854893539144</v>
          </cell>
          <cell r="N18">
            <v>5.5873500000000007</v>
          </cell>
          <cell r="O18">
            <v>11.9613221769698</v>
          </cell>
          <cell r="P18">
            <v>10.394241944437368</v>
          </cell>
          <cell r="Q18">
            <v>7.2239530036899033</v>
          </cell>
          <cell r="R18">
            <v>182.32598129999997</v>
          </cell>
          <cell r="S18">
            <v>233.01622400000002</v>
          </cell>
          <cell r="T18">
            <v>34.956891599648579</v>
          </cell>
          <cell r="U18">
            <v>0.17963455353902139</v>
          </cell>
        </row>
        <row r="19">
          <cell r="E19">
            <v>11</v>
          </cell>
          <cell r="F19" t="str">
            <v>Kab. Simeuleu</v>
          </cell>
          <cell r="G19">
            <v>71.453000000000003</v>
          </cell>
          <cell r="H19">
            <v>2125.12</v>
          </cell>
          <cell r="I19">
            <v>24.308840399999998</v>
          </cell>
          <cell r="J19">
            <v>7.7371713816572525</v>
          </cell>
          <cell r="K19">
            <v>106.32</v>
          </cell>
          <cell r="L19">
            <v>1.3073851678202792</v>
          </cell>
          <cell r="M19">
            <v>50.23263</v>
          </cell>
          <cell r="N19">
            <v>2.4572570010965031</v>
          </cell>
          <cell r="O19">
            <v>8.8836714442694173</v>
          </cell>
          <cell r="P19">
            <v>10.310661874437368</v>
          </cell>
          <cell r="Q19">
            <v>5.9992605764899043</v>
          </cell>
          <cell r="R19">
            <v>25.564432824245973</v>
          </cell>
          <cell r="S19">
            <v>90.043110920641567</v>
          </cell>
          <cell r="T19">
            <v>34.020741466418478</v>
          </cell>
          <cell r="U19">
            <v>0.22742512503128523</v>
          </cell>
        </row>
        <row r="20">
          <cell r="E20">
            <v>12</v>
          </cell>
          <cell r="F20" t="str">
            <v>Kota Banda Aceh</v>
          </cell>
          <cell r="G20">
            <v>238.70400000000001</v>
          </cell>
          <cell r="H20">
            <v>61.36</v>
          </cell>
          <cell r="I20">
            <v>21.119795200000002</v>
          </cell>
          <cell r="J20">
            <v>1.5167141716455226</v>
          </cell>
          <cell r="K20">
            <v>94.34</v>
          </cell>
          <cell r="L20">
            <v>0.98545965823486115</v>
          </cell>
          <cell r="M20">
            <v>733.36222999999995</v>
          </cell>
          <cell r="N20">
            <v>6.3524899999999995</v>
          </cell>
          <cell r="O20">
            <v>16.425064933574586</v>
          </cell>
          <cell r="P20">
            <v>10.310661874437368</v>
          </cell>
          <cell r="Q20">
            <v>7.3404993522899034</v>
          </cell>
          <cell r="R20">
            <v>114.97851269999997</v>
          </cell>
          <cell r="S20">
            <v>145.11351491282193</v>
          </cell>
          <cell r="T20">
            <v>8.8476922045713522</v>
          </cell>
          <cell r="U20">
            <v>0.17142483447399756</v>
          </cell>
        </row>
        <row r="21">
          <cell r="E21">
            <v>13</v>
          </cell>
          <cell r="F21" t="str">
            <v>Kota Sabang</v>
          </cell>
          <cell r="G21">
            <v>28.489000000000001</v>
          </cell>
          <cell r="H21">
            <v>118.7</v>
          </cell>
          <cell r="I21">
            <v>8.9073195276426063</v>
          </cell>
          <cell r="J21">
            <v>6.7656170282122172</v>
          </cell>
          <cell r="K21">
            <v>96.32</v>
          </cell>
          <cell r="L21">
            <v>1.2439493443442087</v>
          </cell>
          <cell r="M21">
            <v>78.856009999999998</v>
          </cell>
          <cell r="N21">
            <v>2.245311816906788</v>
          </cell>
          <cell r="O21">
            <v>9.1996585886910722</v>
          </cell>
          <cell r="P21">
            <v>10.310661874437368</v>
          </cell>
          <cell r="Q21">
            <v>5.7348526592899045</v>
          </cell>
          <cell r="R21">
            <v>30.0970029</v>
          </cell>
          <cell r="S21">
            <v>80.258150679826315</v>
          </cell>
          <cell r="T21">
            <v>31.265820238136143</v>
          </cell>
          <cell r="U21">
            <v>0.21639019788004568</v>
          </cell>
        </row>
        <row r="22">
          <cell r="E22">
            <v>14</v>
          </cell>
          <cell r="F22" t="str">
            <v>Kota Langsa</v>
          </cell>
          <cell r="G22">
            <v>134.28100000000001</v>
          </cell>
          <cell r="H22">
            <v>262.41000000000003</v>
          </cell>
          <cell r="I22">
            <v>20.512189671569356</v>
          </cell>
          <cell r="J22">
            <v>2.7913140702083314</v>
          </cell>
          <cell r="K22">
            <v>95.38</v>
          </cell>
          <cell r="L22">
            <v>1.0504523557236338</v>
          </cell>
          <cell r="M22">
            <v>336.14451000000003</v>
          </cell>
          <cell r="N22">
            <v>2.0624799999999999</v>
          </cell>
          <cell r="O22">
            <v>12.039989060058575</v>
          </cell>
          <cell r="P22">
            <v>10.310661874437368</v>
          </cell>
          <cell r="Q22">
            <v>6.101164548489904</v>
          </cell>
          <cell r="R22">
            <v>40.925546699999998</v>
          </cell>
          <cell r="S22">
            <v>85.498353909963285</v>
          </cell>
          <cell r="T22">
            <v>15.27557113185734</v>
          </cell>
          <cell r="U22">
            <v>0.18273058637964906</v>
          </cell>
        </row>
        <row r="23">
          <cell r="E23">
            <v>15</v>
          </cell>
          <cell r="F23" t="str">
            <v>Kota Lhokseumawe</v>
          </cell>
          <cell r="G23">
            <v>138.679</v>
          </cell>
          <cell r="H23">
            <v>181.06</v>
          </cell>
          <cell r="I23">
            <v>20.659734610640591</v>
          </cell>
          <cell r="J23">
            <v>4.4452516551565457</v>
          </cell>
          <cell r="K23">
            <v>95.08</v>
          </cell>
          <cell r="L23">
            <v>1.7153289871372659</v>
          </cell>
          <cell r="M23">
            <v>512.19875047935739</v>
          </cell>
          <cell r="N23">
            <v>3.9798188928503904</v>
          </cell>
          <cell r="O23">
            <v>13.983535793966155</v>
          </cell>
          <cell r="P23">
            <v>10.310661874437368</v>
          </cell>
          <cell r="Q23">
            <v>20.373944964089905</v>
          </cell>
          <cell r="R23">
            <v>39.473228562375198</v>
          </cell>
          <cell r="S23">
            <v>95.472655405671048</v>
          </cell>
          <cell r="T23">
            <v>14.897522054990727</v>
          </cell>
          <cell r="U23">
            <v>0.29838866079526088</v>
          </cell>
        </row>
        <row r="24">
          <cell r="E24">
            <v>16</v>
          </cell>
          <cell r="F24" t="str">
            <v>Kab. Nagan Raya</v>
          </cell>
          <cell r="G24">
            <v>111.515</v>
          </cell>
          <cell r="H24">
            <v>2656.5459999999998</v>
          </cell>
          <cell r="I24">
            <v>39.641911549257593</v>
          </cell>
          <cell r="J24">
            <v>8.1559952316367088</v>
          </cell>
          <cell r="K24">
            <v>95.94</v>
          </cell>
          <cell r="L24">
            <v>1.3189270496504648</v>
          </cell>
          <cell r="M24">
            <v>88.437068940004451</v>
          </cell>
          <cell r="N24">
            <v>1.01667</v>
          </cell>
          <cell r="O24">
            <v>9.3054284682436474</v>
          </cell>
          <cell r="P24">
            <v>10.549723704437369</v>
          </cell>
          <cell r="Q24">
            <v>4.7494643494899034</v>
          </cell>
          <cell r="R24">
            <v>44.929745780376201</v>
          </cell>
          <cell r="S24">
            <v>94.899692429152026</v>
          </cell>
          <cell r="T24">
            <v>35.548501591048371</v>
          </cell>
          <cell r="U24">
            <v>0.22943288371092713</v>
          </cell>
        </row>
        <row r="25">
          <cell r="E25">
            <v>17</v>
          </cell>
          <cell r="F25" t="str">
            <v>Kab. Aceh Jaya</v>
          </cell>
          <cell r="G25">
            <v>79.957999999999998</v>
          </cell>
          <cell r="H25">
            <v>3011.3629999999998</v>
          </cell>
          <cell r="I25">
            <v>24.904038839948097</v>
          </cell>
          <cell r="J25">
            <v>7.5022339668794498</v>
          </cell>
          <cell r="K25">
            <v>95.96</v>
          </cell>
          <cell r="L25">
            <v>1.3846750059867972</v>
          </cell>
          <cell r="M25">
            <v>72.290623124958515</v>
          </cell>
          <cell r="N25">
            <v>0.96760000000000002</v>
          </cell>
          <cell r="O25">
            <v>9.1271801514601183</v>
          </cell>
          <cell r="P25">
            <v>10.499348214347371</v>
          </cell>
          <cell r="Q25">
            <v>4.0502261060899034</v>
          </cell>
          <cell r="R25">
            <v>21.407164741500001</v>
          </cell>
          <cell r="S25">
            <v>77.698728238174908</v>
          </cell>
          <cell r="T25">
            <v>31.146400410150449</v>
          </cell>
          <cell r="U25">
            <v>0.24087001605599698</v>
          </cell>
        </row>
        <row r="26">
          <cell r="E26">
            <v>18</v>
          </cell>
          <cell r="F26" t="str">
            <v>Kab. Aceh Barat Daya</v>
          </cell>
          <cell r="G26">
            <v>111.366</v>
          </cell>
          <cell r="H26">
            <v>1413.3889999999999</v>
          </cell>
          <cell r="I26">
            <v>30.962750917266447</v>
          </cell>
          <cell r="J26">
            <v>4.8591179312155042</v>
          </cell>
          <cell r="K26">
            <v>94.37</v>
          </cell>
          <cell r="L26">
            <v>1.0046982206086439</v>
          </cell>
          <cell r="M26">
            <v>120.26037593811756</v>
          </cell>
          <cell r="N26">
            <v>0.62614000000000003</v>
          </cell>
          <cell r="O26">
            <v>9.6567411330787394</v>
          </cell>
          <cell r="P26">
            <v>10.407991974347372</v>
          </cell>
          <cell r="Q26">
            <v>3.7411966800899039</v>
          </cell>
          <cell r="R26">
            <v>38.079677699999998</v>
          </cell>
          <cell r="S26">
            <v>80.452303896193513</v>
          </cell>
          <cell r="T26">
            <v>27.802696439906654</v>
          </cell>
          <cell r="U26">
            <v>0.17477146296648263</v>
          </cell>
        </row>
        <row r="27">
          <cell r="E27">
            <v>19</v>
          </cell>
          <cell r="F27" t="str">
            <v>Kab. Gayo Lues</v>
          </cell>
          <cell r="G27">
            <v>68.186000000000007</v>
          </cell>
          <cell r="H27">
            <v>5719.4129999999996</v>
          </cell>
          <cell r="I27">
            <v>21.960318980091511</v>
          </cell>
          <cell r="J27">
            <v>10.583268784462225</v>
          </cell>
          <cell r="K27">
            <v>95.85</v>
          </cell>
          <cell r="L27">
            <v>1.8890415377309684</v>
          </cell>
          <cell r="M27">
            <v>64.440721732483439</v>
          </cell>
          <cell r="N27">
            <v>0.83138000000000001</v>
          </cell>
          <cell r="O27">
            <v>9.0405213457914719</v>
          </cell>
          <cell r="P27">
            <v>10.345205874347371</v>
          </cell>
          <cell r="Q27">
            <v>4.9396411124899036</v>
          </cell>
          <cell r="R27">
            <v>21.793118099999997</v>
          </cell>
          <cell r="S27">
            <v>85.734461080454224</v>
          </cell>
          <cell r="T27">
            <v>32.20649250592718</v>
          </cell>
          <cell r="U27">
            <v>0.32860668644729052</v>
          </cell>
        </row>
        <row r="28">
          <cell r="E28">
            <v>20</v>
          </cell>
          <cell r="F28" t="str">
            <v>Kab. Aceh Tamiang</v>
          </cell>
          <cell r="G28">
            <v>228.82400000000001</v>
          </cell>
          <cell r="H28">
            <v>1894.4269999999999</v>
          </cell>
          <cell r="I28">
            <v>57.663758308103368</v>
          </cell>
          <cell r="J28">
            <v>4.6305107562687251</v>
          </cell>
          <cell r="K28">
            <v>95.92</v>
          </cell>
          <cell r="L28">
            <v>1.0563130306699462</v>
          </cell>
          <cell r="M28">
            <v>299.98953999999998</v>
          </cell>
          <cell r="N28">
            <v>0.75797999999999999</v>
          </cell>
          <cell r="O28">
            <v>11.640857101255992</v>
          </cell>
          <cell r="P28">
            <v>11.23409188434737</v>
          </cell>
          <cell r="Q28">
            <v>11.198854272689903</v>
          </cell>
          <cell r="R28">
            <v>51.288735233579324</v>
          </cell>
          <cell r="S28">
            <v>92.010576370254626</v>
          </cell>
          <cell r="T28">
            <v>25.200048206527008</v>
          </cell>
          <cell r="U28">
            <v>0.18375007532999033</v>
          </cell>
        </row>
        <row r="29">
          <cell r="E29">
            <v>21</v>
          </cell>
          <cell r="F29" t="str">
            <v>Kab. Asahan</v>
          </cell>
          <cell r="G29">
            <v>1009.856</v>
          </cell>
          <cell r="H29">
            <v>4624.41</v>
          </cell>
          <cell r="I29">
            <v>129.59700000000001</v>
          </cell>
          <cell r="J29">
            <v>1.5849751629131112</v>
          </cell>
          <cell r="K29">
            <v>92.43</v>
          </cell>
          <cell r="L29">
            <v>0.70998974258758729</v>
          </cell>
          <cell r="M29">
            <v>2336.5576700000001</v>
          </cell>
          <cell r="N29">
            <v>22.62659</v>
          </cell>
          <cell r="O29">
            <v>34.123504077918113</v>
          </cell>
          <cell r="P29">
            <v>2.0277012439473703</v>
          </cell>
          <cell r="Q29">
            <v>35.982108027658654</v>
          </cell>
          <cell r="R29">
            <v>209.4493923</v>
          </cell>
          <cell r="S29">
            <v>274.4467948057424</v>
          </cell>
          <cell r="T29">
            <v>12.833215824830472</v>
          </cell>
          <cell r="U29">
            <v>0.12350568902974474</v>
          </cell>
        </row>
        <row r="30">
          <cell r="E30">
            <v>22</v>
          </cell>
          <cell r="F30" t="str">
            <v>Kab. Dairi</v>
          </cell>
          <cell r="G30">
            <v>293.41800000000001</v>
          </cell>
          <cell r="H30">
            <v>2785.1</v>
          </cell>
          <cell r="I30">
            <v>62.344999999999999</v>
          </cell>
          <cell r="J30">
            <v>4.0081424320514838</v>
          </cell>
          <cell r="K30">
            <v>92.29</v>
          </cell>
          <cell r="L30">
            <v>1.084409667878409</v>
          </cell>
          <cell r="M30">
            <v>461.41230000000002</v>
          </cell>
          <cell r="N30">
            <v>4.7425100000000002</v>
          </cell>
          <cell r="O30">
            <v>13.422879943319447</v>
          </cell>
          <cell r="P30">
            <v>2.4506381539473701</v>
          </cell>
          <cell r="Q30">
            <v>8.7704337146586546</v>
          </cell>
          <cell r="R30">
            <v>111.01383176665325</v>
          </cell>
          <cell r="S30">
            <v>157.43667066995675</v>
          </cell>
          <cell r="T30">
            <v>21.247844372192571</v>
          </cell>
          <cell r="U30">
            <v>0.18863760303595836</v>
          </cell>
        </row>
        <row r="31">
          <cell r="E31">
            <v>23</v>
          </cell>
          <cell r="F31" t="str">
            <v>Kab. Deli Serdang</v>
          </cell>
          <cell r="G31">
            <v>2106.9520000000002</v>
          </cell>
          <cell r="H31">
            <v>4329</v>
          </cell>
          <cell r="I31">
            <v>165.53</v>
          </cell>
          <cell r="J31">
            <v>0.9946828636065338</v>
          </cell>
          <cell r="K31">
            <v>92.88</v>
          </cell>
          <cell r="L31">
            <v>0.72782618166156077</v>
          </cell>
          <cell r="M31">
            <v>2503.8471600000003</v>
          </cell>
          <cell r="N31">
            <v>52.076449999999994</v>
          </cell>
          <cell r="O31">
            <v>35.970292550727933</v>
          </cell>
          <cell r="P31">
            <v>4.0157012439473707</v>
          </cell>
          <cell r="Q31">
            <v>50.562419106658652</v>
          </cell>
          <cell r="R31">
            <v>409.51656662490001</v>
          </cell>
          <cell r="S31">
            <v>485.41598863204206</v>
          </cell>
          <cell r="T31">
            <v>7.8563726178859312</v>
          </cell>
          <cell r="U31">
            <v>0.12660841230239314</v>
          </cell>
        </row>
        <row r="32">
          <cell r="E32">
            <v>24</v>
          </cell>
          <cell r="F32" t="str">
            <v>Kab. Tanah Karo</v>
          </cell>
          <cell r="G32">
            <v>312.3</v>
          </cell>
          <cell r="H32">
            <v>2127.27</v>
          </cell>
          <cell r="I32">
            <v>62.142000000000003</v>
          </cell>
          <cell r="J32">
            <v>4.5476668138548266</v>
          </cell>
          <cell r="K32">
            <v>93.35</v>
          </cell>
          <cell r="L32">
            <v>1.3138340332660314</v>
          </cell>
          <cell r="M32">
            <v>701.45775000000003</v>
          </cell>
          <cell r="N32">
            <v>9.3103499999999997</v>
          </cell>
          <cell r="O32">
            <v>16.072856161254272</v>
          </cell>
          <cell r="P32">
            <v>2.0277012439473703</v>
          </cell>
          <cell r="Q32">
            <v>7.9277800906586542</v>
          </cell>
          <cell r="R32">
            <v>135.3703683</v>
          </cell>
          <cell r="S32">
            <v>179.84514763514176</v>
          </cell>
          <cell r="T32">
            <v>19.898174831892412</v>
          </cell>
          <cell r="U32">
            <v>0.22854693218223782</v>
          </cell>
        </row>
        <row r="33">
          <cell r="E33">
            <v>25</v>
          </cell>
          <cell r="F33" t="str">
            <v>Kab. Labuhan Batu</v>
          </cell>
          <cell r="G33">
            <v>933.86599999999999</v>
          </cell>
          <cell r="H33">
            <v>9223.18</v>
          </cell>
          <cell r="I33">
            <v>131.30099999999999</v>
          </cell>
          <cell r="J33">
            <v>1.7687637148778284</v>
          </cell>
          <cell r="K33">
            <v>93.3</v>
          </cell>
          <cell r="L33">
            <v>0.72318841782448717</v>
          </cell>
          <cell r="M33">
            <v>1524.0974799999999</v>
          </cell>
          <cell r="N33">
            <v>26.031700000000001</v>
          </cell>
          <cell r="O33">
            <v>25.154368518303009</v>
          </cell>
          <cell r="P33">
            <v>2.0277012439473703</v>
          </cell>
          <cell r="Q33">
            <v>35.871127870658654</v>
          </cell>
          <cell r="R33">
            <v>189.08010530159999</v>
          </cell>
          <cell r="S33">
            <v>268.12701738252952</v>
          </cell>
          <cell r="T33">
            <v>14.059940077056021</v>
          </cell>
          <cell r="U33">
            <v>0.12580165386083109</v>
          </cell>
        </row>
        <row r="34">
          <cell r="E34">
            <v>26</v>
          </cell>
          <cell r="F34" t="str">
            <v>Kab. Langkat</v>
          </cell>
          <cell r="G34">
            <v>955.34799999999996</v>
          </cell>
          <cell r="H34">
            <v>6188.88</v>
          </cell>
          <cell r="I34">
            <v>189.18</v>
          </cell>
          <cell r="J34">
            <v>3.0596700285352325</v>
          </cell>
          <cell r="K34">
            <v>91.11</v>
          </cell>
          <cell r="L34">
            <v>0.88823131719134252</v>
          </cell>
          <cell r="M34">
            <v>1224.1682599999999</v>
          </cell>
          <cell r="N34">
            <v>14.788930000000001</v>
          </cell>
          <cell r="O34">
            <v>21.843306800350256</v>
          </cell>
          <cell r="P34">
            <v>15.88570124394737</v>
          </cell>
          <cell r="Q34">
            <v>37.898688079658655</v>
          </cell>
          <cell r="R34">
            <v>218.82478058505896</v>
          </cell>
          <cell r="S34">
            <v>273.58326485540073</v>
          </cell>
          <cell r="T34">
            <v>19.80220820057194</v>
          </cell>
          <cell r="U34">
            <v>0.15451155737504371</v>
          </cell>
        </row>
        <row r="35">
          <cell r="E35">
            <v>27</v>
          </cell>
          <cell r="F35" t="str">
            <v>Kab. Mandailing Natal</v>
          </cell>
          <cell r="G35">
            <v>379.04500000000002</v>
          </cell>
          <cell r="H35">
            <v>6620.7</v>
          </cell>
          <cell r="I35">
            <v>80.209999999999994</v>
          </cell>
          <cell r="J35">
            <v>4.0903514765171503</v>
          </cell>
          <cell r="K35">
            <v>91.94</v>
          </cell>
          <cell r="L35">
            <v>1.111189157525251</v>
          </cell>
          <cell r="M35">
            <v>774.22106000000008</v>
          </cell>
          <cell r="N35">
            <v>5.8440000000000003</v>
          </cell>
          <cell r="O35">
            <v>16.876125046535037</v>
          </cell>
          <cell r="P35">
            <v>2.7476261739473702</v>
          </cell>
          <cell r="Q35">
            <v>10.592504471658653</v>
          </cell>
          <cell r="R35">
            <v>96.865710287202091</v>
          </cell>
          <cell r="S35">
            <v>168.14422736497414</v>
          </cell>
          <cell r="T35">
            <v>21.161075861705072</v>
          </cell>
          <cell r="U35">
            <v>0.19329600740761044</v>
          </cell>
        </row>
        <row r="36">
          <cell r="E36">
            <v>28</v>
          </cell>
          <cell r="F36" t="str">
            <v>Kab. Nias</v>
          </cell>
          <cell r="G36">
            <v>716.06500000000005</v>
          </cell>
          <cell r="H36">
            <v>5157.6899999999996</v>
          </cell>
          <cell r="I36">
            <v>226.018</v>
          </cell>
          <cell r="J36">
            <v>5.7133086536531312</v>
          </cell>
          <cell r="K36">
            <v>109.61</v>
          </cell>
          <cell r="L36">
            <v>1.0405482362833463</v>
          </cell>
          <cell r="M36">
            <v>1141.1634199999999</v>
          </cell>
          <cell r="N36">
            <v>10.92994</v>
          </cell>
          <cell r="O36">
            <v>20.926976780458251</v>
          </cell>
          <cell r="P36">
            <v>2.0277012439473703</v>
          </cell>
          <cell r="Q36">
            <v>7.5870292366586538</v>
          </cell>
          <cell r="R36">
            <v>138.78570253552104</v>
          </cell>
          <cell r="S36">
            <v>222.2513715083999</v>
          </cell>
          <cell r="T36">
            <v>31.563894339201049</v>
          </cell>
          <cell r="U36">
            <v>0.18100772332637796</v>
          </cell>
        </row>
        <row r="37">
          <cell r="E37">
            <v>29</v>
          </cell>
          <cell r="F37" t="str">
            <v>Kab. Simalungun</v>
          </cell>
          <cell r="G37">
            <v>818.97500000000002</v>
          </cell>
          <cell r="H37">
            <v>4386.6000000000004</v>
          </cell>
          <cell r="I37">
            <v>146.33500000000001</v>
          </cell>
          <cell r="J37">
            <v>2.4016320381819654</v>
          </cell>
          <cell r="K37">
            <v>91.2</v>
          </cell>
          <cell r="L37">
            <v>0.77266993293513375</v>
          </cell>
          <cell r="M37">
            <v>1048.22686</v>
          </cell>
          <cell r="N37">
            <v>15.18581</v>
          </cell>
          <cell r="O37">
            <v>19.901005766316253</v>
          </cell>
          <cell r="P37">
            <v>2.0277012439473703</v>
          </cell>
          <cell r="Q37">
            <v>32.218177367658654</v>
          </cell>
          <cell r="R37">
            <v>263.96245740000001</v>
          </cell>
          <cell r="S37">
            <v>299.97000000000003</v>
          </cell>
          <cell r="T37">
            <v>17.868066790805582</v>
          </cell>
          <cell r="U37">
            <v>0.13440917063382479</v>
          </cell>
        </row>
        <row r="38">
          <cell r="E38">
            <v>30</v>
          </cell>
          <cell r="F38" t="str">
            <v>Kab. Tapanuli Selatan</v>
          </cell>
          <cell r="G38">
            <v>630.16600000000005</v>
          </cell>
          <cell r="H38">
            <v>12260.64</v>
          </cell>
          <cell r="I38">
            <v>138.25</v>
          </cell>
          <cell r="J38">
            <v>4.5347330542974351</v>
          </cell>
          <cell r="K38">
            <v>92.85</v>
          </cell>
          <cell r="L38">
            <v>1.1882468334115275</v>
          </cell>
          <cell r="M38">
            <v>1199.2483200000001</v>
          </cell>
          <cell r="N38">
            <v>8.57226</v>
          </cell>
          <cell r="O38">
            <v>21.568203696532365</v>
          </cell>
          <cell r="P38">
            <v>2.9036315139473703</v>
          </cell>
          <cell r="Q38">
            <v>20.870505026658655</v>
          </cell>
          <cell r="R38">
            <v>167.72554199999999</v>
          </cell>
          <cell r="S38">
            <v>252.88949700000001</v>
          </cell>
          <cell r="T38">
            <v>21.938663780654618</v>
          </cell>
          <cell r="U38">
            <v>0.20670051283142118</v>
          </cell>
        </row>
        <row r="39">
          <cell r="E39">
            <v>31</v>
          </cell>
          <cell r="F39" t="str">
            <v>Kab. Tapanuli Tengah</v>
          </cell>
          <cell r="G39">
            <v>278.47199999999998</v>
          </cell>
          <cell r="H39">
            <v>2194.98</v>
          </cell>
          <cell r="I39">
            <v>87.07</v>
          </cell>
          <cell r="J39">
            <v>6.356272296264649</v>
          </cell>
          <cell r="K39">
            <v>90.62</v>
          </cell>
          <cell r="L39">
            <v>1.1686395895330695</v>
          </cell>
          <cell r="M39">
            <v>346.89022999999997</v>
          </cell>
          <cell r="N39">
            <v>5.4337499999999999</v>
          </cell>
          <cell r="O39">
            <v>12.158616188565224</v>
          </cell>
          <cell r="P39">
            <v>2.09921004394737</v>
          </cell>
          <cell r="Q39">
            <v>10.406948441658654</v>
          </cell>
          <cell r="R39">
            <v>84.517858799999999</v>
          </cell>
          <cell r="S39">
            <v>134.81674223736758</v>
          </cell>
          <cell r="T39">
            <v>31.267057370220346</v>
          </cell>
          <cell r="U39">
            <v>0.20328975064722743</v>
          </cell>
        </row>
        <row r="40">
          <cell r="E40">
            <v>32</v>
          </cell>
          <cell r="F40" t="str">
            <v>Kab. Tapanuli Utara</v>
          </cell>
          <cell r="G40">
            <v>407.91899999999998</v>
          </cell>
          <cell r="H40">
            <v>6126.97</v>
          </cell>
          <cell r="I40">
            <v>79.581999999999994</v>
          </cell>
          <cell r="J40">
            <v>3.0713660175486432</v>
          </cell>
          <cell r="K40">
            <v>91.6</v>
          </cell>
          <cell r="L40">
            <v>0.90501498718534845</v>
          </cell>
          <cell r="M40">
            <v>773.86973</v>
          </cell>
          <cell r="N40">
            <v>12.403169999999999</v>
          </cell>
          <cell r="O40">
            <v>16.872246547089837</v>
          </cell>
          <cell r="P40">
            <v>2.4473677239473699</v>
          </cell>
          <cell r="Q40">
            <v>6.799293604999999</v>
          </cell>
          <cell r="R40">
            <v>162.33163662632296</v>
          </cell>
          <cell r="S40">
            <v>210.643677</v>
          </cell>
          <cell r="T40">
            <v>19.50926531983065</v>
          </cell>
          <cell r="U40">
            <v>0.15743114705742822</v>
          </cell>
        </row>
        <row r="41">
          <cell r="E41">
            <v>33</v>
          </cell>
          <cell r="F41" t="str">
            <v>Kab. Toba Samosir</v>
          </cell>
          <cell r="G41">
            <v>287.45999999999998</v>
          </cell>
          <cell r="H41">
            <v>3528.1</v>
          </cell>
          <cell r="I41">
            <v>58.433999999999997</v>
          </cell>
          <cell r="J41">
            <v>3.268872166004432</v>
          </cell>
          <cell r="K41">
            <v>92</v>
          </cell>
          <cell r="L41">
            <v>0.92443175129068555</v>
          </cell>
          <cell r="M41">
            <v>565.35029000000009</v>
          </cell>
          <cell r="N41">
            <v>13.024049999999999</v>
          </cell>
          <cell r="O41">
            <v>14.570300990625064</v>
          </cell>
          <cell r="P41">
            <v>2.0277012439473703</v>
          </cell>
          <cell r="Q41">
            <v>12.250944127658654</v>
          </cell>
          <cell r="R41">
            <v>106.93103812979999</v>
          </cell>
          <cell r="S41">
            <v>159.84800291749215</v>
          </cell>
          <cell r="T41">
            <v>20.327697766645795</v>
          </cell>
          <cell r="U41">
            <v>0.16080877448739331</v>
          </cell>
        </row>
        <row r="42">
          <cell r="E42">
            <v>34</v>
          </cell>
          <cell r="F42" t="str">
            <v>Kota Binjai</v>
          </cell>
          <cell r="G42">
            <v>232.23599999999999</v>
          </cell>
          <cell r="H42">
            <v>90.23</v>
          </cell>
          <cell r="I42">
            <v>14.734</v>
          </cell>
          <cell r="J42">
            <v>0.82700411811443486</v>
          </cell>
          <cell r="K42">
            <v>92.04</v>
          </cell>
          <cell r="L42">
            <v>0.74934473591413575</v>
          </cell>
          <cell r="M42">
            <v>667.49747000000002</v>
          </cell>
          <cell r="N42">
            <v>8.3129299999999997</v>
          </cell>
          <cell r="O42">
            <v>15.697952432171268</v>
          </cell>
          <cell r="P42">
            <v>2.4807012439473701</v>
          </cell>
          <cell r="Q42">
            <v>10.533734462658654</v>
          </cell>
          <cell r="R42">
            <v>86.150960035499992</v>
          </cell>
          <cell r="S42">
            <v>132.05000000000001</v>
          </cell>
          <cell r="T42">
            <v>6.3444082743416192</v>
          </cell>
          <cell r="U42">
            <v>0.13035165493038134</v>
          </cell>
        </row>
        <row r="43">
          <cell r="E43">
            <v>35</v>
          </cell>
          <cell r="F43" t="str">
            <v>Kota Medan</v>
          </cell>
          <cell r="G43">
            <v>2010.6759999999999</v>
          </cell>
          <cell r="H43">
            <v>265.08999999999997</v>
          </cell>
          <cell r="I43">
            <v>142.62700000000001</v>
          </cell>
          <cell r="J43">
            <v>1.1085469216331718</v>
          </cell>
          <cell r="K43">
            <v>92.54</v>
          </cell>
          <cell r="L43">
            <v>0.89837889017025019</v>
          </cell>
          <cell r="M43">
            <v>14715.446729999998</v>
          </cell>
          <cell r="N43">
            <v>233.78668999999999</v>
          </cell>
          <cell r="O43">
            <v>170.77996481672221</v>
          </cell>
          <cell r="P43">
            <v>2.0277012439473703</v>
          </cell>
          <cell r="Q43">
            <v>128.58764487265864</v>
          </cell>
          <cell r="R43">
            <v>391.46537356866196</v>
          </cell>
          <cell r="S43">
            <v>404.98967401708586</v>
          </cell>
          <cell r="T43">
            <v>7.0934849771917508</v>
          </cell>
          <cell r="U43">
            <v>0.15627677019089647</v>
          </cell>
        </row>
        <row r="44">
          <cell r="E44">
            <v>36</v>
          </cell>
          <cell r="F44" t="str">
            <v>Kota Pematang Siantar</v>
          </cell>
          <cell r="G44">
            <v>227.55099999999999</v>
          </cell>
          <cell r="H44">
            <v>79.97</v>
          </cell>
          <cell r="I44">
            <v>26.16</v>
          </cell>
          <cell r="J44">
            <v>1.984529117076141</v>
          </cell>
          <cell r="K44">
            <v>89.11</v>
          </cell>
          <cell r="L44">
            <v>0.99234707861091698</v>
          </cell>
          <cell r="M44">
            <v>1349.29216</v>
          </cell>
          <cell r="N44">
            <v>11.56325</v>
          </cell>
          <cell r="O44">
            <v>23.224609213269375</v>
          </cell>
          <cell r="P44">
            <v>2.0277012439473703</v>
          </cell>
          <cell r="Q44">
            <v>11.353542667658655</v>
          </cell>
          <cell r="R44">
            <v>101.59330499999997</v>
          </cell>
          <cell r="S44">
            <v>140.22863464897029</v>
          </cell>
          <cell r="T44">
            <v>11.496323901015597</v>
          </cell>
          <cell r="U44">
            <v>0.17262293009166396</v>
          </cell>
        </row>
        <row r="45">
          <cell r="E45">
            <v>37</v>
          </cell>
          <cell r="F45" t="str">
            <v>Kota Sibolga</v>
          </cell>
          <cell r="G45">
            <v>87.26</v>
          </cell>
          <cell r="H45">
            <v>27.78</v>
          </cell>
          <cell r="I45">
            <v>7.8179999999999996</v>
          </cell>
          <cell r="J45">
            <v>1.5348083733790669</v>
          </cell>
          <cell r="K45">
            <v>91.06</v>
          </cell>
          <cell r="L45">
            <v>0.9847790794768887</v>
          </cell>
          <cell r="M45">
            <v>275.96753999999999</v>
          </cell>
          <cell r="N45">
            <v>7.1621600000000001</v>
          </cell>
          <cell r="O45">
            <v>11.375666785391934</v>
          </cell>
          <cell r="P45">
            <v>2.0277012439473703</v>
          </cell>
          <cell r="Q45">
            <v>7.8329280676586537</v>
          </cell>
          <cell r="R45">
            <v>40.320007800000006</v>
          </cell>
          <cell r="S45">
            <v>93.120742395259583</v>
          </cell>
          <cell r="T45">
            <v>8.9594315837726324</v>
          </cell>
          <cell r="U45">
            <v>0.17130644494890943</v>
          </cell>
        </row>
        <row r="46">
          <cell r="E46">
            <v>38</v>
          </cell>
          <cell r="F46" t="str">
            <v>Kota Tanjung Balai</v>
          </cell>
          <cell r="G46">
            <v>149.238</v>
          </cell>
          <cell r="H46">
            <v>80.52</v>
          </cell>
          <cell r="I46">
            <v>18.55</v>
          </cell>
          <cell r="J46">
            <v>1.6514939560859612</v>
          </cell>
          <cell r="K46">
            <v>90.39</v>
          </cell>
          <cell r="L46">
            <v>0.76379639885663098</v>
          </cell>
          <cell r="M46">
            <v>519.37010999999995</v>
          </cell>
          <cell r="N46">
            <v>8.2863400000000009</v>
          </cell>
          <cell r="O46">
            <v>14.062703852264963</v>
          </cell>
          <cell r="P46">
            <v>2.0277012439473703</v>
          </cell>
          <cell r="Q46">
            <v>7.5107465226586534</v>
          </cell>
          <cell r="R46">
            <v>41.279535600000003</v>
          </cell>
          <cell r="S46">
            <v>103.86</v>
          </cell>
          <cell r="T46">
            <v>12.429810101984749</v>
          </cell>
          <cell r="U46">
            <v>0.13286558222013836</v>
          </cell>
        </row>
        <row r="47">
          <cell r="E47">
            <v>39</v>
          </cell>
          <cell r="F47" t="str">
            <v>Kota Tebing Tinggi</v>
          </cell>
          <cell r="G47">
            <v>134.38200000000001</v>
          </cell>
          <cell r="H47">
            <v>38.43</v>
          </cell>
          <cell r="I47">
            <v>13.53</v>
          </cell>
          <cell r="J47">
            <v>1.2349741121817051</v>
          </cell>
          <cell r="K47">
            <v>93.78</v>
          </cell>
          <cell r="L47">
            <v>0.70512525399288495</v>
          </cell>
          <cell r="M47">
            <v>570.41483999999991</v>
          </cell>
          <cell r="N47">
            <v>8.0515600000000003</v>
          </cell>
          <cell r="O47">
            <v>14.626210973732601</v>
          </cell>
          <cell r="P47">
            <v>2.0277012439473703</v>
          </cell>
          <cell r="Q47">
            <v>8.9654367046586536</v>
          </cell>
          <cell r="R47">
            <v>56.516615171100007</v>
          </cell>
          <cell r="S47">
            <v>110.041178</v>
          </cell>
          <cell r="T47">
            <v>10.068312720453632</v>
          </cell>
          <cell r="U47">
            <v>0.12265949086711153</v>
          </cell>
        </row>
        <row r="48">
          <cell r="E48">
            <v>40</v>
          </cell>
          <cell r="F48" t="str">
            <v>Kota Padang Sidempuan</v>
          </cell>
          <cell r="G48">
            <v>152.17500000000001</v>
          </cell>
          <cell r="H48">
            <v>114.66</v>
          </cell>
          <cell r="I48">
            <v>20.646999999999998</v>
          </cell>
          <cell r="J48">
            <v>2.8030163933194658</v>
          </cell>
          <cell r="K48">
            <v>90.26</v>
          </cell>
          <cell r="L48">
            <v>1.1876189038731688</v>
          </cell>
          <cell r="M48">
            <v>433.89648</v>
          </cell>
          <cell r="N48">
            <v>3.4836399999999998</v>
          </cell>
          <cell r="O48">
            <v>13.119119682014869</v>
          </cell>
          <cell r="P48">
            <v>2.0546972439473703</v>
          </cell>
          <cell r="Q48">
            <v>6.6696294056586538</v>
          </cell>
          <cell r="R48">
            <v>70.806784199999996</v>
          </cell>
          <cell r="S48">
            <v>110.1153083979349</v>
          </cell>
          <cell r="T48">
            <v>13.567931657631016</v>
          </cell>
          <cell r="U48">
            <v>0.20659128185857012</v>
          </cell>
        </row>
        <row r="49">
          <cell r="E49">
            <v>41</v>
          </cell>
          <cell r="F49" t="str">
            <v>Kab. Limapuluh Kota</v>
          </cell>
          <cell r="G49">
            <v>325.166</v>
          </cell>
          <cell r="H49">
            <v>3571.14</v>
          </cell>
          <cell r="I49">
            <v>39.790999999999997</v>
          </cell>
          <cell r="J49">
            <v>1.6547747937490727</v>
          </cell>
          <cell r="K49">
            <v>88.89</v>
          </cell>
          <cell r="L49">
            <v>0.77736374742116221</v>
          </cell>
          <cell r="M49">
            <v>1086.7785100000001</v>
          </cell>
          <cell r="N49">
            <v>17.30218</v>
          </cell>
          <cell r="O49">
            <v>20.326595818792342</v>
          </cell>
          <cell r="P49">
            <v>1.28344212794737</v>
          </cell>
          <cell r="Q49">
            <v>9.6343090042586539</v>
          </cell>
          <cell r="R49">
            <v>120.50937179688168</v>
          </cell>
          <cell r="S49">
            <v>167.83966676155367</v>
          </cell>
          <cell r="T49">
            <v>12.23713426372991</v>
          </cell>
          <cell r="U49">
            <v>0.13522567932050236</v>
          </cell>
        </row>
        <row r="50">
          <cell r="E50">
            <v>42</v>
          </cell>
          <cell r="F50" t="str">
            <v xml:space="preserve">Kab. Agam         </v>
          </cell>
          <cell r="G50">
            <v>427.798</v>
          </cell>
          <cell r="H50">
            <v>2019.21</v>
          </cell>
          <cell r="I50">
            <v>57.231000000000002</v>
          </cell>
          <cell r="J50">
            <v>1.7308950961376441</v>
          </cell>
          <cell r="K50">
            <v>92.64</v>
          </cell>
          <cell r="L50">
            <v>0.74377790768352459</v>
          </cell>
          <cell r="M50">
            <v>1089.40561</v>
          </cell>
          <cell r="N50">
            <v>11.183069999999999</v>
          </cell>
          <cell r="O50">
            <v>20.355597628750154</v>
          </cell>
          <cell r="P50">
            <v>1.28344212794737</v>
          </cell>
          <cell r="Q50">
            <v>10.407149486528652</v>
          </cell>
          <cell r="R50">
            <v>148.74398642518383</v>
          </cell>
          <cell r="S50">
            <v>190.46955740924176</v>
          </cell>
          <cell r="T50">
            <v>13.378042908101486</v>
          </cell>
          <cell r="U50">
            <v>0.12938328184681239</v>
          </cell>
        </row>
        <row r="51">
          <cell r="E51">
            <v>43</v>
          </cell>
          <cell r="F51" t="str">
            <v>Kab. Kepulauan Mentawai</v>
          </cell>
          <cell r="G51">
            <v>67.554000000000002</v>
          </cell>
          <cell r="H51">
            <v>6011.35</v>
          </cell>
          <cell r="I51">
            <v>11.827</v>
          </cell>
          <cell r="J51">
            <v>2.1556799445820647</v>
          </cell>
          <cell r="K51">
            <v>111.98</v>
          </cell>
          <cell r="L51">
            <v>0.70782494757706538</v>
          </cell>
          <cell r="M51">
            <v>192.86562000000001</v>
          </cell>
          <cell r="N51">
            <v>5.57</v>
          </cell>
          <cell r="O51">
            <v>10.458265053075316</v>
          </cell>
          <cell r="P51">
            <v>1.89903611794737</v>
          </cell>
          <cell r="Q51">
            <v>9.5909689377586531</v>
          </cell>
          <cell r="R51">
            <v>22.119612946539739</v>
          </cell>
          <cell r="S51">
            <v>99.248906000000005</v>
          </cell>
          <cell r="T51">
            <v>17.507475501080616</v>
          </cell>
          <cell r="U51">
            <v>0.12312911387190056</v>
          </cell>
        </row>
        <row r="52">
          <cell r="E52">
            <v>44</v>
          </cell>
          <cell r="F52" t="str">
            <v>Kab. Padang Pariaman</v>
          </cell>
          <cell r="G52">
            <v>377.18599999999998</v>
          </cell>
          <cell r="H52">
            <v>1272.1980000000001</v>
          </cell>
          <cell r="I52">
            <v>47.008000000000003</v>
          </cell>
          <cell r="J52">
            <v>2.3886847519528143</v>
          </cell>
          <cell r="K52">
            <v>91.03</v>
          </cell>
          <cell r="L52">
            <v>1.1018126121202079</v>
          </cell>
          <cell r="M52">
            <v>903.92799000000002</v>
          </cell>
          <cell r="N52">
            <v>11.11323</v>
          </cell>
          <cell r="O52">
            <v>18.308021713609278</v>
          </cell>
          <cell r="P52">
            <v>1.28344212794737</v>
          </cell>
          <cell r="Q52">
            <v>7.3382749994786538</v>
          </cell>
          <cell r="R52">
            <v>139.89936220644151</v>
          </cell>
          <cell r="S52">
            <v>182.50428071776184</v>
          </cell>
          <cell r="T52">
            <v>12.462816753538043</v>
          </cell>
          <cell r="U52">
            <v>0.19166491806715327</v>
          </cell>
        </row>
        <row r="53">
          <cell r="E53">
            <v>45</v>
          </cell>
          <cell r="F53" t="str">
            <v xml:space="preserve">Kab. Pasaman    </v>
          </cell>
          <cell r="G53">
            <v>557.41999999999996</v>
          </cell>
          <cell r="H53">
            <v>9537.01</v>
          </cell>
          <cell r="I53">
            <v>73.367999999999995</v>
          </cell>
          <cell r="J53">
            <v>1.6807541128049501</v>
          </cell>
          <cell r="K53">
            <v>90.15</v>
          </cell>
          <cell r="L53">
            <v>0.73408298971711639</v>
          </cell>
          <cell r="M53">
            <v>908.46901000000003</v>
          </cell>
          <cell r="N53">
            <v>16.49239</v>
          </cell>
          <cell r="O53">
            <v>18.358152199336736</v>
          </cell>
          <cell r="P53">
            <v>1.32023590794737</v>
          </cell>
          <cell r="Q53">
            <v>14.718680061098652</v>
          </cell>
          <cell r="R53">
            <v>133.60639242768724</v>
          </cell>
          <cell r="S53">
            <v>210.89732414732646</v>
          </cell>
          <cell r="T53">
            <v>13.162068099458219</v>
          </cell>
          <cell r="U53">
            <v>0.12769681026601995</v>
          </cell>
        </row>
        <row r="54">
          <cell r="E54">
            <v>46</v>
          </cell>
          <cell r="F54" t="str">
            <v>Kab. Pesisir Selatan</v>
          </cell>
          <cell r="G54">
            <v>419.16699999999997</v>
          </cell>
          <cell r="H54">
            <v>5749.89</v>
          </cell>
          <cell r="I54">
            <v>52.018999999999998</v>
          </cell>
          <cell r="J54">
            <v>1.7368525109381538</v>
          </cell>
          <cell r="K54">
            <v>92.84</v>
          </cell>
          <cell r="L54">
            <v>0.80455018218006513</v>
          </cell>
          <cell r="M54">
            <v>868.44951000000003</v>
          </cell>
          <cell r="N54">
            <v>7.6162799999999997</v>
          </cell>
          <cell r="O54">
            <v>17.916357850584689</v>
          </cell>
          <cell r="P54">
            <v>1.31116212794737</v>
          </cell>
          <cell r="Q54">
            <v>9.1169734971886545</v>
          </cell>
          <cell r="R54">
            <v>135.006053724</v>
          </cell>
          <cell r="S54">
            <v>193.01565143474286</v>
          </cell>
          <cell r="T54">
            <v>12.410089534720052</v>
          </cell>
          <cell r="U54">
            <v>0.1399548734986088</v>
          </cell>
        </row>
        <row r="55">
          <cell r="E55">
            <v>47</v>
          </cell>
          <cell r="F55" t="str">
            <v>Kab. Sawahlunto Sijunjung</v>
          </cell>
          <cell r="G55">
            <v>345.57400000000001</v>
          </cell>
          <cell r="H55">
            <v>6078.23</v>
          </cell>
          <cell r="I55">
            <v>46.51</v>
          </cell>
          <cell r="J55">
            <v>1.9905289270179467</v>
          </cell>
          <cell r="K55">
            <v>88.95</v>
          </cell>
          <cell r="L55">
            <v>0.85021414335526424</v>
          </cell>
          <cell r="M55">
            <v>798.27356999999995</v>
          </cell>
          <cell r="N55">
            <v>19.94932</v>
          </cell>
          <cell r="O55">
            <v>17.141652176841564</v>
          </cell>
          <cell r="P55">
            <v>2.1321090844373702</v>
          </cell>
          <cell r="Q55">
            <v>10.921659182068652</v>
          </cell>
          <cell r="R55">
            <v>105.15758893493685</v>
          </cell>
          <cell r="S55">
            <v>167.02970002991788</v>
          </cell>
          <cell r="T55">
            <v>13.458767152621434</v>
          </cell>
          <cell r="U55">
            <v>0.14789831077731672</v>
          </cell>
        </row>
        <row r="56">
          <cell r="E56">
            <v>48</v>
          </cell>
          <cell r="F56" t="str">
            <v>Kab. Solok</v>
          </cell>
          <cell r="G56">
            <v>457.96499999999997</v>
          </cell>
          <cell r="H56">
            <v>7084.2</v>
          </cell>
          <cell r="I56">
            <v>65.850999999999999</v>
          </cell>
          <cell r="J56">
            <v>2.3954383655237104</v>
          </cell>
          <cell r="K56">
            <v>88.51</v>
          </cell>
          <cell r="L56">
            <v>0.95767913666152837</v>
          </cell>
          <cell r="M56">
            <v>881.55346999999995</v>
          </cell>
          <cell r="N56">
            <v>11.769350000000001</v>
          </cell>
          <cell r="O56">
            <v>18.061018715269974</v>
          </cell>
          <cell r="P56">
            <v>1.28344212794737</v>
          </cell>
          <cell r="Q56">
            <v>11.478130151568653</v>
          </cell>
          <cell r="R56">
            <v>137.45791750682591</v>
          </cell>
          <cell r="S56">
            <v>202.06436304666227</v>
          </cell>
          <cell r="T56">
            <v>14.379046433679429</v>
          </cell>
          <cell r="U56">
            <v>0.16659229640659459</v>
          </cell>
        </row>
        <row r="57">
          <cell r="E57">
            <v>49</v>
          </cell>
          <cell r="F57" t="str">
            <v>Kab. Tanah Datar</v>
          </cell>
          <cell r="G57">
            <v>340.62</v>
          </cell>
          <cell r="H57">
            <v>1336.1</v>
          </cell>
          <cell r="I57">
            <v>23.855</v>
          </cell>
          <cell r="J57">
            <v>0.80705048786237255</v>
          </cell>
          <cell r="K57">
            <v>90.02</v>
          </cell>
          <cell r="L57">
            <v>0.66245523980567544</v>
          </cell>
          <cell r="M57">
            <v>889.51605000000006</v>
          </cell>
          <cell r="N57">
            <v>11.905200000000001</v>
          </cell>
          <cell r="O57">
            <v>18.148921433831831</v>
          </cell>
          <cell r="P57">
            <v>1.2834421269473701</v>
          </cell>
          <cell r="Q57">
            <v>7.9133149483486545</v>
          </cell>
          <cell r="R57">
            <v>130.87491727912712</v>
          </cell>
          <cell r="S57">
            <v>173.26393110384376</v>
          </cell>
          <cell r="T57">
            <v>7.0034055545769487</v>
          </cell>
          <cell r="U57">
            <v>0.11523686320506447</v>
          </cell>
        </row>
        <row r="58">
          <cell r="E58">
            <v>50</v>
          </cell>
          <cell r="F58" t="str">
            <v>Kota Bukit Tinggi</v>
          </cell>
          <cell r="G58">
            <v>100.333</v>
          </cell>
          <cell r="H58">
            <v>25.24</v>
          </cell>
          <cell r="I58">
            <v>3.3079999999999998</v>
          </cell>
          <cell r="J58">
            <v>0.31741913701568208</v>
          </cell>
          <cell r="K58">
            <v>93.43</v>
          </cell>
          <cell r="L58">
            <v>0.55344760855369068</v>
          </cell>
          <cell r="M58">
            <v>645.19952999999998</v>
          </cell>
          <cell r="N58">
            <v>15.28431</v>
          </cell>
          <cell r="O58">
            <v>15.451794836978618</v>
          </cell>
          <cell r="P58">
            <v>1.2834421269473701</v>
          </cell>
          <cell r="Q58">
            <v>7.1436931598986533</v>
          </cell>
          <cell r="R58">
            <v>59.560750229768118</v>
          </cell>
          <cell r="S58">
            <v>103.85910155641004</v>
          </cell>
          <cell r="T58">
            <v>3.2970209203352834</v>
          </cell>
          <cell r="U58">
            <v>9.6274529244844115E-2</v>
          </cell>
        </row>
        <row r="59">
          <cell r="E59">
            <v>51</v>
          </cell>
          <cell r="F59" t="str">
            <v>Kota Padang Panjang</v>
          </cell>
          <cell r="G59">
            <v>43.42</v>
          </cell>
          <cell r="H59">
            <v>23</v>
          </cell>
          <cell r="I59">
            <v>1.6040000000000001</v>
          </cell>
          <cell r="J59">
            <v>0.55154341157403908</v>
          </cell>
          <cell r="K59">
            <v>91.23</v>
          </cell>
          <cell r="L59">
            <v>0.85828252020441687</v>
          </cell>
          <cell r="M59">
            <v>230.34307999999999</v>
          </cell>
          <cell r="N59">
            <v>4.5923800000000004</v>
          </cell>
          <cell r="O59">
            <v>10.871996609780945</v>
          </cell>
          <cell r="P59">
            <v>1.2834421269473701</v>
          </cell>
          <cell r="Q59">
            <v>6.4994254216586542</v>
          </cell>
          <cell r="R59">
            <v>34.669194301799998</v>
          </cell>
          <cell r="S59">
            <v>85.712548393116393</v>
          </cell>
          <cell r="T59">
            <v>3.6941501612160295</v>
          </cell>
          <cell r="U59">
            <v>0.1493018387191071</v>
          </cell>
        </row>
        <row r="60">
          <cell r="E60">
            <v>52</v>
          </cell>
          <cell r="F60" t="str">
            <v>Kota Padang</v>
          </cell>
          <cell r="G60">
            <v>787.18</v>
          </cell>
          <cell r="H60">
            <v>626.63</v>
          </cell>
          <cell r="I60">
            <v>31.773</v>
          </cell>
          <cell r="J60">
            <v>0.5275601442268304</v>
          </cell>
          <cell r="K60">
            <v>89.53</v>
          </cell>
          <cell r="L60">
            <v>0.75136838659355765</v>
          </cell>
          <cell r="M60">
            <v>7539.1509699999997</v>
          </cell>
          <cell r="N60">
            <v>63.932550000000006</v>
          </cell>
          <cell r="O60">
            <v>91.557413017192133</v>
          </cell>
          <cell r="P60">
            <v>1.2834421269473701</v>
          </cell>
          <cell r="Q60">
            <v>24.675886479628652</v>
          </cell>
          <cell r="R60">
            <v>265.46947560628234</v>
          </cell>
          <cell r="S60">
            <v>272.15373540666587</v>
          </cell>
          <cell r="T60">
            <v>4.0363068167382306</v>
          </cell>
          <cell r="U60">
            <v>0.13070367744074413</v>
          </cell>
        </row>
        <row r="61">
          <cell r="E61">
            <v>53</v>
          </cell>
          <cell r="F61" t="str">
            <v>Kota Payakumbuh</v>
          </cell>
          <cell r="G61">
            <v>104.09399999999999</v>
          </cell>
          <cell r="H61">
            <v>85.22</v>
          </cell>
          <cell r="I61">
            <v>6.3140000000000001</v>
          </cell>
          <cell r="J61">
            <v>0.96334582260281809</v>
          </cell>
          <cell r="K61">
            <v>90.3</v>
          </cell>
          <cell r="L61">
            <v>0.91299510650962901</v>
          </cell>
          <cell r="M61">
            <v>510.31162</v>
          </cell>
          <cell r="N61">
            <v>14.36294</v>
          </cell>
          <cell r="O61">
            <v>13.962702860492778</v>
          </cell>
          <cell r="P61">
            <v>1.2834421269473701</v>
          </cell>
          <cell r="Q61">
            <v>6.9171159061586538</v>
          </cell>
          <cell r="R61">
            <v>58.91724036913903</v>
          </cell>
          <cell r="S61">
            <v>119.97</v>
          </cell>
          <cell r="T61">
            <v>6.0656714123772746</v>
          </cell>
          <cell r="U61">
            <v>0.15881932223316081</v>
          </cell>
        </row>
        <row r="62">
          <cell r="E62">
            <v>54</v>
          </cell>
          <cell r="F62" t="str">
            <v>Kota Sawahlunto</v>
          </cell>
          <cell r="G62">
            <v>52.988999999999997</v>
          </cell>
          <cell r="H62">
            <v>273.45</v>
          </cell>
          <cell r="I62">
            <v>2.907</v>
          </cell>
          <cell r="J62">
            <v>0.6087426507321827</v>
          </cell>
          <cell r="K62">
            <v>92.12</v>
          </cell>
          <cell r="L62">
            <v>0.63788080618358378</v>
          </cell>
          <cell r="M62">
            <v>252.53296</v>
          </cell>
          <cell r="N62">
            <v>8.4349899999999991</v>
          </cell>
          <cell r="O62">
            <v>11.116961279091811</v>
          </cell>
          <cell r="P62">
            <v>1.92662180443737</v>
          </cell>
          <cell r="Q62">
            <v>7.6127632669686545</v>
          </cell>
          <cell r="R62">
            <v>32.279682829141549</v>
          </cell>
          <cell r="S62">
            <v>81.802180990492232</v>
          </cell>
          <cell r="T62">
            <v>5.4860442733397496</v>
          </cell>
          <cell r="U62">
            <v>0.11096203756328735</v>
          </cell>
        </row>
        <row r="63">
          <cell r="E63">
            <v>55</v>
          </cell>
          <cell r="F63" t="str">
            <v>Kota Solok</v>
          </cell>
          <cell r="G63">
            <v>54.375999999999998</v>
          </cell>
          <cell r="H63">
            <v>57.64</v>
          </cell>
          <cell r="I63">
            <v>3.3079999999999998</v>
          </cell>
          <cell r="J63">
            <v>0.72249310801197031</v>
          </cell>
          <cell r="K63">
            <v>91.58</v>
          </cell>
          <cell r="L63">
            <v>0.68271677836009159</v>
          </cell>
          <cell r="M63">
            <v>277.63067000000001</v>
          </cell>
          <cell r="N63">
            <v>7.2620699999999996</v>
          </cell>
          <cell r="O63">
            <v>11.394026870731331</v>
          </cell>
          <cell r="P63">
            <v>1.3165545669473699</v>
          </cell>
          <cell r="Q63">
            <v>6.3636739396786535</v>
          </cell>
          <cell r="R63">
            <v>37.472517876299996</v>
          </cell>
          <cell r="S63">
            <v>90.62197141946811</v>
          </cell>
          <cell r="T63">
            <v>6.0835662792408414</v>
          </cell>
          <cell r="U63">
            <v>0.11876144268820707</v>
          </cell>
        </row>
        <row r="64">
          <cell r="E64">
            <v>56</v>
          </cell>
          <cell r="F64" t="str">
            <v>Kota Pariaman</v>
          </cell>
          <cell r="G64">
            <v>74.614000000000004</v>
          </cell>
          <cell r="H64">
            <v>129.94200000000001</v>
          </cell>
          <cell r="I64">
            <v>5.7130000000000001</v>
          </cell>
          <cell r="J64">
            <v>1.4662826210717104</v>
          </cell>
          <cell r="K64">
            <v>91.51</v>
          </cell>
          <cell r="L64">
            <v>1.1008772511079505</v>
          </cell>
          <cell r="M64">
            <v>311.62268999999998</v>
          </cell>
          <cell r="N64">
            <v>1.2173800000000001</v>
          </cell>
          <cell r="O64">
            <v>11.769280992813481</v>
          </cell>
          <cell r="P64">
            <v>1.2834421269473701</v>
          </cell>
          <cell r="Q64">
            <v>4.8360837466486544</v>
          </cell>
          <cell r="R64">
            <v>34.547047649936346</v>
          </cell>
          <cell r="S64">
            <v>70.577684014293297</v>
          </cell>
          <cell r="T64">
            <v>7.6567400219797896</v>
          </cell>
          <cell r="U64">
            <v>0.19150220810195098</v>
          </cell>
        </row>
        <row r="65">
          <cell r="E65">
            <v>57</v>
          </cell>
          <cell r="F65" t="str">
            <v>Kab. Bengkalis</v>
          </cell>
          <cell r="G65">
            <v>659.72500000000002</v>
          </cell>
          <cell r="H65">
            <v>11481.77</v>
          </cell>
          <cell r="I65">
            <v>70.561999999999998</v>
          </cell>
          <cell r="J65">
            <v>1.4899087567366138</v>
          </cell>
          <cell r="K65">
            <v>105.9</v>
          </cell>
          <cell r="L65">
            <v>0.80078668632052541</v>
          </cell>
          <cell r="M65">
            <v>1211.34672</v>
          </cell>
          <cell r="N65">
            <v>42.28904</v>
          </cell>
          <cell r="O65">
            <v>21.701763704751905</v>
          </cell>
          <cell r="P65">
            <v>650.46962597394736</v>
          </cell>
          <cell r="Q65">
            <v>34.568944544182287</v>
          </cell>
          <cell r="R65">
            <v>124.56292467877448</v>
          </cell>
          <cell r="S65">
            <v>206.72284199999999</v>
          </cell>
          <cell r="T65">
            <v>10.695668649816211</v>
          </cell>
          <cell r="U65">
            <v>0.13930019763301246</v>
          </cell>
        </row>
        <row r="66">
          <cell r="E66">
            <v>58</v>
          </cell>
          <cell r="F66" t="str">
            <v>Kab. Indragiri Hilir</v>
          </cell>
          <cell r="G66">
            <v>628.53700000000003</v>
          </cell>
          <cell r="H66">
            <v>11605</v>
          </cell>
          <cell r="I66">
            <v>115.13</v>
          </cell>
          <cell r="J66">
            <v>4.1137187854723827</v>
          </cell>
          <cell r="K66">
            <v>104.27</v>
          </cell>
          <cell r="L66">
            <v>1.2910470065863719</v>
          </cell>
          <cell r="M66">
            <v>1123.6324099999999</v>
          </cell>
          <cell r="N66">
            <v>21.30348</v>
          </cell>
          <cell r="O66">
            <v>20.733443599236203</v>
          </cell>
          <cell r="P66">
            <v>120.94701102394738</v>
          </cell>
          <cell r="Q66">
            <v>26.83618840912229</v>
          </cell>
          <cell r="R66">
            <v>116.85091064371998</v>
          </cell>
          <cell r="S66">
            <v>203.82331299999998</v>
          </cell>
          <cell r="T66">
            <v>18.317139643330464</v>
          </cell>
          <cell r="U66">
            <v>0.22458303346342873</v>
          </cell>
        </row>
        <row r="67">
          <cell r="E67">
            <v>59</v>
          </cell>
          <cell r="F67" t="str">
            <v>Kab. Indragiri Hulu</v>
          </cell>
          <cell r="G67">
            <v>284.959</v>
          </cell>
          <cell r="H67">
            <v>8283.66</v>
          </cell>
          <cell r="I67">
            <v>55.728000000000002</v>
          </cell>
          <cell r="J67">
            <v>3.1136619587452845</v>
          </cell>
          <cell r="K67">
            <v>103.98</v>
          </cell>
          <cell r="L67">
            <v>0.91526212960474884</v>
          </cell>
          <cell r="M67">
            <v>533.09083999999996</v>
          </cell>
          <cell r="N67">
            <v>5.3374799999999993</v>
          </cell>
          <cell r="O67">
            <v>14.214173535163367</v>
          </cell>
          <cell r="P67">
            <v>123.07061767394737</v>
          </cell>
          <cell r="Q67">
            <v>25.197557877102287</v>
          </cell>
          <cell r="R67">
            <v>83.001515400000002</v>
          </cell>
          <cell r="S67">
            <v>162.263667</v>
          </cell>
          <cell r="T67">
            <v>19.556497601409326</v>
          </cell>
          <cell r="U67">
            <v>0.15921368039443323</v>
          </cell>
        </row>
        <row r="68">
          <cell r="E68">
            <v>60</v>
          </cell>
          <cell r="F68" t="str">
            <v>Kab. Kampar</v>
          </cell>
          <cell r="G68">
            <v>531.38900000000001</v>
          </cell>
          <cell r="H68">
            <v>10623.45</v>
          </cell>
          <cell r="I68">
            <v>79.281999999999996</v>
          </cell>
          <cell r="J68">
            <v>2.5603399290579913</v>
          </cell>
          <cell r="K68">
            <v>101.32</v>
          </cell>
          <cell r="L68">
            <v>0.98650820886729707</v>
          </cell>
          <cell r="M68">
            <v>578.65895</v>
          </cell>
          <cell r="N68">
            <v>31.505419999999997</v>
          </cell>
          <cell r="O68">
            <v>14.717221636246883</v>
          </cell>
          <cell r="P68">
            <v>212.62514816394736</v>
          </cell>
          <cell r="Q68">
            <v>44.857920023822288</v>
          </cell>
          <cell r="R68">
            <v>152.81106510000004</v>
          </cell>
          <cell r="S68">
            <v>185.10885499999998</v>
          </cell>
          <cell r="T68">
            <v>14.919766875114087</v>
          </cell>
          <cell r="U68">
            <v>0.17160723424764726</v>
          </cell>
        </row>
        <row r="69">
          <cell r="E69">
            <v>61</v>
          </cell>
          <cell r="F69" t="str">
            <v>Kab. Kuantan Singingi</v>
          </cell>
          <cell r="G69">
            <v>242.85300000000001</v>
          </cell>
          <cell r="H69">
            <v>7565.03</v>
          </cell>
          <cell r="I69">
            <v>61.640999999999998</v>
          </cell>
          <cell r="J69">
            <v>4.1935115367672262</v>
          </cell>
          <cell r="K69">
            <v>103.17</v>
          </cell>
          <cell r="L69">
            <v>0.94976628909854821</v>
          </cell>
          <cell r="M69">
            <v>357.98864000000003</v>
          </cell>
          <cell r="N69">
            <v>5.7524700000000006</v>
          </cell>
          <cell r="O69">
            <v>12.281136830205757</v>
          </cell>
          <cell r="P69">
            <v>121.02253675394738</v>
          </cell>
          <cell r="Q69">
            <v>16.696799929702287</v>
          </cell>
          <cell r="R69">
            <v>87.678075000000021</v>
          </cell>
          <cell r="S69">
            <v>118.227751</v>
          </cell>
          <cell r="T69">
            <v>25.382021222714972</v>
          </cell>
          <cell r="U69">
            <v>0.16521582343546201</v>
          </cell>
        </row>
        <row r="70">
          <cell r="E70">
            <v>62</v>
          </cell>
          <cell r="F70" t="str">
            <v>Kab. Pelalawan</v>
          </cell>
          <cell r="G70">
            <v>219.31299999999999</v>
          </cell>
          <cell r="H70">
            <v>12490.42</v>
          </cell>
          <cell r="I70">
            <v>52.52</v>
          </cell>
          <cell r="J70">
            <v>4.393866770617362</v>
          </cell>
          <cell r="K70">
            <v>103.18</v>
          </cell>
          <cell r="L70">
            <v>1.0547551486109674</v>
          </cell>
          <cell r="M70">
            <v>193.69148000000001</v>
          </cell>
          <cell r="N70">
            <v>13.505690000000001</v>
          </cell>
          <cell r="O70">
            <v>10.467382115528878</v>
          </cell>
          <cell r="P70">
            <v>123.71443457394737</v>
          </cell>
          <cell r="Q70">
            <v>37.564276679762287</v>
          </cell>
          <cell r="R70">
            <v>38.80463189999999</v>
          </cell>
          <cell r="S70">
            <v>109.9469</v>
          </cell>
          <cell r="T70">
            <v>23.947508811607157</v>
          </cell>
          <cell r="U70">
            <v>0.18347907522170703</v>
          </cell>
        </row>
        <row r="71">
          <cell r="E71">
            <v>63</v>
          </cell>
          <cell r="F71" t="str">
            <v>Kab. Rokan Hilir</v>
          </cell>
          <cell r="G71">
            <v>426.98500000000001</v>
          </cell>
          <cell r="H71">
            <v>8881.59</v>
          </cell>
          <cell r="I71">
            <v>49.412999999999997</v>
          </cell>
          <cell r="J71">
            <v>1.5874990624195084</v>
          </cell>
          <cell r="K71">
            <v>101.95</v>
          </cell>
          <cell r="L71">
            <v>0.78858767578966349</v>
          </cell>
          <cell r="M71">
            <v>682.04217000000006</v>
          </cell>
          <cell r="N71">
            <v>28.462859999999999</v>
          </cell>
          <cell r="O71">
            <v>15.858518312911757</v>
          </cell>
          <cell r="P71">
            <v>338.07255227394734</v>
          </cell>
          <cell r="Q71">
            <v>50.090842655802298</v>
          </cell>
          <cell r="R71">
            <v>47.406842099999999</v>
          </cell>
          <cell r="S71">
            <v>91.848131999999993</v>
          </cell>
          <cell r="T71">
            <v>11.572537676967574</v>
          </cell>
          <cell r="U71">
            <v>0.1371781286639536</v>
          </cell>
        </row>
        <row r="72">
          <cell r="E72">
            <v>64</v>
          </cell>
          <cell r="F72" t="str">
            <v>Kab. Rokan Hulu</v>
          </cell>
          <cell r="G72">
            <v>330.06700000000001</v>
          </cell>
          <cell r="H72">
            <v>7449.85</v>
          </cell>
          <cell r="I72">
            <v>95.92</v>
          </cell>
          <cell r="J72">
            <v>5.3815259361391341</v>
          </cell>
          <cell r="K72">
            <v>100.57</v>
          </cell>
          <cell r="L72">
            <v>1.064543677494489</v>
          </cell>
          <cell r="M72">
            <v>265.77247999999997</v>
          </cell>
          <cell r="N72">
            <v>8.6008800000000001</v>
          </cell>
          <cell r="O72">
            <v>11.263118655275663</v>
          </cell>
          <cell r="P72">
            <v>122.30055227394736</v>
          </cell>
          <cell r="Q72">
            <v>34.745435318482286</v>
          </cell>
          <cell r="R72">
            <v>63.842164500000003</v>
          </cell>
          <cell r="S72">
            <v>104.14572699999999</v>
          </cell>
          <cell r="T72">
            <v>29.060766450447939</v>
          </cell>
          <cell r="U72">
            <v>0.18518183081355666</v>
          </cell>
        </row>
        <row r="73">
          <cell r="E73">
            <v>65</v>
          </cell>
          <cell r="F73" t="str">
            <v>Kab. Siak</v>
          </cell>
          <cell r="G73">
            <v>282.52999999999997</v>
          </cell>
          <cell r="H73">
            <v>8556.09</v>
          </cell>
          <cell r="I73">
            <v>26.962</v>
          </cell>
          <cell r="J73">
            <v>1.6258075495495021</v>
          </cell>
          <cell r="K73">
            <v>103.39</v>
          </cell>
          <cell r="L73">
            <v>0.97936981031493353</v>
          </cell>
          <cell r="M73">
            <v>262.82312000000002</v>
          </cell>
          <cell r="N73">
            <v>68.41049000000001</v>
          </cell>
          <cell r="O73">
            <v>11.230559263468287</v>
          </cell>
          <cell r="P73">
            <v>338.97276334394735</v>
          </cell>
          <cell r="Q73">
            <v>48.746538279362298</v>
          </cell>
          <cell r="R73">
            <v>48.495051977751196</v>
          </cell>
          <cell r="S73">
            <v>95.609185999999994</v>
          </cell>
          <cell r="T73">
            <v>9.5430573744381135</v>
          </cell>
          <cell r="U73">
            <v>0.17036547992516163</v>
          </cell>
        </row>
        <row r="74">
          <cell r="E74">
            <v>66</v>
          </cell>
          <cell r="F74" t="str">
            <v>Kota Dumai</v>
          </cell>
          <cell r="G74">
            <v>215.84700000000001</v>
          </cell>
          <cell r="H74">
            <v>1726.38</v>
          </cell>
          <cell r="I74">
            <v>21.349</v>
          </cell>
          <cell r="J74">
            <v>1.4913851809469398</v>
          </cell>
          <cell r="K74">
            <v>107.17</v>
          </cell>
          <cell r="L74">
            <v>0.86680900532998995</v>
          </cell>
          <cell r="M74">
            <v>730.44159999999999</v>
          </cell>
          <cell r="N74">
            <v>11.5906</v>
          </cell>
          <cell r="O74">
            <v>16.392822705940667</v>
          </cell>
          <cell r="P74">
            <v>120.20404267394738</v>
          </cell>
          <cell r="Q74">
            <v>81.301205462722294</v>
          </cell>
          <cell r="R74">
            <v>50.814673799999994</v>
          </cell>
          <cell r="S74">
            <v>93.479358000000005</v>
          </cell>
          <cell r="T74">
            <v>9.8908022812455112</v>
          </cell>
          <cell r="U74">
            <v>0.15078505651405413</v>
          </cell>
        </row>
        <row r="75">
          <cell r="E75">
            <v>67</v>
          </cell>
          <cell r="F75" t="str">
            <v>Kota Pekanbaru</v>
          </cell>
          <cell r="G75">
            <v>697.40099999999995</v>
          </cell>
          <cell r="H75">
            <v>446.5</v>
          </cell>
          <cell r="I75">
            <v>30.186</v>
          </cell>
          <cell r="J75">
            <v>0.56000000000000005</v>
          </cell>
          <cell r="K75">
            <v>101.44</v>
          </cell>
          <cell r="L75">
            <v>0.74375540792103711</v>
          </cell>
          <cell r="M75">
            <v>3594.51242</v>
          </cell>
          <cell r="N75">
            <v>58.70185</v>
          </cell>
          <cell r="O75">
            <v>48.010666574595916</v>
          </cell>
          <cell r="P75">
            <v>120.07055227394737</v>
          </cell>
          <cell r="Q75">
            <v>48.705350970782291</v>
          </cell>
          <cell r="R75">
            <v>172.7470970778017</v>
          </cell>
          <cell r="S75">
            <v>164.75236580365646</v>
          </cell>
          <cell r="T75">
            <v>4.3283562828272402</v>
          </cell>
          <cell r="U75">
            <v>0.12937936791890281</v>
          </cell>
        </row>
        <row r="76">
          <cell r="E76">
            <v>68</v>
          </cell>
          <cell r="F76" t="str">
            <v>Kab. Batanghari</v>
          </cell>
          <cell r="G76">
            <v>210.07</v>
          </cell>
          <cell r="H76">
            <v>5804</v>
          </cell>
          <cell r="I76">
            <v>39.691000000000003</v>
          </cell>
          <cell r="J76">
            <v>3.2773022920499226</v>
          </cell>
          <cell r="K76">
            <v>95.68</v>
          </cell>
          <cell r="L76">
            <v>0.99713418996507075</v>
          </cell>
          <cell r="M76">
            <v>398.09600899897293</v>
          </cell>
          <cell r="N76">
            <v>21.413330000000002</v>
          </cell>
          <cell r="O76">
            <v>12.723901206748675</v>
          </cell>
          <cell r="P76">
            <v>3.8012699339473706</v>
          </cell>
          <cell r="Q76">
            <v>25.424881623658653</v>
          </cell>
          <cell r="R76">
            <v>73.306860624600006</v>
          </cell>
          <cell r="S76">
            <v>140.88</v>
          </cell>
          <cell r="T76">
            <v>18.89417813109916</v>
          </cell>
          <cell r="U76">
            <v>0.17345566815926208</v>
          </cell>
        </row>
        <row r="77">
          <cell r="E77">
            <v>69</v>
          </cell>
          <cell r="F77" t="str">
            <v xml:space="preserve">Kab. Bungo     </v>
          </cell>
          <cell r="G77">
            <v>241.273</v>
          </cell>
          <cell r="H77">
            <v>4659</v>
          </cell>
          <cell r="I77">
            <v>27.963999999999999</v>
          </cell>
          <cell r="J77">
            <v>2.3395279936500057</v>
          </cell>
          <cell r="K77">
            <v>96.99</v>
          </cell>
          <cell r="L77">
            <v>1.1603868229357108</v>
          </cell>
          <cell r="M77">
            <v>461.13093759756907</v>
          </cell>
          <cell r="N77">
            <v>28.021240000000002</v>
          </cell>
          <cell r="O77">
            <v>13.419773849556524</v>
          </cell>
          <cell r="P77">
            <v>3.0667646839473703</v>
          </cell>
          <cell r="Q77">
            <v>9.6217633496586537</v>
          </cell>
          <cell r="R77">
            <v>92.352194229599974</v>
          </cell>
          <cell r="S77">
            <v>147.8240793064279</v>
          </cell>
          <cell r="T77">
            <v>11.590190365270875</v>
          </cell>
          <cell r="U77">
            <v>0.20185414733654625</v>
          </cell>
        </row>
        <row r="78">
          <cell r="E78">
            <v>70</v>
          </cell>
          <cell r="F78" t="str">
            <v>Kab. Kerinci</v>
          </cell>
          <cell r="G78">
            <v>302.78100000000001</v>
          </cell>
          <cell r="H78">
            <v>4200</v>
          </cell>
          <cell r="I78">
            <v>37.549999999999997</v>
          </cell>
          <cell r="J78">
            <v>1.8586750684824149</v>
          </cell>
          <cell r="K78">
            <v>96.73</v>
          </cell>
          <cell r="L78">
            <v>0.86156344207057201</v>
          </cell>
          <cell r="M78">
            <v>817.40881002810579</v>
          </cell>
          <cell r="N78">
            <v>8.5664400000000001</v>
          </cell>
          <cell r="O78">
            <v>17.352895218519528</v>
          </cell>
          <cell r="P78">
            <v>2.9960009739473703</v>
          </cell>
          <cell r="Q78">
            <v>8.2758976516586529</v>
          </cell>
          <cell r="R78">
            <v>134.86384090730874</v>
          </cell>
          <cell r="S78">
            <v>177.75307118603826</v>
          </cell>
          <cell r="T78">
            <v>12.401702880960165</v>
          </cell>
          <cell r="U78">
            <v>0.14987256881762293</v>
          </cell>
        </row>
        <row r="79">
          <cell r="E79">
            <v>71</v>
          </cell>
          <cell r="F79" t="str">
            <v>Kab. Merangin</v>
          </cell>
          <cell r="G79">
            <v>276.62700000000001</v>
          </cell>
          <cell r="H79">
            <v>7679</v>
          </cell>
          <cell r="I79">
            <v>41.25</v>
          </cell>
          <cell r="J79">
            <v>2.0943790710767591</v>
          </cell>
          <cell r="K79">
            <v>96.01</v>
          </cell>
          <cell r="L79">
            <v>0.80740421973558141</v>
          </cell>
          <cell r="M79">
            <v>330.46519708076994</v>
          </cell>
          <cell r="N79">
            <v>10.31485324981</v>
          </cell>
          <cell r="O79">
            <v>11.977292415859862</v>
          </cell>
          <cell r="P79">
            <v>3.2672002939473703</v>
          </cell>
          <cell r="Q79">
            <v>14.458972368658653</v>
          </cell>
          <cell r="R79">
            <v>93.571212418200005</v>
          </cell>
          <cell r="S79">
            <v>152.48892787638454</v>
          </cell>
          <cell r="T79">
            <v>14.911776507716166</v>
          </cell>
          <cell r="U79">
            <v>0.14045134528357592</v>
          </cell>
        </row>
        <row r="80">
          <cell r="E80">
            <v>72</v>
          </cell>
          <cell r="F80" t="str">
            <v>Kab. Muaro Jambi</v>
          </cell>
          <cell r="G80">
            <v>275.351</v>
          </cell>
          <cell r="H80">
            <v>5326</v>
          </cell>
          <cell r="I80">
            <v>26.460999999999999</v>
          </cell>
          <cell r="J80">
            <v>1.0641404694684893</v>
          </cell>
          <cell r="K80">
            <v>96.27</v>
          </cell>
          <cell r="L80">
            <v>0.63656752146501228</v>
          </cell>
          <cell r="M80">
            <v>264.48669885887136</v>
          </cell>
          <cell r="N80">
            <v>10.78248</v>
          </cell>
          <cell r="O80">
            <v>11.248924303974858</v>
          </cell>
          <cell r="P80">
            <v>3.9791249939473703</v>
          </cell>
          <cell r="Q80">
            <v>24.698988331658654</v>
          </cell>
          <cell r="R80">
            <v>73.501451525999997</v>
          </cell>
          <cell r="S80">
            <v>128.07378606099888</v>
          </cell>
          <cell r="T80">
            <v>9.6099160707605922</v>
          </cell>
          <cell r="U80">
            <v>0.11073358618669665</v>
          </cell>
        </row>
        <row r="81">
          <cell r="E81">
            <v>73</v>
          </cell>
          <cell r="F81" t="str">
            <v>Kab. Sarolangun</v>
          </cell>
          <cell r="G81">
            <v>196.92500000000001</v>
          </cell>
          <cell r="H81">
            <v>6184</v>
          </cell>
          <cell r="I81">
            <v>39.591000000000001</v>
          </cell>
          <cell r="J81">
            <v>3.7537129667233953</v>
          </cell>
          <cell r="K81">
            <v>96.47</v>
          </cell>
          <cell r="L81">
            <v>1.0733232939014488</v>
          </cell>
          <cell r="M81">
            <v>319.55985985819001</v>
          </cell>
          <cell r="N81">
            <v>6.7262299999999993</v>
          </cell>
          <cell r="O81">
            <v>11.856903196699923</v>
          </cell>
          <cell r="P81">
            <v>3.1654655239473701</v>
          </cell>
          <cell r="Q81">
            <v>14.881116627658653</v>
          </cell>
          <cell r="R81">
            <v>56.412937883999987</v>
          </cell>
          <cell r="S81">
            <v>128.63</v>
          </cell>
          <cell r="T81">
            <v>20.104608353434049</v>
          </cell>
          <cell r="U81">
            <v>0.18670908185496821</v>
          </cell>
        </row>
        <row r="82">
          <cell r="E82">
            <v>74</v>
          </cell>
          <cell r="F82" t="str">
            <v>Kab. Tanjung Jabung Barat</v>
          </cell>
          <cell r="G82">
            <v>229.73699999999999</v>
          </cell>
          <cell r="H82">
            <v>4649.8500000000004</v>
          </cell>
          <cell r="I82">
            <v>35.781999999999996</v>
          </cell>
          <cell r="J82">
            <v>2.6801731060185623</v>
          </cell>
          <cell r="K82">
            <v>96.77</v>
          </cell>
          <cell r="L82">
            <v>0.98922319419487048</v>
          </cell>
          <cell r="M82">
            <v>572.19913863340048</v>
          </cell>
          <cell r="N82">
            <v>15.57335</v>
          </cell>
          <cell r="O82">
            <v>14.645908697410368</v>
          </cell>
          <cell r="P82">
            <v>5.6544496939473703</v>
          </cell>
          <cell r="Q82">
            <v>18.711312572658652</v>
          </cell>
          <cell r="R82">
            <v>56.658143006099998</v>
          </cell>
          <cell r="S82">
            <v>119.27299084220385</v>
          </cell>
          <cell r="T82">
            <v>15.57520120833823</v>
          </cell>
          <cell r="U82">
            <v>0.17207951731523852</v>
          </cell>
        </row>
        <row r="83">
          <cell r="E83">
            <v>75</v>
          </cell>
          <cell r="F83" t="str">
            <v>Kab. Tanjung Jabung Timur</v>
          </cell>
          <cell r="G83">
            <v>203.62299999999999</v>
          </cell>
          <cell r="H83">
            <v>5445</v>
          </cell>
          <cell r="I83">
            <v>23.53</v>
          </cell>
          <cell r="J83">
            <v>2.4500000000000002</v>
          </cell>
          <cell r="K83">
            <v>97.14</v>
          </cell>
          <cell r="L83">
            <v>1.2188102567852983</v>
          </cell>
          <cell r="M83">
            <v>400.32083090606659</v>
          </cell>
          <cell r="N83">
            <v>6.3188300000000002</v>
          </cell>
          <cell r="O83">
            <v>12.74846207696279</v>
          </cell>
          <cell r="P83">
            <v>11.782051404196871</v>
          </cell>
          <cell r="Q83">
            <v>19.117986770658653</v>
          </cell>
          <cell r="R83">
            <v>53.021899584600007</v>
          </cell>
          <cell r="S83">
            <v>113.79651820764801</v>
          </cell>
          <cell r="T83">
            <v>11.555669055067455</v>
          </cell>
          <cell r="U83">
            <v>0.21201714832129195</v>
          </cell>
        </row>
        <row r="84">
          <cell r="E84">
            <v>76</v>
          </cell>
          <cell r="F84" t="str">
            <v>Kab. Tebo</v>
          </cell>
          <cell r="G84">
            <v>236.23</v>
          </cell>
          <cell r="H84">
            <v>6461</v>
          </cell>
          <cell r="I84">
            <v>26.16</v>
          </cell>
          <cell r="J84">
            <v>1.3789330621187286</v>
          </cell>
          <cell r="K84">
            <v>96.16</v>
          </cell>
          <cell r="L84">
            <v>0.71582293057090496</v>
          </cell>
          <cell r="M84">
            <v>312.53527359282344</v>
          </cell>
          <cell r="N84">
            <v>18.543119999999998</v>
          </cell>
          <cell r="O84">
            <v>11.779355438373102</v>
          </cell>
          <cell r="P84">
            <v>3.3042078339473702</v>
          </cell>
          <cell r="Q84">
            <v>9.595636696658655</v>
          </cell>
          <cell r="R84">
            <v>58.932953967599992</v>
          </cell>
          <cell r="S84">
            <v>128.75789485712394</v>
          </cell>
          <cell r="T84">
            <v>11.073953350548194</v>
          </cell>
          <cell r="U84">
            <v>0.12452039650776271</v>
          </cell>
        </row>
        <row r="85">
          <cell r="E85">
            <v>77</v>
          </cell>
          <cell r="F85" t="str">
            <v>Kota Jambi</v>
          </cell>
          <cell r="G85">
            <v>452.70100000000002</v>
          </cell>
          <cell r="H85">
            <v>205.43</v>
          </cell>
          <cell r="I85">
            <v>27.161999999999999</v>
          </cell>
          <cell r="J85">
            <v>0.98544248971683523</v>
          </cell>
          <cell r="K85">
            <v>92.92</v>
          </cell>
          <cell r="L85">
            <v>0.94416110250886354</v>
          </cell>
          <cell r="M85">
            <v>1731.2102202273752</v>
          </cell>
          <cell r="N85">
            <v>23.436360000000001</v>
          </cell>
          <cell r="O85">
            <v>27.440784845018879</v>
          </cell>
          <cell r="P85">
            <v>3.8387618039473703</v>
          </cell>
          <cell r="Q85">
            <v>25.547869223658651</v>
          </cell>
          <cell r="R85">
            <v>152.57181640484163</v>
          </cell>
          <cell r="S85">
            <v>186.77959236342596</v>
          </cell>
          <cell r="T85">
            <v>5.9999867462188066</v>
          </cell>
          <cell r="U85">
            <v>0.16424077775469445</v>
          </cell>
        </row>
        <row r="86">
          <cell r="E86">
            <v>78</v>
          </cell>
          <cell r="F86" t="str">
            <v xml:space="preserve">Kab. Lahat     </v>
          </cell>
          <cell r="G86">
            <v>541.89499999999998</v>
          </cell>
          <cell r="H86">
            <v>5722.09</v>
          </cell>
          <cell r="I86">
            <v>160.22999999999999</v>
          </cell>
          <cell r="J86">
            <v>5.3497554338353988</v>
          </cell>
          <cell r="K86">
            <v>96.1</v>
          </cell>
          <cell r="L86">
            <v>1.0400886356770658</v>
          </cell>
          <cell r="M86">
            <v>788.24900000000002</v>
          </cell>
          <cell r="N86">
            <v>10.138540000000001</v>
          </cell>
          <cell r="O86">
            <v>17.030986167154552</v>
          </cell>
          <cell r="P86">
            <v>40.224948593947374</v>
          </cell>
          <cell r="Q86">
            <v>29.854818545158651</v>
          </cell>
          <cell r="R86">
            <v>148.97988447206046</v>
          </cell>
          <cell r="S86">
            <v>193.31977481441504</v>
          </cell>
          <cell r="T86">
            <v>29.568458834276012</v>
          </cell>
          <cell r="U86">
            <v>0.18092777387619258</v>
          </cell>
        </row>
        <row r="87">
          <cell r="E87">
            <v>79</v>
          </cell>
          <cell r="F87" t="str">
            <v>Kab. Musi Banyuasin</v>
          </cell>
          <cell r="G87">
            <v>455.73899999999998</v>
          </cell>
          <cell r="H87">
            <v>14265.298000000001</v>
          </cell>
          <cell r="I87">
            <v>164.37700000000001</v>
          </cell>
          <cell r="J87">
            <v>7.0341913186317191</v>
          </cell>
          <cell r="K87">
            <v>95.78</v>
          </cell>
          <cell r="L87">
            <v>1.1211260216553129</v>
          </cell>
          <cell r="M87">
            <v>1402.2439999999999</v>
          </cell>
          <cell r="N87">
            <v>23.880860000000002</v>
          </cell>
          <cell r="O87">
            <v>23.80916983166847</v>
          </cell>
          <cell r="P87">
            <v>231.08287269394737</v>
          </cell>
          <cell r="Q87">
            <v>51.845749315658658</v>
          </cell>
          <cell r="R87">
            <v>102.64846223280087</v>
          </cell>
          <cell r="S87">
            <v>145.33598899999998</v>
          </cell>
          <cell r="T87">
            <v>36.068232036319039</v>
          </cell>
          <cell r="U87">
            <v>0.19502456653679653</v>
          </cell>
        </row>
        <row r="88">
          <cell r="E88">
            <v>80</v>
          </cell>
          <cell r="F88" t="str">
            <v xml:space="preserve">Kab. Musi Rawas   </v>
          </cell>
          <cell r="G88">
            <v>465.68200000000002</v>
          </cell>
          <cell r="H88">
            <v>18248.88</v>
          </cell>
          <cell r="I88">
            <v>163.976</v>
          </cell>
          <cell r="J88">
            <v>6.1018859582978564</v>
          </cell>
          <cell r="K88">
            <v>97.5</v>
          </cell>
          <cell r="L88">
            <v>0.99618124589909218</v>
          </cell>
          <cell r="M88">
            <v>336.916</v>
          </cell>
          <cell r="N88">
            <v>13.07382</v>
          </cell>
          <cell r="O88">
            <v>12.048505906149073</v>
          </cell>
          <cell r="P88">
            <v>55.676925673947366</v>
          </cell>
          <cell r="Q88">
            <v>35.758437437658657</v>
          </cell>
          <cell r="R88">
            <v>114.74790360009898</v>
          </cell>
          <cell r="S88">
            <v>187.25649203012895</v>
          </cell>
          <cell r="T88">
            <v>35.212011630254118</v>
          </cell>
          <cell r="U88">
            <v>0.1732898995482304</v>
          </cell>
        </row>
        <row r="89">
          <cell r="E89">
            <v>81</v>
          </cell>
          <cell r="F89" t="str">
            <v xml:space="preserve">Kab. Muara Enim </v>
          </cell>
          <cell r="G89">
            <v>621.87599999999998</v>
          </cell>
          <cell r="H89">
            <v>9238.77</v>
          </cell>
          <cell r="I89">
            <v>138.31700000000001</v>
          </cell>
          <cell r="J89">
            <v>3.4920099465842642</v>
          </cell>
          <cell r="K89">
            <v>95.68</v>
          </cell>
          <cell r="L89">
            <v>0.9025449055890753</v>
          </cell>
          <cell r="M89">
            <v>951.89200000000005</v>
          </cell>
          <cell r="N89">
            <v>27.90174</v>
          </cell>
          <cell r="O89">
            <v>18.837519297574268</v>
          </cell>
          <cell r="P89">
            <v>91.482320123947375</v>
          </cell>
          <cell r="Q89">
            <v>39.679144012658661</v>
          </cell>
          <cell r="R89">
            <v>137.29679640331452</v>
          </cell>
          <cell r="S89">
            <v>179.5804813053833</v>
          </cell>
          <cell r="T89">
            <v>22.241893882381699</v>
          </cell>
          <cell r="U89">
            <v>0.15700146601950848</v>
          </cell>
        </row>
        <row r="90">
          <cell r="E90">
            <v>82</v>
          </cell>
          <cell r="F90" t="str">
            <v>Kab. Ogan Komering Ilir</v>
          </cell>
          <cell r="G90">
            <v>1000.152</v>
          </cell>
          <cell r="H90">
            <v>21387.49</v>
          </cell>
          <cell r="I90">
            <v>218.89</v>
          </cell>
          <cell r="J90">
            <v>4.9160305848811179</v>
          </cell>
          <cell r="K90">
            <v>96.45</v>
          </cell>
          <cell r="L90">
            <v>1.2912780662619971</v>
          </cell>
          <cell r="M90">
            <v>1475.944</v>
          </cell>
          <cell r="N90">
            <v>13.824129999999998</v>
          </cell>
          <cell r="O90">
            <v>24.622779284635801</v>
          </cell>
          <cell r="P90">
            <v>34.795826733947365</v>
          </cell>
          <cell r="Q90">
            <v>28.274821732658655</v>
          </cell>
          <cell r="R90">
            <v>209.99324555816986</v>
          </cell>
          <cell r="S90">
            <v>315.68761715262684</v>
          </cell>
          <cell r="T90">
            <v>21.885673377646594</v>
          </cell>
          <cell r="U90">
            <v>0.22462322726163922</v>
          </cell>
        </row>
        <row r="91">
          <cell r="E91">
            <v>83</v>
          </cell>
          <cell r="F91" t="str">
            <v>Kab. Ogan Komering Ulu</v>
          </cell>
          <cell r="G91">
            <v>1112.854</v>
          </cell>
          <cell r="H91">
            <v>14679.11</v>
          </cell>
          <cell r="I91">
            <v>201.35</v>
          </cell>
          <cell r="J91">
            <v>3.3504298870640818</v>
          </cell>
          <cell r="K91">
            <v>96.4</v>
          </cell>
          <cell r="L91">
            <v>1.0645160229553061</v>
          </cell>
          <cell r="M91">
            <v>1744.3</v>
          </cell>
          <cell r="N91">
            <v>16.853725706639999</v>
          </cell>
          <cell r="O91">
            <v>27.585289167410576</v>
          </cell>
          <cell r="P91">
            <v>40.809783183947374</v>
          </cell>
          <cell r="Q91">
            <v>29.617943887658654</v>
          </cell>
          <cell r="R91">
            <v>246.14185386324161</v>
          </cell>
          <cell r="S91">
            <v>323.69657969156304</v>
          </cell>
          <cell r="T91">
            <v>18.093119133327463</v>
          </cell>
          <cell r="U91">
            <v>0.18517702019065369</v>
          </cell>
        </row>
        <row r="92">
          <cell r="E92">
            <v>84</v>
          </cell>
          <cell r="F92" t="str">
            <v xml:space="preserve">Kota Palembang </v>
          </cell>
          <cell r="G92">
            <v>1304.211</v>
          </cell>
          <cell r="H92">
            <v>421.01</v>
          </cell>
          <cell r="I92">
            <v>124.13</v>
          </cell>
          <cell r="J92">
            <v>1.4123185169162578</v>
          </cell>
          <cell r="K92">
            <v>94.59</v>
          </cell>
          <cell r="L92">
            <v>0.85303896270370105</v>
          </cell>
          <cell r="M92">
            <v>8116.0559999999996</v>
          </cell>
          <cell r="N92">
            <v>63.522970000000001</v>
          </cell>
          <cell r="O92">
            <v>97.926142811932991</v>
          </cell>
          <cell r="P92">
            <v>33.938826733947366</v>
          </cell>
          <cell r="Q92">
            <v>55.357989816658659</v>
          </cell>
          <cell r="R92">
            <v>323.71498365970149</v>
          </cell>
          <cell r="S92">
            <v>343.37584036191458</v>
          </cell>
          <cell r="T92">
            <v>9.5176317329021138</v>
          </cell>
          <cell r="U92">
            <v>0.14838969993280188</v>
          </cell>
        </row>
        <row r="93">
          <cell r="E93">
            <v>85</v>
          </cell>
          <cell r="F93" t="str">
            <v>Kota Pagar Alam</v>
          </cell>
          <cell r="G93">
            <v>113.752</v>
          </cell>
          <cell r="H93">
            <v>633.66</v>
          </cell>
          <cell r="I93">
            <v>16.939</v>
          </cell>
          <cell r="J93">
            <v>2.8795260612615432</v>
          </cell>
          <cell r="K93">
            <v>96.51</v>
          </cell>
          <cell r="L93">
            <v>1.111622677989164</v>
          </cell>
          <cell r="M93">
            <v>243.40899999999999</v>
          </cell>
          <cell r="N93">
            <v>4.1516899999999994</v>
          </cell>
          <cell r="O93">
            <v>11.016237532762151</v>
          </cell>
          <cell r="P93">
            <v>33.938826733947366</v>
          </cell>
          <cell r="Q93">
            <v>7.7467261126586537</v>
          </cell>
          <cell r="R93">
            <v>33.579363756599996</v>
          </cell>
          <cell r="S93">
            <v>85.81</v>
          </cell>
          <cell r="T93">
            <v>14.891166748716506</v>
          </cell>
          <cell r="U93">
            <v>0.19337142010781219</v>
          </cell>
        </row>
        <row r="94">
          <cell r="E94">
            <v>86</v>
          </cell>
          <cell r="F94" t="str">
            <v>Kota Lubuk Linggau</v>
          </cell>
          <cell r="G94">
            <v>171.23500000000001</v>
          </cell>
          <cell r="H94">
            <v>401.5</v>
          </cell>
          <cell r="I94">
            <v>27.963999999999999</v>
          </cell>
          <cell r="J94">
            <v>3.0120819204078861</v>
          </cell>
          <cell r="K94">
            <v>94.1</v>
          </cell>
          <cell r="L94">
            <v>1.0602911474884185</v>
          </cell>
          <cell r="M94">
            <v>532.18299999999999</v>
          </cell>
          <cell r="N94">
            <v>11.43228</v>
          </cell>
          <cell r="O94">
            <v>14.204151456387494</v>
          </cell>
          <cell r="P94">
            <v>33.938826733947366</v>
          </cell>
          <cell r="Q94">
            <v>10.946511090658653</v>
          </cell>
          <cell r="R94">
            <v>52.111418784299993</v>
          </cell>
          <cell r="S94">
            <v>92.816992985123207</v>
          </cell>
          <cell r="T94">
            <v>16.330773498408618</v>
          </cell>
          <cell r="U94">
            <v>0.18444208541018611</v>
          </cell>
        </row>
        <row r="95">
          <cell r="E95">
            <v>87</v>
          </cell>
          <cell r="F95" t="str">
            <v>Kota Prabumulih</v>
          </cell>
          <cell r="G95">
            <v>128.20699999999999</v>
          </cell>
          <cell r="H95">
            <v>251.94</v>
          </cell>
          <cell r="I95">
            <v>15.836</v>
          </cell>
          <cell r="J95">
            <v>1.9336480710966522</v>
          </cell>
          <cell r="K95">
            <v>96.8</v>
          </cell>
          <cell r="L95">
            <v>0.89993012624566115</v>
          </cell>
          <cell r="M95">
            <v>475.37099999999998</v>
          </cell>
          <cell r="N95">
            <v>8.523579999999999</v>
          </cell>
          <cell r="O95">
            <v>13.576976690553302</v>
          </cell>
          <cell r="P95">
            <v>37.703826733947366</v>
          </cell>
          <cell r="Q95">
            <v>16.200033453658655</v>
          </cell>
          <cell r="R95">
            <v>41.943691863529828</v>
          </cell>
          <cell r="S95">
            <v>76.102741674911513</v>
          </cell>
          <cell r="T95">
            <v>12.35189966226493</v>
          </cell>
          <cell r="U95">
            <v>0.15654661420250598</v>
          </cell>
        </row>
        <row r="96">
          <cell r="E96">
            <v>88</v>
          </cell>
          <cell r="F96" t="str">
            <v>Kab. Banyuasin</v>
          </cell>
          <cell r="G96">
            <v>712.81299999999999</v>
          </cell>
          <cell r="H96">
            <v>11832.191999999999</v>
          </cell>
          <cell r="I96">
            <v>147.33699999999999</v>
          </cell>
          <cell r="J96">
            <v>4.032567841417614</v>
          </cell>
          <cell r="K96">
            <v>96.59</v>
          </cell>
          <cell r="L96">
            <v>1.1215291934344285</v>
          </cell>
          <cell r="M96">
            <v>1344.665</v>
          </cell>
          <cell r="N96">
            <v>3.0240399999999998</v>
          </cell>
          <cell r="O96">
            <v>23.173527786995393</v>
          </cell>
          <cell r="P96">
            <v>35.44956113394737</v>
          </cell>
          <cell r="Q96">
            <v>27.204673097658656</v>
          </cell>
          <cell r="R96">
            <v>111.37726085473591</v>
          </cell>
          <cell r="S96">
            <v>165.3784296852447</v>
          </cell>
          <cell r="T96">
            <v>20.669796987428679</v>
          </cell>
          <cell r="U96">
            <v>0.19509469995618303</v>
          </cell>
        </row>
        <row r="97">
          <cell r="E97">
            <v>89</v>
          </cell>
          <cell r="F97" t="str">
            <v>Kab. Bangka</v>
          </cell>
          <cell r="G97">
            <v>657.05799999999999</v>
          </cell>
          <cell r="H97">
            <v>11534.14</v>
          </cell>
          <cell r="I97">
            <v>56.529000000000003</v>
          </cell>
          <cell r="J97">
            <v>1.3167881371891517</v>
          </cell>
          <cell r="K97">
            <v>105.25</v>
          </cell>
          <cell r="L97">
            <v>0.87985969016298105</v>
          </cell>
          <cell r="M97">
            <v>990.6862830927256</v>
          </cell>
          <cell r="N97">
            <v>31.953990000000001</v>
          </cell>
          <cell r="O97">
            <v>19.265787892490579</v>
          </cell>
          <cell r="P97">
            <v>13.19377454394737</v>
          </cell>
          <cell r="Q97">
            <v>14.940895755578655</v>
          </cell>
          <cell r="R97">
            <v>123.29250632891684</v>
          </cell>
          <cell r="S97">
            <v>197.70156245033797</v>
          </cell>
          <cell r="T97">
            <v>8.603350084771817</v>
          </cell>
          <cell r="U97">
            <v>0.15305527779462391</v>
          </cell>
        </row>
        <row r="98">
          <cell r="E98">
            <v>90</v>
          </cell>
          <cell r="F98" t="str">
            <v>Kab. Belitung</v>
          </cell>
          <cell r="G98">
            <v>225.17899999999997</v>
          </cell>
          <cell r="H98">
            <v>4800.6000000000004</v>
          </cell>
          <cell r="I98">
            <v>26.962</v>
          </cell>
          <cell r="J98">
            <v>1.469338560734371</v>
          </cell>
          <cell r="K98">
            <v>103.51</v>
          </cell>
          <cell r="L98">
            <v>0.70544436617899309</v>
          </cell>
          <cell r="M98">
            <v>695.62</v>
          </cell>
          <cell r="N98">
            <v>22.005779999999998</v>
          </cell>
          <cell r="O98">
            <v>16.008410454550607</v>
          </cell>
          <cell r="P98">
            <v>7.72131282294737</v>
          </cell>
          <cell r="Q98">
            <v>8.8509510082886536</v>
          </cell>
          <cell r="R98">
            <v>72.873296536729441</v>
          </cell>
          <cell r="S98">
            <v>123.99915494977185</v>
          </cell>
          <cell r="T98">
            <v>11.97358545867954</v>
          </cell>
          <cell r="U98">
            <v>0.12271500176826826</v>
          </cell>
        </row>
        <row r="99">
          <cell r="E99">
            <v>91</v>
          </cell>
          <cell r="F99" t="str">
            <v xml:space="preserve">Kota Pangkal Pinang </v>
          </cell>
          <cell r="G99">
            <v>141.55600000000001</v>
          </cell>
          <cell r="H99">
            <v>89.4</v>
          </cell>
          <cell r="I99">
            <v>8.3190000000000008</v>
          </cell>
          <cell r="J99">
            <v>0.64389363496340335</v>
          </cell>
          <cell r="K99">
            <v>101.49</v>
          </cell>
          <cell r="L99">
            <v>0.62984893784035467</v>
          </cell>
          <cell r="M99">
            <v>556.66684030995725</v>
          </cell>
          <cell r="N99">
            <v>10.065799999999999</v>
          </cell>
          <cell r="O99">
            <v>14.474440247718888</v>
          </cell>
          <cell r="P99">
            <v>7.07431175294737</v>
          </cell>
          <cell r="Q99">
            <v>11.195638479268652</v>
          </cell>
          <cell r="R99">
            <v>50.076493152516228</v>
          </cell>
          <cell r="S99">
            <v>95.876274196297771</v>
          </cell>
          <cell r="T99">
            <v>5.8768261324140276</v>
          </cell>
          <cell r="U99">
            <v>0.10956486042899329</v>
          </cell>
        </row>
        <row r="100">
          <cell r="E100">
            <v>92</v>
          </cell>
          <cell r="F100" t="str">
            <v>Kab. Bengkulu Selatan</v>
          </cell>
          <cell r="G100">
            <v>393.36699999999996</v>
          </cell>
          <cell r="H100">
            <v>5955.59</v>
          </cell>
          <cell r="I100">
            <v>137.816</v>
          </cell>
          <cell r="J100">
            <v>7.212031460628082</v>
          </cell>
          <cell r="K100">
            <v>94.52</v>
          </cell>
          <cell r="L100">
            <v>1.1833712311800328</v>
          </cell>
          <cell r="M100">
            <v>614.37699999999995</v>
          </cell>
          <cell r="N100">
            <v>4.5951599999999999</v>
          </cell>
          <cell r="O100">
            <v>15.111530226770082</v>
          </cell>
          <cell r="P100">
            <v>1.8378315609473703</v>
          </cell>
          <cell r="Q100">
            <v>6.0551396836586537</v>
          </cell>
          <cell r="R100">
            <v>166.65133562045676</v>
          </cell>
          <cell r="S100">
            <v>210.9565870549753</v>
          </cell>
          <cell r="T100">
            <v>35.034967346015307</v>
          </cell>
          <cell r="U100">
            <v>0.2058523814051261</v>
          </cell>
        </row>
        <row r="101">
          <cell r="E101">
            <v>93</v>
          </cell>
          <cell r="F101" t="str">
            <v>Kab. Bengkulu Utara</v>
          </cell>
          <cell r="G101">
            <v>451.18700000000001</v>
          </cell>
          <cell r="H101">
            <v>9585.24</v>
          </cell>
          <cell r="I101">
            <v>102.334</v>
          </cell>
          <cell r="J101">
            <v>2.9271560777413912</v>
          </cell>
          <cell r="K101">
            <v>95.29</v>
          </cell>
          <cell r="L101">
            <v>0.74190384048495372</v>
          </cell>
          <cell r="M101">
            <v>416.202</v>
          </cell>
          <cell r="N101">
            <v>8.820170000000001</v>
          </cell>
          <cell r="O101">
            <v>12.923781877491919</v>
          </cell>
          <cell r="P101">
            <v>4.9652697969473696</v>
          </cell>
          <cell r="Q101">
            <v>8.892871161658654</v>
          </cell>
          <cell r="R101">
            <v>175.11626859963553</v>
          </cell>
          <cell r="S101">
            <v>218.32200498097939</v>
          </cell>
          <cell r="T101">
            <v>22.681061289443178</v>
          </cell>
          <cell r="U101">
            <v>0.12905728000937178</v>
          </cell>
        </row>
        <row r="102">
          <cell r="E102">
            <v>94</v>
          </cell>
          <cell r="F102" t="str">
            <v>Kab. Rejang Lebong</v>
          </cell>
          <cell r="G102">
            <v>440.512</v>
          </cell>
          <cell r="H102">
            <v>4109.8</v>
          </cell>
          <cell r="I102">
            <v>78.58</v>
          </cell>
          <cell r="J102">
            <v>2.5136628624875446</v>
          </cell>
          <cell r="K102">
            <v>95.9</v>
          </cell>
          <cell r="L102">
            <v>0.81006125287321207</v>
          </cell>
          <cell r="M102">
            <v>568.31261400929304</v>
          </cell>
          <cell r="N102">
            <v>7.5352399999999999</v>
          </cell>
          <cell r="O102">
            <v>14.603003498314518</v>
          </cell>
          <cell r="P102">
            <v>1.8334022109473702</v>
          </cell>
          <cell r="Q102">
            <v>10.441503938658654</v>
          </cell>
          <cell r="R102">
            <v>147.59921269859996</v>
          </cell>
          <cell r="S102">
            <v>198.96710449535937</v>
          </cell>
          <cell r="T102">
            <v>17.838333575475808</v>
          </cell>
          <cell r="U102">
            <v>0.14091354732503353</v>
          </cell>
        </row>
        <row r="103">
          <cell r="E103">
            <v>95</v>
          </cell>
          <cell r="F103" t="str">
            <v>Kota Bengkulu</v>
          </cell>
          <cell r="G103">
            <v>264.08199999999999</v>
          </cell>
          <cell r="H103">
            <v>144.52000000000001</v>
          </cell>
          <cell r="I103">
            <v>26.36</v>
          </cell>
          <cell r="J103">
            <v>1.8123520825420669</v>
          </cell>
          <cell r="K103">
            <v>94.92</v>
          </cell>
          <cell r="L103">
            <v>1.0437610281162064</v>
          </cell>
          <cell r="M103">
            <v>1344.816</v>
          </cell>
          <cell r="N103">
            <v>9.6858500000000003</v>
          </cell>
          <cell r="O103">
            <v>23.175194748018434</v>
          </cell>
          <cell r="P103">
            <v>1.8261559309473703</v>
          </cell>
          <cell r="Q103">
            <v>8.5094910676586544</v>
          </cell>
          <cell r="R103">
            <v>115.8822575331</v>
          </cell>
          <cell r="S103">
            <v>156.08278493883702</v>
          </cell>
          <cell r="T103">
            <v>9.9817480933952325</v>
          </cell>
          <cell r="U103">
            <v>0.18156660192028609</v>
          </cell>
        </row>
        <row r="104">
          <cell r="E104">
            <v>96</v>
          </cell>
          <cell r="F104" t="str">
            <v>Kab. Lampung Barat</v>
          </cell>
          <cell r="G104">
            <v>384.245</v>
          </cell>
          <cell r="H104">
            <v>4950.3999999999996</v>
          </cell>
          <cell r="I104">
            <v>82.692999999999998</v>
          </cell>
          <cell r="J104">
            <v>2.95</v>
          </cell>
          <cell r="K104">
            <v>94.45</v>
          </cell>
          <cell r="L104">
            <v>0.78800070222494389</v>
          </cell>
          <cell r="M104">
            <v>277.601</v>
          </cell>
          <cell r="N104">
            <v>5.3944200000000002</v>
          </cell>
          <cell r="O104">
            <v>11.393699329449518</v>
          </cell>
          <cell r="P104">
            <v>7.4491731539473705</v>
          </cell>
          <cell r="Q104">
            <v>11.701932235329048</v>
          </cell>
          <cell r="R104">
            <v>83.859984599999976</v>
          </cell>
          <cell r="S104">
            <v>149.38446008354589</v>
          </cell>
          <cell r="T104">
            <v>21.520904631159805</v>
          </cell>
          <cell r="U104">
            <v>0.13707602215423315</v>
          </cell>
        </row>
        <row r="105">
          <cell r="E105">
            <v>97</v>
          </cell>
          <cell r="F105" t="str">
            <v>Kab. Lampung Selatan</v>
          </cell>
          <cell r="G105">
            <v>1201.075</v>
          </cell>
          <cell r="H105">
            <v>3180.78</v>
          </cell>
          <cell r="I105">
            <v>340.9</v>
          </cell>
          <cell r="J105">
            <v>6.2255179942780972</v>
          </cell>
          <cell r="K105">
            <v>94.32</v>
          </cell>
          <cell r="L105">
            <v>1.2609089586359494</v>
          </cell>
          <cell r="M105">
            <v>1500.508</v>
          </cell>
          <cell r="N105">
            <v>11.928100000000001</v>
          </cell>
          <cell r="O105">
            <v>24.89395299701965</v>
          </cell>
          <cell r="P105">
            <v>7.4416068739473706</v>
          </cell>
          <cell r="Q105">
            <v>20.155797146780927</v>
          </cell>
          <cell r="R105">
            <v>233.6285331</v>
          </cell>
          <cell r="S105">
            <v>312.59228547107591</v>
          </cell>
          <cell r="T105">
            <v>28.382906979164495</v>
          </cell>
          <cell r="U105">
            <v>0.21934039380984355</v>
          </cell>
        </row>
        <row r="106">
          <cell r="E106">
            <v>98</v>
          </cell>
          <cell r="F106" t="str">
            <v>Kab. Lampung Tengah</v>
          </cell>
          <cell r="G106">
            <v>1114.5129999999999</v>
          </cell>
          <cell r="H106">
            <v>3961.51</v>
          </cell>
          <cell r="I106">
            <v>210.58199999999999</v>
          </cell>
          <cell r="J106">
            <v>2.8108343668217413</v>
          </cell>
          <cell r="K106">
            <v>92.55</v>
          </cell>
          <cell r="L106">
            <v>0.85519323908484635</v>
          </cell>
          <cell r="M106">
            <v>1409.1869999999999</v>
          </cell>
          <cell r="N106">
            <v>10.12501</v>
          </cell>
          <cell r="O106">
            <v>23.885816920297401</v>
          </cell>
          <cell r="P106">
            <v>7.4244173639473701</v>
          </cell>
          <cell r="Q106">
            <v>26.761754965751777</v>
          </cell>
          <cell r="R106">
            <v>249.25919219999992</v>
          </cell>
          <cell r="S106">
            <v>308.26845429994438</v>
          </cell>
          <cell r="T106">
            <v>18.894530615614176</v>
          </cell>
          <cell r="U106">
            <v>0.1487644453310159</v>
          </cell>
        </row>
        <row r="107">
          <cell r="E107">
            <v>99</v>
          </cell>
          <cell r="F107" t="str">
            <v>Kab. Lampung Utara</v>
          </cell>
          <cell r="G107">
            <v>560.10799999999995</v>
          </cell>
          <cell r="H107">
            <v>2724.81</v>
          </cell>
          <cell r="I107">
            <v>188.95</v>
          </cell>
          <cell r="J107">
            <v>5.060330876401026</v>
          </cell>
          <cell r="K107">
            <v>92.61</v>
          </cell>
          <cell r="L107">
            <v>0.86232088698564247</v>
          </cell>
          <cell r="M107">
            <v>756.18600000000004</v>
          </cell>
          <cell r="N107">
            <v>7.8632100000000005</v>
          </cell>
          <cell r="O107">
            <v>16.677027416944355</v>
          </cell>
          <cell r="P107">
            <v>7.4244173639473701</v>
          </cell>
          <cell r="Q107">
            <v>11.683921952291682</v>
          </cell>
          <cell r="R107">
            <v>158.75557860000001</v>
          </cell>
          <cell r="S107">
            <v>215.61</v>
          </cell>
          <cell r="T107">
            <v>33.734565476658076</v>
          </cell>
          <cell r="U107">
            <v>0.15000432953263962</v>
          </cell>
        </row>
        <row r="108">
          <cell r="E108">
            <v>100</v>
          </cell>
          <cell r="F108" t="str">
            <v>Kab. Lampung Timur</v>
          </cell>
          <cell r="G108">
            <v>911.05399999999997</v>
          </cell>
          <cell r="H108">
            <v>5325.03</v>
          </cell>
          <cell r="I108">
            <v>257.18900000000002</v>
          </cell>
          <cell r="J108">
            <v>5.9815783899847101</v>
          </cell>
          <cell r="K108">
            <v>94.47</v>
          </cell>
          <cell r="L108">
            <v>1.2180711008379301</v>
          </cell>
          <cell r="M108">
            <v>1046.088</v>
          </cell>
          <cell r="N108">
            <v>3.9674999999999998</v>
          </cell>
          <cell r="O108">
            <v>19.877393870596119</v>
          </cell>
          <cell r="P108">
            <v>17.139580563947369</v>
          </cell>
          <cell r="Q108">
            <v>13.706287141329849</v>
          </cell>
          <cell r="R108">
            <v>187.41962370000005</v>
          </cell>
          <cell r="S108">
            <v>257.02794259094509</v>
          </cell>
          <cell r="T108">
            <v>28.229830504009644</v>
          </cell>
          <cell r="U108">
            <v>0.21188856904879794</v>
          </cell>
        </row>
        <row r="109">
          <cell r="E109">
            <v>101</v>
          </cell>
          <cell r="F109" t="str">
            <v>Kab. Tanggamus</v>
          </cell>
          <cell r="G109">
            <v>827.42100000000005</v>
          </cell>
          <cell r="H109">
            <v>3356.61</v>
          </cell>
          <cell r="I109">
            <v>173.197</v>
          </cell>
          <cell r="J109">
            <v>4.5166977201586596</v>
          </cell>
          <cell r="K109">
            <v>95.12</v>
          </cell>
          <cell r="L109">
            <v>1.2404301445836365</v>
          </cell>
          <cell r="M109">
            <v>1031.1780000000001</v>
          </cell>
          <cell r="N109">
            <v>7.60738</v>
          </cell>
          <cell r="O109">
            <v>19.712795268917112</v>
          </cell>
          <cell r="P109">
            <v>7.4700503639473705</v>
          </cell>
          <cell r="Q109">
            <v>14.094855135694353</v>
          </cell>
          <cell r="R109">
            <v>203.80845450000004</v>
          </cell>
          <cell r="S109">
            <v>261.16299155756587</v>
          </cell>
          <cell r="T109">
            <v>20.932149413660035</v>
          </cell>
          <cell r="U109">
            <v>0.21577801834393195</v>
          </cell>
        </row>
        <row r="110">
          <cell r="E110">
            <v>102</v>
          </cell>
          <cell r="F110" t="str">
            <v>Kab. Tulang Bawang</v>
          </cell>
          <cell r="G110">
            <v>754.31299999999999</v>
          </cell>
          <cell r="H110">
            <v>7770.84</v>
          </cell>
          <cell r="I110">
            <v>126.289</v>
          </cell>
          <cell r="J110">
            <v>2.6836205803387987</v>
          </cell>
          <cell r="K110">
            <v>94.26</v>
          </cell>
          <cell r="L110">
            <v>0.92145110118711793</v>
          </cell>
          <cell r="M110">
            <v>811.40200000000004</v>
          </cell>
          <cell r="N110">
            <v>6.86273</v>
          </cell>
          <cell r="O110">
            <v>17.286583177528403</v>
          </cell>
          <cell r="P110">
            <v>7.4244173639473701</v>
          </cell>
          <cell r="Q110">
            <v>16.237241050298167</v>
          </cell>
          <cell r="R110">
            <v>108.90532170000003</v>
          </cell>
          <cell r="S110">
            <v>203.81196536039209</v>
          </cell>
          <cell r="T110">
            <v>16.742254210122322</v>
          </cell>
          <cell r="U110">
            <v>0.16029027791946254</v>
          </cell>
        </row>
        <row r="111">
          <cell r="E111">
            <v>103</v>
          </cell>
          <cell r="F111" t="str">
            <v>Kab. Way Kanan</v>
          </cell>
          <cell r="G111">
            <v>375.48599999999999</v>
          </cell>
          <cell r="H111">
            <v>3822</v>
          </cell>
          <cell r="I111">
            <v>112.25700000000001</v>
          </cell>
          <cell r="J111">
            <v>5.2173075073861561</v>
          </cell>
          <cell r="K111">
            <v>93.28</v>
          </cell>
          <cell r="L111">
            <v>1.0032100250362288</v>
          </cell>
          <cell r="M111">
            <v>343.73899999999998</v>
          </cell>
          <cell r="N111">
            <v>3.81732</v>
          </cell>
          <cell r="O111">
            <v>12.123828257541151</v>
          </cell>
          <cell r="P111">
            <v>7.4244173639473701</v>
          </cell>
          <cell r="Q111">
            <v>9.6519297097320766</v>
          </cell>
          <cell r="R111">
            <v>68.632140899999996</v>
          </cell>
          <cell r="S111">
            <v>136.82426813263669</v>
          </cell>
          <cell r="T111">
            <v>29.896454195362811</v>
          </cell>
          <cell r="U111">
            <v>0.17451258511437132</v>
          </cell>
        </row>
        <row r="112">
          <cell r="E112">
            <v>104</v>
          </cell>
          <cell r="F112" t="str">
            <v xml:space="preserve">Kota Bandar Lampung </v>
          </cell>
          <cell r="G112">
            <v>803.71100000000001</v>
          </cell>
          <cell r="H112">
            <v>192.93</v>
          </cell>
          <cell r="I112">
            <v>58.935000000000002</v>
          </cell>
          <cell r="J112">
            <v>1.3841798640377989</v>
          </cell>
          <cell r="K112">
            <v>93.01</v>
          </cell>
          <cell r="L112">
            <v>1.0851362284866219</v>
          </cell>
          <cell r="M112">
            <v>4123.9620000000004</v>
          </cell>
          <cell r="N112">
            <v>35.511800000000001</v>
          </cell>
          <cell r="O112">
            <v>53.855513021781576</v>
          </cell>
          <cell r="P112">
            <v>7.4244173639473701</v>
          </cell>
          <cell r="Q112">
            <v>22.286845627118346</v>
          </cell>
          <cell r="R112">
            <v>210.41873443161271</v>
          </cell>
          <cell r="S112">
            <v>243.04395160586756</v>
          </cell>
          <cell r="T112">
            <v>7.3328596970801696</v>
          </cell>
          <cell r="U112">
            <v>0.18876399129645938</v>
          </cell>
        </row>
        <row r="113">
          <cell r="E113">
            <v>105</v>
          </cell>
          <cell r="F113" t="str">
            <v>Kota Metro</v>
          </cell>
          <cell r="G113">
            <v>131.82599999999999</v>
          </cell>
          <cell r="H113">
            <v>61.79</v>
          </cell>
          <cell r="I113">
            <v>10.725</v>
          </cell>
          <cell r="J113">
            <v>0.9779342792377741</v>
          </cell>
          <cell r="K113">
            <v>93.36</v>
          </cell>
          <cell r="L113">
            <v>0.69100080716582013</v>
          </cell>
          <cell r="M113">
            <v>248.471</v>
          </cell>
          <cell r="N113">
            <v>10.098040000000001</v>
          </cell>
          <cell r="O113">
            <v>11.07211936520341</v>
          </cell>
          <cell r="P113">
            <v>7.4244173639473701</v>
          </cell>
          <cell r="Q113">
            <v>7.4303683615003067</v>
          </cell>
          <cell r="R113">
            <v>71.732010899999992</v>
          </cell>
          <cell r="S113">
            <v>116.05</v>
          </cell>
          <cell r="T113">
            <v>8.1357243639342762</v>
          </cell>
          <cell r="U113">
            <v>0.12020248419095461</v>
          </cell>
        </row>
        <row r="114">
          <cell r="E114">
            <v>106</v>
          </cell>
          <cell r="F114" t="str">
            <v>Kab. Bandung</v>
          </cell>
          <cell r="G114">
            <v>4097.366</v>
          </cell>
          <cell r="H114">
            <v>3073.69</v>
          </cell>
          <cell r="I114">
            <v>483.608</v>
          </cell>
          <cell r="J114">
            <v>1.9205437088239403</v>
          </cell>
          <cell r="K114">
            <v>89.57</v>
          </cell>
          <cell r="L114">
            <v>0.93540694461626062</v>
          </cell>
          <cell r="M114">
            <v>7196.9739200000004</v>
          </cell>
          <cell r="N114">
            <v>99.760580000000004</v>
          </cell>
          <cell r="O114">
            <v>87.779957352762366</v>
          </cell>
          <cell r="P114">
            <v>16.247232883947369</v>
          </cell>
          <cell r="Q114">
            <v>78.777045656658657</v>
          </cell>
          <cell r="R114">
            <v>594.06153494909995</v>
          </cell>
          <cell r="S114">
            <v>757.2850116536672</v>
          </cell>
          <cell r="T114">
            <v>11.802899716549607</v>
          </cell>
          <cell r="U114">
            <v>0.16271795532847086</v>
          </cell>
        </row>
        <row r="115">
          <cell r="E115">
            <v>107</v>
          </cell>
          <cell r="F115" t="str">
            <v>Kab. Bekasi</v>
          </cell>
          <cell r="G115">
            <v>1934.0039999999999</v>
          </cell>
          <cell r="H115">
            <v>1082.68</v>
          </cell>
          <cell r="I115">
            <v>121.679</v>
          </cell>
          <cell r="J115">
            <v>1.2914923883168257</v>
          </cell>
          <cell r="K115">
            <v>92.27</v>
          </cell>
          <cell r="L115">
            <v>1.1800453516508604</v>
          </cell>
          <cell r="M115">
            <v>4864.8025299999999</v>
          </cell>
          <cell r="N115">
            <v>100.75324000000001</v>
          </cell>
          <cell r="O115">
            <v>62.03400499395697</v>
          </cell>
          <cell r="P115">
            <v>20.025081303947371</v>
          </cell>
          <cell r="Q115">
            <v>159.56786163365865</v>
          </cell>
          <cell r="R115">
            <v>176.22920920320001</v>
          </cell>
          <cell r="S115">
            <v>248.16111568010672</v>
          </cell>
          <cell r="T115">
            <v>6.2915588592371066</v>
          </cell>
          <cell r="U115">
            <v>0.20527383073285396</v>
          </cell>
        </row>
        <row r="116">
          <cell r="E116">
            <v>108</v>
          </cell>
          <cell r="F116" t="str">
            <v>Kab. Bogor</v>
          </cell>
          <cell r="G116">
            <v>3797.875</v>
          </cell>
          <cell r="H116">
            <v>3357.92</v>
          </cell>
          <cell r="I116">
            <v>453.36</v>
          </cell>
          <cell r="J116">
            <v>2.0599072300739163</v>
          </cell>
          <cell r="K116">
            <v>92.99</v>
          </cell>
          <cell r="L116">
            <v>0.99199672968712105</v>
          </cell>
          <cell r="M116">
            <v>4303.9031799999993</v>
          </cell>
          <cell r="N116">
            <v>148.92178167842002</v>
          </cell>
          <cell r="O116">
            <v>55.84196953502574</v>
          </cell>
          <cell r="P116">
            <v>19.949395203947372</v>
          </cell>
          <cell r="Q116">
            <v>111.22273570865865</v>
          </cell>
          <cell r="R116">
            <v>341.32405075889994</v>
          </cell>
          <cell r="S116">
            <v>556.96343505387176</v>
          </cell>
          <cell r="T116">
            <v>11.937201724648652</v>
          </cell>
          <cell r="U116">
            <v>0.17256198542917273</v>
          </cell>
        </row>
        <row r="117">
          <cell r="E117">
            <v>109</v>
          </cell>
          <cell r="F117" t="str">
            <v>Kab. Ciamis</v>
          </cell>
          <cell r="G117">
            <v>1671.328</v>
          </cell>
          <cell r="H117">
            <v>2557.4899999999998</v>
          </cell>
          <cell r="I117">
            <v>238.82900000000001</v>
          </cell>
          <cell r="J117">
            <v>2.6046623193939626</v>
          </cell>
          <cell r="K117">
            <v>92.03</v>
          </cell>
          <cell r="L117">
            <v>1.0478308184473206</v>
          </cell>
          <cell r="M117">
            <v>3738.83637</v>
          </cell>
          <cell r="N117">
            <v>27.85697</v>
          </cell>
          <cell r="O117">
            <v>49.603927497385392</v>
          </cell>
          <cell r="P117">
            <v>16.522725103947369</v>
          </cell>
          <cell r="Q117">
            <v>16.401521656658655</v>
          </cell>
          <cell r="R117">
            <v>400.46095999542507</v>
          </cell>
          <cell r="S117">
            <v>451.65081247869961</v>
          </cell>
          <cell r="T117">
            <v>14.289774359072545</v>
          </cell>
          <cell r="U117">
            <v>0.18227455899191777</v>
          </cell>
        </row>
        <row r="118">
          <cell r="E118">
            <v>110</v>
          </cell>
          <cell r="F118" t="str">
            <v>Kab. Cianjur</v>
          </cell>
          <cell r="G118">
            <v>2063.6819999999998</v>
          </cell>
          <cell r="H118">
            <v>3460.82</v>
          </cell>
          <cell r="I118">
            <v>357.92</v>
          </cell>
          <cell r="J118">
            <v>2.423087047942138</v>
          </cell>
          <cell r="K118">
            <v>91.09</v>
          </cell>
          <cell r="L118">
            <v>0.80313940968222997</v>
          </cell>
          <cell r="M118">
            <v>3740.8273399999998</v>
          </cell>
          <cell r="N118">
            <v>31.68798</v>
          </cell>
          <cell r="O118">
            <v>49.62590676485587</v>
          </cell>
          <cell r="P118">
            <v>16.46008183394737</v>
          </cell>
          <cell r="Q118">
            <v>36.082756489658649</v>
          </cell>
          <cell r="R118">
            <v>305.19692783853583</v>
          </cell>
          <cell r="S118">
            <v>411.22019335684701</v>
          </cell>
          <cell r="T118">
            <v>17.343757419990098</v>
          </cell>
          <cell r="U118">
            <v>0.13970946371455428</v>
          </cell>
        </row>
        <row r="119">
          <cell r="E119">
            <v>111</v>
          </cell>
          <cell r="F119" t="str">
            <v>Kab. Cirebon</v>
          </cell>
          <cell r="G119">
            <v>2058.625</v>
          </cell>
          <cell r="H119">
            <v>990.92</v>
          </cell>
          <cell r="I119">
            <v>341.18200000000002</v>
          </cell>
          <cell r="J119">
            <v>2.5787930583749299</v>
          </cell>
          <cell r="K119">
            <v>90.96</v>
          </cell>
          <cell r="L119">
            <v>0.89448432803975053</v>
          </cell>
          <cell r="M119">
            <v>2703.8232793562192</v>
          </cell>
          <cell r="N119">
            <v>45.16545</v>
          </cell>
          <cell r="O119">
            <v>38.177924315666104</v>
          </cell>
          <cell r="P119">
            <v>16.242081303947369</v>
          </cell>
          <cell r="Q119">
            <v>26.482232583658654</v>
          </cell>
          <cell r="R119">
            <v>287.94849985439993</v>
          </cell>
          <cell r="S119">
            <v>407.41637914738004</v>
          </cell>
          <cell r="T119">
            <v>16.573295282045056</v>
          </cell>
          <cell r="U119">
            <v>0.1555992947985852</v>
          </cell>
        </row>
        <row r="120">
          <cell r="E120">
            <v>112</v>
          </cell>
          <cell r="F120" t="str">
            <v>Kab. Garut</v>
          </cell>
          <cell r="G120">
            <v>2204.1750000000002</v>
          </cell>
          <cell r="H120">
            <v>3065.19</v>
          </cell>
          <cell r="I120">
            <v>338.25</v>
          </cell>
          <cell r="J120">
            <v>2.4415928846358117</v>
          </cell>
          <cell r="K120">
            <v>89.93</v>
          </cell>
          <cell r="L120">
            <v>0.91463249965983162</v>
          </cell>
          <cell r="M120">
            <v>3723.8370599999998</v>
          </cell>
          <cell r="N120">
            <v>30.31146</v>
          </cell>
          <cell r="O120">
            <v>49.438342960017856</v>
          </cell>
          <cell r="P120">
            <v>16.250150443947369</v>
          </cell>
          <cell r="Q120">
            <v>20.615703664658653</v>
          </cell>
          <cell r="R120">
            <v>391.09514369999999</v>
          </cell>
          <cell r="S120">
            <v>490.6108624542826</v>
          </cell>
          <cell r="T120">
            <v>15.345877709347032</v>
          </cell>
          <cell r="U120">
            <v>0.15910415362874031</v>
          </cell>
        </row>
        <row r="121">
          <cell r="E121">
            <v>113</v>
          </cell>
          <cell r="F121" t="str">
            <v>Kab. Indramayu</v>
          </cell>
          <cell r="G121">
            <v>1656.6469999999999</v>
          </cell>
          <cell r="H121">
            <v>1862.61</v>
          </cell>
          <cell r="I121">
            <v>273.02499999999998</v>
          </cell>
          <cell r="J121">
            <v>1.8847111042467379</v>
          </cell>
          <cell r="K121">
            <v>91.5</v>
          </cell>
          <cell r="L121">
            <v>0.65741175208901703</v>
          </cell>
          <cell r="M121">
            <v>3297.1593625718924</v>
          </cell>
          <cell r="N121">
            <v>34.037589999999994</v>
          </cell>
          <cell r="O121">
            <v>44.728044344036277</v>
          </cell>
          <cell r="P121">
            <v>40.678177413947374</v>
          </cell>
          <cell r="Q121">
            <v>36.789288844658657</v>
          </cell>
          <cell r="R121">
            <v>244.28877515369999</v>
          </cell>
          <cell r="S121">
            <v>333.71209792138217</v>
          </cell>
          <cell r="T121">
            <v>16.480577938450374</v>
          </cell>
          <cell r="U121">
            <v>0.11435952739555155</v>
          </cell>
        </row>
        <row r="122">
          <cell r="E122">
            <v>114</v>
          </cell>
          <cell r="F122" t="str">
            <v xml:space="preserve">Kab. Karawang    </v>
          </cell>
          <cell r="G122">
            <v>1902.537</v>
          </cell>
          <cell r="H122">
            <v>1578.45</v>
          </cell>
          <cell r="I122">
            <v>252.07</v>
          </cell>
          <cell r="J122">
            <v>1.5351013822818615</v>
          </cell>
          <cell r="K122">
            <v>92.46</v>
          </cell>
          <cell r="L122">
            <v>0.66606118301686223</v>
          </cell>
          <cell r="M122">
            <v>4928.42</v>
          </cell>
          <cell r="N122">
            <v>67.664419999999993</v>
          </cell>
          <cell r="O122">
            <v>62.736308589151889</v>
          </cell>
          <cell r="P122">
            <v>76.90508130394737</v>
          </cell>
          <cell r="Q122">
            <v>80.41531283865865</v>
          </cell>
          <cell r="R122">
            <v>259.8764210999999</v>
          </cell>
          <cell r="S122">
            <v>327.96</v>
          </cell>
          <cell r="T122">
            <v>13.249151002056728</v>
          </cell>
          <cell r="U122">
            <v>0.11586413212767827</v>
          </cell>
        </row>
        <row r="123">
          <cell r="E123">
            <v>115</v>
          </cell>
          <cell r="F123" t="str">
            <v>Kab. Kuningan</v>
          </cell>
          <cell r="G123">
            <v>1038.596</v>
          </cell>
          <cell r="H123">
            <v>1117</v>
          </cell>
          <cell r="I123">
            <v>196.751</v>
          </cell>
          <cell r="J123">
            <v>3.1117805176764306</v>
          </cell>
          <cell r="K123">
            <v>89.92</v>
          </cell>
          <cell r="L123">
            <v>0.94428646813517392</v>
          </cell>
          <cell r="M123">
            <v>1532.4758903985598</v>
          </cell>
          <cell r="N123">
            <v>20.51118</v>
          </cell>
          <cell r="O123">
            <v>25.246861786974762</v>
          </cell>
          <cell r="P123">
            <v>16.294366443947371</v>
          </cell>
          <cell r="Q123">
            <v>12.865687957658654</v>
          </cell>
          <cell r="R123">
            <v>231.62308248783634</v>
          </cell>
          <cell r="S123">
            <v>293.53353367379299</v>
          </cell>
          <cell r="T123">
            <v>18.943939703214724</v>
          </cell>
          <cell r="U123">
            <v>0.16426258563039936</v>
          </cell>
        </row>
        <row r="124">
          <cell r="E124">
            <v>116</v>
          </cell>
          <cell r="F124" t="str">
            <v>Kab. Majalengka</v>
          </cell>
          <cell r="G124">
            <v>1161.7850000000001</v>
          </cell>
          <cell r="H124">
            <v>1204.24</v>
          </cell>
          <cell r="I124">
            <v>201.98</v>
          </cell>
          <cell r="J124">
            <v>3.1299916679967144</v>
          </cell>
          <cell r="K124">
            <v>91.68</v>
          </cell>
          <cell r="L124">
            <v>1.0349650637338117</v>
          </cell>
          <cell r="M124">
            <v>1639.4324276775062</v>
          </cell>
          <cell r="N124">
            <v>23.867349999999998</v>
          </cell>
          <cell r="O124">
            <v>26.427606017460562</v>
          </cell>
          <cell r="P124">
            <v>17.54908467394737</v>
          </cell>
          <cell r="Q124">
            <v>15.736203550658654</v>
          </cell>
          <cell r="R124">
            <v>244.75936233576053</v>
          </cell>
          <cell r="S124">
            <v>308.1615350581651</v>
          </cell>
          <cell r="T124">
            <v>17.385316560292996</v>
          </cell>
          <cell r="U124">
            <v>0.18003650708008531</v>
          </cell>
        </row>
        <row r="125">
          <cell r="E125">
            <v>117</v>
          </cell>
          <cell r="F125" t="str">
            <v>Kab. Purwakarta</v>
          </cell>
          <cell r="G125">
            <v>763.74300000000005</v>
          </cell>
          <cell r="H125">
            <v>971.72</v>
          </cell>
          <cell r="I125">
            <v>95.519000000000005</v>
          </cell>
          <cell r="J125">
            <v>1.9062382720172815</v>
          </cell>
          <cell r="K125">
            <v>90.61</v>
          </cell>
          <cell r="L125">
            <v>0.87619298516544963</v>
          </cell>
          <cell r="M125">
            <v>2528.5307499999999</v>
          </cell>
          <cell r="N125">
            <v>37.697400000000002</v>
          </cell>
          <cell r="O125">
            <v>36.242786474163069</v>
          </cell>
          <cell r="P125">
            <v>16.356297723947371</v>
          </cell>
          <cell r="Q125">
            <v>32.332833416658659</v>
          </cell>
          <cell r="R125">
            <v>138.76936271310001</v>
          </cell>
          <cell r="S125">
            <v>196.90663422639287</v>
          </cell>
          <cell r="T125">
            <v>12.506694005706107</v>
          </cell>
          <cell r="U125">
            <v>0.15241743910481628</v>
          </cell>
        </row>
        <row r="126">
          <cell r="E126">
            <v>118</v>
          </cell>
          <cell r="F126" t="str">
            <v xml:space="preserve">Kab. Subang          </v>
          </cell>
          <cell r="G126">
            <v>1387.511</v>
          </cell>
          <cell r="H126">
            <v>1864</v>
          </cell>
          <cell r="I126">
            <v>202.464</v>
          </cell>
          <cell r="J126">
            <v>2.0046163441819642</v>
          </cell>
          <cell r="K126">
            <v>89.8</v>
          </cell>
          <cell r="L126">
            <v>0.78974157311565585</v>
          </cell>
          <cell r="M126">
            <v>2907.7370000000001</v>
          </cell>
          <cell r="N126">
            <v>36.766589999999994</v>
          </cell>
          <cell r="O126">
            <v>40.429025139350216</v>
          </cell>
          <cell r="P126">
            <v>79.899206593947383</v>
          </cell>
          <cell r="Q126">
            <v>28.271956025658653</v>
          </cell>
          <cell r="R126">
            <v>238.44032257439997</v>
          </cell>
          <cell r="S126">
            <v>313.19606143254026</v>
          </cell>
          <cell r="T126">
            <v>14.591884316592807</v>
          </cell>
          <cell r="U126">
            <v>0.13737885393612004</v>
          </cell>
        </row>
        <row r="127">
          <cell r="E127">
            <v>119</v>
          </cell>
          <cell r="F127" t="str">
            <v>Kab. Sukabumi</v>
          </cell>
          <cell r="G127">
            <v>2190.08</v>
          </cell>
          <cell r="H127">
            <v>3947.83</v>
          </cell>
          <cell r="I127">
            <v>321.43599999999998</v>
          </cell>
          <cell r="J127">
            <v>2.6077028134966311</v>
          </cell>
          <cell r="K127">
            <v>90.47</v>
          </cell>
          <cell r="L127">
            <v>1.0213831083840827</v>
          </cell>
          <cell r="M127">
            <v>3030.4990699999998</v>
          </cell>
          <cell r="N127">
            <v>32.227519999999998</v>
          </cell>
          <cell r="O127">
            <v>41.784254184368358</v>
          </cell>
          <cell r="P127">
            <v>16.50144477394737</v>
          </cell>
          <cell r="Q127">
            <v>31.150944835658656</v>
          </cell>
          <cell r="R127">
            <v>275.57052616679994</v>
          </cell>
          <cell r="S127">
            <v>418.18287953552624</v>
          </cell>
          <cell r="T127">
            <v>14.676906779661017</v>
          </cell>
          <cell r="U127">
            <v>0.1776738690682656</v>
          </cell>
        </row>
        <row r="128">
          <cell r="E128">
            <v>120</v>
          </cell>
          <cell r="F128" t="str">
            <v>Kab. Sumedang</v>
          </cell>
          <cell r="G128">
            <v>1025.5719999999999</v>
          </cell>
          <cell r="H128">
            <v>1421.82</v>
          </cell>
          <cell r="I128">
            <v>120.276</v>
          </cell>
          <cell r="J128">
            <v>1.5805146955900045</v>
          </cell>
          <cell r="K128">
            <v>89.34</v>
          </cell>
          <cell r="L128">
            <v>0.7747308118008992</v>
          </cell>
          <cell r="M128">
            <v>1750.9545261273049</v>
          </cell>
          <cell r="N128">
            <v>41.752449999999996</v>
          </cell>
          <cell r="O128">
            <v>27.658751655364352</v>
          </cell>
          <cell r="P128">
            <v>16.385951423947372</v>
          </cell>
          <cell r="Q128">
            <v>17.016939448658654</v>
          </cell>
          <cell r="R128">
            <v>253.37338565249996</v>
          </cell>
          <cell r="S128">
            <v>301.08850532012963</v>
          </cell>
          <cell r="T128">
            <v>11.727699274161152</v>
          </cell>
          <cell r="U128">
            <v>0.13476766914310684</v>
          </cell>
        </row>
        <row r="129">
          <cell r="E129">
            <v>121</v>
          </cell>
          <cell r="F129" t="str">
            <v>Kab. Tasikmalaya</v>
          </cell>
          <cell r="G129">
            <v>1616.8579999999999</v>
          </cell>
          <cell r="H129">
            <v>2568.61</v>
          </cell>
          <cell r="I129">
            <v>260.89800000000002</v>
          </cell>
          <cell r="J129">
            <v>2.7164084597602067</v>
          </cell>
          <cell r="K129">
            <v>91.93</v>
          </cell>
          <cell r="L129">
            <v>0.96774584584319279</v>
          </cell>
          <cell r="M129">
            <v>2316.3006399999999</v>
          </cell>
          <cell r="N129">
            <v>18.659209999999998</v>
          </cell>
          <cell r="O129">
            <v>33.899877061676008</v>
          </cell>
          <cell r="P129">
            <v>16.323560193947369</v>
          </cell>
          <cell r="Q129">
            <v>15.761279255658653</v>
          </cell>
          <cell r="R129">
            <v>300.63001691460005</v>
          </cell>
          <cell r="S129">
            <v>387.80083587269115</v>
          </cell>
          <cell r="T129">
            <v>16.136110901513927</v>
          </cell>
          <cell r="U129">
            <v>0.16834344262627415</v>
          </cell>
        </row>
        <row r="130">
          <cell r="E130">
            <v>122</v>
          </cell>
          <cell r="F130" t="str">
            <v>Kota Bandung</v>
          </cell>
          <cell r="G130">
            <v>2239.7570000000001</v>
          </cell>
          <cell r="H130">
            <v>168.06</v>
          </cell>
          <cell r="I130">
            <v>75.472999999999999</v>
          </cell>
          <cell r="J130">
            <v>0.41764150444796438</v>
          </cell>
          <cell r="K130">
            <v>89.72</v>
          </cell>
          <cell r="L130">
            <v>0.7124888172657845</v>
          </cell>
          <cell r="M130">
            <v>14437.002</v>
          </cell>
          <cell r="N130">
            <v>213.02946</v>
          </cell>
          <cell r="O130">
            <v>167.70608063141782</v>
          </cell>
          <cell r="P130">
            <v>16.242081303947369</v>
          </cell>
          <cell r="Q130">
            <v>167.93972053165868</v>
          </cell>
          <cell r="R130">
            <v>449.37182471507776</v>
          </cell>
          <cell r="S130">
            <v>434.5023569559728</v>
          </cell>
          <cell r="T130">
            <v>3.3696959089758396</v>
          </cell>
          <cell r="U130">
            <v>0.12394041353568289</v>
          </cell>
        </row>
        <row r="131">
          <cell r="E131">
            <v>123</v>
          </cell>
          <cell r="F131" t="str">
            <v>Kota Bekasi</v>
          </cell>
          <cell r="G131">
            <v>1941.0650000000001</v>
          </cell>
          <cell r="H131">
            <v>210.49</v>
          </cell>
          <cell r="I131">
            <v>58.2</v>
          </cell>
          <cell r="J131">
            <v>0.51052887966987726</v>
          </cell>
          <cell r="K131">
            <v>91.14</v>
          </cell>
          <cell r="L131">
            <v>0.97881929077139096</v>
          </cell>
          <cell r="M131">
            <v>5496.2979999999998</v>
          </cell>
          <cell r="N131">
            <v>85.882559999999998</v>
          </cell>
          <cell r="O131">
            <v>69.005384694066151</v>
          </cell>
          <cell r="P131">
            <v>16.242081303947369</v>
          </cell>
          <cell r="Q131">
            <v>77.069032302658655</v>
          </cell>
          <cell r="R131">
            <v>170.30094829710004</v>
          </cell>
          <cell r="S131">
            <v>275.76155255812739</v>
          </cell>
          <cell r="T131">
            <v>2.9983539963885804</v>
          </cell>
          <cell r="U131">
            <v>0.17026971474508767</v>
          </cell>
        </row>
        <row r="132">
          <cell r="E132">
            <v>124</v>
          </cell>
          <cell r="F132" t="str">
            <v>Kota Bogor</v>
          </cell>
          <cell r="G132">
            <v>907.61400000000003</v>
          </cell>
          <cell r="H132">
            <v>112.74</v>
          </cell>
          <cell r="I132">
            <v>67.694999999999993</v>
          </cell>
          <cell r="J132">
            <v>1.02</v>
          </cell>
          <cell r="K132">
            <v>90.34</v>
          </cell>
          <cell r="L132">
            <v>0.78615807015189765</v>
          </cell>
          <cell r="M132">
            <v>2246.0730680932083</v>
          </cell>
          <cell r="N132">
            <v>41.454149999999998</v>
          </cell>
          <cell r="O132">
            <v>33.12460139868675</v>
          </cell>
          <cell r="P132">
            <v>16.242081303947369</v>
          </cell>
          <cell r="Q132">
            <v>44.522871801658653</v>
          </cell>
          <cell r="R132">
            <v>138.4807114603185</v>
          </cell>
          <cell r="S132">
            <v>201.10764146378443</v>
          </cell>
          <cell r="T132">
            <v>7.4585671882540368</v>
          </cell>
          <cell r="U132">
            <v>0.13675548858852207</v>
          </cell>
        </row>
        <row r="133">
          <cell r="E133">
            <v>125</v>
          </cell>
          <cell r="F133" t="str">
            <v>Kota Cirebon</v>
          </cell>
          <cell r="G133">
            <v>275.22800000000001</v>
          </cell>
          <cell r="H133">
            <v>37.36</v>
          </cell>
          <cell r="I133">
            <v>20.66</v>
          </cell>
          <cell r="J133">
            <v>1.1517124693139662</v>
          </cell>
          <cell r="K133">
            <v>90.87</v>
          </cell>
          <cell r="L133">
            <v>0.88200587389462948</v>
          </cell>
          <cell r="M133">
            <v>3047.31423</v>
          </cell>
          <cell r="N133">
            <v>29.347619999999999</v>
          </cell>
          <cell r="O133">
            <v>41.969884755998727</v>
          </cell>
          <cell r="P133">
            <v>16.242081303947369</v>
          </cell>
          <cell r="Q133">
            <v>19.961547566658652</v>
          </cell>
          <cell r="R133">
            <v>105.37792820760001</v>
          </cell>
          <cell r="S133">
            <v>139.4307779784468</v>
          </cell>
          <cell r="T133">
            <v>7.5065036987515805</v>
          </cell>
          <cell r="U133">
            <v>0.15342861544256742</v>
          </cell>
        </row>
        <row r="134">
          <cell r="E134">
            <v>126</v>
          </cell>
          <cell r="F134" t="str">
            <v>Kota Depok</v>
          </cell>
          <cell r="G134">
            <v>1320.7729999999999</v>
          </cell>
          <cell r="H134">
            <v>200.29</v>
          </cell>
          <cell r="I134">
            <v>63.97</v>
          </cell>
          <cell r="J134">
            <v>0.86588547662848669</v>
          </cell>
          <cell r="K134">
            <v>92.2</v>
          </cell>
          <cell r="L134">
            <v>1.0277261293426154</v>
          </cell>
          <cell r="M134">
            <v>2654.8805200000002</v>
          </cell>
          <cell r="N134">
            <v>42.581480000000006</v>
          </cell>
          <cell r="O134">
            <v>37.637621850720038</v>
          </cell>
          <cell r="P134">
            <v>16.242081303947369</v>
          </cell>
          <cell r="Q134">
            <v>59.173008986658658</v>
          </cell>
          <cell r="R134">
            <v>115.20874772039998</v>
          </cell>
          <cell r="S134">
            <v>227.62666454418675</v>
          </cell>
          <cell r="T134">
            <v>4.8433758109834173</v>
          </cell>
          <cell r="U134">
            <v>0.1787772641274091</v>
          </cell>
        </row>
        <row r="135">
          <cell r="E135">
            <v>127</v>
          </cell>
          <cell r="F135" t="str">
            <v>Kota Sukabumi</v>
          </cell>
          <cell r="G135">
            <v>275.55</v>
          </cell>
          <cell r="H135">
            <v>48</v>
          </cell>
          <cell r="I135">
            <v>16.838999999999999</v>
          </cell>
          <cell r="J135">
            <v>0.77015332890934118</v>
          </cell>
          <cell r="K135">
            <v>92.01</v>
          </cell>
          <cell r="L135">
            <v>0.72448004339799832</v>
          </cell>
          <cell r="M135">
            <v>1285.5916767963524</v>
          </cell>
          <cell r="N135">
            <v>26.347639999999998</v>
          </cell>
          <cell r="O135">
            <v>22.521389195724268</v>
          </cell>
          <cell r="P135">
            <v>16.242081303947369</v>
          </cell>
          <cell r="Q135">
            <v>12.781092136658653</v>
          </cell>
          <cell r="R135">
            <v>83.493346721099996</v>
          </cell>
          <cell r="S135">
            <v>126.82407253518663</v>
          </cell>
          <cell r="T135">
            <v>6.1110506260206847</v>
          </cell>
          <cell r="U135">
            <v>0.12602633753843401</v>
          </cell>
        </row>
        <row r="136">
          <cell r="E136">
            <v>128</v>
          </cell>
          <cell r="F136" t="str">
            <v>Kota Cimahi</v>
          </cell>
          <cell r="G136">
            <v>504.77199999999999</v>
          </cell>
          <cell r="H136">
            <v>39.270000000000003</v>
          </cell>
          <cell r="I136">
            <v>43.5</v>
          </cell>
          <cell r="J136">
            <v>1.4358356779853405</v>
          </cell>
          <cell r="K136">
            <v>91.15</v>
          </cell>
          <cell r="L136">
            <v>0.95780224673296976</v>
          </cell>
          <cell r="M136">
            <v>1100.6614340429501</v>
          </cell>
          <cell r="N136">
            <v>30.16037</v>
          </cell>
          <cell r="O136">
            <v>20.479856039093178</v>
          </cell>
          <cell r="P136">
            <v>16.242081303947369</v>
          </cell>
          <cell r="Q136">
            <v>18.513157204658654</v>
          </cell>
          <cell r="R136">
            <v>92.693276911799998</v>
          </cell>
          <cell r="S136">
            <v>145.80238587763859</v>
          </cell>
          <cell r="T136">
            <v>8.6177521732584221</v>
          </cell>
          <cell r="U136">
            <v>0.1666137119190842</v>
          </cell>
        </row>
        <row r="137">
          <cell r="E137">
            <v>129</v>
          </cell>
          <cell r="F137" t="str">
            <v>Kota Tasikmalaya</v>
          </cell>
          <cell r="G137">
            <v>575.73199999999997</v>
          </cell>
          <cell r="H137">
            <v>171.56</v>
          </cell>
          <cell r="I137">
            <v>48.610999999999997</v>
          </cell>
          <cell r="J137">
            <v>1.427581253819711</v>
          </cell>
          <cell r="K137">
            <v>92.05</v>
          </cell>
          <cell r="L137">
            <v>0.97196754018413567</v>
          </cell>
          <cell r="M137">
            <v>1684.3324499999999</v>
          </cell>
          <cell r="N137">
            <v>26.393599999999999</v>
          </cell>
          <cell r="O137">
            <v>26.923278780011781</v>
          </cell>
          <cell r="P137">
            <v>16.242081303947369</v>
          </cell>
          <cell r="Q137">
            <v>12.419231763658654</v>
          </cell>
          <cell r="R137">
            <v>144.5172976023</v>
          </cell>
          <cell r="S137">
            <v>192.83889034953575</v>
          </cell>
          <cell r="T137">
            <v>8.4433382198661882</v>
          </cell>
          <cell r="U137">
            <v>0.16907782403656166</v>
          </cell>
        </row>
        <row r="138">
          <cell r="E138">
            <v>130</v>
          </cell>
          <cell r="F138" t="str">
            <v>Kab. Lebak</v>
          </cell>
          <cell r="G138">
            <v>1134.066</v>
          </cell>
          <cell r="H138">
            <v>3044.72</v>
          </cell>
          <cell r="I138">
            <v>138.01599999999999</v>
          </cell>
          <cell r="J138">
            <v>1.7958200732721277</v>
          </cell>
          <cell r="K138">
            <v>92.37</v>
          </cell>
          <cell r="L138">
            <v>0.84827531071922424</v>
          </cell>
          <cell r="M138">
            <v>1741.1330247456497</v>
          </cell>
          <cell r="N138">
            <v>14.11867</v>
          </cell>
          <cell r="O138">
            <v>27.550327417013655</v>
          </cell>
          <cell r="P138">
            <v>1.49366072394737</v>
          </cell>
          <cell r="Q138">
            <v>16.08757315993148</v>
          </cell>
          <cell r="R138">
            <v>173.31566670000001</v>
          </cell>
          <cell r="S138">
            <v>264.40077099810486</v>
          </cell>
          <cell r="T138">
            <v>12.170014796316968</v>
          </cell>
          <cell r="U138">
            <v>0.14756104272080259</v>
          </cell>
        </row>
        <row r="139">
          <cell r="E139">
            <v>131</v>
          </cell>
          <cell r="F139" t="str">
            <v>Kab. Pandeglang</v>
          </cell>
          <cell r="G139">
            <v>1101.876</v>
          </cell>
          <cell r="H139">
            <v>2746.91</v>
          </cell>
          <cell r="I139">
            <v>151.547</v>
          </cell>
          <cell r="J139">
            <v>1.9890558450944975</v>
          </cell>
          <cell r="K139">
            <v>91.16</v>
          </cell>
          <cell r="L139">
            <v>0.8313759714777178</v>
          </cell>
          <cell r="M139">
            <v>1886.9037800000001</v>
          </cell>
          <cell r="N139">
            <v>14.77023</v>
          </cell>
          <cell r="O139">
            <v>29.159560313094069</v>
          </cell>
          <cell r="P139">
            <v>1.21743690394737</v>
          </cell>
          <cell r="Q139">
            <v>17.685229056723177</v>
          </cell>
          <cell r="R139">
            <v>198.6220209423</v>
          </cell>
          <cell r="S139">
            <v>284.43065104608638</v>
          </cell>
          <cell r="T139">
            <v>13.753543955944226</v>
          </cell>
          <cell r="U139">
            <v>0.14462133188841381</v>
          </cell>
        </row>
        <row r="140">
          <cell r="E140">
            <v>132</v>
          </cell>
          <cell r="F140" t="str">
            <v>Kab. Serang</v>
          </cell>
          <cell r="G140">
            <v>1836.133</v>
          </cell>
          <cell r="H140">
            <v>1704.12</v>
          </cell>
          <cell r="I140">
            <v>166.68199999999999</v>
          </cell>
          <cell r="J140">
            <v>0.9116365675991901</v>
          </cell>
          <cell r="K140">
            <v>91.53</v>
          </cell>
          <cell r="L140">
            <v>0.57730096300940514</v>
          </cell>
          <cell r="M140">
            <v>2214.0460699999999</v>
          </cell>
          <cell r="N140">
            <v>61.863019999999999</v>
          </cell>
          <cell r="O140">
            <v>32.771040090697589</v>
          </cell>
          <cell r="P140">
            <v>1.2564289039473702</v>
          </cell>
          <cell r="Q140">
            <v>51.723937805491019</v>
          </cell>
          <cell r="R140">
            <v>234.08171904439692</v>
          </cell>
          <cell r="S140">
            <v>346.94610183212041</v>
          </cell>
          <cell r="T140">
            <v>9.0778827023968294</v>
          </cell>
          <cell r="U140">
            <v>0.10042392014588282</v>
          </cell>
        </row>
        <row r="141">
          <cell r="E141">
            <v>133</v>
          </cell>
          <cell r="F141" t="str">
            <v>Kab. Tangerang</v>
          </cell>
          <cell r="G141">
            <v>3227.087</v>
          </cell>
          <cell r="H141">
            <v>1230</v>
          </cell>
          <cell r="I141">
            <v>245.96299999999999</v>
          </cell>
          <cell r="J141">
            <v>1.4129646974665617</v>
          </cell>
          <cell r="K141">
            <v>91.22</v>
          </cell>
          <cell r="L141">
            <v>1.0657057649203501</v>
          </cell>
          <cell r="M141">
            <v>4760.7442199999996</v>
          </cell>
          <cell r="N141">
            <v>122.15403000000001</v>
          </cell>
          <cell r="O141">
            <v>60.885255676781867</v>
          </cell>
          <cell r="P141">
            <v>1.2216481039473701</v>
          </cell>
          <cell r="Q141">
            <v>189.38504145480732</v>
          </cell>
          <cell r="R141">
            <v>242.79753059999999</v>
          </cell>
          <cell r="S141">
            <v>401.15946174857021</v>
          </cell>
          <cell r="T141">
            <v>7.6218273631916338</v>
          </cell>
          <cell r="U141">
            <v>0.18538398078789389</v>
          </cell>
        </row>
        <row r="142">
          <cell r="E142">
            <v>134</v>
          </cell>
          <cell r="F142" t="str">
            <v>Kota Cilegon</v>
          </cell>
          <cell r="G142">
            <v>329.70499999999998</v>
          </cell>
          <cell r="H142">
            <v>175.5</v>
          </cell>
          <cell r="I142">
            <v>14.532999999999999</v>
          </cell>
          <cell r="J142">
            <v>0.56877048532345209</v>
          </cell>
          <cell r="K142">
            <v>89.48</v>
          </cell>
          <cell r="L142">
            <v>0.74177539430163431</v>
          </cell>
          <cell r="M142">
            <v>2466.6775499999999</v>
          </cell>
          <cell r="N142">
            <v>72.62236</v>
          </cell>
          <cell r="O142">
            <v>35.559959497008677</v>
          </cell>
          <cell r="P142">
            <v>1.2578689039473701</v>
          </cell>
          <cell r="Q142">
            <v>53.777952360765198</v>
          </cell>
          <cell r="R142">
            <v>55.541112230399989</v>
          </cell>
          <cell r="S142">
            <v>95.541829920438587</v>
          </cell>
          <cell r="T142">
            <v>4.407879771310717</v>
          </cell>
          <cell r="U142">
            <v>0.12903493625787435</v>
          </cell>
        </row>
        <row r="143">
          <cell r="E143">
            <v>135</v>
          </cell>
          <cell r="F143" t="str">
            <v>Kota Tangerang</v>
          </cell>
          <cell r="G143">
            <v>1499.9110000000001</v>
          </cell>
          <cell r="H143">
            <v>168</v>
          </cell>
          <cell r="I143">
            <v>62.442999999999998</v>
          </cell>
          <cell r="J143">
            <v>0.57941666505490008</v>
          </cell>
          <cell r="K143">
            <v>91.17</v>
          </cell>
          <cell r="L143">
            <v>0.80008812333214319</v>
          </cell>
          <cell r="M143">
            <v>9155.4090899999992</v>
          </cell>
          <cell r="N143">
            <v>93.382509999999996</v>
          </cell>
          <cell r="O143">
            <v>109.40005731661147</v>
          </cell>
          <cell r="P143">
            <v>1.21743690394737</v>
          </cell>
          <cell r="Q143">
            <v>148.04470876155372</v>
          </cell>
          <cell r="R143">
            <v>133.07855430000001</v>
          </cell>
          <cell r="S143">
            <v>201.02022789407641</v>
          </cell>
          <cell r="T143">
            <v>4.1631136780782327</v>
          </cell>
          <cell r="U143">
            <v>0.13917867967572989</v>
          </cell>
        </row>
        <row r="144">
          <cell r="E144">
            <v>136</v>
          </cell>
          <cell r="F144" t="str">
            <v>Kab. Banjarnegara</v>
          </cell>
          <cell r="G144">
            <v>895.82799999999997</v>
          </cell>
          <cell r="H144">
            <v>1069.74</v>
          </cell>
          <cell r="I144">
            <v>240.25</v>
          </cell>
          <cell r="J144">
            <v>4.7985437587949367</v>
          </cell>
          <cell r="K144">
            <v>89.67</v>
          </cell>
          <cell r="L144">
            <v>1.028574628052634</v>
          </cell>
          <cell r="M144">
            <v>1076.3472039999999</v>
          </cell>
          <cell r="N144">
            <v>25.303139999999999</v>
          </cell>
          <cell r="O144">
            <v>20.211439656398923</v>
          </cell>
          <cell r="P144">
            <v>1.4845278169473701</v>
          </cell>
          <cell r="Q144">
            <v>12.279790797928655</v>
          </cell>
          <cell r="R144">
            <v>191.11136871681819</v>
          </cell>
          <cell r="S144">
            <v>260.99583106419885</v>
          </cell>
          <cell r="T144">
            <v>26.818764316364302</v>
          </cell>
          <cell r="U144">
            <v>0.17892486403137359</v>
          </cell>
        </row>
        <row r="145">
          <cell r="E145">
            <v>137</v>
          </cell>
          <cell r="F145" t="str">
            <v>Kab. Banyumas</v>
          </cell>
          <cell r="G145">
            <v>1519.2260000000001</v>
          </cell>
          <cell r="H145">
            <v>1327.65</v>
          </cell>
          <cell r="I145">
            <v>325.245</v>
          </cell>
          <cell r="J145">
            <v>3.9590038802687952</v>
          </cell>
          <cell r="K145">
            <v>89.32</v>
          </cell>
          <cell r="L145">
            <v>1.0630722810073361</v>
          </cell>
          <cell r="M145">
            <v>1612.36653</v>
          </cell>
          <cell r="N145">
            <v>45.045839999999998</v>
          </cell>
          <cell r="O145">
            <v>26.128812663275138</v>
          </cell>
          <cell r="P145">
            <v>1.32815475694737</v>
          </cell>
          <cell r="Q145">
            <v>21.502043298008651</v>
          </cell>
          <cell r="R145">
            <v>303.35094015391286</v>
          </cell>
          <cell r="S145">
            <v>374.86727216598462</v>
          </cell>
          <cell r="T145">
            <v>21.40859885231032</v>
          </cell>
          <cell r="U145">
            <v>0.18492587523267817</v>
          </cell>
        </row>
        <row r="146">
          <cell r="E146">
            <v>138</v>
          </cell>
          <cell r="F146" t="str">
            <v>Kab. Batang</v>
          </cell>
          <cell r="G146">
            <v>704.41300000000001</v>
          </cell>
          <cell r="H146">
            <v>788.67</v>
          </cell>
          <cell r="I146">
            <v>133.30500000000001</v>
          </cell>
          <cell r="J146">
            <v>2.8144072929314268</v>
          </cell>
          <cell r="K146">
            <v>90.2</v>
          </cell>
          <cell r="L146">
            <v>0.85493477386187566</v>
          </cell>
          <cell r="M146">
            <v>839.46912400000008</v>
          </cell>
          <cell r="N146">
            <v>23.30857</v>
          </cell>
          <cell r="O146">
            <v>17.596429546646533</v>
          </cell>
          <cell r="P146">
            <v>1.4214466869473701</v>
          </cell>
          <cell r="Q146">
            <v>12.096252091078654</v>
          </cell>
          <cell r="R146">
            <v>138.31510776732193</v>
          </cell>
          <cell r="S146">
            <v>211.87893700000001</v>
          </cell>
          <cell r="T146">
            <v>18.924267439698021</v>
          </cell>
          <cell r="U146">
            <v>0.14871948422307527</v>
          </cell>
        </row>
        <row r="147">
          <cell r="E147">
            <v>139</v>
          </cell>
          <cell r="F147" t="str">
            <v>Kab. Blora</v>
          </cell>
          <cell r="G147">
            <v>834.83699999999999</v>
          </cell>
          <cell r="H147">
            <v>1820.59</v>
          </cell>
          <cell r="I147">
            <v>191.238</v>
          </cell>
          <cell r="J147">
            <v>2.9697502065953421</v>
          </cell>
          <cell r="K147">
            <v>89.95</v>
          </cell>
          <cell r="L147">
            <v>0.74526809310852937</v>
          </cell>
          <cell r="M147">
            <v>711.13268999999991</v>
          </cell>
          <cell r="N147">
            <v>26.933910000000001</v>
          </cell>
          <cell r="O147">
            <v>16.17966243860694</v>
          </cell>
          <cell r="P147">
            <v>1.6188583069473701</v>
          </cell>
          <cell r="Q147">
            <v>15.851335234528653</v>
          </cell>
          <cell r="R147">
            <v>194.10833819999999</v>
          </cell>
          <cell r="S147">
            <v>285.24969999999996</v>
          </cell>
          <cell r="T147">
            <v>22.907226201042839</v>
          </cell>
          <cell r="U147">
            <v>0.12964250584211481</v>
          </cell>
        </row>
        <row r="148">
          <cell r="E148">
            <v>140</v>
          </cell>
          <cell r="F148" t="str">
            <v>Kab. Boyolali</v>
          </cell>
          <cell r="G148">
            <v>935.09100000000001</v>
          </cell>
          <cell r="H148">
            <v>1015.1</v>
          </cell>
          <cell r="I148">
            <v>172.25</v>
          </cell>
          <cell r="J148">
            <v>2.5779157796500138</v>
          </cell>
          <cell r="K148">
            <v>89.07</v>
          </cell>
          <cell r="L148">
            <v>0.80450450954246533</v>
          </cell>
          <cell r="M148">
            <v>1616.1585490000002</v>
          </cell>
          <cell r="N148">
            <v>32.781309999999998</v>
          </cell>
          <cell r="O148">
            <v>26.170674569709764</v>
          </cell>
          <cell r="P148">
            <v>1.26965441694737</v>
          </cell>
          <cell r="Q148">
            <v>13.483484964698654</v>
          </cell>
          <cell r="R148">
            <v>248.33248199999997</v>
          </cell>
          <cell r="S148">
            <v>300.18282583896826</v>
          </cell>
          <cell r="T148">
            <v>18.420667079460713</v>
          </cell>
          <cell r="U148">
            <v>0.1399469285520297</v>
          </cell>
        </row>
        <row r="149">
          <cell r="E149">
            <v>141</v>
          </cell>
          <cell r="F149" t="str">
            <v>Kab. Brebes</v>
          </cell>
          <cell r="G149">
            <v>1793.184</v>
          </cell>
          <cell r="H149">
            <v>1661.17</v>
          </cell>
          <cell r="I149">
            <v>519.59</v>
          </cell>
          <cell r="J149">
            <v>6.101226955235771</v>
          </cell>
          <cell r="K149">
            <v>88.85</v>
          </cell>
          <cell r="L149">
            <v>1.2104486289530496</v>
          </cell>
          <cell r="M149">
            <v>1537.4837119999997</v>
          </cell>
          <cell r="N149">
            <v>25.28838</v>
          </cell>
          <cell r="O149">
            <v>25.302145518232638</v>
          </cell>
          <cell r="P149">
            <v>2.0046890269473701</v>
          </cell>
          <cell r="Q149">
            <v>17.534637153808653</v>
          </cell>
          <cell r="R149">
            <v>251.03176829999998</v>
          </cell>
          <cell r="S149">
            <v>375.14618713661895</v>
          </cell>
          <cell r="T149">
            <v>28.97583293181291</v>
          </cell>
          <cell r="U149">
            <v>0.21056260814291078</v>
          </cell>
        </row>
        <row r="150">
          <cell r="E150">
            <v>142</v>
          </cell>
          <cell r="F150" t="str">
            <v xml:space="preserve">Kab. Cilacap    </v>
          </cell>
          <cell r="G150">
            <v>1659.96</v>
          </cell>
          <cell r="H150">
            <v>2253.61</v>
          </cell>
          <cell r="I150">
            <v>346.24</v>
          </cell>
          <cell r="J150">
            <v>3.3385142954938032</v>
          </cell>
          <cell r="K150">
            <v>89.39</v>
          </cell>
          <cell r="L150">
            <v>0.920107849246531</v>
          </cell>
          <cell r="M150">
            <v>11322.204469999999</v>
          </cell>
          <cell r="N150">
            <v>48.301120000000004</v>
          </cell>
          <cell r="O150">
            <v>133.3203450210068</v>
          </cell>
          <cell r="P150">
            <v>1.5349179169473701</v>
          </cell>
          <cell r="Q150">
            <v>26.459116300838652</v>
          </cell>
          <cell r="R150">
            <v>298.96634837346545</v>
          </cell>
          <cell r="S150">
            <v>378.02070074199099</v>
          </cell>
          <cell r="T150">
            <v>20.858333935757489</v>
          </cell>
          <cell r="U150">
            <v>0.16005661361910506</v>
          </cell>
        </row>
        <row r="151">
          <cell r="E151">
            <v>143</v>
          </cell>
          <cell r="F151" t="str">
            <v xml:space="preserve">Kab. Demak  </v>
          </cell>
          <cell r="G151">
            <v>1051.7360000000001</v>
          </cell>
          <cell r="H151">
            <v>900.12</v>
          </cell>
          <cell r="I151">
            <v>260.56</v>
          </cell>
          <cell r="J151">
            <v>4.0199999999999996</v>
          </cell>
          <cell r="K151">
            <v>90.52</v>
          </cell>
          <cell r="L151">
            <v>0.93280348228017884</v>
          </cell>
          <cell r="M151">
            <v>1020.79616</v>
          </cell>
          <cell r="N151">
            <v>16.172530000000002</v>
          </cell>
          <cell r="O151">
            <v>19.59818518529168</v>
          </cell>
          <cell r="P151">
            <v>1.22930169694737</v>
          </cell>
          <cell r="Q151">
            <v>14.477437841898652</v>
          </cell>
          <cell r="R151">
            <v>178.25723099999999</v>
          </cell>
          <cell r="S151">
            <v>258.92759034625641</v>
          </cell>
          <cell r="T151">
            <v>24.774277955684695</v>
          </cell>
          <cell r="U151">
            <v>0.16226507215228736</v>
          </cell>
        </row>
        <row r="152">
          <cell r="E152">
            <v>144</v>
          </cell>
          <cell r="F152" t="str">
            <v>Kab. Grobogan</v>
          </cell>
          <cell r="G152">
            <v>1319.4739999999999</v>
          </cell>
          <cell r="H152">
            <v>1975.86</v>
          </cell>
          <cell r="I152">
            <v>385.06</v>
          </cell>
          <cell r="J152">
            <v>4.4989617644264479</v>
          </cell>
          <cell r="K152">
            <v>91.28</v>
          </cell>
          <cell r="L152">
            <v>0.8862369315854477</v>
          </cell>
          <cell r="M152">
            <v>1045.15094</v>
          </cell>
          <cell r="N152">
            <v>37.29607</v>
          </cell>
          <cell r="O152">
            <v>19.867049218303073</v>
          </cell>
          <cell r="P152">
            <v>1.31011547694737</v>
          </cell>
          <cell r="Q152">
            <v>16.352881038038653</v>
          </cell>
          <cell r="R152">
            <v>228.65301599999992</v>
          </cell>
          <cell r="S152">
            <v>331.415066972614</v>
          </cell>
          <cell r="T152">
            <v>29.182841041202785</v>
          </cell>
          <cell r="U152">
            <v>0.15416462564677771</v>
          </cell>
        </row>
        <row r="153">
          <cell r="E153">
            <v>145</v>
          </cell>
          <cell r="F153" t="str">
            <v>Kab. Jepara</v>
          </cell>
          <cell r="G153">
            <v>1059.6379999999999</v>
          </cell>
          <cell r="H153">
            <v>1004.16</v>
          </cell>
          <cell r="I153">
            <v>104.038</v>
          </cell>
          <cell r="J153">
            <v>1.2507869071035598</v>
          </cell>
          <cell r="K153">
            <v>88.53</v>
          </cell>
          <cell r="L153">
            <v>0.732342043301492</v>
          </cell>
          <cell r="M153">
            <v>1722.7507900000001</v>
          </cell>
          <cell r="N153">
            <v>53.74024</v>
          </cell>
          <cell r="O153">
            <v>27.347397159812502</v>
          </cell>
          <cell r="P153">
            <v>1.2330716169473701</v>
          </cell>
          <cell r="Q153">
            <v>16.326541036618654</v>
          </cell>
          <cell r="R153">
            <v>179.23841789999994</v>
          </cell>
          <cell r="S153">
            <v>258.97336275078345</v>
          </cell>
          <cell r="T153">
            <v>9.8182586883445104</v>
          </cell>
          <cell r="U153">
            <v>0.12739396534625827</v>
          </cell>
        </row>
        <row r="154">
          <cell r="E154">
            <v>146</v>
          </cell>
          <cell r="F154" t="str">
            <v>Kab. Karanganyar</v>
          </cell>
          <cell r="G154">
            <v>824.63599999999997</v>
          </cell>
          <cell r="H154">
            <v>772.2</v>
          </cell>
          <cell r="I154">
            <v>132.58000000000001</v>
          </cell>
          <cell r="J154">
            <v>3.1921356462823232</v>
          </cell>
          <cell r="K154">
            <v>89.49</v>
          </cell>
          <cell r="L154">
            <v>1.1413812265922114</v>
          </cell>
          <cell r="M154">
            <v>1099.17868</v>
          </cell>
          <cell r="N154">
            <v>25.196919999999999</v>
          </cell>
          <cell r="O154">
            <v>20.463487209978258</v>
          </cell>
          <cell r="P154">
            <v>1.22930169694737</v>
          </cell>
          <cell r="Q154">
            <v>15.075450240808653</v>
          </cell>
          <cell r="R154">
            <v>210.83014379999997</v>
          </cell>
          <cell r="S154">
            <v>277.90609633546637</v>
          </cell>
          <cell r="T154">
            <v>16.077396572548373</v>
          </cell>
          <cell r="U154">
            <v>0.1985480442606479</v>
          </cell>
        </row>
        <row r="155">
          <cell r="E155">
            <v>147</v>
          </cell>
          <cell r="F155" t="str">
            <v>Kab. Kebumen</v>
          </cell>
          <cell r="G155">
            <v>1202.6510000000001</v>
          </cell>
          <cell r="H155">
            <v>1306.8</v>
          </cell>
          <cell r="I155">
            <v>371.54</v>
          </cell>
          <cell r="J155">
            <v>5.2302826190757443</v>
          </cell>
          <cell r="K155">
            <v>90.22</v>
          </cell>
          <cell r="L155">
            <v>0.97324976631227222</v>
          </cell>
          <cell r="M155">
            <v>1199.4768254200001</v>
          </cell>
          <cell r="N155">
            <v>29.807200000000002</v>
          </cell>
          <cell r="O155">
            <v>21.570726276854838</v>
          </cell>
          <cell r="P155">
            <v>1.22930169694737</v>
          </cell>
          <cell r="Q155">
            <v>13.501645431158654</v>
          </cell>
          <cell r="R155">
            <v>280.13714777671566</v>
          </cell>
          <cell r="S155">
            <v>339.71625313725593</v>
          </cell>
          <cell r="T155">
            <v>30.893417957495569</v>
          </cell>
          <cell r="U155">
            <v>0.16930087264127852</v>
          </cell>
        </row>
        <row r="156">
          <cell r="E156">
            <v>148</v>
          </cell>
          <cell r="F156" t="str">
            <v xml:space="preserve">Kab. Kendal </v>
          </cell>
          <cell r="G156">
            <v>891.11599999999999</v>
          </cell>
          <cell r="H156">
            <v>1002.33</v>
          </cell>
          <cell r="I156">
            <v>185.52500000000001</v>
          </cell>
          <cell r="J156">
            <v>3.4637101164274995</v>
          </cell>
          <cell r="K156">
            <v>89.3</v>
          </cell>
          <cell r="L156">
            <v>0.95639754086694684</v>
          </cell>
          <cell r="M156">
            <v>1725.9365</v>
          </cell>
          <cell r="N156">
            <v>37.17407</v>
          </cell>
          <cell r="O156">
            <v>27.382565732002629</v>
          </cell>
          <cell r="P156">
            <v>1.3632650169473701</v>
          </cell>
          <cell r="Q156">
            <v>15.012510440418655</v>
          </cell>
          <cell r="R156">
            <v>184.15934219999997</v>
          </cell>
          <cell r="S156">
            <v>286.80818799999997</v>
          </cell>
          <cell r="T156">
            <v>20.819399494566365</v>
          </cell>
          <cell r="U156">
            <v>0.16636935745103934</v>
          </cell>
        </row>
        <row r="157">
          <cell r="E157">
            <v>149</v>
          </cell>
          <cell r="F157" t="str">
            <v>Kab. Klaten</v>
          </cell>
          <cell r="G157">
            <v>1131.4760000000001</v>
          </cell>
          <cell r="H157">
            <v>656.16</v>
          </cell>
          <cell r="I157">
            <v>263.90499999999997</v>
          </cell>
          <cell r="J157">
            <v>3.7581236650824881</v>
          </cell>
          <cell r="K157">
            <v>89.15</v>
          </cell>
          <cell r="L157">
            <v>0.92626212561723098</v>
          </cell>
          <cell r="M157">
            <v>1896.03205</v>
          </cell>
          <cell r="N157">
            <v>22.288970000000003</v>
          </cell>
          <cell r="O157">
            <v>29.260331639569483</v>
          </cell>
          <cell r="P157">
            <v>1.22930169694737</v>
          </cell>
          <cell r="Q157">
            <v>13.994906616018655</v>
          </cell>
          <cell r="R157">
            <v>364.3071584999999</v>
          </cell>
          <cell r="S157">
            <v>382.34527695438294</v>
          </cell>
          <cell r="T157">
            <v>23.323959147167059</v>
          </cell>
          <cell r="U157">
            <v>0.16112717576676736</v>
          </cell>
        </row>
        <row r="158">
          <cell r="E158">
            <v>150</v>
          </cell>
          <cell r="F158" t="str">
            <v>Kab. Kudus</v>
          </cell>
          <cell r="G158">
            <v>750.70699999999999</v>
          </cell>
          <cell r="H158">
            <v>425.15</v>
          </cell>
          <cell r="I158">
            <v>85.495999999999995</v>
          </cell>
          <cell r="J158">
            <v>1.5079911014418115</v>
          </cell>
          <cell r="K158">
            <v>88.79</v>
          </cell>
          <cell r="L158">
            <v>0.76118208691324918</v>
          </cell>
          <cell r="M158">
            <v>3663.6668999999997</v>
          </cell>
          <cell r="N158">
            <v>38.842599999999997</v>
          </cell>
          <cell r="O158">
            <v>48.774095864189405</v>
          </cell>
          <cell r="P158">
            <v>1.22930169694737</v>
          </cell>
          <cell r="Q158">
            <v>20.945052703038655</v>
          </cell>
          <cell r="R158">
            <v>160.84070880000007</v>
          </cell>
          <cell r="S158">
            <v>217.44069282056432</v>
          </cell>
          <cell r="T158">
            <v>11.388730889681327</v>
          </cell>
          <cell r="U158">
            <v>0.13241081170932886</v>
          </cell>
        </row>
        <row r="159">
          <cell r="E159">
            <v>151</v>
          </cell>
          <cell r="F159" t="str">
            <v>Kab. Magelang</v>
          </cell>
          <cell r="G159">
            <v>1158.067</v>
          </cell>
          <cell r="H159">
            <v>1085.74</v>
          </cell>
          <cell r="I159">
            <v>185.82599999999999</v>
          </cell>
          <cell r="J159">
            <v>2.1075795051739408</v>
          </cell>
          <cell r="K159">
            <v>88.93</v>
          </cell>
          <cell r="L159">
            <v>0.75505099780461082</v>
          </cell>
          <cell r="M159">
            <v>775.34848</v>
          </cell>
          <cell r="N159">
            <v>35.80818</v>
          </cell>
          <cell r="O159">
            <v>16.888571173664811</v>
          </cell>
          <cell r="P159">
            <v>1.22930169694737</v>
          </cell>
          <cell r="Q159">
            <v>13.938407053728653</v>
          </cell>
          <cell r="R159">
            <v>240.82149570000004</v>
          </cell>
          <cell r="S159">
            <v>304.6207097246936</v>
          </cell>
          <cell r="T159">
            <v>16.046221850721935</v>
          </cell>
          <cell r="U159">
            <v>0.13134428308300616</v>
          </cell>
        </row>
        <row r="160">
          <cell r="E160">
            <v>152</v>
          </cell>
          <cell r="F160" t="str">
            <v>Kab. Pati</v>
          </cell>
          <cell r="G160">
            <v>1203.18</v>
          </cell>
          <cell r="H160">
            <v>1489.19</v>
          </cell>
          <cell r="I160">
            <v>247.86799999999999</v>
          </cell>
          <cell r="J160">
            <v>3.44</v>
          </cell>
          <cell r="K160">
            <v>89.45</v>
          </cell>
          <cell r="L160">
            <v>0.9599170279822492</v>
          </cell>
          <cell r="M160">
            <v>1236.549184</v>
          </cell>
          <cell r="N160">
            <v>40.826749999999997</v>
          </cell>
          <cell r="O160">
            <v>21.979985725762333</v>
          </cell>
          <cell r="P160">
            <v>1.22930169694737</v>
          </cell>
          <cell r="Q160">
            <v>16.750953569678657</v>
          </cell>
          <cell r="R160">
            <v>243.60801179999993</v>
          </cell>
          <cell r="S160">
            <v>312.71232034432865</v>
          </cell>
          <cell r="T160">
            <v>20.601073821040909</v>
          </cell>
          <cell r="U160">
            <v>0.16698158697371179</v>
          </cell>
        </row>
        <row r="161">
          <cell r="E161">
            <v>153</v>
          </cell>
          <cell r="F161" t="str">
            <v>Kab. Pekalongan</v>
          </cell>
          <cell r="G161">
            <v>846.83199999999999</v>
          </cell>
          <cell r="H161">
            <v>836.13</v>
          </cell>
          <cell r="I161">
            <v>181.11500000000001</v>
          </cell>
          <cell r="J161">
            <v>4.5999513939718524</v>
          </cell>
          <cell r="K161">
            <v>90.55</v>
          </cell>
          <cell r="L161">
            <v>1.2364062583486972</v>
          </cell>
          <cell r="M161">
            <v>1501.3496639999998</v>
          </cell>
          <cell r="N161">
            <v>22.734770000000001</v>
          </cell>
          <cell r="O161">
            <v>24.903244527367303</v>
          </cell>
          <cell r="P161">
            <v>1.23690916694737</v>
          </cell>
          <cell r="Q161">
            <v>10.954144448378655</v>
          </cell>
          <cell r="R161">
            <v>159.79349969999998</v>
          </cell>
          <cell r="S161">
            <v>233.31926908838898</v>
          </cell>
          <cell r="T161">
            <v>21.387359003911051</v>
          </cell>
          <cell r="U161">
            <v>0.2150780464820678</v>
          </cell>
        </row>
        <row r="162">
          <cell r="E162">
            <v>154</v>
          </cell>
          <cell r="F162" t="str">
            <v>Kab. Pemalang</v>
          </cell>
          <cell r="G162">
            <v>1348.386</v>
          </cell>
          <cell r="H162">
            <v>1115.31</v>
          </cell>
          <cell r="I162">
            <v>299.08499999999998</v>
          </cell>
          <cell r="J162">
            <v>4.5008962174063791</v>
          </cell>
          <cell r="K162">
            <v>90.04</v>
          </cell>
          <cell r="L162">
            <v>1.1664972324262235</v>
          </cell>
          <cell r="M162">
            <v>1438.2664959999997</v>
          </cell>
          <cell r="N162">
            <v>28.982710000000001</v>
          </cell>
          <cell r="O162">
            <v>24.206839346798425</v>
          </cell>
          <cell r="P162">
            <v>1.22930169694737</v>
          </cell>
          <cell r="Q162">
            <v>14.744203971718655</v>
          </cell>
          <cell r="R162">
            <v>204.42646719188713</v>
          </cell>
          <cell r="S162">
            <v>312.26353397442466</v>
          </cell>
          <cell r="T162">
            <v>22.180963018008196</v>
          </cell>
          <cell r="U162">
            <v>0.20291707865669351</v>
          </cell>
        </row>
        <row r="163">
          <cell r="E163">
            <v>155</v>
          </cell>
          <cell r="F163" t="str">
            <v xml:space="preserve">Kab. Purbalingga       </v>
          </cell>
          <cell r="G163">
            <v>856.72</v>
          </cell>
          <cell r="H163">
            <v>777.64</v>
          </cell>
          <cell r="I163">
            <v>266.51</v>
          </cell>
          <cell r="J163">
            <v>6.3672093899732483</v>
          </cell>
          <cell r="K163">
            <v>90.31</v>
          </cell>
          <cell r="L163">
            <v>1.1766292487546737</v>
          </cell>
          <cell r="M163">
            <v>987.15433999999993</v>
          </cell>
          <cell r="N163">
            <v>28.30057</v>
          </cell>
          <cell r="O163">
            <v>19.226797088045743</v>
          </cell>
          <cell r="P163">
            <v>1.22930169694737</v>
          </cell>
          <cell r="Q163">
            <v>11.508081300378654</v>
          </cell>
          <cell r="R163">
            <v>172.6746717243</v>
          </cell>
          <cell r="S163">
            <v>246.69356669134325</v>
          </cell>
          <cell r="T163">
            <v>31.108180035484168</v>
          </cell>
          <cell r="U163">
            <v>0.20467958532805081</v>
          </cell>
        </row>
        <row r="164">
          <cell r="E164">
            <v>156</v>
          </cell>
          <cell r="F164" t="str">
            <v>Kab. Purworejo</v>
          </cell>
          <cell r="G164">
            <v>711.13199999999995</v>
          </cell>
          <cell r="H164">
            <v>1034.49</v>
          </cell>
          <cell r="I164">
            <v>167.083</v>
          </cell>
          <cell r="J164">
            <v>3.3761621924682945</v>
          </cell>
          <cell r="K164">
            <v>89.54</v>
          </cell>
          <cell r="L164">
            <v>0.82605006730473407</v>
          </cell>
          <cell r="M164">
            <v>1268.59979</v>
          </cell>
          <cell r="N164">
            <v>21.882950000000001</v>
          </cell>
          <cell r="O164">
            <v>22.333807652694915</v>
          </cell>
          <cell r="P164">
            <v>1.46329665694737</v>
          </cell>
          <cell r="Q164">
            <v>11.993527480568655</v>
          </cell>
          <cell r="R164">
            <v>227.97397373763289</v>
          </cell>
          <cell r="S164">
            <v>275.19352132147685</v>
          </cell>
          <cell r="T164">
            <v>23.49535669889697</v>
          </cell>
          <cell r="U164">
            <v>0.14369486855361485</v>
          </cell>
        </row>
        <row r="165">
          <cell r="E165">
            <v>157</v>
          </cell>
          <cell r="F165" t="str">
            <v>Kab. Rembang</v>
          </cell>
          <cell r="G165">
            <v>583.30100000000004</v>
          </cell>
          <cell r="H165">
            <v>1014.1</v>
          </cell>
          <cell r="I165">
            <v>186.25</v>
          </cell>
          <cell r="J165">
            <v>5.2391157130100021</v>
          </cell>
          <cell r="K165">
            <v>87.75</v>
          </cell>
          <cell r="L165">
            <v>0.94323420532656377</v>
          </cell>
          <cell r="M165">
            <v>756.46525299999996</v>
          </cell>
          <cell r="N165">
            <v>18.295450000000002</v>
          </cell>
          <cell r="O165">
            <v>16.680110224007713</v>
          </cell>
          <cell r="P165">
            <v>1.22930169694737</v>
          </cell>
          <cell r="Q165">
            <v>11.563597933558654</v>
          </cell>
          <cell r="R165">
            <v>147.04061130000002</v>
          </cell>
          <cell r="S165">
            <v>196.64192917837758</v>
          </cell>
          <cell r="T165">
            <v>31.930341281773899</v>
          </cell>
          <cell r="U165">
            <v>0.16407954010815826</v>
          </cell>
        </row>
        <row r="166">
          <cell r="E166">
            <v>158</v>
          </cell>
          <cell r="F166" t="str">
            <v>Kab. Semarang</v>
          </cell>
          <cell r="G166">
            <v>888.43</v>
          </cell>
          <cell r="H166">
            <v>950.21</v>
          </cell>
          <cell r="I166">
            <v>121.25</v>
          </cell>
          <cell r="J166">
            <v>2.36</v>
          </cell>
          <cell r="K166">
            <v>89.19</v>
          </cell>
          <cell r="L166">
            <v>0.99407369632753073</v>
          </cell>
          <cell r="M166">
            <v>1419.624667</v>
          </cell>
          <cell r="N166">
            <v>40.269709999999996</v>
          </cell>
          <cell r="O166">
            <v>24.001043304803851</v>
          </cell>
          <cell r="P166">
            <v>1.22930169694737</v>
          </cell>
          <cell r="Q166">
            <v>16.573165241678655</v>
          </cell>
          <cell r="R166">
            <v>199.30169759999998</v>
          </cell>
          <cell r="S166">
            <v>268.21740955496307</v>
          </cell>
          <cell r="T166">
            <v>13.647670609952389</v>
          </cell>
          <cell r="U166">
            <v>0.17292328247422678</v>
          </cell>
        </row>
        <row r="167">
          <cell r="E167">
            <v>159</v>
          </cell>
          <cell r="F167" t="str">
            <v>Kab. Sragen</v>
          </cell>
          <cell r="G167">
            <v>865.11199999999997</v>
          </cell>
          <cell r="H167">
            <v>940.77</v>
          </cell>
          <cell r="I167">
            <v>225.11600000000001</v>
          </cell>
          <cell r="J167">
            <v>5.2827197147724387</v>
          </cell>
          <cell r="K167">
            <v>89.62</v>
          </cell>
          <cell r="L167">
            <v>1.1670478241279301</v>
          </cell>
          <cell r="M167">
            <v>886.77238999999997</v>
          </cell>
          <cell r="N167">
            <v>42.976690000000005</v>
          </cell>
          <cell r="O167">
            <v>18.118632862437956</v>
          </cell>
          <cell r="P167">
            <v>1.22930169694737</v>
          </cell>
          <cell r="Q167">
            <v>12.647702949748654</v>
          </cell>
          <cell r="R167">
            <v>241.35131795231501</v>
          </cell>
          <cell r="S167">
            <v>283.62125126376037</v>
          </cell>
          <cell r="T167">
            <v>26.021601827277856</v>
          </cell>
          <cell r="U167">
            <v>0.20301285638898231</v>
          </cell>
        </row>
        <row r="168">
          <cell r="E168">
            <v>160</v>
          </cell>
          <cell r="F168" t="str">
            <v>Kab. Sukoharjo</v>
          </cell>
          <cell r="G168">
            <v>825.28099999999995</v>
          </cell>
          <cell r="H168">
            <v>466.66</v>
          </cell>
          <cell r="I168">
            <v>118.07</v>
          </cell>
          <cell r="J168">
            <v>2.1276477447198463</v>
          </cell>
          <cell r="K168">
            <v>89.27</v>
          </cell>
          <cell r="L168">
            <v>0.8549232386966209</v>
          </cell>
          <cell r="M168">
            <v>1444.20416</v>
          </cell>
          <cell r="N168">
            <v>19.929269999999999</v>
          </cell>
          <cell r="O168">
            <v>24.272388051804452</v>
          </cell>
          <cell r="P168">
            <v>1.22930169694737</v>
          </cell>
          <cell r="Q168">
            <v>16.884155572478655</v>
          </cell>
          <cell r="R168">
            <v>203.76294329999999</v>
          </cell>
          <cell r="S168">
            <v>263.30357367854918</v>
          </cell>
          <cell r="T168">
            <v>14.306642222467255</v>
          </cell>
          <cell r="U168">
            <v>0.14871747763277204</v>
          </cell>
        </row>
        <row r="169">
          <cell r="E169">
            <v>161</v>
          </cell>
          <cell r="F169" t="str">
            <v>Kab. Tegal</v>
          </cell>
          <cell r="G169">
            <v>1453.318</v>
          </cell>
          <cell r="H169">
            <v>864.88</v>
          </cell>
          <cell r="I169">
            <v>297.18099999999998</v>
          </cell>
          <cell r="J169">
            <v>3.1582422552555438</v>
          </cell>
          <cell r="K169">
            <v>89.13</v>
          </cell>
          <cell r="L169">
            <v>0.88787159890776268</v>
          </cell>
          <cell r="M169">
            <v>1402.58978</v>
          </cell>
          <cell r="N169">
            <v>38.336280000000002</v>
          </cell>
          <cell r="O169">
            <v>23.812987062016465</v>
          </cell>
          <cell r="P169">
            <v>1.22930169694737</v>
          </cell>
          <cell r="Q169">
            <v>15.903584991778654</v>
          </cell>
          <cell r="R169">
            <v>219.45888751539644</v>
          </cell>
          <cell r="S169">
            <v>323.65233272250794</v>
          </cell>
          <cell r="T169">
            <v>20.44844968547833</v>
          </cell>
          <cell r="U169">
            <v>0.1544489828731809</v>
          </cell>
        </row>
        <row r="170">
          <cell r="E170">
            <v>162</v>
          </cell>
          <cell r="F170" t="str">
            <v>Kab. Temanggung</v>
          </cell>
          <cell r="G170">
            <v>707.83399999999995</v>
          </cell>
          <cell r="H170">
            <v>864.93</v>
          </cell>
          <cell r="I170">
            <v>107.246</v>
          </cell>
          <cell r="J170">
            <v>1.8799253703331837</v>
          </cell>
          <cell r="K170">
            <v>89.7</v>
          </cell>
          <cell r="L170">
            <v>0.7132734142562166</v>
          </cell>
          <cell r="M170">
            <v>903.27710000000002</v>
          </cell>
          <cell r="N170">
            <v>18.58006</v>
          </cell>
          <cell r="O170">
            <v>18.300836228441817</v>
          </cell>
          <cell r="P170">
            <v>1.23117930694737</v>
          </cell>
          <cell r="Q170">
            <v>11.477025589468653</v>
          </cell>
          <cell r="R170">
            <v>154.68210690000001</v>
          </cell>
          <cell r="S170">
            <v>228.08596842500202</v>
          </cell>
          <cell r="T170">
            <v>15.151292534690338</v>
          </cell>
          <cell r="U170">
            <v>0.12407689746791663</v>
          </cell>
        </row>
        <row r="171">
          <cell r="E171">
            <v>163</v>
          </cell>
          <cell r="F171" t="str">
            <v>Kab. Wonogiri</v>
          </cell>
          <cell r="G171">
            <v>1008.403</v>
          </cell>
          <cell r="H171">
            <v>1793.4</v>
          </cell>
          <cell r="I171">
            <v>246.06399999999999</v>
          </cell>
          <cell r="J171">
            <v>4.4063098091396098</v>
          </cell>
          <cell r="K171">
            <v>88.3</v>
          </cell>
          <cell r="L171">
            <v>1.03806892437516</v>
          </cell>
          <cell r="M171">
            <v>1006.9742199999999</v>
          </cell>
          <cell r="N171">
            <v>25.998750000000001</v>
          </cell>
          <cell r="O171">
            <v>19.445598196928756</v>
          </cell>
          <cell r="P171">
            <v>1.22930169694737</v>
          </cell>
          <cell r="Q171">
            <v>11.273365048098652</v>
          </cell>
          <cell r="R171">
            <v>260.57309849999996</v>
          </cell>
          <cell r="S171">
            <v>326.10363660111534</v>
          </cell>
          <cell r="T171">
            <v>24.401355410485685</v>
          </cell>
          <cell r="U171">
            <v>0.18057643663704609</v>
          </cell>
        </row>
        <row r="172">
          <cell r="E172">
            <v>164</v>
          </cell>
          <cell r="F172" t="str">
            <v xml:space="preserve">Kab. Wonosobo       </v>
          </cell>
          <cell r="G172">
            <v>771.26099999999997</v>
          </cell>
          <cell r="H172">
            <v>987.84</v>
          </cell>
          <cell r="I172">
            <v>254.65</v>
          </cell>
          <cell r="J172">
            <v>6.7887274070981816</v>
          </cell>
          <cell r="K172">
            <v>87.5</v>
          </cell>
          <cell r="L172">
            <v>1.1819828429122921</v>
          </cell>
          <cell r="M172">
            <v>738.21437000000003</v>
          </cell>
          <cell r="N172">
            <v>24.385840000000002</v>
          </cell>
          <cell r="O172">
            <v>16.478630021378127</v>
          </cell>
          <cell r="P172">
            <v>1.22930169694737</v>
          </cell>
          <cell r="Q172">
            <v>11.919416542228653</v>
          </cell>
          <cell r="R172">
            <v>154.94248050000004</v>
          </cell>
          <cell r="S172">
            <v>231.62949235672806</v>
          </cell>
          <cell r="T172">
            <v>33.017357288907391</v>
          </cell>
          <cell r="U172">
            <v>0.20561086545163754</v>
          </cell>
        </row>
        <row r="173">
          <cell r="E173">
            <v>165</v>
          </cell>
          <cell r="F173" t="str">
            <v>Kota Magelang</v>
          </cell>
          <cell r="G173">
            <v>126.169</v>
          </cell>
          <cell r="H173">
            <v>18.12</v>
          </cell>
          <cell r="I173">
            <v>17.440000000000001</v>
          </cell>
          <cell r="J173">
            <v>2.3203263224095347</v>
          </cell>
          <cell r="K173">
            <v>89.54</v>
          </cell>
          <cell r="L173">
            <v>0.96498454672198197</v>
          </cell>
          <cell r="M173">
            <v>1517.18083</v>
          </cell>
          <cell r="N173">
            <v>23.567460000000001</v>
          </cell>
          <cell r="O173">
            <v>25.078012319892338</v>
          </cell>
          <cell r="P173">
            <v>1.22930169694737</v>
          </cell>
          <cell r="Q173">
            <v>8.8055057992086549</v>
          </cell>
          <cell r="R173">
            <v>76.335513581699985</v>
          </cell>
          <cell r="S173">
            <v>122.29787887934961</v>
          </cell>
          <cell r="T173">
            <v>13.822729830624006</v>
          </cell>
          <cell r="U173">
            <v>0.16786310308032601</v>
          </cell>
        </row>
        <row r="174">
          <cell r="E174">
            <v>166</v>
          </cell>
          <cell r="F174" t="str">
            <v>Kota Pekalongan</v>
          </cell>
          <cell r="G174">
            <v>274.62599999999998</v>
          </cell>
          <cell r="H174">
            <v>45.25</v>
          </cell>
          <cell r="I174">
            <v>18.643000000000001</v>
          </cell>
          <cell r="J174">
            <v>0.67060513646745012</v>
          </cell>
          <cell r="K174">
            <v>90.48</v>
          </cell>
          <cell r="L174">
            <v>0.56788165428757154</v>
          </cell>
          <cell r="M174">
            <v>975.13685499999997</v>
          </cell>
          <cell r="N174">
            <v>13.67948</v>
          </cell>
          <cell r="O174">
            <v>19.09413033910554</v>
          </cell>
          <cell r="P174">
            <v>1.22930169694737</v>
          </cell>
          <cell r="Q174">
            <v>10.678968419088653</v>
          </cell>
          <cell r="R174">
            <v>72.033961199999993</v>
          </cell>
          <cell r="S174">
            <v>125.40845545413876</v>
          </cell>
          <cell r="T174">
            <v>6.7885050942008416</v>
          </cell>
          <cell r="U174">
            <v>9.8785391947385032E-2</v>
          </cell>
        </row>
        <row r="175">
          <cell r="E175">
            <v>167</v>
          </cell>
          <cell r="F175" t="str">
            <v>Kota Salatiga</v>
          </cell>
          <cell r="G175">
            <v>168.113</v>
          </cell>
          <cell r="H175">
            <v>56.98</v>
          </cell>
          <cell r="I175">
            <v>16.036999999999999</v>
          </cell>
          <cell r="J175">
            <v>1.4717203259312381</v>
          </cell>
          <cell r="K175">
            <v>89.6</v>
          </cell>
          <cell r="L175">
            <v>0.88688757067989732</v>
          </cell>
          <cell r="M175">
            <v>511.42538999999999</v>
          </cell>
          <cell r="N175">
            <v>20.18196</v>
          </cell>
          <cell r="O175">
            <v>13.974998298761861</v>
          </cell>
          <cell r="P175">
            <v>1.22930169694737</v>
          </cell>
          <cell r="Q175">
            <v>8.5613373546886535</v>
          </cell>
          <cell r="R175">
            <v>70.133649299999988</v>
          </cell>
          <cell r="S175">
            <v>107.73366865621576</v>
          </cell>
          <cell r="T175">
            <v>9.5394169397964461</v>
          </cell>
          <cell r="U175">
            <v>0.15427780704201424</v>
          </cell>
        </row>
        <row r="176">
          <cell r="E176">
            <v>168</v>
          </cell>
          <cell r="F176" t="str">
            <v>Kota Semarang</v>
          </cell>
          <cell r="G176">
            <v>1416.2270000000001</v>
          </cell>
          <cell r="H176">
            <v>373.69</v>
          </cell>
          <cell r="I176">
            <v>78.980999999999995</v>
          </cell>
          <cell r="J176">
            <v>0.96546332814595215</v>
          </cell>
          <cell r="K176">
            <v>89</v>
          </cell>
          <cell r="L176">
            <v>0.99520176021873807</v>
          </cell>
          <cell r="M176">
            <v>12265.294139999998</v>
          </cell>
          <cell r="N176">
            <v>143.15729999999999</v>
          </cell>
          <cell r="O176">
            <v>143.73156171717829</v>
          </cell>
          <cell r="P176">
            <v>1.22930169694737</v>
          </cell>
          <cell r="Q176">
            <v>93.610021315768662</v>
          </cell>
          <cell r="R176">
            <v>303.20990471310989</v>
          </cell>
          <cell r="S176">
            <v>310.73624998811363</v>
          </cell>
          <cell r="T176">
            <v>5.5768602067323947</v>
          </cell>
          <cell r="U176">
            <v>0.17311951391222669</v>
          </cell>
        </row>
        <row r="177">
          <cell r="E177">
            <v>169</v>
          </cell>
          <cell r="F177" t="str">
            <v>Kota Surakarta</v>
          </cell>
          <cell r="G177">
            <v>513.024</v>
          </cell>
          <cell r="H177">
            <v>44.04</v>
          </cell>
          <cell r="I177">
            <v>69.459000000000003</v>
          </cell>
          <cell r="J177">
            <v>1.8740451307820678</v>
          </cell>
          <cell r="K177">
            <v>88.46</v>
          </cell>
          <cell r="L177">
            <v>0.79570907806761881</v>
          </cell>
          <cell r="M177">
            <v>2373.0302099999999</v>
          </cell>
          <cell r="N177">
            <v>54.81568</v>
          </cell>
          <cell r="O177">
            <v>34.526141843423254</v>
          </cell>
          <cell r="P177">
            <v>1.22930169694737</v>
          </cell>
          <cell r="Q177">
            <v>27.068551274408655</v>
          </cell>
          <cell r="R177">
            <v>179.06407440000001</v>
          </cell>
          <cell r="S177">
            <v>218.04451960483581</v>
          </cell>
          <cell r="T177">
            <v>13.53913267215569</v>
          </cell>
          <cell r="U177">
            <v>0.13841692641332864</v>
          </cell>
        </row>
        <row r="178">
          <cell r="E178">
            <v>170</v>
          </cell>
          <cell r="F178" t="str">
            <v xml:space="preserve">Kota Tegal </v>
          </cell>
          <cell r="G178">
            <v>243.39699999999999</v>
          </cell>
          <cell r="H178">
            <v>35.380000000000003</v>
          </cell>
          <cell r="I178">
            <v>23.06</v>
          </cell>
          <cell r="J178">
            <v>1.2373116883780175</v>
          </cell>
          <cell r="K178">
            <v>90.15</v>
          </cell>
          <cell r="L178">
            <v>0.75075830491506101</v>
          </cell>
          <cell r="M178">
            <v>676.377478</v>
          </cell>
          <cell r="N178">
            <v>35.147570000000002</v>
          </cell>
          <cell r="O178">
            <v>15.79598307601422</v>
          </cell>
          <cell r="P178">
            <v>1.22930169694737</v>
          </cell>
          <cell r="Q178">
            <v>11.474670269548653</v>
          </cell>
          <cell r="R178">
            <v>78.233327099999997</v>
          </cell>
          <cell r="S178">
            <v>178.27305200000001</v>
          </cell>
          <cell r="T178">
            <v>9.474233453986697</v>
          </cell>
          <cell r="U178">
            <v>0.13059755117785962</v>
          </cell>
        </row>
        <row r="179">
          <cell r="E179">
            <v>171</v>
          </cell>
          <cell r="F179" t="str">
            <v>Kab. Bantul</v>
          </cell>
          <cell r="G179">
            <v>818.76400000000001</v>
          </cell>
          <cell r="H179">
            <v>508.13</v>
          </cell>
          <cell r="I179">
            <v>151.447</v>
          </cell>
          <cell r="J179">
            <v>3.5482973473282815</v>
          </cell>
          <cell r="K179">
            <v>90.01</v>
          </cell>
          <cell r="L179">
            <v>1.1027655291420992</v>
          </cell>
          <cell r="M179">
            <v>1344.2665323567996</v>
          </cell>
          <cell r="N179">
            <v>32.882339999999999</v>
          </cell>
          <cell r="O179">
            <v>23.169128912623489</v>
          </cell>
          <cell r="P179">
            <v>1.1554266139473701</v>
          </cell>
          <cell r="Q179">
            <v>13.219591091330159</v>
          </cell>
          <cell r="R179">
            <v>253.21208380166669</v>
          </cell>
          <cell r="S179">
            <v>292.7</v>
          </cell>
          <cell r="T179">
            <v>18.497027226404679</v>
          </cell>
          <cell r="U179">
            <v>0.19183068197375272</v>
          </cell>
        </row>
        <row r="180">
          <cell r="E180">
            <v>172</v>
          </cell>
          <cell r="F180" t="str">
            <v>Kab. Gunung Kidul</v>
          </cell>
          <cell r="G180">
            <v>687.41200000000003</v>
          </cell>
          <cell r="H180">
            <v>1431.42</v>
          </cell>
          <cell r="I180">
            <v>173.25</v>
          </cell>
          <cell r="J180">
            <v>4.3645608821412978</v>
          </cell>
          <cell r="K180">
            <v>92.57</v>
          </cell>
          <cell r="L180">
            <v>0.99551895460633477</v>
          </cell>
          <cell r="M180">
            <v>1118.7919999999999</v>
          </cell>
          <cell r="N180">
            <v>17.48169</v>
          </cell>
          <cell r="O180">
            <v>20.680008004497566</v>
          </cell>
          <cell r="P180">
            <v>1.1601679839473702</v>
          </cell>
          <cell r="Q180">
            <v>7.9013352052433685</v>
          </cell>
          <cell r="R180">
            <v>202.40074767457213</v>
          </cell>
          <cell r="S180">
            <v>255.64196423832243</v>
          </cell>
          <cell r="T180">
            <v>25.203226012929651</v>
          </cell>
          <cell r="U180">
            <v>0.17317469120430096</v>
          </cell>
        </row>
        <row r="181">
          <cell r="E181">
            <v>173</v>
          </cell>
          <cell r="F181" t="str">
            <v>Kab. Kulon Progo</v>
          </cell>
          <cell r="G181">
            <v>376.05500000000001</v>
          </cell>
          <cell r="H181">
            <v>586.28</v>
          </cell>
          <cell r="I181">
            <v>94.56</v>
          </cell>
          <cell r="J181">
            <v>4.8600000000000003</v>
          </cell>
          <cell r="K181">
            <v>88.41</v>
          </cell>
          <cell r="L181">
            <v>1.1110798834865827</v>
          </cell>
          <cell r="M181">
            <v>589.96048399799861</v>
          </cell>
          <cell r="N181">
            <v>24.039439999999999</v>
          </cell>
          <cell r="O181">
            <v>14.841984660586142</v>
          </cell>
          <cell r="P181">
            <v>1.1554266139473701</v>
          </cell>
          <cell r="Q181">
            <v>7.8146895057021215</v>
          </cell>
          <cell r="R181">
            <v>197.78131600010616</v>
          </cell>
          <cell r="S181">
            <v>215.47</v>
          </cell>
          <cell r="T181">
            <v>25.145258007472311</v>
          </cell>
          <cell r="U181">
            <v>0.19327699873096449</v>
          </cell>
        </row>
        <row r="182">
          <cell r="E182">
            <v>174</v>
          </cell>
          <cell r="F182" t="str">
            <v>Kab. Sleman</v>
          </cell>
          <cell r="G182">
            <v>945.04499999999996</v>
          </cell>
          <cell r="H182">
            <v>574.82000000000005</v>
          </cell>
          <cell r="I182">
            <v>146.536</v>
          </cell>
          <cell r="J182">
            <v>2.7964928264134281</v>
          </cell>
          <cell r="K182">
            <v>90.12</v>
          </cell>
          <cell r="L182">
            <v>1.0367808750175689</v>
          </cell>
          <cell r="M182">
            <v>2923.828</v>
          </cell>
          <cell r="N182">
            <v>52.978730000000006</v>
          </cell>
          <cell r="O182">
            <v>40.606661363335256</v>
          </cell>
          <cell r="P182">
            <v>1.1554266139473701</v>
          </cell>
          <cell r="Q182">
            <v>32.441556776739347</v>
          </cell>
          <cell r="R182">
            <v>268.1041178550995</v>
          </cell>
          <cell r="S182">
            <v>307.33080347538646</v>
          </cell>
          <cell r="T182">
            <v>15.505716658995075</v>
          </cell>
          <cell r="U182">
            <v>0.18035237505717899</v>
          </cell>
        </row>
        <row r="183">
          <cell r="E183">
            <v>175</v>
          </cell>
          <cell r="F183" t="str">
            <v>Kota Yogyakarta</v>
          </cell>
          <cell r="G183">
            <v>396.238</v>
          </cell>
          <cell r="H183">
            <v>32.5</v>
          </cell>
          <cell r="I183">
            <v>50.414999999999999</v>
          </cell>
          <cell r="J183">
            <v>2.9581325837795207</v>
          </cell>
          <cell r="K183">
            <v>88.55</v>
          </cell>
          <cell r="L183">
            <v>1.3365311897617729</v>
          </cell>
          <cell r="M183">
            <v>3690.7069999999999</v>
          </cell>
          <cell r="N183">
            <v>68.621560000000002</v>
          </cell>
          <cell r="O183">
            <v>49.072604425508018</v>
          </cell>
          <cell r="P183">
            <v>1.1554266139473701</v>
          </cell>
          <cell r="Q183">
            <v>33.049550986398273</v>
          </cell>
          <cell r="R183">
            <v>169.92370758007291</v>
          </cell>
          <cell r="S183">
            <v>197.78663471308155</v>
          </cell>
          <cell r="T183">
            <v>12.723413705904028</v>
          </cell>
          <cell r="U183">
            <v>0.23249519760619453</v>
          </cell>
        </row>
        <row r="184">
          <cell r="E184">
            <v>176</v>
          </cell>
          <cell r="F184" t="str">
            <v>Kab. Bangkalan</v>
          </cell>
          <cell r="G184">
            <v>891.29600000000005</v>
          </cell>
          <cell r="H184">
            <v>1259.54</v>
          </cell>
          <cell r="I184">
            <v>292.56</v>
          </cell>
          <cell r="J184">
            <v>5.7246684158113261</v>
          </cell>
          <cell r="K184">
            <v>94.86</v>
          </cell>
          <cell r="L184">
            <v>1.0025878982867322</v>
          </cell>
          <cell r="M184">
            <v>1259.5488449527161</v>
          </cell>
          <cell r="N184">
            <v>20.873080000000002</v>
          </cell>
          <cell r="O184">
            <v>22.233889953254511</v>
          </cell>
          <cell r="P184">
            <v>1.80888289394737</v>
          </cell>
          <cell r="Q184">
            <v>13.968806297340432</v>
          </cell>
          <cell r="R184">
            <v>158.32667939999996</v>
          </cell>
          <cell r="S184">
            <v>246.20866291565247</v>
          </cell>
          <cell r="T184">
            <v>32.824112303881087</v>
          </cell>
          <cell r="U184">
            <v>0.17440436356094383</v>
          </cell>
        </row>
        <row r="185">
          <cell r="E185">
            <v>177</v>
          </cell>
          <cell r="F185" t="str">
            <v>Kab. Banyuwangi</v>
          </cell>
          <cell r="G185">
            <v>1540.4290000000001</v>
          </cell>
          <cell r="H185">
            <v>5782.6</v>
          </cell>
          <cell r="I185">
            <v>244.86088329506774</v>
          </cell>
          <cell r="J185">
            <v>2.1112008875711981</v>
          </cell>
          <cell r="K185">
            <v>88.77</v>
          </cell>
          <cell r="L185">
            <v>0.76351389571563588</v>
          </cell>
          <cell r="M185">
            <v>2629.1883800000001</v>
          </cell>
          <cell r="N185">
            <v>41.969839999999998</v>
          </cell>
          <cell r="O185">
            <v>37.353994062782988</v>
          </cell>
          <cell r="P185">
            <v>1.8386509439473699</v>
          </cell>
          <cell r="Q185">
            <v>23.895370308300272</v>
          </cell>
          <cell r="R185">
            <v>285.23207359724807</v>
          </cell>
          <cell r="S185">
            <v>372.02266993710356</v>
          </cell>
          <cell r="T185">
            <v>15.895629288663596</v>
          </cell>
          <cell r="U185">
            <v>0.13281643961569101</v>
          </cell>
        </row>
        <row r="186">
          <cell r="E186">
            <v>178</v>
          </cell>
          <cell r="F186" t="str">
            <v>Kab. Blitar</v>
          </cell>
          <cell r="G186">
            <v>1113.17</v>
          </cell>
          <cell r="H186">
            <v>1588.79</v>
          </cell>
          <cell r="I186">
            <v>179.41096238156825</v>
          </cell>
          <cell r="J186">
            <v>2.0964641731851299</v>
          </cell>
          <cell r="K186">
            <v>89.09</v>
          </cell>
          <cell r="L186">
            <v>0.74776489782056632</v>
          </cell>
          <cell r="M186">
            <v>1774.5084693177391</v>
          </cell>
          <cell r="N186">
            <v>21.761009999999999</v>
          </cell>
          <cell r="O186">
            <v>27.91877486885679</v>
          </cell>
          <cell r="P186">
            <v>1.64975088394737</v>
          </cell>
          <cell r="Q186">
            <v>14.391346225118866</v>
          </cell>
          <cell r="R186">
            <v>262.06956300000007</v>
          </cell>
          <cell r="S186">
            <v>308.85448882939716</v>
          </cell>
          <cell r="T186">
            <v>16.117121588038508</v>
          </cell>
          <cell r="U186">
            <v>0.13007683547793317</v>
          </cell>
        </row>
        <row r="187">
          <cell r="E187">
            <v>179</v>
          </cell>
          <cell r="F187" t="str">
            <v>Kab. Bojonegoro</v>
          </cell>
          <cell r="G187">
            <v>1217.508</v>
          </cell>
          <cell r="H187">
            <v>2198.79</v>
          </cell>
          <cell r="I187">
            <v>336.87164500807313</v>
          </cell>
          <cell r="J187">
            <v>4.7973654560332823</v>
          </cell>
          <cell r="K187">
            <v>88.64</v>
          </cell>
          <cell r="L187">
            <v>0.99672483916646071</v>
          </cell>
          <cell r="M187">
            <v>1426.7718780475059</v>
          </cell>
          <cell r="N187">
            <v>42.473179999999999</v>
          </cell>
          <cell r="O187">
            <v>24.079944776589514</v>
          </cell>
          <cell r="P187">
            <v>10.39489238394737</v>
          </cell>
          <cell r="Q187">
            <v>19.105585845955488</v>
          </cell>
          <cell r="R187">
            <v>219.3801998912451</v>
          </cell>
          <cell r="S187">
            <v>303.39476731620408</v>
          </cell>
          <cell r="T187">
            <v>27.668947145158235</v>
          </cell>
          <cell r="U187">
            <v>0.17338445987355791</v>
          </cell>
        </row>
        <row r="188">
          <cell r="E188">
            <v>180</v>
          </cell>
          <cell r="F188" t="str">
            <v>Kab. Bondowoso</v>
          </cell>
          <cell r="G188">
            <v>710.822</v>
          </cell>
          <cell r="H188">
            <v>1525.97</v>
          </cell>
          <cell r="I188">
            <v>172.99626875451776</v>
          </cell>
          <cell r="J188">
            <v>4.3039255306903312</v>
          </cell>
          <cell r="K188">
            <v>88.49</v>
          </cell>
          <cell r="L188">
            <v>1.016609079964613</v>
          </cell>
          <cell r="M188">
            <v>637.47933896822019</v>
          </cell>
          <cell r="N188">
            <v>21.172049999999999</v>
          </cell>
          <cell r="O188">
            <v>15.366567965850129</v>
          </cell>
          <cell r="P188">
            <v>1.6041459939473701</v>
          </cell>
          <cell r="Q188">
            <v>10.9340382301441</v>
          </cell>
          <cell r="R188">
            <v>153.78438299999999</v>
          </cell>
          <cell r="S188">
            <v>251.71821300000002</v>
          </cell>
          <cell r="T188">
            <v>24.337495006417605</v>
          </cell>
          <cell r="U188">
            <v>0.17684340683194472</v>
          </cell>
        </row>
        <row r="189">
          <cell r="E189">
            <v>181</v>
          </cell>
          <cell r="F189" t="str">
            <v>Kab. Gresik</v>
          </cell>
          <cell r="G189">
            <v>1077.9760000000001</v>
          </cell>
          <cell r="H189">
            <v>1191.25</v>
          </cell>
          <cell r="I189">
            <v>247.46685258105697</v>
          </cell>
          <cell r="J189">
            <v>3.6655409704083719</v>
          </cell>
          <cell r="K189">
            <v>91.69</v>
          </cell>
          <cell r="L189">
            <v>0.91789973953163762</v>
          </cell>
          <cell r="M189">
            <v>3857.1848374790188</v>
          </cell>
          <cell r="N189">
            <v>59.811699999999995</v>
          </cell>
          <cell r="O189">
            <v>50.910432679001758</v>
          </cell>
          <cell r="P189">
            <v>1.6041459939473701</v>
          </cell>
          <cell r="Q189">
            <v>44.985951670127491</v>
          </cell>
          <cell r="R189">
            <v>171.62878563539996</v>
          </cell>
          <cell r="S189">
            <v>247.50035014860771</v>
          </cell>
          <cell r="T189">
            <v>22.956619867330712</v>
          </cell>
          <cell r="U189">
            <v>0.15967250368704144</v>
          </cell>
        </row>
        <row r="190">
          <cell r="E190">
            <v>182</v>
          </cell>
          <cell r="F190" t="str">
            <v>Kab. Jember</v>
          </cell>
          <cell r="G190">
            <v>2242.2220000000002</v>
          </cell>
          <cell r="H190">
            <v>2477.6799999999998</v>
          </cell>
          <cell r="I190">
            <v>386.08437267810103</v>
          </cell>
          <cell r="J190">
            <v>2.9144724272753377</v>
          </cell>
          <cell r="K190">
            <v>89.96</v>
          </cell>
          <cell r="L190">
            <v>0.97301928640928248</v>
          </cell>
          <cell r="M190">
            <v>2909.4002157296059</v>
          </cell>
          <cell r="N190">
            <v>37.592239999999997</v>
          </cell>
          <cell r="O190">
            <v>40.447386171099623</v>
          </cell>
          <cell r="P190">
            <v>1.72728160394737</v>
          </cell>
          <cell r="Q190">
            <v>29.186493972938273</v>
          </cell>
          <cell r="R190">
            <v>347.44313607452921</v>
          </cell>
          <cell r="S190">
            <v>472.42748831302953</v>
          </cell>
          <cell r="T190">
            <v>17.218829031117391</v>
          </cell>
          <cell r="U190">
            <v>0.16926077969694595</v>
          </cell>
        </row>
        <row r="191">
          <cell r="E191">
            <v>183</v>
          </cell>
          <cell r="F191" t="str">
            <v>Kab. Jombang</v>
          </cell>
          <cell r="G191">
            <v>1179.9000000000001</v>
          </cell>
          <cell r="H191">
            <v>1115.0899999999999</v>
          </cell>
          <cell r="I191">
            <v>284.25111134867461</v>
          </cell>
          <cell r="J191">
            <v>3.898472028716307</v>
          </cell>
          <cell r="K191">
            <v>90.16</v>
          </cell>
          <cell r="L191">
            <v>0.93025617985408593</v>
          </cell>
          <cell r="M191">
            <v>2123.1614799999998</v>
          </cell>
          <cell r="N191">
            <v>70.11475999999999</v>
          </cell>
          <cell r="O191">
            <v>31.767721752121467</v>
          </cell>
          <cell r="P191">
            <v>1.6041459939473701</v>
          </cell>
          <cell r="Q191">
            <v>17.055351186364799</v>
          </cell>
          <cell r="R191">
            <v>214.53146592367636</v>
          </cell>
          <cell r="S191">
            <v>292.09505811157464</v>
          </cell>
          <cell r="T191">
            <v>24.091118853180319</v>
          </cell>
          <cell r="U191">
            <v>0.16182195822763382</v>
          </cell>
        </row>
        <row r="192">
          <cell r="E192">
            <v>184</v>
          </cell>
          <cell r="F192" t="str">
            <v>Kab. Kediri</v>
          </cell>
          <cell r="G192">
            <v>1479.6869999999999</v>
          </cell>
          <cell r="H192">
            <v>1386.05</v>
          </cell>
          <cell r="I192">
            <v>255.28476043902475</v>
          </cell>
          <cell r="J192">
            <v>2.7884389951466693</v>
          </cell>
          <cell r="K192">
            <v>90.37</v>
          </cell>
          <cell r="L192">
            <v>0.92911875657868281</v>
          </cell>
          <cell r="M192">
            <v>1901.2338279364274</v>
          </cell>
          <cell r="N192">
            <v>33.195970000000003</v>
          </cell>
          <cell r="O192">
            <v>29.317756547321373</v>
          </cell>
          <cell r="P192">
            <v>1.6041459939473701</v>
          </cell>
          <cell r="Q192">
            <v>21.869784231038786</v>
          </cell>
          <cell r="R192">
            <v>274.18769008278997</v>
          </cell>
          <cell r="S192">
            <v>358.23273813950158</v>
          </cell>
          <cell r="T192">
            <v>17.2526189957082</v>
          </cell>
          <cell r="U192">
            <v>0.16162409868555769</v>
          </cell>
        </row>
        <row r="193">
          <cell r="E193">
            <v>185</v>
          </cell>
          <cell r="F193" t="str">
            <v>Kab. Lamongan</v>
          </cell>
          <cell r="G193">
            <v>1237.616</v>
          </cell>
          <cell r="H193">
            <v>1669.56</v>
          </cell>
          <cell r="I193">
            <v>318.42940083030294</v>
          </cell>
          <cell r="J193">
            <v>3.2773922408563636</v>
          </cell>
          <cell r="K193">
            <v>91.38</v>
          </cell>
          <cell r="L193">
            <v>0.7322616474188004</v>
          </cell>
          <cell r="M193">
            <v>1589.4842764279467</v>
          </cell>
          <cell r="N193">
            <v>32.31467</v>
          </cell>
          <cell r="O193">
            <v>25.87620455185834</v>
          </cell>
          <cell r="P193">
            <v>1.6041459939473701</v>
          </cell>
          <cell r="Q193">
            <v>17.239603865573489</v>
          </cell>
          <cell r="R193">
            <v>224.34154738829994</v>
          </cell>
          <cell r="S193">
            <v>298.57010679356108</v>
          </cell>
          <cell r="T193">
            <v>25.729256960988138</v>
          </cell>
          <cell r="U193">
            <v>0.12737998014578089</v>
          </cell>
        </row>
        <row r="194">
          <cell r="E194">
            <v>186</v>
          </cell>
          <cell r="F194" t="str">
            <v>Kab. Lumajang</v>
          </cell>
          <cell r="G194">
            <v>1002.131</v>
          </cell>
          <cell r="H194">
            <v>1790.9</v>
          </cell>
          <cell r="I194">
            <v>179.8118807332589</v>
          </cell>
          <cell r="J194">
            <v>2.7579228047071846</v>
          </cell>
          <cell r="K194">
            <v>89.02</v>
          </cell>
          <cell r="L194">
            <v>0.88359516491587875</v>
          </cell>
          <cell r="M194">
            <v>1334.2987000000001</v>
          </cell>
          <cell r="N194">
            <v>25.775029999999997</v>
          </cell>
          <cell r="O194">
            <v>23.059089256842135</v>
          </cell>
          <cell r="P194">
            <v>1.6041459939473701</v>
          </cell>
          <cell r="Q194">
            <v>14.419220662689364</v>
          </cell>
          <cell r="R194">
            <v>189.34981283060571</v>
          </cell>
          <cell r="S194">
            <v>265.66385388109791</v>
          </cell>
          <cell r="T194">
            <v>17.94295164337386</v>
          </cell>
          <cell r="U194">
            <v>0.15370507927137261</v>
          </cell>
        </row>
        <row r="195">
          <cell r="E195">
            <v>187</v>
          </cell>
          <cell r="F195" t="str">
            <v>Kab. Madiun</v>
          </cell>
          <cell r="G195">
            <v>657.66</v>
          </cell>
          <cell r="H195">
            <v>1010.86</v>
          </cell>
          <cell r="I195">
            <v>155.85700921974222</v>
          </cell>
          <cell r="J195">
            <v>3.9819141927742536</v>
          </cell>
          <cell r="K195">
            <v>91.4</v>
          </cell>
          <cell r="L195">
            <v>0.96589984970810561</v>
          </cell>
          <cell r="M195">
            <v>994.19029899999998</v>
          </cell>
          <cell r="N195">
            <v>18.704249999999998</v>
          </cell>
          <cell r="O195">
            <v>19.304470395414683</v>
          </cell>
          <cell r="P195">
            <v>1.6939317539473699</v>
          </cell>
          <cell r="Q195">
            <v>12.504022860044872</v>
          </cell>
          <cell r="R195">
            <v>180.86511369209995</v>
          </cell>
          <cell r="S195">
            <v>230.1237059136036</v>
          </cell>
          <cell r="T195">
            <v>23.698721105091117</v>
          </cell>
          <cell r="U195">
            <v>0.16802232386788299</v>
          </cell>
        </row>
        <row r="196">
          <cell r="E196">
            <v>188</v>
          </cell>
          <cell r="F196" t="str">
            <v>Kab. Magetan</v>
          </cell>
          <cell r="G196">
            <v>623.39599999999996</v>
          </cell>
          <cell r="H196">
            <v>688.84</v>
          </cell>
          <cell r="I196">
            <v>106.74451113763698</v>
          </cell>
          <cell r="J196">
            <v>3.3862518520943117</v>
          </cell>
          <cell r="K196">
            <v>91.08</v>
          </cell>
          <cell r="L196">
            <v>1.1368491090404174</v>
          </cell>
          <cell r="M196">
            <v>983.48032222754307</v>
          </cell>
          <cell r="N196">
            <v>25.828080000000003</v>
          </cell>
          <cell r="O196">
            <v>19.186237853445462</v>
          </cell>
          <cell r="P196">
            <v>1.6041459939473701</v>
          </cell>
          <cell r="Q196">
            <v>12.330043002798105</v>
          </cell>
          <cell r="R196">
            <v>205.12731993990005</v>
          </cell>
          <cell r="S196">
            <v>253.13466263126384</v>
          </cell>
          <cell r="T196">
            <v>17.123066419681386</v>
          </cell>
          <cell r="U196">
            <v>0.19775966343283743</v>
          </cell>
        </row>
        <row r="197">
          <cell r="E197">
            <v>189</v>
          </cell>
          <cell r="F197" t="str">
            <v>Kab.  Malang</v>
          </cell>
          <cell r="G197">
            <v>2355.4050000000002</v>
          </cell>
          <cell r="H197">
            <v>2920.82</v>
          </cell>
          <cell r="I197">
            <v>381.27335245781319</v>
          </cell>
          <cell r="J197">
            <v>2.5441281981309047</v>
          </cell>
          <cell r="K197">
            <v>90.52</v>
          </cell>
          <cell r="L197">
            <v>0.90351058018772268</v>
          </cell>
          <cell r="M197">
            <v>4755.3064846030147</v>
          </cell>
          <cell r="N197">
            <v>38.519570000000002</v>
          </cell>
          <cell r="O197">
            <v>60.825225922077358</v>
          </cell>
          <cell r="P197">
            <v>1.7015372439473699</v>
          </cell>
          <cell r="Q197">
            <v>28.687657664610697</v>
          </cell>
          <cell r="R197">
            <v>355.58002456452391</v>
          </cell>
          <cell r="S197">
            <v>484.99452890460668</v>
          </cell>
          <cell r="T197">
            <v>16.187167491697316</v>
          </cell>
          <cell r="U197">
            <v>0.15716944916001105</v>
          </cell>
        </row>
        <row r="198">
          <cell r="E198">
            <v>190</v>
          </cell>
          <cell r="F198" t="str">
            <v>Kab. Mojokerto</v>
          </cell>
          <cell r="G198">
            <v>982.98900000000003</v>
          </cell>
          <cell r="H198">
            <v>717.83</v>
          </cell>
          <cell r="I198">
            <v>157.46068262650488</v>
          </cell>
          <cell r="J198">
            <v>2.6947740430417659</v>
          </cell>
          <cell r="K198">
            <v>90.78</v>
          </cell>
          <cell r="L198">
            <v>0.96708354764327098</v>
          </cell>
          <cell r="M198">
            <v>1502.6454384264098</v>
          </cell>
          <cell r="N198">
            <v>32.074849999999998</v>
          </cell>
          <cell r="O198">
            <v>24.917549199310866</v>
          </cell>
          <cell r="P198">
            <v>1.6041459939473701</v>
          </cell>
          <cell r="Q198">
            <v>23.850473312459577</v>
          </cell>
          <cell r="R198">
            <v>177.90364371569996</v>
          </cell>
          <cell r="S198">
            <v>257.94407306267999</v>
          </cell>
          <cell r="T198">
            <v>16.018559986582236</v>
          </cell>
          <cell r="U198">
            <v>0.16822823308081455</v>
          </cell>
        </row>
        <row r="199">
          <cell r="E199">
            <v>191</v>
          </cell>
          <cell r="F199" t="str">
            <v>Kab. Nganjuk</v>
          </cell>
          <cell r="G199">
            <v>1029.3920000000001</v>
          </cell>
          <cell r="H199">
            <v>1224.25</v>
          </cell>
          <cell r="I199">
            <v>240.63</v>
          </cell>
          <cell r="J199">
            <v>4.1450456838301504</v>
          </cell>
          <cell r="K199">
            <v>90.09</v>
          </cell>
          <cell r="L199">
            <v>1.0193549837960201</v>
          </cell>
          <cell r="M199">
            <v>1874.9332400000001</v>
          </cell>
          <cell r="N199">
            <v>36.77281</v>
          </cell>
          <cell r="O199">
            <v>29.027411812400398</v>
          </cell>
          <cell r="P199">
            <v>1.95583101394737</v>
          </cell>
          <cell r="Q199">
            <v>17.187690791189695</v>
          </cell>
          <cell r="R199">
            <v>241.3063418774999</v>
          </cell>
          <cell r="S199">
            <v>300.44806806643226</v>
          </cell>
          <cell r="T199">
            <v>23.375934532228733</v>
          </cell>
          <cell r="U199">
            <v>0.17732106830275884</v>
          </cell>
        </row>
        <row r="200">
          <cell r="E200">
            <v>192</v>
          </cell>
          <cell r="F200" t="str">
            <v>Kab. Ngawi</v>
          </cell>
          <cell r="G200">
            <v>841.51900000000001</v>
          </cell>
          <cell r="H200">
            <v>1295.98</v>
          </cell>
          <cell r="I200">
            <v>212.48672639604729</v>
          </cell>
          <cell r="J200">
            <v>4.473604862507031</v>
          </cell>
          <cell r="K200">
            <v>92.09</v>
          </cell>
          <cell r="L200">
            <v>1.0184855072893486</v>
          </cell>
          <cell r="M200">
            <v>1143.8493522115155</v>
          </cell>
          <cell r="N200">
            <v>17.89199</v>
          </cell>
          <cell r="O200">
            <v>20.956628067260404</v>
          </cell>
          <cell r="P200">
            <v>1.7005106439473701</v>
          </cell>
          <cell r="Q200">
            <v>14.219105843523575</v>
          </cell>
          <cell r="R200">
            <v>208.36063093379011</v>
          </cell>
          <cell r="S200">
            <v>272.52648603441673</v>
          </cell>
          <cell r="T200">
            <v>25.250377756895244</v>
          </cell>
          <cell r="U200">
            <v>0.17716981922321545</v>
          </cell>
        </row>
        <row r="201">
          <cell r="E201">
            <v>193</v>
          </cell>
          <cell r="F201" t="str">
            <v>Kab. Pacitan</v>
          </cell>
          <cell r="G201">
            <v>540.02599999999995</v>
          </cell>
          <cell r="H201">
            <v>1389.92</v>
          </cell>
          <cell r="I201">
            <v>133.44999999999999</v>
          </cell>
          <cell r="J201">
            <v>4.8802697612693038</v>
          </cell>
          <cell r="K201">
            <v>90.69</v>
          </cell>
          <cell r="L201">
            <v>1.135285345247423</v>
          </cell>
          <cell r="M201">
            <v>475.12064018200039</v>
          </cell>
          <cell r="N201">
            <v>12.335930000000001</v>
          </cell>
          <cell r="O201">
            <v>13.574212849107337</v>
          </cell>
          <cell r="P201">
            <v>1.60435788394737</v>
          </cell>
          <cell r="Q201">
            <v>9.4943614528131519</v>
          </cell>
          <cell r="R201">
            <v>152.168490558</v>
          </cell>
          <cell r="S201">
            <v>211.33231603560114</v>
          </cell>
          <cell r="T201">
            <v>24.711773136848965</v>
          </cell>
          <cell r="U201">
            <v>0.19748764017229054</v>
          </cell>
        </row>
        <row r="202">
          <cell r="E202">
            <v>194</v>
          </cell>
          <cell r="F202" t="str">
            <v>Kab. Pamekasan</v>
          </cell>
          <cell r="G202">
            <v>746.54499999999996</v>
          </cell>
          <cell r="H202">
            <v>792.24</v>
          </cell>
          <cell r="I202">
            <v>241.25261812985178</v>
          </cell>
          <cell r="J202">
            <v>5.4869830738543088</v>
          </cell>
          <cell r="K202">
            <v>95.08</v>
          </cell>
          <cell r="L202">
            <v>0.97607387300500936</v>
          </cell>
          <cell r="M202">
            <v>565.57846999999992</v>
          </cell>
          <cell r="N202">
            <v>14.71214</v>
          </cell>
          <cell r="O202">
            <v>14.572819978480938</v>
          </cell>
          <cell r="P202">
            <v>1.6041459939473701</v>
          </cell>
          <cell r="Q202">
            <v>12.430876180333509</v>
          </cell>
          <cell r="R202">
            <v>158.07733530000002</v>
          </cell>
          <cell r="S202">
            <v>230.95179909402808</v>
          </cell>
          <cell r="T202">
            <v>32.315884257459601</v>
          </cell>
          <cell r="U202">
            <v>0.16979213782732025</v>
          </cell>
        </row>
        <row r="203">
          <cell r="E203">
            <v>195</v>
          </cell>
          <cell r="F203" t="str">
            <v>Kab. Pasuruan</v>
          </cell>
          <cell r="G203">
            <v>1441.383</v>
          </cell>
          <cell r="H203">
            <v>1150.75</v>
          </cell>
          <cell r="I203">
            <v>290.86626415157036</v>
          </cell>
          <cell r="J203">
            <v>3.9970027935609425</v>
          </cell>
          <cell r="K203">
            <v>89.2</v>
          </cell>
          <cell r="L203">
            <v>1.1386378227855136</v>
          </cell>
          <cell r="M203">
            <v>1669.3139956525235</v>
          </cell>
          <cell r="N203">
            <v>48.64669</v>
          </cell>
          <cell r="O203">
            <v>26.757482899061102</v>
          </cell>
          <cell r="P203">
            <v>1.6041459939473701</v>
          </cell>
          <cell r="Q203">
            <v>32.737947416557645</v>
          </cell>
          <cell r="R203">
            <v>224.81303855699997</v>
          </cell>
          <cell r="S203">
            <v>378.25223599999998</v>
          </cell>
          <cell r="T203">
            <v>20.179665234817556</v>
          </cell>
          <cell r="U203">
            <v>0.19807081767960158</v>
          </cell>
        </row>
        <row r="204">
          <cell r="E204">
            <v>196</v>
          </cell>
          <cell r="F204" t="str">
            <v>Kab. Ponorogo</v>
          </cell>
          <cell r="G204">
            <v>869.91200000000003</v>
          </cell>
          <cell r="H204">
            <v>1305.7</v>
          </cell>
          <cell r="I204">
            <v>153.19999999999999</v>
          </cell>
          <cell r="J204">
            <v>2.4703535974492081</v>
          </cell>
          <cell r="K204">
            <v>88.79</v>
          </cell>
          <cell r="L204">
            <v>0.80638193327794661</v>
          </cell>
          <cell r="M204">
            <v>1105.7893653994599</v>
          </cell>
          <cell r="N204">
            <v>23.8735</v>
          </cell>
          <cell r="O204">
            <v>20.536465719226477</v>
          </cell>
          <cell r="P204">
            <v>1.6041459939473701</v>
          </cell>
          <cell r="Q204">
            <v>13.666582730025567</v>
          </cell>
          <cell r="R204">
            <v>217.37622300000007</v>
          </cell>
          <cell r="S204">
            <v>278.56671365848291</v>
          </cell>
          <cell r="T204">
            <v>17.610976742475099</v>
          </cell>
          <cell r="U204">
            <v>0.14027351427312243</v>
          </cell>
        </row>
        <row r="205">
          <cell r="E205">
            <v>197</v>
          </cell>
          <cell r="F205" t="str">
            <v xml:space="preserve">Kab. Probolinggo    </v>
          </cell>
          <cell r="G205">
            <v>1045.184</v>
          </cell>
          <cell r="H205">
            <v>1599.03</v>
          </cell>
          <cell r="I205">
            <v>272.86</v>
          </cell>
          <cell r="J205">
            <v>4.75</v>
          </cell>
          <cell r="K205">
            <v>88.71</v>
          </cell>
          <cell r="L205">
            <v>1.0459516252726704</v>
          </cell>
          <cell r="M205">
            <v>1915.478904600933</v>
          </cell>
          <cell r="N205">
            <v>23.705400000000001</v>
          </cell>
          <cell r="O205">
            <v>29.475014743148865</v>
          </cell>
          <cell r="P205">
            <v>1.6041459939473701</v>
          </cell>
          <cell r="Q205">
            <v>20.407621693184151</v>
          </cell>
          <cell r="R205">
            <v>178.80984119999999</v>
          </cell>
          <cell r="S205">
            <v>262.25579739397961</v>
          </cell>
          <cell r="T205">
            <v>26.106408058294043</v>
          </cell>
          <cell r="U205">
            <v>0.18194766546947153</v>
          </cell>
        </row>
        <row r="206">
          <cell r="E206">
            <v>198</v>
          </cell>
          <cell r="F206" t="str">
            <v>Kab. Sampang</v>
          </cell>
          <cell r="G206">
            <v>837.95799999999997</v>
          </cell>
          <cell r="H206">
            <v>1233.3</v>
          </cell>
          <cell r="I206">
            <v>332.58</v>
          </cell>
          <cell r="J206">
            <v>9.0736687533747702</v>
          </cell>
          <cell r="K206">
            <v>96.25</v>
          </cell>
          <cell r="L206">
            <v>1.3142384069498729</v>
          </cell>
          <cell r="M206">
            <v>651.78470631680034</v>
          </cell>
          <cell r="N206">
            <v>11.92414</v>
          </cell>
          <cell r="O206">
            <v>15.524491739296195</v>
          </cell>
          <cell r="P206">
            <v>1.6041459939473701</v>
          </cell>
          <cell r="Q206">
            <v>14.466775096558806</v>
          </cell>
          <cell r="R206">
            <v>117.42897057088543</v>
          </cell>
          <cell r="S206">
            <v>214.53076653230193</v>
          </cell>
          <cell r="T206">
            <v>39.689340038522211</v>
          </cell>
          <cell r="U206">
            <v>0.22861727467798476</v>
          </cell>
        </row>
        <row r="207">
          <cell r="E207">
            <v>199</v>
          </cell>
          <cell r="F207" t="str">
            <v>Kab. Sidoarjo</v>
          </cell>
          <cell r="G207">
            <v>1738.8989999999999</v>
          </cell>
          <cell r="H207">
            <v>634.39</v>
          </cell>
          <cell r="I207">
            <v>220.00394549024708</v>
          </cell>
          <cell r="J207">
            <v>1.9596091079240652</v>
          </cell>
          <cell r="K207">
            <v>90.47</v>
          </cell>
          <cell r="L207">
            <v>0.89038625907241986</v>
          </cell>
          <cell r="M207">
            <v>6141.824304463973</v>
          </cell>
          <cell r="N207">
            <v>112.97982</v>
          </cell>
          <cell r="O207">
            <v>76.13165746816324</v>
          </cell>
          <cell r="P207">
            <v>1.6041459939473701</v>
          </cell>
          <cell r="Q207">
            <v>64.409302486412386</v>
          </cell>
          <cell r="R207">
            <v>260.65456466589114</v>
          </cell>
          <cell r="S207">
            <v>343.07505710580875</v>
          </cell>
          <cell r="T207">
            <v>12.651910518681481</v>
          </cell>
          <cell r="U207">
            <v>0.1548864185397579</v>
          </cell>
        </row>
        <row r="208">
          <cell r="E208">
            <v>200</v>
          </cell>
          <cell r="F208" t="str">
            <v>Kab. Situbondo</v>
          </cell>
          <cell r="G208">
            <v>623.36199999999997</v>
          </cell>
          <cell r="H208">
            <v>1638.81</v>
          </cell>
          <cell r="I208">
            <v>115.46448528690873</v>
          </cell>
          <cell r="J208">
            <v>2.7807136538716142</v>
          </cell>
          <cell r="K208">
            <v>89.79</v>
          </cell>
          <cell r="L208">
            <v>0.86300493894909125</v>
          </cell>
          <cell r="M208">
            <v>1390.9870190599556</v>
          </cell>
          <cell r="N208">
            <v>41.497669999999999</v>
          </cell>
          <cell r="O208">
            <v>23.684898649786611</v>
          </cell>
          <cell r="P208">
            <v>1.8909414939473701</v>
          </cell>
          <cell r="Q208">
            <v>12.568183995145763</v>
          </cell>
          <cell r="R208">
            <v>150.6080805</v>
          </cell>
          <cell r="S208">
            <v>206.729848</v>
          </cell>
          <cell r="T208">
            <v>18.52286236358789</v>
          </cell>
          <cell r="U208">
            <v>0.15012332323636551</v>
          </cell>
        </row>
        <row r="209">
          <cell r="E209">
            <v>201</v>
          </cell>
          <cell r="F209" t="str">
            <v>Kab. Sumenep</v>
          </cell>
          <cell r="G209">
            <v>1038.7059999999999</v>
          </cell>
          <cell r="H209">
            <v>1998.54</v>
          </cell>
          <cell r="I209">
            <v>314.1195285496284</v>
          </cell>
          <cell r="J209">
            <v>5.6073677052050277</v>
          </cell>
          <cell r="K209">
            <v>96.28</v>
          </cell>
          <cell r="L209">
            <v>1.0659132255870012</v>
          </cell>
          <cell r="M209">
            <v>1204.1334882947738</v>
          </cell>
          <cell r="N209">
            <v>32.227519999999998</v>
          </cell>
          <cell r="O209">
            <v>21.62213339943554</v>
          </cell>
          <cell r="P209">
            <v>7.3861459939473697</v>
          </cell>
          <cell r="Q209">
            <v>30.84815270356053</v>
          </cell>
          <cell r="R209">
            <v>194.37273452531423</v>
          </cell>
          <cell r="S209">
            <v>363.40689900000001</v>
          </cell>
          <cell r="T209">
            <v>30.241428137473779</v>
          </cell>
          <cell r="U209">
            <v>0.18542006943966502</v>
          </cell>
        </row>
        <row r="210">
          <cell r="E210">
            <v>202</v>
          </cell>
          <cell r="F210" t="str">
            <v>Kab. Trenggalek</v>
          </cell>
          <cell r="G210">
            <v>671.02200000000005</v>
          </cell>
          <cell r="H210">
            <v>1261.4000000000001</v>
          </cell>
          <cell r="I210">
            <v>161.53</v>
          </cell>
          <cell r="J210">
            <v>4.3491891000111602</v>
          </cell>
          <cell r="K210">
            <v>89.41</v>
          </cell>
          <cell r="L210">
            <v>1.0386206867878884</v>
          </cell>
          <cell r="M210">
            <v>662.30696</v>
          </cell>
          <cell r="N210">
            <v>19.248619999999999</v>
          </cell>
          <cell r="O210">
            <v>15.640651916544112</v>
          </cell>
          <cell r="P210">
            <v>1.6041459939473701</v>
          </cell>
          <cell r="Q210">
            <v>12.079868172083984</v>
          </cell>
          <cell r="R210">
            <v>187.34627440006719</v>
          </cell>
          <cell r="S210">
            <v>252.00355456354001</v>
          </cell>
          <cell r="T210">
            <v>24.072236081678394</v>
          </cell>
          <cell r="U210">
            <v>0.18067241801941986</v>
          </cell>
        </row>
        <row r="211">
          <cell r="E211">
            <v>203</v>
          </cell>
          <cell r="F211" t="str">
            <v>Kab. Tuban</v>
          </cell>
          <cell r="G211">
            <v>1083.874</v>
          </cell>
          <cell r="H211">
            <v>1834.15</v>
          </cell>
          <cell r="I211">
            <v>306.80276863127398</v>
          </cell>
          <cell r="J211">
            <v>5.1535417961983168</v>
          </cell>
          <cell r="K211">
            <v>91.57</v>
          </cell>
          <cell r="L211">
            <v>1.0466233949381021</v>
          </cell>
          <cell r="M211">
            <v>1470.5771497355965</v>
          </cell>
          <cell r="N211">
            <v>54.485150000000004</v>
          </cell>
          <cell r="O211">
            <v>24.563532064720214</v>
          </cell>
          <cell r="P211">
            <v>1.63771910394737</v>
          </cell>
          <cell r="Q211">
            <v>20.362514268166443</v>
          </cell>
          <cell r="R211">
            <v>193.98211789199999</v>
          </cell>
          <cell r="S211">
            <v>278.09849042105753</v>
          </cell>
          <cell r="T211">
            <v>28.30612863038268</v>
          </cell>
          <cell r="U211">
            <v>0.18206452261602135</v>
          </cell>
        </row>
        <row r="212">
          <cell r="E212">
            <v>204</v>
          </cell>
          <cell r="F212" t="str">
            <v>Kab. Tulungagung</v>
          </cell>
          <cell r="G212">
            <v>962.82500000000005</v>
          </cell>
          <cell r="H212">
            <v>1055.6500000000001</v>
          </cell>
          <cell r="I212">
            <v>158.12</v>
          </cell>
          <cell r="J212">
            <v>2.7439103570532986</v>
          </cell>
          <cell r="K212">
            <v>90.28</v>
          </cell>
          <cell r="L212">
            <v>0.96049604978390202</v>
          </cell>
          <cell r="M212">
            <v>2342.1144866164959</v>
          </cell>
          <cell r="N212">
            <v>26.259270000000001</v>
          </cell>
          <cell r="O212">
            <v>34.184848427003416</v>
          </cell>
          <cell r="P212">
            <v>1.6041459939473701</v>
          </cell>
          <cell r="Q212">
            <v>15.460733418498318</v>
          </cell>
          <cell r="R212">
            <v>254.06405519999998</v>
          </cell>
          <cell r="S212">
            <v>309.0236332464404</v>
          </cell>
          <cell r="T212">
            <v>16.42250668605406</v>
          </cell>
          <cell r="U212">
            <v>0.16708231024094625</v>
          </cell>
        </row>
        <row r="213">
          <cell r="E213">
            <v>205</v>
          </cell>
          <cell r="F213" t="str">
            <v>Kota Blitar</v>
          </cell>
          <cell r="G213">
            <v>123.80800000000001</v>
          </cell>
          <cell r="H213">
            <v>32.58</v>
          </cell>
          <cell r="I213">
            <v>14.533290248786255</v>
          </cell>
          <cell r="J213">
            <v>2.2217260368319849</v>
          </cell>
          <cell r="K213">
            <v>90.38</v>
          </cell>
          <cell r="L213">
            <v>1.0880287645473035</v>
          </cell>
          <cell r="M213">
            <v>348.61836147430199</v>
          </cell>
          <cell r="N213">
            <v>18.64847</v>
          </cell>
          <cell r="O213">
            <v>12.17769385618344</v>
          </cell>
          <cell r="P213">
            <v>1.6041459939473701</v>
          </cell>
          <cell r="Q213">
            <v>8.4896452388145978</v>
          </cell>
          <cell r="R213">
            <v>63.614634299999999</v>
          </cell>
          <cell r="S213">
            <v>113.60284078413761</v>
          </cell>
          <cell r="T213">
            <v>11.738571214126917</v>
          </cell>
          <cell r="U213">
            <v>0.18926716005762467</v>
          </cell>
        </row>
        <row r="214">
          <cell r="E214">
            <v>206</v>
          </cell>
          <cell r="F214" t="str">
            <v>Kota Kediri</v>
          </cell>
          <cell r="G214">
            <v>252.673</v>
          </cell>
          <cell r="H214">
            <v>63.4</v>
          </cell>
          <cell r="I214">
            <v>34.278519069551031</v>
          </cell>
          <cell r="J214">
            <v>2.5655950182393288</v>
          </cell>
          <cell r="K214">
            <v>89.21</v>
          </cell>
          <cell r="L214">
            <v>1.0871513287513714</v>
          </cell>
          <cell r="M214">
            <v>4685.1924946245499</v>
          </cell>
          <cell r="N214">
            <v>26.209849999999999</v>
          </cell>
          <cell r="O214">
            <v>60.051204144170498</v>
          </cell>
          <cell r="P214">
            <v>1.6041459939473701</v>
          </cell>
          <cell r="Q214">
            <v>39.468106304057322</v>
          </cell>
          <cell r="R214">
            <v>101.10332744759999</v>
          </cell>
          <cell r="S214">
            <v>119.25943959664104</v>
          </cell>
          <cell r="T214">
            <v>13.566356147887202</v>
          </cell>
          <cell r="U214">
            <v>0.18911452642638235</v>
          </cell>
        </row>
        <row r="215">
          <cell r="E215">
            <v>207</v>
          </cell>
          <cell r="F215" t="str">
            <v>Kota Madiun</v>
          </cell>
          <cell r="G215">
            <v>176.07300000000001</v>
          </cell>
          <cell r="H215">
            <v>33.229999999999997</v>
          </cell>
          <cell r="I215">
            <v>15.836274891780883</v>
          </cell>
          <cell r="J215">
            <v>1.5602141755536207</v>
          </cell>
          <cell r="K215">
            <v>89.17</v>
          </cell>
          <cell r="L215">
            <v>0.99721559838935725</v>
          </cell>
          <cell r="M215">
            <v>558.60699470766099</v>
          </cell>
          <cell r="N215">
            <v>19.47174</v>
          </cell>
          <cell r="O215">
            <v>14.495858537517911</v>
          </cell>
          <cell r="P215">
            <v>1.6041459939473701</v>
          </cell>
          <cell r="Q215">
            <v>14.754463320681777</v>
          </cell>
          <cell r="R215">
            <v>88.178567884199964</v>
          </cell>
          <cell r="S215">
            <v>207.32012699999999</v>
          </cell>
          <cell r="T215">
            <v>8.994152931898066</v>
          </cell>
          <cell r="U215">
            <v>0.17346982949559026</v>
          </cell>
        </row>
        <row r="216">
          <cell r="E216">
            <v>208</v>
          </cell>
          <cell r="F216" t="str">
            <v>Kota Malang</v>
          </cell>
          <cell r="G216">
            <v>775.90899999999999</v>
          </cell>
          <cell r="H216">
            <v>110.06</v>
          </cell>
          <cell r="I216">
            <v>55.928110060846407</v>
          </cell>
          <cell r="J216">
            <v>0.99176962973029692</v>
          </cell>
          <cell r="K216">
            <v>90.81</v>
          </cell>
          <cell r="L216">
            <v>0.79096371724051784</v>
          </cell>
          <cell r="M216">
            <v>5379.9843758026682</v>
          </cell>
          <cell r="N216">
            <v>41.5822</v>
          </cell>
          <cell r="O216">
            <v>67.721343118003205</v>
          </cell>
          <cell r="P216">
            <v>1.6041459939473701</v>
          </cell>
          <cell r="Q216">
            <v>35.379596636948463</v>
          </cell>
          <cell r="R216">
            <v>162.13378424392837</v>
          </cell>
          <cell r="S216">
            <v>211.62781221793267</v>
          </cell>
          <cell r="T216">
            <v>7.2080759548924425</v>
          </cell>
          <cell r="U216">
            <v>0.1375914510247549</v>
          </cell>
        </row>
        <row r="217">
          <cell r="E217">
            <v>209</v>
          </cell>
          <cell r="F217" t="str">
            <v>Kota Mojokerto</v>
          </cell>
          <cell r="G217">
            <v>112.96599999999999</v>
          </cell>
          <cell r="H217">
            <v>16.47</v>
          </cell>
          <cell r="I217">
            <v>12.127780138642322</v>
          </cell>
          <cell r="J217">
            <v>1.6991423204978031</v>
          </cell>
          <cell r="K217">
            <v>90.49</v>
          </cell>
          <cell r="L217">
            <v>0.90983220317421298</v>
          </cell>
          <cell r="M217">
            <v>613.37181185528357</v>
          </cell>
          <cell r="N217">
            <v>11.021540000000002</v>
          </cell>
          <cell r="O217">
            <v>15.100433475392173</v>
          </cell>
          <cell r="P217">
            <v>1.66240415394737</v>
          </cell>
          <cell r="Q217">
            <v>9.6427322262929085</v>
          </cell>
          <cell r="R217">
            <v>53.765735101800011</v>
          </cell>
          <cell r="S217">
            <v>109.54</v>
          </cell>
          <cell r="T217">
            <v>10.735779029656998</v>
          </cell>
          <cell r="U217">
            <v>0.15826912195230697</v>
          </cell>
        </row>
        <row r="218">
          <cell r="E218">
            <v>210</v>
          </cell>
          <cell r="F218" t="str">
            <v xml:space="preserve">Kota Pasuruan </v>
          </cell>
          <cell r="G218">
            <v>178.53200000000001</v>
          </cell>
          <cell r="H218">
            <v>35.28</v>
          </cell>
          <cell r="I218">
            <v>22.250968518831368</v>
          </cell>
          <cell r="J218">
            <v>1.4809469113187823</v>
          </cell>
          <cell r="K218">
            <v>91.42</v>
          </cell>
          <cell r="L218">
            <v>0.68308028772308249</v>
          </cell>
          <cell r="M218">
            <v>640.17735500000003</v>
          </cell>
          <cell r="N218">
            <v>15.75417779</v>
          </cell>
          <cell r="O218">
            <v>15.396352651707844</v>
          </cell>
          <cell r="P218">
            <v>1.6041459939473701</v>
          </cell>
          <cell r="Q218">
            <v>8.9403481003301959</v>
          </cell>
          <cell r="R218">
            <v>58.585714076699993</v>
          </cell>
          <cell r="S218">
            <v>125.06964799999999</v>
          </cell>
          <cell r="T218">
            <v>12.463294265919481</v>
          </cell>
          <cell r="U218">
            <v>0.11882467666420979</v>
          </cell>
        </row>
        <row r="219">
          <cell r="E219">
            <v>211</v>
          </cell>
          <cell r="F219" t="str">
            <v>Kota Probollinggo</v>
          </cell>
          <cell r="G219">
            <v>201.73699999999999</v>
          </cell>
          <cell r="H219">
            <v>56.67</v>
          </cell>
          <cell r="I219">
            <v>36.383340415926966</v>
          </cell>
          <cell r="J219">
            <v>2.1147878431940246</v>
          </cell>
          <cell r="K219">
            <v>88.64</v>
          </cell>
          <cell r="L219">
            <v>0.67408537542281832</v>
          </cell>
          <cell r="M219">
            <v>993.45389572295619</v>
          </cell>
          <cell r="N219">
            <v>16.312049999999999</v>
          </cell>
          <cell r="O219">
            <v>19.29634088839434</v>
          </cell>
          <cell r="P219">
            <v>1.6041459939473701</v>
          </cell>
          <cell r="Q219">
            <v>12.584950089570867</v>
          </cell>
          <cell r="R219">
            <v>60.66733259999998</v>
          </cell>
          <cell r="S219">
            <v>111.58860636807543</v>
          </cell>
          <cell r="T219">
            <v>18.035035920989689</v>
          </cell>
          <cell r="U219">
            <v>0.11725997400053827</v>
          </cell>
        </row>
        <row r="220">
          <cell r="E220">
            <v>212</v>
          </cell>
          <cell r="F220" t="str">
            <v>Kota Surabaya</v>
          </cell>
          <cell r="G220">
            <v>2698.7919999999999</v>
          </cell>
          <cell r="H220">
            <v>326.36</v>
          </cell>
          <cell r="I220">
            <v>248.16</v>
          </cell>
          <cell r="J220">
            <v>1.5377267899596181</v>
          </cell>
          <cell r="K220">
            <v>88.21</v>
          </cell>
          <cell r="L220">
            <v>0.96135087458604362</v>
          </cell>
          <cell r="M220">
            <v>33638.380510734656</v>
          </cell>
          <cell r="N220">
            <v>340.81673999999998</v>
          </cell>
          <cell r="O220">
            <v>379.67925656544048</v>
          </cell>
          <cell r="P220">
            <v>1.6041459939473701</v>
          </cell>
          <cell r="Q220">
            <v>279.2116138942709</v>
          </cell>
          <cell r="R220">
            <v>360.98010492177366</v>
          </cell>
          <cell r="S220">
            <v>342.16759629149703</v>
          </cell>
          <cell r="T220">
            <v>9.1952251229438957</v>
          </cell>
          <cell r="U220">
            <v>0.16723101059512804</v>
          </cell>
        </row>
        <row r="221">
          <cell r="E221">
            <v>213</v>
          </cell>
          <cell r="F221" t="str">
            <v>Kota Batu</v>
          </cell>
          <cell r="G221">
            <v>178.505</v>
          </cell>
          <cell r="H221">
            <v>151.37</v>
          </cell>
          <cell r="I221">
            <v>20.246376760378091</v>
          </cell>
          <cell r="J221">
            <v>1.7969143735038646</v>
          </cell>
          <cell r="K221">
            <v>89.61</v>
          </cell>
          <cell r="L221">
            <v>0.91074241970224235</v>
          </cell>
          <cell r="M221">
            <v>444.21277903646347</v>
          </cell>
          <cell r="N221">
            <v>7.1942500000000003</v>
          </cell>
          <cell r="O221">
            <v>13.2330062276825</v>
          </cell>
          <cell r="P221">
            <v>1.6041459939473701</v>
          </cell>
          <cell r="Q221">
            <v>9.9524930823036755</v>
          </cell>
          <cell r="R221">
            <v>33.496366098300001</v>
          </cell>
          <cell r="S221">
            <v>99.343721048203008</v>
          </cell>
          <cell r="T221">
            <v>11.342190280596114</v>
          </cell>
          <cell r="U221">
            <v>0.15842745792917731</v>
          </cell>
        </row>
        <row r="222">
          <cell r="E222">
            <v>214</v>
          </cell>
          <cell r="F222" t="str">
            <v>Kab. Bengkayang</v>
          </cell>
          <cell r="G222">
            <v>194.191</v>
          </cell>
          <cell r="H222">
            <v>5397.3</v>
          </cell>
          <cell r="I222">
            <v>29.466999999999999</v>
          </cell>
          <cell r="J222">
            <v>2.9709120042357893</v>
          </cell>
          <cell r="K222">
            <v>102.06</v>
          </cell>
          <cell r="L222">
            <v>1.1255066753416967</v>
          </cell>
          <cell r="M222">
            <v>445.34596999999997</v>
          </cell>
          <cell r="N222">
            <v>2.1561399999999997</v>
          </cell>
          <cell r="O222">
            <v>13.245516063231353</v>
          </cell>
          <cell r="P222">
            <v>1.6957301839473702</v>
          </cell>
          <cell r="Q222">
            <v>7.5574455996586529</v>
          </cell>
          <cell r="R222">
            <v>49.699630117777872</v>
          </cell>
          <cell r="S222">
            <v>124.56315999704461</v>
          </cell>
          <cell r="T222">
            <v>15.174235675185772</v>
          </cell>
          <cell r="U222">
            <v>0.19578659959091599</v>
          </cell>
        </row>
        <row r="223">
          <cell r="E223">
            <v>215</v>
          </cell>
          <cell r="F223" t="str">
            <v>Kab. Landak</v>
          </cell>
          <cell r="G223">
            <v>307.14299999999997</v>
          </cell>
          <cell r="H223">
            <v>9889.1</v>
          </cell>
          <cell r="I223">
            <v>75.171999999999997</v>
          </cell>
          <cell r="J223">
            <v>5.2620146353299599</v>
          </cell>
          <cell r="K223">
            <v>101.47</v>
          </cell>
          <cell r="L223">
            <v>1.2359522143820829</v>
          </cell>
          <cell r="M223">
            <v>489.63170000000002</v>
          </cell>
          <cell r="N223">
            <v>1.975271338</v>
          </cell>
          <cell r="O223">
            <v>13.734407359833238</v>
          </cell>
          <cell r="P223">
            <v>1.6938373839473702</v>
          </cell>
          <cell r="Q223">
            <v>9.4920287476586545</v>
          </cell>
          <cell r="R223">
            <v>68.258834738782255</v>
          </cell>
          <cell r="S223">
            <v>160.01820760477852</v>
          </cell>
          <cell r="T223">
            <v>24.47459326763104</v>
          </cell>
          <cell r="U223">
            <v>0.2149990636326225</v>
          </cell>
        </row>
        <row r="224">
          <cell r="E224">
            <v>216</v>
          </cell>
          <cell r="F224" t="str">
            <v>Kab. Kapuas Hulu</v>
          </cell>
          <cell r="G224">
            <v>200.042</v>
          </cell>
          <cell r="H224">
            <v>29841.7</v>
          </cell>
          <cell r="I224">
            <v>31.972999999999999</v>
          </cell>
          <cell r="J224">
            <v>3.2479222776426862</v>
          </cell>
          <cell r="K224">
            <v>110.25</v>
          </cell>
          <cell r="L224">
            <v>1.1681767002597121</v>
          </cell>
          <cell r="M224">
            <v>347.71051999726296</v>
          </cell>
          <cell r="N224">
            <v>5.5484900000000001</v>
          </cell>
          <cell r="O224">
            <v>12.167671761101829</v>
          </cell>
          <cell r="P224">
            <v>1.7725475139473701</v>
          </cell>
          <cell r="Q224">
            <v>14.714978099658655</v>
          </cell>
          <cell r="R224">
            <v>85.569563327414528</v>
          </cell>
          <cell r="S224">
            <v>202.23965771675344</v>
          </cell>
          <cell r="T224">
            <v>15.983143539856629</v>
          </cell>
          <cell r="U224">
            <v>0.20320922911963166</v>
          </cell>
        </row>
        <row r="225">
          <cell r="E225">
            <v>217</v>
          </cell>
          <cell r="F225" t="str">
            <v>Kab. Ketapang</v>
          </cell>
          <cell r="G225">
            <v>474.34500000000003</v>
          </cell>
          <cell r="H225">
            <v>35809</v>
          </cell>
          <cell r="I225">
            <v>86.298000000000002</v>
          </cell>
          <cell r="J225">
            <v>3.1315620359034777</v>
          </cell>
          <cell r="K225">
            <v>103.56</v>
          </cell>
          <cell r="L225">
            <v>0.98950895111867654</v>
          </cell>
          <cell r="M225">
            <v>719.82117000000005</v>
          </cell>
          <cell r="N225">
            <v>10.241430000000001</v>
          </cell>
          <cell r="O225">
            <v>16.275578713504061</v>
          </cell>
          <cell r="P225">
            <v>3.1695878239473698</v>
          </cell>
          <cell r="Q225">
            <v>18.385424587658655</v>
          </cell>
          <cell r="R225">
            <v>113.23322024626391</v>
          </cell>
          <cell r="S225">
            <v>254.43413287735476</v>
          </cell>
          <cell r="T225">
            <v>18.193087309869398</v>
          </cell>
          <cell r="U225">
            <v>0.17212922592883209</v>
          </cell>
        </row>
        <row r="226">
          <cell r="E226">
            <v>218</v>
          </cell>
          <cell r="F226" t="str">
            <v>Kab. Pontianak</v>
          </cell>
          <cell r="G226">
            <v>702.005</v>
          </cell>
          <cell r="H226">
            <v>8235.1200000000008</v>
          </cell>
          <cell r="I226">
            <v>79.73</v>
          </cell>
          <cell r="J226">
            <v>1.52</v>
          </cell>
          <cell r="K226">
            <v>100.17</v>
          </cell>
          <cell r="L226">
            <v>0.76935563796211548</v>
          </cell>
          <cell r="M226">
            <v>1737.3016399999999</v>
          </cell>
          <cell r="N226">
            <v>8.9145599999999998</v>
          </cell>
          <cell r="O226">
            <v>27.508030933336375</v>
          </cell>
          <cell r="P226">
            <v>2.35077047394737</v>
          </cell>
          <cell r="Q226">
            <v>13.016533323658653</v>
          </cell>
          <cell r="R226">
            <v>169.06109791577049</v>
          </cell>
          <cell r="S226">
            <v>245.52510898950584</v>
          </cell>
          <cell r="T226">
            <v>11.35746896389627</v>
          </cell>
          <cell r="U226">
            <v>0.13383263514360966</v>
          </cell>
        </row>
        <row r="227">
          <cell r="E227">
            <v>219</v>
          </cell>
          <cell r="F227" t="str">
            <v>Kab. Sambas</v>
          </cell>
          <cell r="G227">
            <v>476.16199999999998</v>
          </cell>
          <cell r="H227">
            <v>8394.7000000000007</v>
          </cell>
          <cell r="I227">
            <v>68.757000000000005</v>
          </cell>
          <cell r="J227">
            <v>2.0617746122942084</v>
          </cell>
          <cell r="K227">
            <v>101.79</v>
          </cell>
          <cell r="L227">
            <v>0.82081278699594296</v>
          </cell>
          <cell r="M227">
            <v>1055.7436299999999</v>
          </cell>
          <cell r="N227">
            <v>7.59795</v>
          </cell>
          <cell r="O227">
            <v>19.983986975648424</v>
          </cell>
          <cell r="P227">
            <v>1.6938373839473702</v>
          </cell>
          <cell r="Q227">
            <v>11.081617115658654</v>
          </cell>
          <cell r="R227">
            <v>116.09854162998853</v>
          </cell>
          <cell r="S227">
            <v>207.7286857101858</v>
          </cell>
          <cell r="T227">
            <v>14.439833502043422</v>
          </cell>
          <cell r="U227">
            <v>0.14278382171113266</v>
          </cell>
        </row>
        <row r="228">
          <cell r="E228">
            <v>220</v>
          </cell>
          <cell r="F228" t="str">
            <v>Kab. Sanggau</v>
          </cell>
          <cell r="G228">
            <v>537.851</v>
          </cell>
          <cell r="H228">
            <v>18314.900000000001</v>
          </cell>
          <cell r="I228">
            <v>58.433999999999997</v>
          </cell>
          <cell r="J228">
            <v>1.5063015433271947</v>
          </cell>
          <cell r="K228">
            <v>102.67</v>
          </cell>
          <cell r="L228">
            <v>0.79702766616822573</v>
          </cell>
          <cell r="M228">
            <v>615.64329484415293</v>
          </cell>
          <cell r="N228">
            <v>8.5750799999999998</v>
          </cell>
          <cell r="O228">
            <v>15.125509459544119</v>
          </cell>
          <cell r="P228">
            <v>2.15838778394737</v>
          </cell>
          <cell r="Q228">
            <v>24.316445443658655</v>
          </cell>
          <cell r="R228">
            <v>141.88541422342942</v>
          </cell>
          <cell r="S228">
            <v>235.93729282172711</v>
          </cell>
          <cell r="T228">
            <v>10.864347189091403</v>
          </cell>
          <cell r="U228">
            <v>0.13864630033543399</v>
          </cell>
        </row>
        <row r="229">
          <cell r="E229">
            <v>221</v>
          </cell>
          <cell r="F229" t="str">
            <v>Kab. Sintang</v>
          </cell>
          <cell r="G229">
            <v>490.35899999999998</v>
          </cell>
          <cell r="H229">
            <v>32279</v>
          </cell>
          <cell r="I229">
            <v>80.885000000000005</v>
          </cell>
          <cell r="J229">
            <v>2.2249751558703923</v>
          </cell>
          <cell r="K229">
            <v>104.26</v>
          </cell>
          <cell r="L229">
            <v>0.77541900015608256</v>
          </cell>
          <cell r="M229">
            <v>526.02562999999998</v>
          </cell>
          <cell r="N229">
            <v>9.119530000000001</v>
          </cell>
          <cell r="O229">
            <v>14.136177312053473</v>
          </cell>
          <cell r="P229">
            <v>3.6336457939473701</v>
          </cell>
          <cell r="Q229">
            <v>16.553752011658652</v>
          </cell>
          <cell r="R229">
            <v>120.88622709736636</v>
          </cell>
          <cell r="S229">
            <v>256.17402438879424</v>
          </cell>
          <cell r="T229">
            <v>16.495057702621956</v>
          </cell>
          <cell r="U229">
            <v>0.13488738238949741</v>
          </cell>
        </row>
        <row r="230">
          <cell r="E230">
            <v>222</v>
          </cell>
          <cell r="F230" t="str">
            <v>Kota Pontianak</v>
          </cell>
          <cell r="G230">
            <v>487.05799999999999</v>
          </cell>
          <cell r="H230">
            <v>107.81</v>
          </cell>
          <cell r="I230">
            <v>31.472000000000001</v>
          </cell>
          <cell r="J230">
            <v>0.83228344668600562</v>
          </cell>
          <cell r="K230">
            <v>103.03</v>
          </cell>
          <cell r="L230">
            <v>0.74044483326431199</v>
          </cell>
          <cell r="M230">
            <v>4872.0757400000002</v>
          </cell>
          <cell r="N230">
            <v>31.320419999999999</v>
          </cell>
          <cell r="O230">
            <v>62.114297428277411</v>
          </cell>
          <cell r="P230">
            <v>1.6938373839473702</v>
          </cell>
          <cell r="Q230">
            <v>25.026186147658652</v>
          </cell>
          <cell r="R230">
            <v>132.29669894820003</v>
          </cell>
          <cell r="S230">
            <v>175.99950799999999</v>
          </cell>
          <cell r="T230">
            <v>6.4616534375782768</v>
          </cell>
          <cell r="U230">
            <v>0.12880347959328689</v>
          </cell>
        </row>
        <row r="231">
          <cell r="E231">
            <v>223</v>
          </cell>
          <cell r="F231" t="str">
            <v>Kota Singkawang</v>
          </cell>
          <cell r="G231">
            <v>164.078</v>
          </cell>
          <cell r="H231">
            <v>504</v>
          </cell>
          <cell r="I231">
            <v>16.036999999999999</v>
          </cell>
          <cell r="J231">
            <v>1.9121677243867967</v>
          </cell>
          <cell r="K231">
            <v>102.78</v>
          </cell>
          <cell r="L231">
            <v>1.1246524128788751</v>
          </cell>
          <cell r="M231">
            <v>719.52958494770053</v>
          </cell>
          <cell r="N231">
            <v>5.0702299999999996</v>
          </cell>
          <cell r="O231">
            <v>16.272359767033301</v>
          </cell>
          <cell r="P231">
            <v>1.6938373839473702</v>
          </cell>
          <cell r="Q231">
            <v>7.4799431356586537</v>
          </cell>
          <cell r="R231">
            <v>61.651709671243964</v>
          </cell>
          <cell r="S231">
            <v>118.73422566463907</v>
          </cell>
          <cell r="T231">
            <v>9.7740099221102152</v>
          </cell>
          <cell r="U231">
            <v>0.19563799705801388</v>
          </cell>
        </row>
        <row r="232">
          <cell r="E232">
            <v>224</v>
          </cell>
          <cell r="F232" t="str">
            <v>Kab. Barito Selatan</v>
          </cell>
          <cell r="G232">
            <v>115.345</v>
          </cell>
          <cell r="H232">
            <v>8830</v>
          </cell>
          <cell r="I232">
            <v>13.85</v>
          </cell>
          <cell r="J232">
            <v>1.451210424859479</v>
          </cell>
          <cell r="K232">
            <v>107.15</v>
          </cell>
          <cell r="L232">
            <v>0.69477550883514771</v>
          </cell>
          <cell r="M232">
            <v>340.19451000000004</v>
          </cell>
          <cell r="N232">
            <v>4.92319</v>
          </cell>
          <cell r="O232">
            <v>12.084698941802369</v>
          </cell>
          <cell r="P232">
            <v>2.5457347239473704</v>
          </cell>
          <cell r="Q232">
            <v>21.222517959658656</v>
          </cell>
          <cell r="R232">
            <v>66.421350953147481</v>
          </cell>
          <cell r="S232">
            <v>125.58036993500075</v>
          </cell>
          <cell r="T232">
            <v>12.007455893189995</v>
          </cell>
          <cell r="U232">
            <v>0.12085910935409142</v>
          </cell>
        </row>
        <row r="233">
          <cell r="E233">
            <v>225</v>
          </cell>
          <cell r="F233" t="str">
            <v>Kab. Barito Utara</v>
          </cell>
          <cell r="G233">
            <v>109.05200000000001</v>
          </cell>
          <cell r="H233">
            <v>8300</v>
          </cell>
          <cell r="I233">
            <v>10.423999999999999</v>
          </cell>
          <cell r="J233">
            <v>1.2903770622711241</v>
          </cell>
          <cell r="K233">
            <v>106.04</v>
          </cell>
          <cell r="L233">
            <v>0.77603440900808296</v>
          </cell>
          <cell r="M233">
            <v>426.23802000000001</v>
          </cell>
          <cell r="N233">
            <v>9.0771299999999986</v>
          </cell>
          <cell r="O233">
            <v>13.03457428919028</v>
          </cell>
          <cell r="P233">
            <v>4.4065362839473705</v>
          </cell>
          <cell r="Q233">
            <v>16.806210717658654</v>
          </cell>
          <cell r="R233">
            <v>63.782031469150887</v>
          </cell>
          <cell r="S233">
            <v>121.1481465018648</v>
          </cell>
          <cell r="T233">
            <v>9.5587426182004904</v>
          </cell>
          <cell r="U233">
            <v>0.13499443533652211</v>
          </cell>
        </row>
        <row r="234">
          <cell r="E234">
            <v>226</v>
          </cell>
          <cell r="F234" t="str">
            <v>Kab. Kapuas</v>
          </cell>
          <cell r="G234">
            <v>328.83300000000003</v>
          </cell>
          <cell r="H234">
            <v>16855.344000000001</v>
          </cell>
          <cell r="I234">
            <v>34.78</v>
          </cell>
          <cell r="J234">
            <v>1.6406010041901642</v>
          </cell>
          <cell r="K234">
            <v>107.34</v>
          </cell>
          <cell r="L234">
            <v>0.89169001083651345</v>
          </cell>
          <cell r="M234">
            <v>658.27929000000006</v>
          </cell>
          <cell r="N234">
            <v>14.24287</v>
          </cell>
          <cell r="O234">
            <v>15.596188546321141</v>
          </cell>
          <cell r="P234">
            <v>3.1718349939473702</v>
          </cell>
          <cell r="Q234">
            <v>9.0408870696586536</v>
          </cell>
          <cell r="R234">
            <v>117.77208977599062</v>
          </cell>
          <cell r="S234">
            <v>200.2631902915839</v>
          </cell>
          <cell r="T234">
            <v>10.576797340899484</v>
          </cell>
          <cell r="U234">
            <v>0.15511321161899491</v>
          </cell>
        </row>
        <row r="235">
          <cell r="E235">
            <v>227</v>
          </cell>
          <cell r="F235" t="str">
            <v>Kab. Kotawaringin Barat</v>
          </cell>
          <cell r="G235">
            <v>197.00200000000001</v>
          </cell>
          <cell r="H235">
            <v>10759</v>
          </cell>
          <cell r="I235">
            <v>16.638000000000002</v>
          </cell>
          <cell r="J235">
            <v>1.6187812421660532</v>
          </cell>
          <cell r="K235">
            <v>107.58</v>
          </cell>
          <cell r="L235">
            <v>1.1018507967618909</v>
          </cell>
          <cell r="M235">
            <v>661.59315000000004</v>
          </cell>
          <cell r="N235">
            <v>17.780180000000001</v>
          </cell>
          <cell r="O235">
            <v>15.63277182748546</v>
          </cell>
          <cell r="P235">
            <v>2.9375385939473704</v>
          </cell>
          <cell r="Q235">
            <v>11.592446578658654</v>
          </cell>
          <cell r="R235">
            <v>65.698293899999996</v>
          </cell>
          <cell r="S235">
            <v>135.08911796976264</v>
          </cell>
          <cell r="T235">
            <v>8.4455995370605379</v>
          </cell>
          <cell r="U235">
            <v>0.19167156044548431</v>
          </cell>
        </row>
        <row r="236">
          <cell r="E236">
            <v>228</v>
          </cell>
          <cell r="F236" t="str">
            <v>Kab. Kotawaringin Timur</v>
          </cell>
          <cell r="G236">
            <v>286.99299999999999</v>
          </cell>
          <cell r="H236">
            <v>16796</v>
          </cell>
          <cell r="I236">
            <v>34.279000000000003</v>
          </cell>
          <cell r="J236">
            <v>3.0431291492320813</v>
          </cell>
          <cell r="K236">
            <v>108</v>
          </cell>
          <cell r="L236">
            <v>1.4646324618817734</v>
          </cell>
          <cell r="M236">
            <v>1045.98831</v>
          </cell>
          <cell r="N236">
            <v>29.016330000000004</v>
          </cell>
          <cell r="O236">
            <v>19.876293345136602</v>
          </cell>
          <cell r="P236">
            <v>5.2412541139473694</v>
          </cell>
          <cell r="Q236">
            <v>13.765548351658653</v>
          </cell>
          <cell r="R236">
            <v>96.358339409830776</v>
          </cell>
          <cell r="S236">
            <v>180.17633496014921</v>
          </cell>
          <cell r="T236">
            <v>11.944193760823437</v>
          </cell>
          <cell r="U236">
            <v>0.25477895035606712</v>
          </cell>
        </row>
        <row r="237">
          <cell r="E237">
            <v>229</v>
          </cell>
          <cell r="F237" t="str">
            <v>Kota Palangkaraya</v>
          </cell>
          <cell r="G237">
            <v>172.51</v>
          </cell>
          <cell r="H237">
            <v>2400</v>
          </cell>
          <cell r="I237">
            <v>11.025</v>
          </cell>
          <cell r="J237">
            <v>0.91500580027199252</v>
          </cell>
          <cell r="K237">
            <v>101.47</v>
          </cell>
          <cell r="L237">
            <v>0.82304699876029586</v>
          </cell>
          <cell r="M237">
            <v>838.64440999999999</v>
          </cell>
          <cell r="N237">
            <v>8.9816000000000003</v>
          </cell>
          <cell r="O237">
            <v>17.587325135433581</v>
          </cell>
          <cell r="P237">
            <v>2.2617373239473704</v>
          </cell>
          <cell r="Q237">
            <v>11.928222928658654</v>
          </cell>
          <cell r="R237">
            <v>106.28605574402432</v>
          </cell>
          <cell r="S237">
            <v>145.99938760668431</v>
          </cell>
          <cell r="T237">
            <v>6.3909338589067302</v>
          </cell>
          <cell r="U237">
            <v>0.14317247220401036</v>
          </cell>
        </row>
        <row r="238">
          <cell r="E238">
            <v>230</v>
          </cell>
          <cell r="F238" t="str">
            <v>Kab. Barito Timur</v>
          </cell>
          <cell r="G238">
            <v>77.325999999999993</v>
          </cell>
          <cell r="H238">
            <v>3834</v>
          </cell>
          <cell r="I238">
            <v>10.119999999999999</v>
          </cell>
          <cell r="J238">
            <v>1.5814186740487648</v>
          </cell>
          <cell r="K238">
            <v>105.33</v>
          </cell>
          <cell r="L238">
            <v>0.69463555173683944</v>
          </cell>
          <cell r="M238">
            <v>159.25758999999999</v>
          </cell>
          <cell r="N238">
            <v>0.97489999999999999</v>
          </cell>
          <cell r="O238">
            <v>10.087249979756324</v>
          </cell>
          <cell r="P238">
            <v>2.5027520139473705</v>
          </cell>
          <cell r="Q238">
            <v>12.988754760658654</v>
          </cell>
          <cell r="R238">
            <v>45.621030599999997</v>
          </cell>
          <cell r="S238">
            <v>93.427273374059538</v>
          </cell>
          <cell r="T238">
            <v>13.087447947650208</v>
          </cell>
          <cell r="U238">
            <v>0.12083476323072607</v>
          </cell>
        </row>
        <row r="239">
          <cell r="E239">
            <v>231</v>
          </cell>
          <cell r="F239" t="str">
            <v>Kab. Murung Raya</v>
          </cell>
          <cell r="G239">
            <v>83.435000000000002</v>
          </cell>
          <cell r="H239">
            <v>23700</v>
          </cell>
          <cell r="I239">
            <v>8.2189999999999994</v>
          </cell>
          <cell r="J239">
            <v>1.324730896048345</v>
          </cell>
          <cell r="K239">
            <v>105.93</v>
          </cell>
          <cell r="L239">
            <v>0.77307577871983868</v>
          </cell>
          <cell r="M239">
            <v>260.55751000000004</v>
          </cell>
          <cell r="N239">
            <v>2.1914899999999999</v>
          </cell>
          <cell r="O239">
            <v>11.205548114041729</v>
          </cell>
          <cell r="P239">
            <v>4.7888273539473705</v>
          </cell>
          <cell r="Q239">
            <v>13.277408190658653</v>
          </cell>
          <cell r="R239">
            <v>20.281625099999999</v>
          </cell>
          <cell r="S239">
            <v>124.62155035891863</v>
          </cell>
          <cell r="T239">
            <v>9.8507820459039959</v>
          </cell>
          <cell r="U239">
            <v>0.13447976920768182</v>
          </cell>
        </row>
        <row r="240">
          <cell r="E240">
            <v>232</v>
          </cell>
          <cell r="F240" t="str">
            <v>Kab. Pulang Pisau</v>
          </cell>
          <cell r="G240">
            <v>115.033</v>
          </cell>
          <cell r="H240">
            <v>8153.5309999999999</v>
          </cell>
          <cell r="I240">
            <v>11.526</v>
          </cell>
          <cell r="J240">
            <v>1.5521616039817403</v>
          </cell>
          <cell r="K240">
            <v>104.49</v>
          </cell>
          <cell r="L240">
            <v>0.89052451262673282</v>
          </cell>
          <cell r="M240">
            <v>205.04517000000001</v>
          </cell>
          <cell r="N240">
            <v>6.1800100000000002</v>
          </cell>
          <cell r="O240">
            <v>10.592720914851274</v>
          </cell>
          <cell r="P240">
            <v>2.6753423639473701</v>
          </cell>
          <cell r="Q240">
            <v>7.7325762416586539</v>
          </cell>
          <cell r="R240">
            <v>45.033577500000007</v>
          </cell>
          <cell r="S240">
            <v>110.31624762974843</v>
          </cell>
          <cell r="T240">
            <v>10.019733467787505</v>
          </cell>
          <cell r="U240">
            <v>0.15491046832451114</v>
          </cell>
        </row>
        <row r="241">
          <cell r="E241">
            <v>233</v>
          </cell>
          <cell r="F241" t="str">
            <v>Kab. Gunung Mas</v>
          </cell>
          <cell r="G241">
            <v>84.093000000000004</v>
          </cell>
          <cell r="H241">
            <v>9791.125</v>
          </cell>
          <cell r="I241">
            <v>8.52</v>
          </cell>
          <cell r="J241">
            <v>1.570863946893974</v>
          </cell>
          <cell r="K241">
            <v>104.87</v>
          </cell>
          <cell r="L241">
            <v>0.89130005863590778</v>
          </cell>
          <cell r="M241">
            <v>155.95913000000002</v>
          </cell>
          <cell r="N241">
            <v>2.0771999999999999</v>
          </cell>
          <cell r="O241">
            <v>10.050836706537401</v>
          </cell>
          <cell r="P241">
            <v>2.7546194839473701</v>
          </cell>
          <cell r="Q241">
            <v>7.7484704266586544</v>
          </cell>
          <cell r="R241">
            <v>41.828172600000002</v>
          </cell>
          <cell r="S241">
            <v>106.88512709996309</v>
          </cell>
          <cell r="T241">
            <v>10.131639970033177</v>
          </cell>
          <cell r="U241">
            <v>0.15504537780065136</v>
          </cell>
        </row>
        <row r="242">
          <cell r="E242">
            <v>234</v>
          </cell>
          <cell r="F242" t="str">
            <v>Kab. Lamandau</v>
          </cell>
          <cell r="G242">
            <v>48.66</v>
          </cell>
          <cell r="H242">
            <v>6414</v>
          </cell>
          <cell r="I242">
            <v>4.51</v>
          </cell>
          <cell r="J242">
            <v>1.7604147684854952</v>
          </cell>
          <cell r="K242">
            <v>106.46</v>
          </cell>
          <cell r="L242">
            <v>1.0918819268665199</v>
          </cell>
          <cell r="M242">
            <v>132.27291</v>
          </cell>
          <cell r="N242">
            <v>4.6135399999999995</v>
          </cell>
          <cell r="O242">
            <v>9.7893532262515954</v>
          </cell>
          <cell r="P242">
            <v>2.5931219939473702</v>
          </cell>
          <cell r="Q242">
            <v>5.4225778896586538</v>
          </cell>
          <cell r="R242">
            <v>21.283322999999999</v>
          </cell>
          <cell r="S242">
            <v>78.1209445052001</v>
          </cell>
          <cell r="T242">
            <v>9.2683929305384307</v>
          </cell>
          <cell r="U242">
            <v>0.18993743377938843</v>
          </cell>
        </row>
        <row r="243">
          <cell r="E243">
            <v>235</v>
          </cell>
          <cell r="F243" t="str">
            <v>Kab. Sukamara</v>
          </cell>
          <cell r="G243">
            <v>33.9</v>
          </cell>
          <cell r="H243">
            <v>3827</v>
          </cell>
          <cell r="I243">
            <v>3.508</v>
          </cell>
          <cell r="J243">
            <v>1.9668838129746804</v>
          </cell>
          <cell r="K243">
            <v>104.67</v>
          </cell>
          <cell r="L243">
            <v>1.0926571983208162</v>
          </cell>
          <cell r="M243">
            <v>112.73967</v>
          </cell>
          <cell r="N243">
            <v>1.150812929</v>
          </cell>
          <cell r="O243">
            <v>9.5737164730483464</v>
          </cell>
          <cell r="P243">
            <v>2.5932427239473701</v>
          </cell>
          <cell r="Q243">
            <v>4.445056562658654</v>
          </cell>
          <cell r="R243">
            <v>14.473800000000004</v>
          </cell>
          <cell r="S243">
            <v>68.389075054180239</v>
          </cell>
          <cell r="T243">
            <v>10.348082595870208</v>
          </cell>
          <cell r="U243">
            <v>0.19007229549555774</v>
          </cell>
        </row>
        <row r="244">
          <cell r="E244">
            <v>236</v>
          </cell>
          <cell r="F244" t="str">
            <v>Kab. Katingan</v>
          </cell>
          <cell r="G244">
            <v>126.72799999999999</v>
          </cell>
          <cell r="H244">
            <v>17500</v>
          </cell>
          <cell r="I244">
            <v>14.933999999999999</v>
          </cell>
          <cell r="J244">
            <v>2.9955784294749308</v>
          </cell>
          <cell r="K244">
            <v>105.68</v>
          </cell>
          <cell r="L244">
            <v>1.4613096091948592</v>
          </cell>
          <cell r="M244">
            <v>409.35833000000002</v>
          </cell>
          <cell r="N244">
            <v>6.6983413939999998</v>
          </cell>
          <cell r="O244">
            <v>12.848231340110793</v>
          </cell>
          <cell r="P244">
            <v>3.8112830339473702</v>
          </cell>
          <cell r="Q244">
            <v>7.3149433926586536</v>
          </cell>
          <cell r="R244">
            <v>48.382288499999994</v>
          </cell>
          <cell r="S244">
            <v>133.3385997316924</v>
          </cell>
          <cell r="T244">
            <v>11.78429392083833</v>
          </cell>
          <cell r="U244">
            <v>0.25420092621568169</v>
          </cell>
        </row>
        <row r="245">
          <cell r="E245">
            <v>237</v>
          </cell>
          <cell r="F245" t="str">
            <v>Kab. Seruyan</v>
          </cell>
          <cell r="G245">
            <v>91.674999999999997</v>
          </cell>
          <cell r="H245">
            <v>16404</v>
          </cell>
          <cell r="I245">
            <v>11.73</v>
          </cell>
          <cell r="J245">
            <v>3.25</v>
          </cell>
          <cell r="K245">
            <v>106.64</v>
          </cell>
          <cell r="L245">
            <v>1.4601631331193077</v>
          </cell>
          <cell r="M245">
            <v>282.11264</v>
          </cell>
          <cell r="N245">
            <v>2.80809</v>
          </cell>
          <cell r="O245">
            <v>11.443505475343487</v>
          </cell>
          <cell r="P245">
            <v>3.7629333739473703</v>
          </cell>
          <cell r="Q245">
            <v>8.5639234406586535</v>
          </cell>
          <cell r="R245">
            <v>19.997334540239038</v>
          </cell>
          <cell r="S245">
            <v>117.20700053336185</v>
          </cell>
          <cell r="T245">
            <v>12.795200436323972</v>
          </cell>
          <cell r="U245">
            <v>0.25400149190110827</v>
          </cell>
        </row>
        <row r="246">
          <cell r="E246">
            <v>238</v>
          </cell>
          <cell r="F246" t="str">
            <v xml:space="preserve">Kab. Banjar </v>
          </cell>
          <cell r="G246">
            <v>456.84199999999998</v>
          </cell>
          <cell r="H246">
            <v>4668</v>
          </cell>
          <cell r="I246">
            <v>31.372</v>
          </cell>
          <cell r="J246">
            <v>1.1696560325273933</v>
          </cell>
          <cell r="K246">
            <v>98.49</v>
          </cell>
          <cell r="L246">
            <v>0.97914518895192493</v>
          </cell>
          <cell r="M246">
            <v>937.73899600000004</v>
          </cell>
          <cell r="N246">
            <v>9.2560599999999997</v>
          </cell>
          <cell r="O246">
            <v>18.681277535806501</v>
          </cell>
          <cell r="P246">
            <v>13.273061053947369</v>
          </cell>
          <cell r="Q246">
            <v>16.172666953608655</v>
          </cell>
          <cell r="R246">
            <v>116.17834843379997</v>
          </cell>
          <cell r="S246">
            <v>174.96316377895496</v>
          </cell>
          <cell r="T246">
            <v>6.8671444394342025</v>
          </cell>
          <cell r="U246">
            <v>0.17032640609839328</v>
          </cell>
        </row>
        <row r="247">
          <cell r="E247">
            <v>239</v>
          </cell>
          <cell r="F247" t="str">
            <v>Kab. Barito Kuala</v>
          </cell>
          <cell r="G247">
            <v>262.79000000000002</v>
          </cell>
          <cell r="H247">
            <v>2996.96</v>
          </cell>
          <cell r="I247">
            <v>17.966000000000001</v>
          </cell>
          <cell r="J247">
            <v>0.98</v>
          </cell>
          <cell r="K247">
            <v>100.7</v>
          </cell>
          <cell r="L247">
            <v>0.82404063239411041</v>
          </cell>
          <cell r="M247">
            <v>492.76923299999999</v>
          </cell>
          <cell r="N247">
            <v>9.2979300000000009</v>
          </cell>
          <cell r="O247">
            <v>13.7690440831412</v>
          </cell>
          <cell r="P247">
            <v>9.9460826739473696</v>
          </cell>
          <cell r="Q247">
            <v>10.091235984028653</v>
          </cell>
          <cell r="R247">
            <v>74.551187361899991</v>
          </cell>
          <cell r="S247">
            <v>135.24613071884301</v>
          </cell>
          <cell r="T247">
            <v>6.8366376193919098</v>
          </cell>
          <cell r="U247">
            <v>0.14334531893576755</v>
          </cell>
        </row>
        <row r="248">
          <cell r="E248">
            <v>240</v>
          </cell>
          <cell r="F248" t="str">
            <v>Kab. Hulu Sungai Selatan</v>
          </cell>
          <cell r="G248">
            <v>200.196</v>
          </cell>
          <cell r="H248">
            <v>1703</v>
          </cell>
          <cell r="I248">
            <v>21.248999999999999</v>
          </cell>
          <cell r="J248">
            <v>1.6048051714684188</v>
          </cell>
          <cell r="K248">
            <v>104.79</v>
          </cell>
          <cell r="L248">
            <v>0.86916919557663652</v>
          </cell>
          <cell r="M248">
            <v>458.91672500000004</v>
          </cell>
          <cell r="N248">
            <v>10.15062</v>
          </cell>
          <cell r="O248">
            <v>13.395330100570616</v>
          </cell>
          <cell r="P248">
            <v>10.186460223947369</v>
          </cell>
          <cell r="Q248">
            <v>11.292495683808653</v>
          </cell>
          <cell r="R248">
            <v>98.387425883100008</v>
          </cell>
          <cell r="S248">
            <v>139.60812421170093</v>
          </cell>
          <cell r="T248">
            <v>10.614098183779895</v>
          </cell>
          <cell r="U248">
            <v>0.15119562149150154</v>
          </cell>
        </row>
        <row r="249">
          <cell r="E249">
            <v>241</v>
          </cell>
          <cell r="F249" t="str">
            <v>Kab. Hulu Sungai Tengah</v>
          </cell>
          <cell r="G249">
            <v>232.08799999999999</v>
          </cell>
          <cell r="H249">
            <v>1472</v>
          </cell>
          <cell r="I249">
            <v>23.053000000000001</v>
          </cell>
          <cell r="J249">
            <v>1.2467945464265551</v>
          </cell>
          <cell r="K249">
            <v>105.35</v>
          </cell>
          <cell r="L249">
            <v>0.7215812525058235</v>
          </cell>
          <cell r="M249">
            <v>433.67687999999998</v>
          </cell>
          <cell r="N249">
            <v>11.677760000000001</v>
          </cell>
          <cell r="O249">
            <v>13.116695412871426</v>
          </cell>
          <cell r="P249">
            <v>9.9540863039473688</v>
          </cell>
          <cell r="Q249">
            <v>11.168680848208654</v>
          </cell>
          <cell r="R249">
            <v>98.175494543699983</v>
          </cell>
          <cell r="S249">
            <v>139.26</v>
          </cell>
          <cell r="T249">
            <v>9.9328702905794355</v>
          </cell>
          <cell r="U249">
            <v>0.12552208072313639</v>
          </cell>
        </row>
        <row r="250">
          <cell r="E250">
            <v>242</v>
          </cell>
          <cell r="F250" t="str">
            <v>Kab. Hulu Sungai Utara</v>
          </cell>
          <cell r="G250">
            <v>303.50400000000002</v>
          </cell>
          <cell r="H250">
            <v>2711</v>
          </cell>
          <cell r="I250">
            <v>32.875</v>
          </cell>
          <cell r="J250">
            <v>1.4306277230716469</v>
          </cell>
          <cell r="K250">
            <v>102.51</v>
          </cell>
          <cell r="L250">
            <v>0.75925979935185095</v>
          </cell>
          <cell r="M250">
            <v>499.39490599999999</v>
          </cell>
          <cell r="N250">
            <v>7.3492499999999996</v>
          </cell>
          <cell r="O250">
            <v>13.842188047660475</v>
          </cell>
          <cell r="P250">
            <v>9.9460826739473696</v>
          </cell>
          <cell r="Q250">
            <v>10.503382134718652</v>
          </cell>
          <cell r="R250">
            <v>100.84211741776991</v>
          </cell>
          <cell r="S250">
            <v>136.56021030314537</v>
          </cell>
          <cell r="T250">
            <v>10.831817702567346</v>
          </cell>
          <cell r="U250">
            <v>0.1320764217378364</v>
          </cell>
        </row>
        <row r="251">
          <cell r="E251">
            <v>243</v>
          </cell>
          <cell r="F251" t="str">
            <v>Kab. Kota Baru</v>
          </cell>
          <cell r="G251">
            <v>470.76499999999999</v>
          </cell>
          <cell r="H251">
            <v>14428.96</v>
          </cell>
          <cell r="I251">
            <v>29.167000000000002</v>
          </cell>
          <cell r="J251">
            <v>0.90645957757856421</v>
          </cell>
          <cell r="K251">
            <v>101.52</v>
          </cell>
          <cell r="L251">
            <v>0.84105802445049127</v>
          </cell>
          <cell r="M251">
            <v>1764.941</v>
          </cell>
          <cell r="N251">
            <v>26.587575250999997</v>
          </cell>
          <cell r="O251">
            <v>27.813155011626296</v>
          </cell>
          <cell r="P251">
            <v>33.755657723947373</v>
          </cell>
          <cell r="Q251">
            <v>16.829379603958653</v>
          </cell>
          <cell r="R251">
            <v>105.73914708489741</v>
          </cell>
          <cell r="S251">
            <v>170.56830925236642</v>
          </cell>
          <cell r="T251">
            <v>6.195660255116672</v>
          </cell>
          <cell r="U251">
            <v>0.14630556554968724</v>
          </cell>
        </row>
        <row r="252">
          <cell r="E252">
            <v>244</v>
          </cell>
          <cell r="F252" t="str">
            <v>Kab. Tabalong</v>
          </cell>
          <cell r="G252">
            <v>183.63</v>
          </cell>
          <cell r="H252">
            <v>3947</v>
          </cell>
          <cell r="I252">
            <v>18.742999999999999</v>
          </cell>
          <cell r="J252">
            <v>1.6230467154679669</v>
          </cell>
          <cell r="K252">
            <v>104.51</v>
          </cell>
          <cell r="L252">
            <v>0.91411463198670573</v>
          </cell>
          <cell r="M252">
            <v>344.89309499999996</v>
          </cell>
          <cell r="N252">
            <v>14.05716</v>
          </cell>
          <cell r="O252">
            <v>12.136568862719201</v>
          </cell>
          <cell r="P252">
            <v>25.744376173947369</v>
          </cell>
          <cell r="Q252">
            <v>26.118797922958656</v>
          </cell>
          <cell r="R252">
            <v>77.734844693699998</v>
          </cell>
          <cell r="S252">
            <v>118.37306474947584</v>
          </cell>
          <cell r="T252">
            <v>10.206937864183411</v>
          </cell>
          <cell r="U252">
            <v>0.15901406837826537</v>
          </cell>
        </row>
        <row r="253">
          <cell r="E253">
            <v>245</v>
          </cell>
          <cell r="F253" t="str">
            <v>Kab. Tanah Laut</v>
          </cell>
          <cell r="G253">
            <v>253.39</v>
          </cell>
          <cell r="H253">
            <v>3631.35</v>
          </cell>
          <cell r="I253">
            <v>20.045999999999999</v>
          </cell>
          <cell r="J253">
            <v>1.4432444370656818</v>
          </cell>
          <cell r="K253">
            <v>97.88</v>
          </cell>
          <cell r="L253">
            <v>1.0487373833691445</v>
          </cell>
          <cell r="M253">
            <v>575.89971600000001</v>
          </cell>
          <cell r="N253">
            <v>8.5391499999999994</v>
          </cell>
          <cell r="O253">
            <v>14.686761136038623</v>
          </cell>
          <cell r="P253">
            <v>29.81747922394737</v>
          </cell>
          <cell r="Q253">
            <v>14.761796372648654</v>
          </cell>
          <cell r="R253">
            <v>72.595816597799995</v>
          </cell>
          <cell r="S253">
            <v>116.65343960114025</v>
          </cell>
          <cell r="T253">
            <v>7.9111251430601044</v>
          </cell>
          <cell r="U253">
            <v>0.18243225975659641</v>
          </cell>
        </row>
        <row r="254">
          <cell r="E254">
            <v>246</v>
          </cell>
          <cell r="F254" t="str">
            <v>Kab. Tapin</v>
          </cell>
          <cell r="G254">
            <v>146.88</v>
          </cell>
          <cell r="H254">
            <v>2700.82</v>
          </cell>
          <cell r="I254">
            <v>11.627000000000001</v>
          </cell>
          <cell r="J254">
            <v>1.0431906059018554</v>
          </cell>
          <cell r="K254">
            <v>99.15</v>
          </cell>
          <cell r="L254">
            <v>0.7575717482779406</v>
          </cell>
          <cell r="M254">
            <v>302.22592799999995</v>
          </cell>
          <cell r="N254">
            <v>8.3145100000000003</v>
          </cell>
          <cell r="O254">
            <v>11.665545655086422</v>
          </cell>
          <cell r="P254">
            <v>12.575302363947369</v>
          </cell>
          <cell r="Q254">
            <v>11.935817202958653</v>
          </cell>
          <cell r="R254">
            <v>69.758968632299968</v>
          </cell>
          <cell r="S254">
            <v>116.53105544329547</v>
          </cell>
          <cell r="T254">
            <v>7.9159858387799567</v>
          </cell>
          <cell r="U254">
            <v>0.13178277818428186</v>
          </cell>
        </row>
        <row r="255">
          <cell r="E255">
            <v>247</v>
          </cell>
          <cell r="F255" t="str">
            <v>Kota Banjar Baru</v>
          </cell>
          <cell r="G255">
            <v>145.40700000000001</v>
          </cell>
          <cell r="H255">
            <v>371.3</v>
          </cell>
          <cell r="I255">
            <v>6.6470000000000002</v>
          </cell>
          <cell r="J255">
            <v>0.95</v>
          </cell>
          <cell r="K255">
            <v>97.94</v>
          </cell>
          <cell r="L255">
            <v>1.1946710845050759</v>
          </cell>
          <cell r="M255">
            <v>390.9539838</v>
          </cell>
          <cell r="N255">
            <v>6.8313100000000002</v>
          </cell>
          <cell r="O255">
            <v>12.645056984018481</v>
          </cell>
          <cell r="P255">
            <v>10.03202923394737</v>
          </cell>
          <cell r="Q255">
            <v>8.3979406353886539</v>
          </cell>
          <cell r="R255">
            <v>54.927157796099983</v>
          </cell>
          <cell r="S255">
            <v>102.42427354463933</v>
          </cell>
          <cell r="T255">
            <v>4.5713067458925636</v>
          </cell>
          <cell r="U255">
            <v>0.20781803821272754</v>
          </cell>
        </row>
        <row r="256">
          <cell r="E256">
            <v>248</v>
          </cell>
          <cell r="F256" t="str">
            <v xml:space="preserve">Kota Banjarmasin </v>
          </cell>
          <cell r="G256">
            <v>571.44100000000003</v>
          </cell>
          <cell r="H256">
            <v>72</v>
          </cell>
          <cell r="I256">
            <v>18.259</v>
          </cell>
          <cell r="J256">
            <v>0.37</v>
          </cell>
          <cell r="K256">
            <v>96.84</v>
          </cell>
          <cell r="L256">
            <v>0.66567346276134232</v>
          </cell>
          <cell r="M256">
            <v>2347.4719580000001</v>
          </cell>
          <cell r="N256">
            <v>29.16601</v>
          </cell>
          <cell r="O256">
            <v>34.243992108979278</v>
          </cell>
          <cell r="P256">
            <v>9.9460826739473696</v>
          </cell>
          <cell r="Q256">
            <v>21.173394620988653</v>
          </cell>
          <cell r="R256">
            <v>152.17105545209998</v>
          </cell>
          <cell r="S256">
            <v>194.0806753717834</v>
          </cell>
          <cell r="T256">
            <v>3.1952555031928052</v>
          </cell>
          <cell r="U256">
            <v>0.11579668656552934</v>
          </cell>
        </row>
        <row r="257">
          <cell r="E257">
            <v>249</v>
          </cell>
          <cell r="F257" t="str">
            <v>Kab. Berau</v>
          </cell>
          <cell r="G257">
            <v>143.232</v>
          </cell>
          <cell r="H257">
            <v>24201</v>
          </cell>
          <cell r="I257">
            <v>11.85</v>
          </cell>
          <cell r="J257">
            <v>1.3310427303242793</v>
          </cell>
          <cell r="K257">
            <v>104.93</v>
          </cell>
          <cell r="L257">
            <v>0.92486600201383018</v>
          </cell>
          <cell r="M257">
            <v>811.10655000000008</v>
          </cell>
          <cell r="N257">
            <v>21.134130000000003</v>
          </cell>
          <cell r="O257">
            <v>17.2833215640565</v>
          </cell>
          <cell r="P257">
            <v>246.41346382394738</v>
          </cell>
          <cell r="Q257">
            <v>19.379150494764907</v>
          </cell>
          <cell r="R257">
            <v>61.697476161000012</v>
          </cell>
          <cell r="S257">
            <v>123.94879399999999</v>
          </cell>
          <cell r="T257">
            <v>8.2732908847184987</v>
          </cell>
          <cell r="U257">
            <v>0.16088431421924657</v>
          </cell>
        </row>
        <row r="258">
          <cell r="E258">
            <v>250</v>
          </cell>
          <cell r="F258" t="str">
            <v>Kab. Bulungan</v>
          </cell>
          <cell r="G258">
            <v>97.284000000000006</v>
          </cell>
          <cell r="H258">
            <v>18010.5</v>
          </cell>
          <cell r="I258">
            <v>21.26</v>
          </cell>
          <cell r="J258">
            <v>3.6052369562334299</v>
          </cell>
          <cell r="K258">
            <v>107.08</v>
          </cell>
          <cell r="L258">
            <v>0.94836842164128654</v>
          </cell>
          <cell r="M258">
            <v>548.33900000000006</v>
          </cell>
          <cell r="N258">
            <v>21.126740000000002</v>
          </cell>
          <cell r="O258">
            <v>14.382505246375828</v>
          </cell>
          <cell r="P258">
            <v>244.9361528239474</v>
          </cell>
          <cell r="Q258">
            <v>22.539492274395503</v>
          </cell>
          <cell r="R258">
            <v>50.843221499999999</v>
          </cell>
          <cell r="S258">
            <v>170.176815</v>
          </cell>
          <cell r="T258">
            <v>21.853542206323752</v>
          </cell>
          <cell r="U258">
            <v>0.16497265853725918</v>
          </cell>
        </row>
        <row r="259">
          <cell r="E259">
            <v>251</v>
          </cell>
          <cell r="F259" t="str">
            <v>Kab.  Kutai</v>
          </cell>
          <cell r="G259">
            <v>487</v>
          </cell>
          <cell r="H259">
            <v>28972.98</v>
          </cell>
          <cell r="I259">
            <v>73.25</v>
          </cell>
          <cell r="J259">
            <v>3.2786984138262536</v>
          </cell>
          <cell r="K259">
            <v>104.29</v>
          </cell>
          <cell r="L259">
            <v>1.2531063024088933</v>
          </cell>
          <cell r="M259">
            <v>1597.047</v>
          </cell>
          <cell r="N259">
            <v>34.10304</v>
          </cell>
          <cell r="O259">
            <v>25.959693064591061</v>
          </cell>
          <cell r="P259">
            <v>1809.0401292939473</v>
          </cell>
          <cell r="Q259">
            <v>99.926834093780343</v>
          </cell>
          <cell r="R259">
            <v>228.50650388484988</v>
          </cell>
          <cell r="S259">
            <v>297.814323</v>
          </cell>
          <cell r="T259">
            <v>15.041067761806982</v>
          </cell>
          <cell r="U259">
            <v>0.21798308908305603</v>
          </cell>
        </row>
        <row r="260">
          <cell r="E260">
            <v>252</v>
          </cell>
          <cell r="F260" t="str">
            <v>Kab. Kutai Barat</v>
          </cell>
          <cell r="G260">
            <v>148.75200000000001</v>
          </cell>
          <cell r="H260">
            <v>28875.1</v>
          </cell>
          <cell r="I260">
            <v>19.946000000000002</v>
          </cell>
          <cell r="J260">
            <v>1.9327931097797677</v>
          </cell>
          <cell r="K260">
            <v>105.62</v>
          </cell>
          <cell r="L260">
            <v>0.82862394505655956</v>
          </cell>
          <cell r="M260">
            <v>297.22712999999999</v>
          </cell>
          <cell r="N260">
            <v>36.164879999999997</v>
          </cell>
          <cell r="O260">
            <v>11.610361539668864</v>
          </cell>
          <cell r="P260">
            <v>247.85754688394741</v>
          </cell>
          <cell r="Q260">
            <v>27.768391427206279</v>
          </cell>
          <cell r="R260">
            <v>57.432322199999994</v>
          </cell>
          <cell r="S260">
            <v>116.623841</v>
          </cell>
          <cell r="T260">
            <v>13.40889534258363</v>
          </cell>
          <cell r="U260">
            <v>0.14414260536747217</v>
          </cell>
        </row>
        <row r="261">
          <cell r="E261">
            <v>253</v>
          </cell>
          <cell r="F261" t="str">
            <v>Kab. Kutai Timur</v>
          </cell>
          <cell r="G261">
            <v>169.928</v>
          </cell>
          <cell r="H261">
            <v>35747.5</v>
          </cell>
          <cell r="I261">
            <v>27.85</v>
          </cell>
          <cell r="J261">
            <v>3.4492711189085639</v>
          </cell>
          <cell r="K261">
            <v>105.12</v>
          </cell>
          <cell r="L261">
            <v>1.2098518417177286</v>
          </cell>
          <cell r="M261">
            <v>693.03314</v>
          </cell>
          <cell r="N261">
            <v>6.2963399999999998</v>
          </cell>
          <cell r="O261">
            <v>15.979852873146225</v>
          </cell>
          <cell r="P261">
            <v>245.77124044394736</v>
          </cell>
          <cell r="Q261">
            <v>56.545243787471605</v>
          </cell>
          <cell r="R261">
            <v>43.175474399999999</v>
          </cell>
          <cell r="S261">
            <v>103.059887</v>
          </cell>
          <cell r="T261">
            <v>16.389294289346076</v>
          </cell>
          <cell r="U261">
            <v>0.21045879450409136</v>
          </cell>
        </row>
        <row r="262">
          <cell r="E262">
            <v>254</v>
          </cell>
          <cell r="F262" t="str">
            <v>Kab. Malinau</v>
          </cell>
          <cell r="G262">
            <v>47.445999999999998</v>
          </cell>
          <cell r="H262">
            <v>41990.400000000001</v>
          </cell>
          <cell r="I262">
            <v>11.3</v>
          </cell>
          <cell r="J262">
            <v>5.511971821842403</v>
          </cell>
          <cell r="K262">
            <v>107.66</v>
          </cell>
          <cell r="L262">
            <v>1.3304337740082048</v>
          </cell>
          <cell r="M262">
            <v>123.28700000000001</v>
          </cell>
          <cell r="N262">
            <v>29.536660000000001</v>
          </cell>
          <cell r="O262">
            <v>9.6901534797181679</v>
          </cell>
          <cell r="P262">
            <v>244.84419233394738</v>
          </cell>
          <cell r="Q262">
            <v>20.511073480961485</v>
          </cell>
          <cell r="R262">
            <v>26.248726499999997</v>
          </cell>
          <cell r="S262">
            <v>104.03376252088844</v>
          </cell>
          <cell r="T262">
            <v>23.816549340302661</v>
          </cell>
          <cell r="U262">
            <v>0.23143452660100411</v>
          </cell>
        </row>
        <row r="263">
          <cell r="E263">
            <v>255</v>
          </cell>
          <cell r="F263" t="str">
            <v>Kab. Nunukan</v>
          </cell>
          <cell r="G263">
            <v>107.85599999999999</v>
          </cell>
          <cell r="H263">
            <v>14585.7</v>
          </cell>
          <cell r="I263">
            <v>22.67</v>
          </cell>
          <cell r="J263">
            <v>4.3167880491761501</v>
          </cell>
          <cell r="K263">
            <v>109.17</v>
          </cell>
          <cell r="L263">
            <v>1.1806430823056056</v>
          </cell>
          <cell r="M263">
            <v>118.873</v>
          </cell>
          <cell r="N263">
            <v>13.52219</v>
          </cell>
          <cell r="O263">
            <v>9.641425228355919</v>
          </cell>
          <cell r="P263">
            <v>243.58133624394736</v>
          </cell>
          <cell r="Q263">
            <v>18.828126926462428</v>
          </cell>
          <cell r="R263">
            <v>31.168655319900001</v>
          </cell>
          <cell r="S263">
            <v>81.628630999999999</v>
          </cell>
          <cell r="T263">
            <v>21.01876576175642</v>
          </cell>
          <cell r="U263">
            <v>0.20537780848343307</v>
          </cell>
        </row>
        <row r="264">
          <cell r="E264">
            <v>256</v>
          </cell>
          <cell r="F264" t="str">
            <v>Kab. Pasir</v>
          </cell>
          <cell r="G264">
            <v>172.44200000000001</v>
          </cell>
          <cell r="H264">
            <v>10437.164000000001</v>
          </cell>
          <cell r="I264">
            <v>27.161999999999999</v>
          </cell>
          <cell r="J264">
            <v>3.4973859942423964</v>
          </cell>
          <cell r="K264">
            <v>103.19</v>
          </cell>
          <cell r="L264">
            <v>1.27640937196612</v>
          </cell>
          <cell r="M264">
            <v>283.33419299999997</v>
          </cell>
          <cell r="N264">
            <v>34.6738</v>
          </cell>
          <cell r="O264">
            <v>11.456990781559234</v>
          </cell>
          <cell r="P264">
            <v>243.01243329394737</v>
          </cell>
          <cell r="Q264">
            <v>21.658438681215156</v>
          </cell>
          <cell r="R264">
            <v>72.170042925899992</v>
          </cell>
          <cell r="S264">
            <v>116.58355500000002</v>
          </cell>
          <cell r="T264">
            <v>15.751383073729135</v>
          </cell>
          <cell r="U264">
            <v>0.22203675562151071</v>
          </cell>
        </row>
        <row r="265">
          <cell r="E265">
            <v>257</v>
          </cell>
          <cell r="F265" t="str">
            <v>Kota Balikpapan</v>
          </cell>
          <cell r="G265">
            <v>431.875</v>
          </cell>
          <cell r="H265">
            <v>749</v>
          </cell>
          <cell r="I265">
            <v>17.138999999999999</v>
          </cell>
          <cell r="J265">
            <v>0.69307925810957505</v>
          </cell>
          <cell r="K265">
            <v>101.11</v>
          </cell>
          <cell r="L265">
            <v>1.003969684611868</v>
          </cell>
          <cell r="M265">
            <v>6718.9124199999997</v>
          </cell>
          <cell r="N265">
            <v>59.60548</v>
          </cell>
          <cell r="O265">
            <v>82.502408431463294</v>
          </cell>
          <cell r="P265">
            <v>242.95558529394737</v>
          </cell>
          <cell r="Q265">
            <v>134.6548349970754</v>
          </cell>
          <cell r="R265">
            <v>99.690623619825317</v>
          </cell>
          <cell r="S265">
            <v>135.09227300000001</v>
          </cell>
          <cell r="T265">
            <v>3.9685094066570183</v>
          </cell>
          <cell r="U265">
            <v>0.17464473107886852</v>
          </cell>
        </row>
        <row r="266">
          <cell r="E266">
            <v>258</v>
          </cell>
          <cell r="F266" t="str">
            <v>Kota Bontang</v>
          </cell>
          <cell r="G266">
            <v>117.321</v>
          </cell>
          <cell r="H266">
            <v>406.7</v>
          </cell>
          <cell r="I266">
            <v>7.9180000000000001</v>
          </cell>
          <cell r="J266">
            <v>1.2854644989104635</v>
          </cell>
          <cell r="K266">
            <v>108.3</v>
          </cell>
          <cell r="L266">
            <v>1.0949277361683758</v>
          </cell>
          <cell r="M266">
            <v>743.53417000000002</v>
          </cell>
          <cell r="N266">
            <v>18.76999</v>
          </cell>
          <cell r="O266">
            <v>16.537357830983222</v>
          </cell>
          <cell r="P266">
            <v>252.98490304394738</v>
          </cell>
          <cell r="Q266">
            <v>49.979222435427332</v>
          </cell>
          <cell r="R266">
            <v>25.794194999999998</v>
          </cell>
          <cell r="S266">
            <v>75.717919999999992</v>
          </cell>
          <cell r="T266">
            <v>6.7490048669888596</v>
          </cell>
          <cell r="U266">
            <v>0.19046726506273617</v>
          </cell>
        </row>
        <row r="267">
          <cell r="E267">
            <v>259</v>
          </cell>
          <cell r="F267" t="str">
            <v>Kota Samarinda</v>
          </cell>
          <cell r="G267">
            <v>570.20500000000004</v>
          </cell>
          <cell r="H267">
            <v>781.25</v>
          </cell>
          <cell r="I267">
            <v>44.902999999999999</v>
          </cell>
          <cell r="J267">
            <v>0.97638433006069025</v>
          </cell>
          <cell r="K267">
            <v>101.59</v>
          </cell>
          <cell r="L267">
            <v>0.71275713922416362</v>
          </cell>
          <cell r="M267">
            <v>5999.4059100000004</v>
          </cell>
          <cell r="N267">
            <v>55.188760000000002</v>
          </cell>
          <cell r="O267">
            <v>74.559432881835988</v>
          </cell>
          <cell r="P267">
            <v>252.03758529394736</v>
          </cell>
          <cell r="Q267">
            <v>32.871038321844622</v>
          </cell>
          <cell r="R267">
            <v>163.64831639999997</v>
          </cell>
          <cell r="S267">
            <v>194.48249000000001</v>
          </cell>
          <cell r="T267">
            <v>7.8748871020071718</v>
          </cell>
          <cell r="U267">
            <v>0.123987089264026</v>
          </cell>
        </row>
        <row r="268">
          <cell r="E268">
            <v>260</v>
          </cell>
          <cell r="F268" t="str">
            <v>Kota Tarakan</v>
          </cell>
          <cell r="G268">
            <v>153.637</v>
          </cell>
          <cell r="H268">
            <v>507.1</v>
          </cell>
          <cell r="I268">
            <v>13.88</v>
          </cell>
          <cell r="J268">
            <v>1.5442817657063541</v>
          </cell>
          <cell r="K268">
            <v>104.9</v>
          </cell>
          <cell r="L268">
            <v>0.98264807374556584</v>
          </cell>
          <cell r="M268">
            <v>1023.072</v>
          </cell>
          <cell r="N268">
            <v>16.320995859</v>
          </cell>
          <cell r="O268">
            <v>19.623309268567681</v>
          </cell>
          <cell r="P268">
            <v>243.99958529394738</v>
          </cell>
          <cell r="Q268">
            <v>22.316102819570013</v>
          </cell>
          <cell r="R268">
            <v>35.916321900000007</v>
          </cell>
          <cell r="S268">
            <v>72.990640999999997</v>
          </cell>
          <cell r="T268">
            <v>9.0342821065238201</v>
          </cell>
          <cell r="U268">
            <v>0.17093574757768523</v>
          </cell>
        </row>
        <row r="269">
          <cell r="E269">
            <v>261</v>
          </cell>
          <cell r="F269" t="str">
            <v>Kab. Penajam Paser Utara</v>
          </cell>
          <cell r="G269">
            <v>118.682</v>
          </cell>
          <cell r="H269">
            <v>4499.8360000000002</v>
          </cell>
          <cell r="I269">
            <v>19.044</v>
          </cell>
          <cell r="J269">
            <v>3.7251829336323388</v>
          </cell>
          <cell r="K269">
            <v>104.9</v>
          </cell>
          <cell r="L269">
            <v>1.3345639818790305</v>
          </cell>
          <cell r="M269">
            <v>297.25533300000001</v>
          </cell>
          <cell r="N269">
            <v>0.6466900000000001</v>
          </cell>
          <cell r="O269">
            <v>11.610672886037955</v>
          </cell>
          <cell r="P269">
            <v>256.08958529394738</v>
          </cell>
          <cell r="Q269">
            <v>23.200701219267419</v>
          </cell>
          <cell r="R269">
            <v>29.312594199599996</v>
          </cell>
          <cell r="S269">
            <v>31.97</v>
          </cell>
          <cell r="T269">
            <v>16.046241216022651</v>
          </cell>
          <cell r="U269">
            <v>0.2321529935566862</v>
          </cell>
        </row>
        <row r="270">
          <cell r="E270">
            <v>262</v>
          </cell>
          <cell r="F270" t="str">
            <v>Kab. Bolaang Mongondow</v>
          </cell>
          <cell r="G270">
            <v>465.57</v>
          </cell>
          <cell r="H270">
            <v>8358.0400000000009</v>
          </cell>
          <cell r="I270">
            <v>45.4</v>
          </cell>
          <cell r="J270">
            <v>1.95</v>
          </cell>
          <cell r="K270">
            <v>98.06</v>
          </cell>
          <cell r="L270">
            <v>1.1495526259086997</v>
          </cell>
          <cell r="M270">
            <v>744.26700000000005</v>
          </cell>
          <cell r="N270">
            <v>10.465879999999999</v>
          </cell>
          <cell r="O270">
            <v>16.545447890893918</v>
          </cell>
          <cell r="P270">
            <v>1.9036900769473701</v>
          </cell>
          <cell r="Q270">
            <v>11.561891673658653</v>
          </cell>
          <cell r="R270">
            <v>160.5004660617698</v>
          </cell>
          <cell r="S270">
            <v>219.31870501508544</v>
          </cell>
          <cell r="T270">
            <v>9.7514874240178706</v>
          </cell>
          <cell r="U270">
            <v>0.19996949339207049</v>
          </cell>
        </row>
        <row r="271">
          <cell r="E271">
            <v>263</v>
          </cell>
          <cell r="F271" t="str">
            <v xml:space="preserve">Kab. Minahasa </v>
          </cell>
          <cell r="G271">
            <v>837.12199999999996</v>
          </cell>
          <cell r="H271">
            <v>4204.7</v>
          </cell>
          <cell r="I271">
            <v>75.421999999999997</v>
          </cell>
          <cell r="J271">
            <v>2.9043701629517353</v>
          </cell>
          <cell r="K271">
            <v>98.73</v>
          </cell>
          <cell r="L271">
            <v>1.8531381163921035</v>
          </cell>
          <cell r="M271">
            <v>1470.3240700470922</v>
          </cell>
          <cell r="N271">
            <v>13.53448</v>
          </cell>
          <cell r="O271">
            <v>24.56073819732644</v>
          </cell>
          <cell r="P271">
            <v>1.3823588169473702</v>
          </cell>
          <cell r="Q271">
            <v>9.9489504126586539</v>
          </cell>
          <cell r="R271">
            <v>344.12331108978242</v>
          </cell>
          <cell r="S271">
            <v>365.66695546566808</v>
          </cell>
          <cell r="T271">
            <v>9.0096783981307382</v>
          </cell>
          <cell r="U271">
            <v>0.322361135948461</v>
          </cell>
        </row>
        <row r="272">
          <cell r="E272">
            <v>264</v>
          </cell>
          <cell r="F272" t="str">
            <v>Kab. Sangihe Talaud</v>
          </cell>
          <cell r="G272">
            <v>192.464</v>
          </cell>
          <cell r="H272">
            <v>1023.53</v>
          </cell>
          <cell r="I272">
            <v>24.85</v>
          </cell>
          <cell r="J272">
            <v>3.9083901141931894</v>
          </cell>
          <cell r="K272">
            <v>128.69999999999999</v>
          </cell>
          <cell r="L272">
            <v>1.7401477810841073</v>
          </cell>
          <cell r="M272">
            <v>305.01</v>
          </cell>
          <cell r="N272">
            <v>8.6270300000000013</v>
          </cell>
          <cell r="O272">
            <v>11.696280353823759</v>
          </cell>
          <cell r="P272">
            <v>1.31972621694737</v>
          </cell>
          <cell r="Q272">
            <v>5.7333796646586546</v>
          </cell>
          <cell r="R272">
            <v>106.40325489569999</v>
          </cell>
          <cell r="S272">
            <v>141.69913156694332</v>
          </cell>
          <cell r="T272">
            <v>12.911505528306593</v>
          </cell>
          <cell r="U272">
            <v>0.30270599393886438</v>
          </cell>
        </row>
        <row r="273">
          <cell r="E273">
            <v>265</v>
          </cell>
          <cell r="F273" t="str">
            <v>Kota Bitung</v>
          </cell>
          <cell r="G273">
            <v>168.05500000000001</v>
          </cell>
          <cell r="H273">
            <v>304</v>
          </cell>
          <cell r="I273">
            <v>14.67</v>
          </cell>
          <cell r="J273">
            <v>1.66</v>
          </cell>
          <cell r="K273">
            <v>97.15</v>
          </cell>
          <cell r="L273">
            <v>1.0931871645713533</v>
          </cell>
          <cell r="M273">
            <v>735.56200000000001</v>
          </cell>
          <cell r="N273">
            <v>13.361799999999999</v>
          </cell>
          <cell r="O273">
            <v>16.44934924383719</v>
          </cell>
          <cell r="P273">
            <v>1.3240458469473702</v>
          </cell>
          <cell r="Q273">
            <v>7.8500003116586541</v>
          </cell>
          <cell r="R273">
            <v>67.817648676999099</v>
          </cell>
          <cell r="S273">
            <v>119.75515774971618</v>
          </cell>
          <cell r="T273">
            <v>8.7292850554877859</v>
          </cell>
          <cell r="U273">
            <v>0.19016448534423996</v>
          </cell>
        </row>
        <row r="274">
          <cell r="E274">
            <v>266</v>
          </cell>
          <cell r="F274" t="str">
            <v>Kota Manado</v>
          </cell>
          <cell r="G274">
            <v>417.96300000000002</v>
          </cell>
          <cell r="H274">
            <v>157.25</v>
          </cell>
          <cell r="I274">
            <v>17.25</v>
          </cell>
          <cell r="J274">
            <v>0.75</v>
          </cell>
          <cell r="K274">
            <v>98.24</v>
          </cell>
          <cell r="L274">
            <v>1.0446603543120208</v>
          </cell>
          <cell r="M274">
            <v>2481.7020000000002</v>
          </cell>
          <cell r="N274">
            <v>30.392109999999999</v>
          </cell>
          <cell r="O274">
            <v>35.725821566827335</v>
          </cell>
          <cell r="P274">
            <v>1.3199030169473702</v>
          </cell>
          <cell r="Q274">
            <v>20.627972620658653</v>
          </cell>
          <cell r="R274">
            <v>156.55331953871851</v>
          </cell>
          <cell r="S274">
            <v>183.90284858631156</v>
          </cell>
          <cell r="T274">
            <v>4.127159581111246</v>
          </cell>
          <cell r="U274">
            <v>0.1817230434782609</v>
          </cell>
        </row>
        <row r="275">
          <cell r="E275">
            <v>267</v>
          </cell>
          <cell r="F275" t="str">
            <v>Kab. Kepulauan Talaud</v>
          </cell>
          <cell r="G275">
            <v>77.423000000000002</v>
          </cell>
          <cell r="H275">
            <v>1240.4000000000001</v>
          </cell>
          <cell r="I275">
            <v>10.86</v>
          </cell>
          <cell r="J275">
            <v>3.25</v>
          </cell>
          <cell r="K275">
            <v>130.38</v>
          </cell>
          <cell r="L275">
            <v>1.3319522095650471</v>
          </cell>
          <cell r="M275">
            <v>83.546000000000006</v>
          </cell>
          <cell r="N275">
            <v>1.8018099999999999</v>
          </cell>
          <cell r="O275">
            <v>9.2514336253033154</v>
          </cell>
          <cell r="P275">
            <v>1.31972621694737</v>
          </cell>
          <cell r="Q275">
            <v>4.3724026856586544</v>
          </cell>
          <cell r="R275">
            <v>41.253028829861385</v>
          </cell>
          <cell r="S275">
            <v>87.917505116895271</v>
          </cell>
          <cell r="T275">
            <v>14.026839569636929</v>
          </cell>
          <cell r="U275">
            <v>0.23169866482504606</v>
          </cell>
        </row>
        <row r="276">
          <cell r="E276">
            <v>268</v>
          </cell>
          <cell r="F276" t="str">
            <v>Kab. Bualemo</v>
          </cell>
          <cell r="G276">
            <v>211.90100000000001</v>
          </cell>
          <cell r="H276">
            <v>6761.67</v>
          </cell>
          <cell r="I276">
            <v>68.81</v>
          </cell>
          <cell r="J276">
            <v>8.2842697497621494</v>
          </cell>
          <cell r="K276">
            <v>103.52</v>
          </cell>
          <cell r="L276">
            <v>1.4665632286666106</v>
          </cell>
          <cell r="M276">
            <v>121.32299999999999</v>
          </cell>
          <cell r="N276">
            <v>11.336549999999999</v>
          </cell>
          <cell r="O276">
            <v>9.6684719469416702</v>
          </cell>
          <cell r="P276">
            <v>1.5696385039473701</v>
          </cell>
          <cell r="Q276">
            <v>5.8089851806586541</v>
          </cell>
          <cell r="R276">
            <v>45.583017038450315</v>
          </cell>
          <cell r="S276">
            <v>135.6971665213338</v>
          </cell>
          <cell r="T276">
            <v>32.472711313301964</v>
          </cell>
          <cell r="U276">
            <v>0.25511481532398622</v>
          </cell>
        </row>
        <row r="277">
          <cell r="E277">
            <v>269</v>
          </cell>
          <cell r="F277" t="str">
            <v xml:space="preserve">Kab. Gorontalo   </v>
          </cell>
          <cell r="G277">
            <v>537.96299999999997</v>
          </cell>
          <cell r="H277">
            <v>5338.98</v>
          </cell>
          <cell r="I277">
            <v>174.22200000000001</v>
          </cell>
          <cell r="J277">
            <v>7.4193350928516058</v>
          </cell>
          <cell r="K277">
            <v>101.23</v>
          </cell>
          <cell r="L277">
            <v>1.3169810006110594</v>
          </cell>
          <cell r="M277">
            <v>347.96</v>
          </cell>
          <cell r="N277">
            <v>18.21247</v>
          </cell>
          <cell r="O277">
            <v>12.170425889847461</v>
          </cell>
          <cell r="P277">
            <v>1.6268339539473702</v>
          </cell>
          <cell r="Q277">
            <v>6.1818389146586536</v>
          </cell>
          <cell r="R277">
            <v>168.81614961170612</v>
          </cell>
          <cell r="S277">
            <v>237.10237557357311</v>
          </cell>
          <cell r="T277">
            <v>32.385498630946742</v>
          </cell>
          <cell r="U277">
            <v>0.22909436033082664</v>
          </cell>
        </row>
        <row r="278">
          <cell r="E278">
            <v>270</v>
          </cell>
          <cell r="F278" t="str">
            <v>Kota Gorontalo</v>
          </cell>
          <cell r="G278">
            <v>147.43600000000001</v>
          </cell>
          <cell r="H278">
            <v>64.790000000000006</v>
          </cell>
          <cell r="I278">
            <v>16.036999999999999</v>
          </cell>
          <cell r="J278">
            <v>1.3964619477798721</v>
          </cell>
          <cell r="K278">
            <v>99.94</v>
          </cell>
          <cell r="L278">
            <v>0.73803104077080683</v>
          </cell>
          <cell r="M278">
            <v>408.19569999999999</v>
          </cell>
          <cell r="N278">
            <v>11.966569999999999</v>
          </cell>
          <cell r="O278">
            <v>12.835396512996772</v>
          </cell>
          <cell r="P278">
            <v>1.38275550394737</v>
          </cell>
          <cell r="Q278">
            <v>6.7074621636586542</v>
          </cell>
          <cell r="R278">
            <v>82.207209989745053</v>
          </cell>
          <cell r="S278">
            <v>134.87697613303897</v>
          </cell>
          <cell r="T278">
            <v>10.877261998426436</v>
          </cell>
          <cell r="U278">
            <v>0.12838359028052207</v>
          </cell>
        </row>
        <row r="279">
          <cell r="E279">
            <v>271</v>
          </cell>
          <cell r="F279" t="str">
            <v>Kab. Banggai</v>
          </cell>
          <cell r="G279">
            <v>284.66399999999999</v>
          </cell>
          <cell r="H279">
            <v>9672.7000000000007</v>
          </cell>
          <cell r="I279">
            <v>47.408999999999999</v>
          </cell>
          <cell r="J279">
            <v>2.7969976268528405</v>
          </cell>
          <cell r="K279">
            <v>99.43</v>
          </cell>
          <cell r="L279">
            <v>0.96544816662123034</v>
          </cell>
          <cell r="M279">
            <v>371.74</v>
          </cell>
          <cell r="N279">
            <v>8.4576200000000004</v>
          </cell>
          <cell r="O279">
            <v>12.432944652283867</v>
          </cell>
          <cell r="P279">
            <v>1.79217829394737</v>
          </cell>
          <cell r="Q279">
            <v>9.7816245241486541</v>
          </cell>
          <cell r="R279">
            <v>114.18882699008027</v>
          </cell>
          <cell r="S279">
            <v>184.17569844057772</v>
          </cell>
          <cell r="T279">
            <v>16.654371469521966</v>
          </cell>
          <cell r="U279">
            <v>0.16794375170335524</v>
          </cell>
        </row>
        <row r="280">
          <cell r="E280">
            <v>272</v>
          </cell>
          <cell r="F280" t="str">
            <v>Kab. Banggai Kepulauan</v>
          </cell>
          <cell r="G280">
            <v>153.35300000000001</v>
          </cell>
          <cell r="H280">
            <v>3214.46</v>
          </cell>
          <cell r="I280">
            <v>40.091999999999999</v>
          </cell>
          <cell r="J280">
            <v>3.8944401908742377</v>
          </cell>
          <cell r="K280">
            <v>104.89</v>
          </cell>
          <cell r="L280">
            <v>0.85633699127553975</v>
          </cell>
          <cell r="M280">
            <v>239.42</v>
          </cell>
          <cell r="N280">
            <v>4.1154899999999994</v>
          </cell>
          <cell r="O280">
            <v>10.972201059113758</v>
          </cell>
          <cell r="P280">
            <v>1.4249194639473701</v>
          </cell>
          <cell r="Q280">
            <v>7.0878436760786538</v>
          </cell>
          <cell r="R280">
            <v>36.346267290000007</v>
          </cell>
          <cell r="S280">
            <v>131.08010757367151</v>
          </cell>
          <cell r="T280">
            <v>26.143603320443681</v>
          </cell>
          <cell r="U280">
            <v>0.14896340581441112</v>
          </cell>
        </row>
        <row r="281">
          <cell r="E281">
            <v>273</v>
          </cell>
          <cell r="F281" t="str">
            <v xml:space="preserve">Kab. Buol </v>
          </cell>
          <cell r="G281">
            <v>110.90300000000001</v>
          </cell>
          <cell r="H281">
            <v>4043.57</v>
          </cell>
          <cell r="I281">
            <v>29.466999999999999</v>
          </cell>
          <cell r="J281">
            <v>4.9512551507618028</v>
          </cell>
          <cell r="K281">
            <v>99.81</v>
          </cell>
          <cell r="L281">
            <v>1.0712424888885641</v>
          </cell>
          <cell r="M281">
            <v>117.932</v>
          </cell>
          <cell r="N281">
            <v>4.9178800000000003</v>
          </cell>
          <cell r="O281">
            <v>9.6310370805235941</v>
          </cell>
          <cell r="P281">
            <v>1.4435482139473701</v>
          </cell>
          <cell r="Q281">
            <v>7.6185961950486538</v>
          </cell>
          <cell r="R281">
            <v>45.888546621335095</v>
          </cell>
          <cell r="S281">
            <v>112.58656276848258</v>
          </cell>
          <cell r="T281">
            <v>26.570065733118124</v>
          </cell>
          <cell r="U281">
            <v>0.18634711710894775</v>
          </cell>
        </row>
        <row r="282">
          <cell r="E282">
            <v>274</v>
          </cell>
          <cell r="F282" t="str">
            <v>Kab. Buol Toli Toli</v>
          </cell>
          <cell r="G282">
            <v>193.70500000000001</v>
          </cell>
          <cell r="H282">
            <v>4035.57</v>
          </cell>
          <cell r="I282">
            <v>42.597999999999999</v>
          </cell>
          <cell r="J282">
            <v>3.6163204294942641</v>
          </cell>
          <cell r="K282">
            <v>98.28</v>
          </cell>
          <cell r="L282">
            <v>0.94533043039666254</v>
          </cell>
          <cell r="M282">
            <v>283.72699999999998</v>
          </cell>
          <cell r="N282">
            <v>4.4986199999999998</v>
          </cell>
          <cell r="O282">
            <v>11.461327165390873</v>
          </cell>
          <cell r="P282">
            <v>1.59422730394737</v>
          </cell>
          <cell r="Q282">
            <v>7.4590941987886534</v>
          </cell>
          <cell r="R282">
            <v>68.603019356441109</v>
          </cell>
          <cell r="S282">
            <v>136.25563996549948</v>
          </cell>
          <cell r="T282">
            <v>21.991172143207454</v>
          </cell>
          <cell r="U282">
            <v>0.16444418723770751</v>
          </cell>
        </row>
        <row r="283">
          <cell r="E283">
            <v>275</v>
          </cell>
          <cell r="F283" t="str">
            <v>Kab. Donggala</v>
          </cell>
          <cell r="G283">
            <v>437.11399999999998</v>
          </cell>
          <cell r="H283">
            <v>9741.1</v>
          </cell>
          <cell r="I283">
            <v>97.122</v>
          </cell>
          <cell r="J283">
            <v>4.5817767945962427</v>
          </cell>
          <cell r="K283">
            <v>96.91</v>
          </cell>
          <cell r="L283">
            <v>1.1854306148432696</v>
          </cell>
          <cell r="M283">
            <v>750.38300000000004</v>
          </cell>
          <cell r="N283">
            <v>6.0974500000000003</v>
          </cell>
          <cell r="O283">
            <v>16.612965332065535</v>
          </cell>
          <cell r="P283">
            <v>1.7542691139473701</v>
          </cell>
          <cell r="Q283">
            <v>8.7522967091686539</v>
          </cell>
          <cell r="R283">
            <v>156.96699985676764</v>
          </cell>
          <cell r="S283">
            <v>212.31950454783669</v>
          </cell>
          <cell r="T283">
            <v>22.218917719405006</v>
          </cell>
          <cell r="U283">
            <v>0.20621061981766664</v>
          </cell>
        </row>
        <row r="284">
          <cell r="E284">
            <v>276</v>
          </cell>
          <cell r="F284" t="str">
            <v>Kab. Morowali</v>
          </cell>
          <cell r="G284">
            <v>167.19399999999999</v>
          </cell>
          <cell r="H284">
            <v>15489.98</v>
          </cell>
          <cell r="I284">
            <v>42.597999999999999</v>
          </cell>
          <cell r="J284">
            <v>4.1168094101230883</v>
          </cell>
          <cell r="K284">
            <v>98.51</v>
          </cell>
          <cell r="L284">
            <v>0.9288751660028205</v>
          </cell>
          <cell r="M284">
            <v>275.173</v>
          </cell>
          <cell r="N284">
            <v>15.541732274059999</v>
          </cell>
          <cell r="O284">
            <v>11.36689547935719</v>
          </cell>
          <cell r="P284">
            <v>1.7592330739473703</v>
          </cell>
          <cell r="Q284">
            <v>10.196438129138656</v>
          </cell>
          <cell r="R284">
            <v>64.118082659225692</v>
          </cell>
          <cell r="S284">
            <v>149.25702498385118</v>
          </cell>
          <cell r="T284">
            <v>25.47818701628049</v>
          </cell>
          <cell r="U284">
            <v>0.16158172508477384</v>
          </cell>
        </row>
        <row r="285">
          <cell r="E285">
            <v>277</v>
          </cell>
          <cell r="F285" t="str">
            <v>Kab. Poso</v>
          </cell>
          <cell r="G285">
            <v>275.57900000000001</v>
          </cell>
          <cell r="H285">
            <v>14433.76</v>
          </cell>
          <cell r="I285">
            <v>82.79</v>
          </cell>
          <cell r="J285">
            <v>6.5129655776139455</v>
          </cell>
          <cell r="K285">
            <v>98.04</v>
          </cell>
          <cell r="L285">
            <v>1.2462699733490326</v>
          </cell>
          <cell r="M285">
            <v>424.84136487849707</v>
          </cell>
          <cell r="N285">
            <v>6.4195099999999998</v>
          </cell>
          <cell r="O285">
            <v>13.019155947136142</v>
          </cell>
          <cell r="P285">
            <v>2.04626171394737</v>
          </cell>
          <cell r="Q285">
            <v>9.4343836257486533</v>
          </cell>
          <cell r="R285">
            <v>137.98204155905961</v>
          </cell>
          <cell r="S285">
            <v>206.87115022035138</v>
          </cell>
          <cell r="T285">
            <v>30.04220205458326</v>
          </cell>
          <cell r="U285">
            <v>0.21679388101380281</v>
          </cell>
        </row>
        <row r="286">
          <cell r="E286">
            <v>278</v>
          </cell>
          <cell r="F286" t="str">
            <v>Kota Palu</v>
          </cell>
          <cell r="G286">
            <v>283.56900000000002</v>
          </cell>
          <cell r="H286">
            <v>395.06</v>
          </cell>
          <cell r="I286">
            <v>23.855</v>
          </cell>
          <cell r="J286">
            <v>1.3464881789928147</v>
          </cell>
          <cell r="K286">
            <v>94.17</v>
          </cell>
          <cell r="L286">
            <v>0.92012533166787502</v>
          </cell>
          <cell r="M286">
            <v>1139.27</v>
          </cell>
          <cell r="N286">
            <v>15.638399999999999</v>
          </cell>
          <cell r="O286">
            <v>20.906074413966564</v>
          </cell>
          <cell r="P286">
            <v>1.44563281394737</v>
          </cell>
          <cell r="Q286">
            <v>11.390740987908654</v>
          </cell>
          <cell r="R286">
            <v>121.42296402427907</v>
          </cell>
          <cell r="S286">
            <v>163.83133536225154</v>
          </cell>
          <cell r="T286">
            <v>8.4124146151377612</v>
          </cell>
          <cell r="U286">
            <v>0.16005965475951101</v>
          </cell>
        </row>
        <row r="287">
          <cell r="E287">
            <v>279</v>
          </cell>
          <cell r="F287" t="str">
            <v>Kab. Parigi Moutong</v>
          </cell>
          <cell r="G287">
            <v>346.56</v>
          </cell>
          <cell r="H287">
            <v>6680.0039999999999</v>
          </cell>
          <cell r="I287">
            <v>80.384</v>
          </cell>
          <cell r="J287">
            <v>4.7829685035626088</v>
          </cell>
          <cell r="K287">
            <v>97.1</v>
          </cell>
          <cell r="L287">
            <v>1.1854178267598554</v>
          </cell>
          <cell r="M287">
            <v>625.54</v>
          </cell>
          <cell r="N287">
            <v>2.9851760020000002</v>
          </cell>
          <cell r="O287">
            <v>15.234763908228349</v>
          </cell>
          <cell r="P287">
            <v>1.7764130039473702</v>
          </cell>
          <cell r="Q287">
            <v>8.0777019724486543</v>
          </cell>
          <cell r="R287">
            <v>71.048346907836233</v>
          </cell>
          <cell r="S287">
            <v>139.15942491696418</v>
          </cell>
          <cell r="T287">
            <v>23.194829178208678</v>
          </cell>
          <cell r="U287">
            <v>0.2062083952770026</v>
          </cell>
        </row>
        <row r="288">
          <cell r="E288">
            <v>280</v>
          </cell>
          <cell r="F288" t="str">
            <v>Kab. Bantaeng</v>
          </cell>
          <cell r="G288">
            <v>167.34200000000001</v>
          </cell>
          <cell r="H288">
            <v>395.83</v>
          </cell>
          <cell r="I288">
            <v>17.039000000000001</v>
          </cell>
          <cell r="J288">
            <v>1.8335597130851684</v>
          </cell>
          <cell r="K288">
            <v>96.15</v>
          </cell>
          <cell r="L288">
            <v>1.0351922734858587</v>
          </cell>
          <cell r="M288">
            <v>182.48021512508757</v>
          </cell>
          <cell r="N288">
            <v>6.1877700000000004</v>
          </cell>
          <cell r="O288">
            <v>10.343615615095374</v>
          </cell>
          <cell r="P288">
            <v>2.0794572303473702</v>
          </cell>
          <cell r="Q288">
            <v>7.7031607718096513</v>
          </cell>
          <cell r="R288">
            <v>54.426570299401291</v>
          </cell>
          <cell r="S288">
            <v>109.64751608361438</v>
          </cell>
          <cell r="T288">
            <v>10.18214196077494</v>
          </cell>
          <cell r="U288">
            <v>0.18007603116796658</v>
          </cell>
        </row>
        <row r="289">
          <cell r="E289">
            <v>281</v>
          </cell>
          <cell r="F289" t="str">
            <v>Kab. Barru</v>
          </cell>
          <cell r="G289">
            <v>157.982</v>
          </cell>
          <cell r="H289">
            <v>1174.71</v>
          </cell>
          <cell r="I289">
            <v>17.940999999999999</v>
          </cell>
          <cell r="J289">
            <v>2.4070931189176217</v>
          </cell>
          <cell r="K289">
            <v>96.86</v>
          </cell>
          <cell r="L289">
            <v>1.2184815686081309</v>
          </cell>
          <cell r="M289">
            <v>155.99681000000001</v>
          </cell>
          <cell r="N289">
            <v>8.7393400000000003</v>
          </cell>
          <cell r="O289">
            <v>10.051252674029772</v>
          </cell>
          <cell r="P289">
            <v>2.09652987034737</v>
          </cell>
          <cell r="Q289">
            <v>9.2688692591736608</v>
          </cell>
          <cell r="R289">
            <v>72.75832237409999</v>
          </cell>
          <cell r="S289">
            <v>125.40908705241989</v>
          </cell>
          <cell r="T289">
            <v>11.35635705333519</v>
          </cell>
          <cell r="U289">
            <v>0.21195997163638799</v>
          </cell>
        </row>
        <row r="290">
          <cell r="E290">
            <v>282</v>
          </cell>
          <cell r="F290" t="str">
            <v xml:space="preserve">Kab. Bone </v>
          </cell>
          <cell r="G290">
            <v>688.08</v>
          </cell>
          <cell r="H290">
            <v>4559</v>
          </cell>
          <cell r="I290">
            <v>107.446</v>
          </cell>
          <cell r="J290">
            <v>2.5000606865638182</v>
          </cell>
          <cell r="K290">
            <v>96.94</v>
          </cell>
          <cell r="L290">
            <v>0.92037400675107572</v>
          </cell>
          <cell r="M290">
            <v>725.10396683984925</v>
          </cell>
          <cell r="N290">
            <v>15.952399999999999</v>
          </cell>
          <cell r="O290">
            <v>16.333898027574715</v>
          </cell>
          <cell r="P290">
            <v>2.1149370203473703</v>
          </cell>
          <cell r="Q290">
            <v>15.048060539359341</v>
          </cell>
          <cell r="R290">
            <v>204.88257801285459</v>
          </cell>
          <cell r="S290">
            <v>262.3186739616167</v>
          </cell>
          <cell r="T290">
            <v>15.615335426113241</v>
          </cell>
          <cell r="U290">
            <v>0.16010291283163935</v>
          </cell>
        </row>
        <row r="291">
          <cell r="E291">
            <v>283</v>
          </cell>
          <cell r="F291" t="str">
            <v xml:space="preserve">Kab. Bulukumba   </v>
          </cell>
          <cell r="G291">
            <v>375.983</v>
          </cell>
          <cell r="H291">
            <v>1154.67</v>
          </cell>
          <cell r="I291">
            <v>53.222000000000001</v>
          </cell>
          <cell r="J291">
            <v>2.3645887148757199</v>
          </cell>
          <cell r="K291">
            <v>96.18</v>
          </cell>
          <cell r="L291">
            <v>0.96027968699169253</v>
          </cell>
          <cell r="M291">
            <v>326.61035565999998</v>
          </cell>
          <cell r="N291">
            <v>12.687389999999999</v>
          </cell>
          <cell r="O291">
            <v>11.934736982757713</v>
          </cell>
          <cell r="P291">
            <v>2.0794572303473702</v>
          </cell>
          <cell r="Q291">
            <v>10.086156373474843</v>
          </cell>
          <cell r="R291">
            <v>129.0077368266</v>
          </cell>
          <cell r="S291">
            <v>179.2589981306798</v>
          </cell>
          <cell r="T291">
            <v>14.155427240061385</v>
          </cell>
          <cell r="U291">
            <v>0.16704467302715378</v>
          </cell>
        </row>
        <row r="292">
          <cell r="E292">
            <v>284</v>
          </cell>
          <cell r="F292" t="str">
            <v>Kab. Enrekang</v>
          </cell>
          <cell r="G292">
            <v>179.44300000000001</v>
          </cell>
          <cell r="H292">
            <v>1786.63</v>
          </cell>
          <cell r="I292">
            <v>38.087000000000003</v>
          </cell>
          <cell r="J292">
            <v>3.6792873729792825</v>
          </cell>
          <cell r="K292">
            <v>95.84</v>
          </cell>
          <cell r="L292">
            <v>0.9965029229004525</v>
          </cell>
          <cell r="M292">
            <v>172.05642</v>
          </cell>
          <cell r="N292">
            <v>10.430389999999999</v>
          </cell>
          <cell r="O292">
            <v>10.228542368832604</v>
          </cell>
          <cell r="P292">
            <v>2.0848983203473699</v>
          </cell>
          <cell r="Q292">
            <v>8.1307583785585802</v>
          </cell>
          <cell r="R292">
            <v>73.830393527999973</v>
          </cell>
          <cell r="S292">
            <v>131.06035669930614</v>
          </cell>
          <cell r="T292">
            <v>21.225124412766171</v>
          </cell>
          <cell r="U292">
            <v>0.17334585660974122</v>
          </cell>
        </row>
        <row r="293">
          <cell r="E293">
            <v>285</v>
          </cell>
          <cell r="F293" t="str">
            <v>Kab. G o w a</v>
          </cell>
          <cell r="G293">
            <v>567.59400000000005</v>
          </cell>
          <cell r="H293">
            <v>1883.32</v>
          </cell>
          <cell r="I293">
            <v>94.116</v>
          </cell>
          <cell r="J293">
            <v>2.5780545162142454</v>
          </cell>
          <cell r="K293">
            <v>96.14</v>
          </cell>
          <cell r="L293">
            <v>0.89378187457179292</v>
          </cell>
          <cell r="M293">
            <v>702.60960999999998</v>
          </cell>
          <cell r="N293">
            <v>22.217140000000001</v>
          </cell>
          <cell r="O293">
            <v>16.085572093201286</v>
          </cell>
          <cell r="P293">
            <v>2.08615367034737</v>
          </cell>
          <cell r="Q293">
            <v>9.7782894031778742</v>
          </cell>
          <cell r="R293">
            <v>152.06751765270002</v>
          </cell>
          <cell r="S293">
            <v>211.36829192014412</v>
          </cell>
          <cell r="T293">
            <v>16.581570629710672</v>
          </cell>
          <cell r="U293">
            <v>0.15547710007608787</v>
          </cell>
        </row>
        <row r="294">
          <cell r="E294">
            <v>286</v>
          </cell>
          <cell r="F294" t="str">
            <v>Kab. Jeneponto</v>
          </cell>
          <cell r="G294">
            <v>328.24099999999999</v>
          </cell>
          <cell r="H294">
            <v>706.52</v>
          </cell>
          <cell r="I294">
            <v>74.471000000000004</v>
          </cell>
          <cell r="J294">
            <v>3.6182035569742284</v>
          </cell>
          <cell r="K294">
            <v>95.56</v>
          </cell>
          <cell r="L294">
            <v>0.91677708430618365</v>
          </cell>
          <cell r="M294">
            <v>266.09540999999996</v>
          </cell>
          <cell r="N294">
            <v>4.5876899999999994</v>
          </cell>
          <cell r="O294">
            <v>11.266683633574804</v>
          </cell>
          <cell r="P294">
            <v>2.0851980303473701</v>
          </cell>
          <cell r="Q294">
            <v>8.153253190015489</v>
          </cell>
          <cell r="R294">
            <v>95.966883493186742</v>
          </cell>
          <cell r="S294">
            <v>146.60022503893055</v>
          </cell>
          <cell r="T294">
            <v>22.687903095591352</v>
          </cell>
          <cell r="U294">
            <v>0.15947721310909985</v>
          </cell>
        </row>
        <row r="295">
          <cell r="E295">
            <v>287</v>
          </cell>
          <cell r="F295" t="str">
            <v>Kab. Luwu</v>
          </cell>
          <cell r="G295">
            <v>310.10899999999998</v>
          </cell>
          <cell r="H295">
            <v>3000.25</v>
          </cell>
          <cell r="I295">
            <v>57.331000000000003</v>
          </cell>
          <cell r="J295">
            <v>3.1567137648812897</v>
          </cell>
          <cell r="K295">
            <v>96.73</v>
          </cell>
          <cell r="L295">
            <v>0.98157879770551371</v>
          </cell>
          <cell r="M295">
            <v>179.40970269475426</v>
          </cell>
          <cell r="N295">
            <v>10.629629999999999</v>
          </cell>
          <cell r="O295">
            <v>10.309718763823014</v>
          </cell>
          <cell r="P295">
            <v>2.3286722403473701</v>
          </cell>
          <cell r="Q295">
            <v>7.1139477870593177</v>
          </cell>
          <cell r="R295">
            <v>94.391845260299988</v>
          </cell>
          <cell r="S295">
            <v>152.79178984905266</v>
          </cell>
          <cell r="T295">
            <v>18.487370569702914</v>
          </cell>
          <cell r="U295">
            <v>0.17074974253258651</v>
          </cell>
        </row>
        <row r="296">
          <cell r="E296">
            <v>288</v>
          </cell>
          <cell r="F296" t="str">
            <v>Kab. Luwu Utara</v>
          </cell>
          <cell r="G296">
            <v>479.91899999999998</v>
          </cell>
          <cell r="H296">
            <v>14447.46</v>
          </cell>
          <cell r="I296">
            <v>66.753</v>
          </cell>
          <cell r="J296">
            <v>1.9972888293474529</v>
          </cell>
          <cell r="K296">
            <v>94.9</v>
          </cell>
          <cell r="L296">
            <v>0.82547350818850629</v>
          </cell>
          <cell r="M296">
            <v>346.90277451817866</v>
          </cell>
          <cell r="N296">
            <v>23.828810000000001</v>
          </cell>
          <cell r="O296">
            <v>12.158754673484804</v>
          </cell>
          <cell r="P296">
            <v>2.0869923703473701</v>
          </cell>
          <cell r="Q296">
            <v>9.8848522660187044</v>
          </cell>
          <cell r="R296">
            <v>94.849988360670082</v>
          </cell>
          <cell r="S296">
            <v>181.92371257031795</v>
          </cell>
          <cell r="T296">
            <v>13.909222181243086</v>
          </cell>
          <cell r="U296">
            <v>0.14359457368082335</v>
          </cell>
        </row>
        <row r="297">
          <cell r="E297">
            <v>289</v>
          </cell>
          <cell r="F297" t="str">
            <v xml:space="preserve">Kab. Majene    </v>
          </cell>
          <cell r="G297">
            <v>130.52699999999999</v>
          </cell>
          <cell r="H297">
            <v>947.84</v>
          </cell>
          <cell r="I297">
            <v>34.78</v>
          </cell>
          <cell r="J297">
            <v>4.0494692832885244</v>
          </cell>
          <cell r="K297">
            <v>93.5</v>
          </cell>
          <cell r="L297">
            <v>0.87364299546205115</v>
          </cell>
          <cell r="M297">
            <v>168.28336055294088</v>
          </cell>
          <cell r="N297">
            <v>2.99905</v>
          </cell>
          <cell r="O297">
            <v>10.186889765946106</v>
          </cell>
          <cell r="P297">
            <v>2.0794572303473702</v>
          </cell>
          <cell r="Q297">
            <v>9.1500352397961091</v>
          </cell>
          <cell r="R297">
            <v>66.312806524102399</v>
          </cell>
          <cell r="S297">
            <v>116.11363012971017</v>
          </cell>
          <cell r="T297">
            <v>26.645828066223849</v>
          </cell>
          <cell r="U297">
            <v>0.1519738577170216</v>
          </cell>
        </row>
        <row r="298">
          <cell r="E298">
            <v>290</v>
          </cell>
          <cell r="F298" t="str">
            <v>Kab. Mamuju</v>
          </cell>
          <cell r="G298">
            <v>360.52499999999998</v>
          </cell>
          <cell r="H298">
            <v>11057.82</v>
          </cell>
          <cell r="I298">
            <v>60.639000000000003</v>
          </cell>
          <cell r="J298">
            <v>2.4235685832950242</v>
          </cell>
          <cell r="K298">
            <v>99.29</v>
          </cell>
          <cell r="L298">
            <v>0.82833074328097145</v>
          </cell>
          <cell r="M298">
            <v>155.58785999999998</v>
          </cell>
          <cell r="N298">
            <v>7.9471099999999995</v>
          </cell>
          <cell r="O298">
            <v>10.046738079921347</v>
          </cell>
          <cell r="P298">
            <v>2.6843528803473702</v>
          </cell>
          <cell r="Q298">
            <v>10.597188790871799</v>
          </cell>
          <cell r="R298">
            <v>92.095088695073002</v>
          </cell>
          <cell r="S298">
            <v>168.07786039970455</v>
          </cell>
          <cell r="T298">
            <v>16.819638027876017</v>
          </cell>
          <cell r="U298">
            <v>0.14409160169073343</v>
          </cell>
        </row>
        <row r="299">
          <cell r="E299">
            <v>291</v>
          </cell>
          <cell r="F299" t="str">
            <v xml:space="preserve">Kab. M a r o s </v>
          </cell>
          <cell r="G299">
            <v>291.98599999999999</v>
          </cell>
          <cell r="H299">
            <v>1619.12</v>
          </cell>
          <cell r="I299">
            <v>59.936999999999998</v>
          </cell>
          <cell r="J299">
            <v>2.6349704196232437</v>
          </cell>
          <cell r="K299">
            <v>97.51</v>
          </cell>
          <cell r="L299">
            <v>0.73791762353820578</v>
          </cell>
          <cell r="M299">
            <v>342.22633649800002</v>
          </cell>
          <cell r="N299">
            <v>10.69455</v>
          </cell>
          <cell r="O299">
            <v>12.107129243641749</v>
          </cell>
          <cell r="P299">
            <v>2.0794572303473702</v>
          </cell>
          <cell r="Q299">
            <v>8.8902848314402227</v>
          </cell>
          <cell r="R299">
            <v>102.79451036204331</v>
          </cell>
          <cell r="S299">
            <v>151.90640584290031</v>
          </cell>
          <cell r="T299">
            <v>20.527354051221632</v>
          </cell>
          <cell r="U299">
            <v>0.12836386087794058</v>
          </cell>
        </row>
        <row r="300">
          <cell r="E300">
            <v>292</v>
          </cell>
          <cell r="F300" t="str">
            <v>Kab. Pangkajene Kepulauan</v>
          </cell>
          <cell r="G300">
            <v>277.68700000000001</v>
          </cell>
          <cell r="H300">
            <v>1132.08</v>
          </cell>
          <cell r="I300">
            <v>61.741</v>
          </cell>
          <cell r="J300">
            <v>4.0581586315232094</v>
          </cell>
          <cell r="K300">
            <v>98.38</v>
          </cell>
          <cell r="L300">
            <v>1.0492428541469498</v>
          </cell>
          <cell r="M300">
            <v>343.64166</v>
          </cell>
          <cell r="N300">
            <v>25.466799999999999</v>
          </cell>
          <cell r="O300">
            <v>12.122753674852524</v>
          </cell>
          <cell r="P300">
            <v>2.0794572303473702</v>
          </cell>
          <cell r="Q300">
            <v>8.5692593984071586</v>
          </cell>
          <cell r="R300">
            <v>97.691588036747561</v>
          </cell>
          <cell r="S300">
            <v>154.39212950647334</v>
          </cell>
          <cell r="T300">
            <v>22.234026079722852</v>
          </cell>
          <cell r="U300">
            <v>0.18252018851521445</v>
          </cell>
        </row>
        <row r="301">
          <cell r="E301">
            <v>293</v>
          </cell>
          <cell r="F301" t="str">
            <v>Kab. Pinrang</v>
          </cell>
          <cell r="G301">
            <v>333.85300000000001</v>
          </cell>
          <cell r="H301">
            <v>1961.77</v>
          </cell>
          <cell r="I301">
            <v>29.466999999999999</v>
          </cell>
          <cell r="J301">
            <v>0.88681731665677632</v>
          </cell>
          <cell r="K301">
            <v>96.98</v>
          </cell>
          <cell r="L301">
            <v>0.57758863130629012</v>
          </cell>
          <cell r="M301">
            <v>473.75335480000001</v>
          </cell>
          <cell r="N301">
            <v>13.56033</v>
          </cell>
          <cell r="O301">
            <v>13.559118733616163</v>
          </cell>
          <cell r="P301">
            <v>2.1286376703473699</v>
          </cell>
          <cell r="Q301">
            <v>12.034131721066199</v>
          </cell>
          <cell r="R301">
            <v>110.43223038685329</v>
          </cell>
          <cell r="S301">
            <v>157.24521500939062</v>
          </cell>
          <cell r="T301">
            <v>8.826339736351029</v>
          </cell>
          <cell r="U301">
            <v>0.10047396125082796</v>
          </cell>
        </row>
        <row r="302">
          <cell r="E302">
            <v>294</v>
          </cell>
          <cell r="F302" t="str">
            <v>Kab. Polewali Mamasa</v>
          </cell>
          <cell r="G302">
            <v>357.85199999999998</v>
          </cell>
          <cell r="H302">
            <v>1775.65</v>
          </cell>
          <cell r="I302">
            <v>109.651</v>
          </cell>
          <cell r="J302">
            <v>7.3582158488284186</v>
          </cell>
          <cell r="K302">
            <v>95.97</v>
          </cell>
          <cell r="L302">
            <v>1.3804748120874886</v>
          </cell>
          <cell r="M302">
            <v>355.84113658024137</v>
          </cell>
          <cell r="N302">
            <v>7.30124</v>
          </cell>
          <cell r="O302">
            <v>12.257429515652223</v>
          </cell>
          <cell r="P302">
            <v>2.1264069903473701</v>
          </cell>
          <cell r="Q302">
            <v>8.5400655139808741</v>
          </cell>
          <cell r="R302">
            <v>111.496377</v>
          </cell>
          <cell r="S302">
            <v>152.05138767876463</v>
          </cell>
          <cell r="T302">
            <v>30.641438359992399</v>
          </cell>
          <cell r="U302">
            <v>0.24013937473757169</v>
          </cell>
        </row>
        <row r="303">
          <cell r="E303">
            <v>295</v>
          </cell>
          <cell r="F303" t="str">
            <v>Kab. Selayar</v>
          </cell>
          <cell r="G303">
            <v>110.678</v>
          </cell>
          <cell r="H303">
            <v>903.35</v>
          </cell>
          <cell r="I303">
            <v>24.456</v>
          </cell>
          <cell r="J303">
            <v>3.7846965441828999</v>
          </cell>
          <cell r="K303">
            <v>101.23</v>
          </cell>
          <cell r="L303">
            <v>0.98462770602835381</v>
          </cell>
          <cell r="M303">
            <v>155.99681000000001</v>
          </cell>
          <cell r="N303">
            <v>2.43614</v>
          </cell>
          <cell r="O303">
            <v>10.051252674029772</v>
          </cell>
          <cell r="P303">
            <v>2.0794572303473702</v>
          </cell>
          <cell r="Q303">
            <v>7.3728602321778496</v>
          </cell>
          <cell r="R303">
            <v>51.216031035599983</v>
          </cell>
          <cell r="S303">
            <v>108.36848013640881</v>
          </cell>
          <cell r="T303">
            <v>22.096532282838506</v>
          </cell>
          <cell r="U303">
            <v>0.17128011290361259</v>
          </cell>
        </row>
        <row r="304">
          <cell r="E304">
            <v>296</v>
          </cell>
          <cell r="F304" t="str">
            <v xml:space="preserve">Kab. Sidenreng Rappang </v>
          </cell>
          <cell r="G304">
            <v>246.62299999999999</v>
          </cell>
          <cell r="H304">
            <v>1883.25</v>
          </cell>
          <cell r="I304">
            <v>19.946000000000002</v>
          </cell>
          <cell r="J304">
            <v>1.0563738684391584</v>
          </cell>
          <cell r="K304">
            <v>94.51</v>
          </cell>
          <cell r="L304">
            <v>0.75086268592405336</v>
          </cell>
          <cell r="M304">
            <v>373.82377121591469</v>
          </cell>
          <cell r="N304">
            <v>12.603159999999999</v>
          </cell>
          <cell r="O304">
            <v>12.455948396640576</v>
          </cell>
          <cell r="P304">
            <v>2.1011709903473701</v>
          </cell>
          <cell r="Q304">
            <v>11.917497716009926</v>
          </cell>
          <cell r="R304">
            <v>98.211199391882971</v>
          </cell>
          <cell r="S304">
            <v>147.83000000000001</v>
          </cell>
          <cell r="T304">
            <v>8.0876479484881791</v>
          </cell>
          <cell r="U304">
            <v>0.13061570869150232</v>
          </cell>
        </row>
        <row r="305">
          <cell r="E305">
            <v>297</v>
          </cell>
          <cell r="F305" t="str">
            <v>Kab. Sinjai</v>
          </cell>
          <cell r="G305">
            <v>218.72800000000001</v>
          </cell>
          <cell r="H305">
            <v>798.96</v>
          </cell>
          <cell r="I305">
            <v>30.169</v>
          </cell>
          <cell r="J305">
            <v>1.3596420611257658</v>
          </cell>
          <cell r="K305">
            <v>96.91</v>
          </cell>
          <cell r="L305">
            <v>0.56667384686678635</v>
          </cell>
          <cell r="M305">
            <v>227.89487</v>
          </cell>
          <cell r="N305">
            <v>8.9000599999999999</v>
          </cell>
          <cell r="O305">
            <v>10.844969651858976</v>
          </cell>
          <cell r="P305">
            <v>2.0794572303473702</v>
          </cell>
          <cell r="Q305">
            <v>7.5703620191869945</v>
          </cell>
          <cell r="R305">
            <v>88.467258596699992</v>
          </cell>
          <cell r="S305">
            <v>137.1178912931388</v>
          </cell>
          <cell r="T305">
            <v>13.792930031820344</v>
          </cell>
          <cell r="U305">
            <v>9.8575288788463819E-2</v>
          </cell>
        </row>
        <row r="306">
          <cell r="E306">
            <v>298</v>
          </cell>
          <cell r="F306" t="str">
            <v>Kab. Soppeng</v>
          </cell>
          <cell r="G306">
            <v>224.339</v>
          </cell>
          <cell r="H306">
            <v>1359.44</v>
          </cell>
          <cell r="I306">
            <v>10.324</v>
          </cell>
          <cell r="J306">
            <v>0.65423459766015735</v>
          </cell>
          <cell r="K306">
            <v>96.52</v>
          </cell>
          <cell r="L306">
            <v>0.81725089018069685</v>
          </cell>
          <cell r="M306">
            <v>318.44218000000001</v>
          </cell>
          <cell r="N306">
            <v>14.200379999999999</v>
          </cell>
          <cell r="O306">
            <v>11.844564595641382</v>
          </cell>
          <cell r="P306">
            <v>2.0794572303473702</v>
          </cell>
          <cell r="Q306">
            <v>10.735559884530302</v>
          </cell>
          <cell r="R306">
            <v>114.26480109520664</v>
          </cell>
          <cell r="S306">
            <v>151.0394902362128</v>
          </cell>
          <cell r="T306">
            <v>4.6019639919942588</v>
          </cell>
          <cell r="U306">
            <v>0.14216421484355099</v>
          </cell>
        </row>
        <row r="307">
          <cell r="E307">
            <v>299</v>
          </cell>
          <cell r="F307" t="str">
            <v xml:space="preserve">Kab. Takalar </v>
          </cell>
          <cell r="G307">
            <v>244.87299999999999</v>
          </cell>
          <cell r="H307">
            <v>556.51</v>
          </cell>
          <cell r="I307">
            <v>31.672999999999998</v>
          </cell>
          <cell r="J307">
            <v>1.4412900115112697</v>
          </cell>
          <cell r="K307">
            <v>96.77</v>
          </cell>
          <cell r="L307">
            <v>0.64057235128707679</v>
          </cell>
          <cell r="M307">
            <v>279.75306</v>
          </cell>
          <cell r="N307">
            <v>4.9586899999999998</v>
          </cell>
          <cell r="O307">
            <v>11.417456946265704</v>
          </cell>
          <cell r="P307">
            <v>2.0908633603473699</v>
          </cell>
          <cell r="Q307">
            <v>8.6271149236765883</v>
          </cell>
          <cell r="R307">
            <v>91.516372514699981</v>
          </cell>
          <cell r="S307">
            <v>138.35402442695988</v>
          </cell>
          <cell r="T307">
            <v>12.934459903705186</v>
          </cell>
          <cell r="U307">
            <v>0.11143024310573647</v>
          </cell>
        </row>
        <row r="308">
          <cell r="E308">
            <v>300</v>
          </cell>
          <cell r="F308" t="str">
            <v>Kab. Tana Toraja</v>
          </cell>
          <cell r="G308">
            <v>422.60399999999998</v>
          </cell>
          <cell r="H308">
            <v>3205.77</v>
          </cell>
          <cell r="I308">
            <v>78.078999999999994</v>
          </cell>
          <cell r="J308">
            <v>2.5954735630235035</v>
          </cell>
          <cell r="K308">
            <v>97.34</v>
          </cell>
          <cell r="L308">
            <v>0.80757168252288847</v>
          </cell>
          <cell r="M308">
            <v>425.61937999999998</v>
          </cell>
          <cell r="N308">
            <v>13.98935</v>
          </cell>
          <cell r="O308">
            <v>13.027744827155221</v>
          </cell>
          <cell r="P308">
            <v>2.0794572303473702</v>
          </cell>
          <cell r="Q308">
            <v>8.3126021554128275</v>
          </cell>
          <cell r="R308">
            <v>147.19016984939998</v>
          </cell>
          <cell r="S308">
            <v>201.81448866623742</v>
          </cell>
          <cell r="T308">
            <v>18.475688824526031</v>
          </cell>
          <cell r="U308">
            <v>0.14048047613673137</v>
          </cell>
        </row>
        <row r="309">
          <cell r="E309">
            <v>301</v>
          </cell>
          <cell r="F309" t="str">
            <v>Kab. Wajo</v>
          </cell>
          <cell r="G309">
            <v>363.92200000000003</v>
          </cell>
          <cell r="H309">
            <v>2506.19</v>
          </cell>
          <cell r="I309">
            <v>35.08</v>
          </cell>
          <cell r="J309">
            <v>1.1719387048667902</v>
          </cell>
          <cell r="K309">
            <v>94.38</v>
          </cell>
          <cell r="L309">
            <v>0.69890594556648711</v>
          </cell>
          <cell r="M309">
            <v>742.5006800000001</v>
          </cell>
          <cell r="N309">
            <v>14.788530000000002</v>
          </cell>
          <cell r="O309">
            <v>16.525948641925595</v>
          </cell>
          <cell r="P309">
            <v>2.08098233034737</v>
          </cell>
          <cell r="Q309">
            <v>25.363405870392572</v>
          </cell>
          <cell r="R309">
            <v>115.02597124414446</v>
          </cell>
          <cell r="S309">
            <v>166.13</v>
          </cell>
          <cell r="T309">
            <v>9.63942822912602</v>
          </cell>
          <cell r="U309">
            <v>0.12157761612101826</v>
          </cell>
        </row>
        <row r="310">
          <cell r="E310">
            <v>302</v>
          </cell>
          <cell r="F310" t="str">
            <v>Kota Pare-pare</v>
          </cell>
          <cell r="G310">
            <v>114.10299999999999</v>
          </cell>
          <cell r="H310">
            <v>99.33</v>
          </cell>
          <cell r="I310">
            <v>7.82</v>
          </cell>
          <cell r="J310">
            <v>1.2107673437855095</v>
          </cell>
          <cell r="K310">
            <v>94.7</v>
          </cell>
          <cell r="L310">
            <v>1.0155846317798103</v>
          </cell>
          <cell r="M310">
            <v>463.11081999999999</v>
          </cell>
          <cell r="N310">
            <v>12.78153</v>
          </cell>
          <cell r="O310">
            <v>13.441630715748946</v>
          </cell>
          <cell r="P310">
            <v>2.0794572303473702</v>
          </cell>
          <cell r="Q310">
            <v>8.2501447723885377</v>
          </cell>
          <cell r="R310">
            <v>66.073114816499995</v>
          </cell>
          <cell r="S310">
            <v>121.83694066676485</v>
          </cell>
          <cell r="T310">
            <v>6.8534569643217091</v>
          </cell>
          <cell r="U310">
            <v>0.17666519977999745</v>
          </cell>
        </row>
        <row r="311">
          <cell r="E311">
            <v>303</v>
          </cell>
          <cell r="F311" t="str">
            <v>Kota Makassar</v>
          </cell>
          <cell r="G311">
            <v>1169.9849999999999</v>
          </cell>
          <cell r="H311">
            <v>175.77</v>
          </cell>
          <cell r="I311">
            <v>71.563999999999993</v>
          </cell>
          <cell r="J311">
            <v>0.8509074434574686</v>
          </cell>
          <cell r="K311">
            <v>95.76</v>
          </cell>
          <cell r="L311">
            <v>0.79971109435745669</v>
          </cell>
          <cell r="M311">
            <v>6234.8790599999993</v>
          </cell>
          <cell r="N311">
            <v>78.684690000000003</v>
          </cell>
          <cell r="O311">
            <v>77.158933299203611</v>
          </cell>
          <cell r="P311">
            <v>2.0794572303473702</v>
          </cell>
          <cell r="Q311">
            <v>66.369844551989161</v>
          </cell>
          <cell r="R311">
            <v>281.86202053912643</v>
          </cell>
          <cell r="S311">
            <v>308.15755217613804</v>
          </cell>
          <cell r="T311">
            <v>6.1166596152942132</v>
          </cell>
          <cell r="U311">
            <v>0.13911309390665508</v>
          </cell>
        </row>
        <row r="312">
          <cell r="E312">
            <v>304</v>
          </cell>
          <cell r="F312" t="str">
            <v>Kota Palopo</v>
          </cell>
          <cell r="G312">
            <v>125.386</v>
          </cell>
          <cell r="H312">
            <v>247.52</v>
          </cell>
          <cell r="I312">
            <v>14.032</v>
          </cell>
          <cell r="J312">
            <v>2.9072826200714204</v>
          </cell>
          <cell r="K312">
            <v>93.99</v>
          </cell>
          <cell r="L312">
            <v>1.4934195609944017</v>
          </cell>
          <cell r="M312">
            <v>244.26026173828453</v>
          </cell>
          <cell r="N312">
            <v>6.7356400000000001</v>
          </cell>
          <cell r="O312">
            <v>11.025635017120601</v>
          </cell>
          <cell r="P312">
            <v>2.0794572303473702</v>
          </cell>
          <cell r="Q312">
            <v>4.3676590767336965</v>
          </cell>
          <cell r="R312">
            <v>48.078067051799991</v>
          </cell>
          <cell r="S312">
            <v>87.825522477388191</v>
          </cell>
          <cell r="T312">
            <v>11.191042062112198</v>
          </cell>
          <cell r="U312">
            <v>0.2597865868017924</v>
          </cell>
        </row>
        <row r="313">
          <cell r="E313">
            <v>305</v>
          </cell>
          <cell r="F313" t="str">
            <v>Kab. Mamasa</v>
          </cell>
          <cell r="G313">
            <v>120.745</v>
          </cell>
          <cell r="H313">
            <v>3005.88</v>
          </cell>
          <cell r="I313">
            <v>35.781999999999996</v>
          </cell>
          <cell r="J313">
            <v>7.1036507804634574</v>
          </cell>
          <cell r="K313">
            <v>95.71</v>
          </cell>
          <cell r="L313">
            <v>1.3780064776249843</v>
          </cell>
          <cell r="M313">
            <v>120.21605306709046</v>
          </cell>
          <cell r="N313">
            <v>2.1687600000000002</v>
          </cell>
          <cell r="O313">
            <v>9.6562518317646227</v>
          </cell>
          <cell r="P313">
            <v>2.0794572303473702</v>
          </cell>
          <cell r="Q313">
            <v>5.9373855340842825</v>
          </cell>
          <cell r="R313">
            <v>29.677843199999987</v>
          </cell>
          <cell r="S313">
            <v>93.320831643824206</v>
          </cell>
          <cell r="T313">
            <v>29.634353389374297</v>
          </cell>
          <cell r="U313">
            <v>0.23970999762088768</v>
          </cell>
        </row>
        <row r="314">
          <cell r="E314">
            <v>306</v>
          </cell>
          <cell r="F314" t="str">
            <v>Kab. Buton</v>
          </cell>
          <cell r="G314">
            <v>459.36599999999999</v>
          </cell>
          <cell r="H314">
            <v>5851.9</v>
          </cell>
          <cell r="I314">
            <v>102.334</v>
          </cell>
          <cell r="J314">
            <v>3.7394821074382585</v>
          </cell>
          <cell r="K314">
            <v>100.73</v>
          </cell>
          <cell r="L314">
            <v>0.96497368169650111</v>
          </cell>
          <cell r="M314">
            <v>429.21310427945622</v>
          </cell>
          <cell r="N314">
            <v>10.71796</v>
          </cell>
          <cell r="O314">
            <v>13.067417663588381</v>
          </cell>
          <cell r="P314">
            <v>1.5819838309473702</v>
          </cell>
          <cell r="Q314">
            <v>6.847107502608484</v>
          </cell>
          <cell r="R314">
            <v>152.19324659969999</v>
          </cell>
          <cell r="S314">
            <v>217.01119073930676</v>
          </cell>
          <cell r="T314">
            <v>22.277225567412479</v>
          </cell>
          <cell r="U314">
            <v>0.16786121306364288</v>
          </cell>
        </row>
        <row r="315">
          <cell r="E315">
            <v>307</v>
          </cell>
          <cell r="F315" t="str">
            <v>Kab. Kendari</v>
          </cell>
          <cell r="G315">
            <v>474.64100000000002</v>
          </cell>
          <cell r="H315">
            <v>15824.77</v>
          </cell>
          <cell r="I315">
            <v>112.959</v>
          </cell>
          <cell r="J315">
            <v>4.7113218194400437</v>
          </cell>
          <cell r="K315">
            <v>100.67</v>
          </cell>
          <cell r="L315">
            <v>1.138026286593947</v>
          </cell>
          <cell r="M315">
            <v>681.33831292242542</v>
          </cell>
          <cell r="N315">
            <v>6.7561</v>
          </cell>
          <cell r="O315">
            <v>15.850748098911041</v>
          </cell>
          <cell r="P315">
            <v>1.6719330209473702</v>
          </cell>
          <cell r="Q315">
            <v>8.3908888713323879</v>
          </cell>
          <cell r="R315">
            <v>203.9134377432556</v>
          </cell>
          <cell r="S315">
            <v>266.69706599843784</v>
          </cell>
          <cell r="T315">
            <v>23.798829009714712</v>
          </cell>
          <cell r="U315">
            <v>0.19796443839807731</v>
          </cell>
        </row>
        <row r="316">
          <cell r="E316">
            <v>308</v>
          </cell>
          <cell r="F316" t="str">
            <v>Kab. Kolaka</v>
          </cell>
          <cell r="G316">
            <v>354.37</v>
          </cell>
          <cell r="H316">
            <v>10200.790000000001</v>
          </cell>
          <cell r="I316">
            <v>88.503</v>
          </cell>
          <cell r="J316">
            <v>3.7660293256473141</v>
          </cell>
          <cell r="K316">
            <v>99.52</v>
          </cell>
          <cell r="L316">
            <v>0.86685760824729774</v>
          </cell>
          <cell r="M316">
            <v>724.79160999999999</v>
          </cell>
          <cell r="N316">
            <v>17.124747063970002</v>
          </cell>
          <cell r="O316">
            <v>16.330449771433599</v>
          </cell>
          <cell r="P316">
            <v>3.74463166394737</v>
          </cell>
          <cell r="Q316">
            <v>11.552792948355712</v>
          </cell>
          <cell r="R316">
            <v>117.73571419499994</v>
          </cell>
          <cell r="S316">
            <v>186.08323858778425</v>
          </cell>
          <cell r="T316">
            <v>24.974743911730677</v>
          </cell>
          <cell r="U316">
            <v>0.1507935111950599</v>
          </cell>
        </row>
        <row r="317">
          <cell r="E317">
            <v>309</v>
          </cell>
          <cell r="F317" t="str">
            <v>Kab. Muna</v>
          </cell>
          <cell r="G317">
            <v>294.01600000000002</v>
          </cell>
          <cell r="H317">
            <v>4887</v>
          </cell>
          <cell r="I317">
            <v>72.966999999999999</v>
          </cell>
          <cell r="J317">
            <v>3.5365804738781499</v>
          </cell>
          <cell r="K317">
            <v>102.71</v>
          </cell>
          <cell r="L317">
            <v>0.81920601090382406</v>
          </cell>
          <cell r="M317">
            <v>482.28445368096391</v>
          </cell>
          <cell r="N317">
            <v>20.980049999999999</v>
          </cell>
          <cell r="O317">
            <v>13.653297603273574</v>
          </cell>
          <cell r="P317">
            <v>1.6316061409473703</v>
          </cell>
          <cell r="Q317">
            <v>7.6778493396897947</v>
          </cell>
          <cell r="R317">
            <v>143.99870099999998</v>
          </cell>
          <cell r="S317">
            <v>191.45083189043743</v>
          </cell>
          <cell r="T317">
            <v>24.817356878537218</v>
          </cell>
          <cell r="U317">
            <v>0.14250431628102544</v>
          </cell>
        </row>
        <row r="318">
          <cell r="E318">
            <v>310</v>
          </cell>
          <cell r="F318" t="str">
            <v>Kota Kendari</v>
          </cell>
          <cell r="G318">
            <v>222.19800000000001</v>
          </cell>
          <cell r="H318">
            <v>295.89</v>
          </cell>
          <cell r="I318">
            <v>19.545000000000002</v>
          </cell>
          <cell r="J318">
            <v>1.4791709815674907</v>
          </cell>
          <cell r="K318">
            <v>97.01</v>
          </cell>
          <cell r="L318">
            <v>0.96669163482799314</v>
          </cell>
          <cell r="M318">
            <v>814.9313044555214</v>
          </cell>
          <cell r="N318">
            <v>13.893280000000001</v>
          </cell>
          <cell r="O318">
            <v>17.325544852798579</v>
          </cell>
          <cell r="P318">
            <v>1.5407138209473703</v>
          </cell>
          <cell r="Q318">
            <v>15.22419205527034</v>
          </cell>
          <cell r="R318">
            <v>99.725560439999981</v>
          </cell>
          <cell r="S318">
            <v>145.15027282767801</v>
          </cell>
          <cell r="T318">
            <v>8.7962087867577576</v>
          </cell>
          <cell r="U318">
            <v>0.16816005820533808</v>
          </cell>
        </row>
        <row r="319">
          <cell r="E319">
            <v>311</v>
          </cell>
          <cell r="F319" t="str">
            <v>Kota Bau-bau</v>
          </cell>
          <cell r="G319">
            <v>118.093</v>
          </cell>
          <cell r="H319">
            <v>611.1</v>
          </cell>
          <cell r="I319">
            <v>22.050999999999998</v>
          </cell>
          <cell r="J319">
            <v>3.1325231807096383</v>
          </cell>
          <cell r="K319">
            <v>99.43</v>
          </cell>
          <cell r="L319">
            <v>0.96439571292880533</v>
          </cell>
          <cell r="M319">
            <v>371.98392119317418</v>
          </cell>
          <cell r="N319">
            <v>6.1811999999999996</v>
          </cell>
          <cell r="O319">
            <v>12.435637414679331</v>
          </cell>
          <cell r="P319">
            <v>1.5407138209473703</v>
          </cell>
          <cell r="Q319">
            <v>5.0302551830552051</v>
          </cell>
          <cell r="R319">
            <v>63.184387811099988</v>
          </cell>
          <cell r="S319">
            <v>110.99666763867151</v>
          </cell>
          <cell r="T319">
            <v>18.672571617284682</v>
          </cell>
          <cell r="U319">
            <v>0.16776067297607516</v>
          </cell>
        </row>
        <row r="320">
          <cell r="E320">
            <v>312</v>
          </cell>
          <cell r="F320" t="str">
            <v>Kab. Badung</v>
          </cell>
          <cell r="G320">
            <v>413.87</v>
          </cell>
          <cell r="H320">
            <v>418.52</v>
          </cell>
          <cell r="I320">
            <v>20.547000000000001</v>
          </cell>
          <cell r="J320">
            <v>0.69967833548081337</v>
          </cell>
          <cell r="K320">
            <v>92.44</v>
          </cell>
          <cell r="L320">
            <v>0.81017542275102516</v>
          </cell>
          <cell r="M320">
            <v>4245.7431900000001</v>
          </cell>
          <cell r="N320">
            <v>221.43847</v>
          </cell>
          <cell r="O320">
            <v>55.199913664625676</v>
          </cell>
          <cell r="P320">
            <v>1.1611853539473702</v>
          </cell>
          <cell r="Q320">
            <v>45.216228795210654</v>
          </cell>
          <cell r="R320">
            <v>131.893430526</v>
          </cell>
          <cell r="S320">
            <v>155.84534445213473</v>
          </cell>
          <cell r="T320">
            <v>4.9646024113852176</v>
          </cell>
          <cell r="U320">
            <v>0.14093340765340159</v>
          </cell>
        </row>
        <row r="321">
          <cell r="E321">
            <v>313</v>
          </cell>
          <cell r="F321" t="str">
            <v>Kab. Bangli</v>
          </cell>
          <cell r="G321">
            <v>210.64699999999999</v>
          </cell>
          <cell r="H321">
            <v>520.80999999999995</v>
          </cell>
          <cell r="I321">
            <v>13.13</v>
          </cell>
          <cell r="J321">
            <v>0.56927908031542329</v>
          </cell>
          <cell r="K321">
            <v>91.05</v>
          </cell>
          <cell r="L321">
            <v>0.52502609398633082</v>
          </cell>
          <cell r="M321">
            <v>552.73282999999992</v>
          </cell>
          <cell r="N321">
            <v>7.96225</v>
          </cell>
          <cell r="O321">
            <v>14.431010831487516</v>
          </cell>
          <cell r="P321">
            <v>1.1538461539473701</v>
          </cell>
          <cell r="Q321">
            <v>8.9210746078570544</v>
          </cell>
          <cell r="R321">
            <v>73.922375438726036</v>
          </cell>
          <cell r="S321">
            <v>126.37438885355738</v>
          </cell>
          <cell r="T321">
            <v>6.2331768313814111</v>
          </cell>
          <cell r="U321">
            <v>9.1330487761769205E-2</v>
          </cell>
        </row>
        <row r="322">
          <cell r="E322">
            <v>314</v>
          </cell>
          <cell r="F322" t="str">
            <v>Kab. Buleleng</v>
          </cell>
          <cell r="G322">
            <v>610.428</v>
          </cell>
          <cell r="H322">
            <v>1365.88</v>
          </cell>
          <cell r="I322">
            <v>61.841999999999999</v>
          </cell>
          <cell r="J322">
            <v>1.2875453831188417</v>
          </cell>
          <cell r="K322">
            <v>92.86</v>
          </cell>
          <cell r="L322">
            <v>0.73059816519746257</v>
          </cell>
          <cell r="M322">
            <v>1690.0887499999999</v>
          </cell>
          <cell r="N322">
            <v>18.76925</v>
          </cell>
          <cell r="O322">
            <v>26.98682532131593</v>
          </cell>
          <cell r="P322">
            <v>1.1538461539473701</v>
          </cell>
          <cell r="Q322">
            <v>13.646055268401053</v>
          </cell>
          <cell r="R322">
            <v>209.89080408720002</v>
          </cell>
          <cell r="S322">
            <v>248.51542624669429</v>
          </cell>
          <cell r="T322">
            <v>10.130924531640096</v>
          </cell>
          <cell r="U322">
            <v>0.12709061044702116</v>
          </cell>
        </row>
        <row r="323">
          <cell r="E323">
            <v>315</v>
          </cell>
          <cell r="F323" t="str">
            <v xml:space="preserve">Kab. Gianyar </v>
          </cell>
          <cell r="G323">
            <v>424.00900000000001</v>
          </cell>
          <cell r="H323">
            <v>368</v>
          </cell>
          <cell r="I323">
            <v>30.47</v>
          </cell>
          <cell r="J323">
            <v>0.76438036227385897</v>
          </cell>
          <cell r="K323">
            <v>90.61</v>
          </cell>
          <cell r="L323">
            <v>0.61147295506075228</v>
          </cell>
          <cell r="M323">
            <v>1500.0667900000001</v>
          </cell>
          <cell r="N323">
            <v>37.131730000000005</v>
          </cell>
          <cell r="O323">
            <v>24.889082269384051</v>
          </cell>
          <cell r="P323">
            <v>1.1538461539473701</v>
          </cell>
          <cell r="Q323">
            <v>10.870627920484253</v>
          </cell>
          <cell r="R323">
            <v>149.56671786059999</v>
          </cell>
          <cell r="S323">
            <v>193.93347505841936</v>
          </cell>
          <cell r="T323">
            <v>7.1861682181274453</v>
          </cell>
          <cell r="U323">
            <v>0.10636828126924079</v>
          </cell>
        </row>
        <row r="324">
          <cell r="E324">
            <v>316</v>
          </cell>
          <cell r="F324" t="str">
            <v>Kab. Jembrana</v>
          </cell>
          <cell r="G324">
            <v>252.36099999999999</v>
          </cell>
          <cell r="H324">
            <v>841.8</v>
          </cell>
          <cell r="I324">
            <v>17.741</v>
          </cell>
          <cell r="J324">
            <v>1.3097937192013778</v>
          </cell>
          <cell r="K324">
            <v>93.61</v>
          </cell>
          <cell r="L324">
            <v>1.0710559515265632</v>
          </cell>
          <cell r="M324">
            <v>877.73656999999992</v>
          </cell>
          <cell r="N324">
            <v>11.055956008860001</v>
          </cell>
          <cell r="O324">
            <v>18.01888213560877</v>
          </cell>
          <cell r="P324">
            <v>1.1538461539473701</v>
          </cell>
          <cell r="Q324">
            <v>9.9179405712106536</v>
          </cell>
          <cell r="R324">
            <v>97.445765195225803</v>
          </cell>
          <cell r="S324">
            <v>144.66138751075815</v>
          </cell>
          <cell r="T324">
            <v>7.0300085987929988</v>
          </cell>
          <cell r="U324">
            <v>0.18631466815364348</v>
          </cell>
        </row>
        <row r="325">
          <cell r="E325">
            <v>317</v>
          </cell>
          <cell r="F325" t="str">
            <v xml:space="preserve">Kab. Karangasem   </v>
          </cell>
          <cell r="G325">
            <v>397.59199999999998</v>
          </cell>
          <cell r="H325">
            <v>839.54</v>
          </cell>
          <cell r="I325">
            <v>25.859000000000002</v>
          </cell>
          <cell r="J325">
            <v>1.0032779721392937</v>
          </cell>
          <cell r="K325">
            <v>90.76</v>
          </cell>
          <cell r="L325">
            <v>0.88677266961613432</v>
          </cell>
          <cell r="M325">
            <v>819.10950000000003</v>
          </cell>
          <cell r="N325">
            <v>19.513360000000002</v>
          </cell>
          <cell r="O325">
            <v>17.371669946303783</v>
          </cell>
          <cell r="P325">
            <v>1.1538461539473701</v>
          </cell>
          <cell r="Q325">
            <v>10.887229463229854</v>
          </cell>
          <cell r="R325">
            <v>117.73860959999999</v>
          </cell>
          <cell r="S325">
            <v>170.30193201810624</v>
          </cell>
          <cell r="T325">
            <v>6.5039034990643687</v>
          </cell>
          <cell r="U325">
            <v>0.15425781952078813</v>
          </cell>
        </row>
        <row r="326">
          <cell r="E326">
            <v>318</v>
          </cell>
          <cell r="F326" t="str">
            <v>Kab. Klungkung</v>
          </cell>
          <cell r="G326">
            <v>164.72200000000001</v>
          </cell>
          <cell r="H326">
            <v>315</v>
          </cell>
          <cell r="I326">
            <v>12.428000000000001</v>
          </cell>
          <cell r="J326">
            <v>1.1048126610617426</v>
          </cell>
          <cell r="K326">
            <v>92.35</v>
          </cell>
          <cell r="L326">
            <v>0.84179068598148488</v>
          </cell>
          <cell r="M326">
            <v>499.92617999999999</v>
          </cell>
          <cell r="N326">
            <v>12.23373</v>
          </cell>
          <cell r="O326">
            <v>13.84805303475024</v>
          </cell>
          <cell r="P326">
            <v>1.1538461539473701</v>
          </cell>
          <cell r="Q326">
            <v>8.173876271716253</v>
          </cell>
          <cell r="R326">
            <v>81.162414931210193</v>
          </cell>
          <cell r="S326">
            <v>124.21764604806656</v>
          </cell>
          <cell r="T326">
            <v>7.5448331127596804</v>
          </cell>
          <cell r="U326">
            <v>0.1464330150912555</v>
          </cell>
        </row>
        <row r="327">
          <cell r="E327">
            <v>319</v>
          </cell>
          <cell r="F327" t="str">
            <v>Kab. Tabanan</v>
          </cell>
          <cell r="G327">
            <v>405.642</v>
          </cell>
          <cell r="H327">
            <v>819.33</v>
          </cell>
          <cell r="I327">
            <v>34.78</v>
          </cell>
          <cell r="J327">
            <v>1.0476064670194905</v>
          </cell>
          <cell r="K327">
            <v>92.2</v>
          </cell>
          <cell r="L327">
            <v>0.70238725058187013</v>
          </cell>
          <cell r="M327">
            <v>1046.8231800000001</v>
          </cell>
          <cell r="N327">
            <v>34.584290000000003</v>
          </cell>
          <cell r="O327">
            <v>19.885509873277702</v>
          </cell>
          <cell r="P327">
            <v>1.1538461539473701</v>
          </cell>
          <cell r="Q327">
            <v>12.140998886807454</v>
          </cell>
          <cell r="R327">
            <v>169.11848000100005</v>
          </cell>
          <cell r="S327">
            <v>209.13150296809536</v>
          </cell>
          <cell r="T327">
            <v>8.5740628435911468</v>
          </cell>
          <cell r="U327">
            <v>0.12218320370751011</v>
          </cell>
        </row>
        <row r="328">
          <cell r="E328">
            <v>320</v>
          </cell>
          <cell r="F328" t="str">
            <v>Kota Denpasar</v>
          </cell>
          <cell r="G328">
            <v>517.99800000000005</v>
          </cell>
          <cell r="H328">
            <v>123.98</v>
          </cell>
          <cell r="I328">
            <v>15.138</v>
          </cell>
          <cell r="J328">
            <v>0.36</v>
          </cell>
          <cell r="K328">
            <v>90.17</v>
          </cell>
          <cell r="L328">
            <v>0.70815315482155816</v>
          </cell>
          <cell r="M328">
            <v>3281.7085499999998</v>
          </cell>
          <cell r="N328">
            <v>88.54822999999999</v>
          </cell>
          <cell r="O328">
            <v>44.557475454422729</v>
          </cell>
          <cell r="P328">
            <v>1.1538461539473701</v>
          </cell>
          <cell r="Q328">
            <v>36.818681867210657</v>
          </cell>
          <cell r="R328">
            <v>144.70046507958801</v>
          </cell>
          <cell r="S328">
            <v>176.99</v>
          </cell>
          <cell r="T328">
            <v>2.9224051058112188</v>
          </cell>
          <cell r="U328">
            <v>0.12318620689655174</v>
          </cell>
        </row>
        <row r="329">
          <cell r="E329">
            <v>321</v>
          </cell>
          <cell r="F329" t="str">
            <v>Kab. Bima</v>
          </cell>
          <cell r="G329">
            <v>407.13600000000002</v>
          </cell>
          <cell r="H329">
            <v>4374.7349999999997</v>
          </cell>
          <cell r="I329">
            <v>90.85</v>
          </cell>
          <cell r="J329">
            <v>2.9133638606322387</v>
          </cell>
          <cell r="K329">
            <v>96.38</v>
          </cell>
          <cell r="L329">
            <v>0.75054098690505033</v>
          </cell>
          <cell r="M329">
            <v>476.0261458579368</v>
          </cell>
          <cell r="N329">
            <v>16.938310000000001</v>
          </cell>
          <cell r="O329">
            <v>13.584209158166461</v>
          </cell>
          <cell r="P329">
            <v>1.3795408297373699</v>
          </cell>
          <cell r="Q329">
            <v>8.5544339151974533</v>
          </cell>
          <cell r="R329">
            <v>139.04797825469996</v>
          </cell>
          <cell r="S329">
            <v>176.67752273098836</v>
          </cell>
          <cell r="T329">
            <v>22.314410909376718</v>
          </cell>
          <cell r="U329">
            <v>0.13055974779993035</v>
          </cell>
        </row>
        <row r="330">
          <cell r="E330">
            <v>322</v>
          </cell>
          <cell r="F330" t="str">
            <v>Kab. Dompu</v>
          </cell>
          <cell r="G330">
            <v>199.357</v>
          </cell>
          <cell r="H330">
            <v>2325</v>
          </cell>
          <cell r="I330">
            <v>52.22</v>
          </cell>
          <cell r="J330">
            <v>3.6523040126119515</v>
          </cell>
          <cell r="K330">
            <v>97.98</v>
          </cell>
          <cell r="L330">
            <v>0.80154268312089794</v>
          </cell>
          <cell r="M330">
            <v>343.72104200000001</v>
          </cell>
          <cell r="N330">
            <v>8.4745400000000011</v>
          </cell>
          <cell r="O330">
            <v>12.123630010613656</v>
          </cell>
          <cell r="P330">
            <v>1.37937117693737</v>
          </cell>
          <cell r="Q330">
            <v>10.717565631843614</v>
          </cell>
          <cell r="R330">
            <v>74.294110937399992</v>
          </cell>
          <cell r="S330">
            <v>124.56714963341969</v>
          </cell>
          <cell r="T330">
            <v>26.194214399293731</v>
          </cell>
          <cell r="U330">
            <v>0.13943170644241301</v>
          </cell>
        </row>
        <row r="331">
          <cell r="E331">
            <v>323</v>
          </cell>
          <cell r="F331" t="str">
            <v>Kab. Lombok Barat</v>
          </cell>
          <cell r="G331">
            <v>728.34199999999998</v>
          </cell>
          <cell r="H331">
            <v>1671.97</v>
          </cell>
          <cell r="I331">
            <v>230.52799999999999</v>
          </cell>
          <cell r="J331">
            <v>6.123241075132599</v>
          </cell>
          <cell r="K331">
            <v>94.9</v>
          </cell>
          <cell r="L331">
            <v>1.1121366207084922</v>
          </cell>
          <cell r="M331">
            <v>1039.4494040000002</v>
          </cell>
          <cell r="N331">
            <v>21.084349999999997</v>
          </cell>
          <cell r="O331">
            <v>19.804107242915919</v>
          </cell>
          <cell r="P331">
            <v>1.21599854973737</v>
          </cell>
          <cell r="Q331">
            <v>14.193770588382215</v>
          </cell>
          <cell r="R331">
            <v>159.28596170009999</v>
          </cell>
          <cell r="S331">
            <v>224.42073667951232</v>
          </cell>
          <cell r="T331">
            <v>31.651065021651913</v>
          </cell>
          <cell r="U331">
            <v>0.19346082259613703</v>
          </cell>
        </row>
        <row r="332">
          <cell r="E332">
            <v>324</v>
          </cell>
          <cell r="F332" t="str">
            <v>Kab. Lombok Tengah</v>
          </cell>
          <cell r="G332">
            <v>785.98299999999995</v>
          </cell>
          <cell r="H332">
            <v>1428</v>
          </cell>
          <cell r="I332">
            <v>212.286</v>
          </cell>
          <cell r="J332">
            <v>4.1324644056788618</v>
          </cell>
          <cell r="K332">
            <v>95.36</v>
          </cell>
          <cell r="L332">
            <v>0.879561136743781</v>
          </cell>
          <cell r="M332">
            <v>821.4452070000001</v>
          </cell>
          <cell r="N332">
            <v>12.41567</v>
          </cell>
          <cell r="O332">
            <v>17.397454929947774</v>
          </cell>
          <cell r="P332">
            <v>1.2158539545373701</v>
          </cell>
          <cell r="Q332">
            <v>10.523429608474295</v>
          </cell>
          <cell r="R332">
            <v>178.1463060543</v>
          </cell>
          <cell r="S332">
            <v>243.03455065116626</v>
          </cell>
          <cell r="T332">
            <v>27.008981110278469</v>
          </cell>
          <cell r="U332">
            <v>0.15300334317706718</v>
          </cell>
        </row>
        <row r="333">
          <cell r="E333">
            <v>325</v>
          </cell>
          <cell r="F333" t="str">
            <v>Kab. Lombok Timur</v>
          </cell>
          <cell r="G333">
            <v>1024.8409999999999</v>
          </cell>
          <cell r="H333">
            <v>1606</v>
          </cell>
          <cell r="I333">
            <v>274.12799999999999</v>
          </cell>
          <cell r="J333">
            <v>4.6148500648341964</v>
          </cell>
          <cell r="K333">
            <v>94.9</v>
          </cell>
          <cell r="L333">
            <v>0.99180387551577698</v>
          </cell>
          <cell r="M333">
            <v>1129.2649980000001</v>
          </cell>
          <cell r="N333">
            <v>22.175080000000001</v>
          </cell>
          <cell r="O333">
            <v>20.795624424764977</v>
          </cell>
          <cell r="P333">
            <v>1.2158539545373701</v>
          </cell>
          <cell r="Q333">
            <v>12.343278499197453</v>
          </cell>
          <cell r="R333">
            <v>215.10308098889999</v>
          </cell>
          <cell r="S333">
            <v>291.01936188698659</v>
          </cell>
          <cell r="T333">
            <v>26.748344377322926</v>
          </cell>
          <cell r="U333">
            <v>0.17252843763842957</v>
          </cell>
        </row>
        <row r="334">
          <cell r="E334">
            <v>326</v>
          </cell>
          <cell r="F334" t="str">
            <v>Kab. Sumbawa</v>
          </cell>
          <cell r="G334">
            <v>471.25700000000001</v>
          </cell>
          <cell r="H334">
            <v>8493</v>
          </cell>
          <cell r="I334">
            <v>123.383</v>
          </cell>
          <cell r="J334">
            <v>5.1015414052376356</v>
          </cell>
          <cell r="K334">
            <v>101.19</v>
          </cell>
          <cell r="L334">
            <v>1.1201315137432719</v>
          </cell>
          <cell r="M334">
            <v>780.98567600000001</v>
          </cell>
          <cell r="N334">
            <v>20.084779999999999</v>
          </cell>
          <cell r="O334">
            <v>16.950802869103477</v>
          </cell>
          <cell r="P334">
            <v>1.2623244908573701</v>
          </cell>
          <cell r="Q334">
            <v>19.555269567212932</v>
          </cell>
          <cell r="R334">
            <v>136.70871750000003</v>
          </cell>
          <cell r="S334">
            <v>184.99193522361654</v>
          </cell>
          <cell r="T334">
            <v>26.18168005992484</v>
          </cell>
          <cell r="U334">
            <v>0.19485156772068052</v>
          </cell>
        </row>
        <row r="335">
          <cell r="E335">
            <v>327</v>
          </cell>
          <cell r="F335" t="str">
            <v>Kota Mataram</v>
          </cell>
          <cell r="G335">
            <v>349.28399999999999</v>
          </cell>
          <cell r="H335">
            <v>56</v>
          </cell>
          <cell r="I335">
            <v>32.473999999999997</v>
          </cell>
          <cell r="J335">
            <v>2.0769072394246972</v>
          </cell>
          <cell r="K335">
            <v>94.74</v>
          </cell>
          <cell r="L335">
            <v>1.2841776798128399</v>
          </cell>
          <cell r="M335">
            <v>1138.4717039999998</v>
          </cell>
          <cell r="N335">
            <v>18.086490000000001</v>
          </cell>
          <cell r="O335">
            <v>20.897261643656304</v>
          </cell>
          <cell r="P335">
            <v>1.2158539545373701</v>
          </cell>
          <cell r="Q335">
            <v>11.747056583705094</v>
          </cell>
          <cell r="R335">
            <v>100.2020313183</v>
          </cell>
          <cell r="S335">
            <v>152.6226354539595</v>
          </cell>
          <cell r="T335">
            <v>9.2973053446479081</v>
          </cell>
          <cell r="U335">
            <v>0.22338808530369403</v>
          </cell>
        </row>
        <row r="336">
          <cell r="E336">
            <v>328</v>
          </cell>
          <cell r="F336" t="str">
            <v>Kota Bima</v>
          </cell>
          <cell r="G336">
            <v>117.539</v>
          </cell>
          <cell r="H336">
            <v>222.26499999999999</v>
          </cell>
          <cell r="I336">
            <v>15.736000000000001</v>
          </cell>
          <cell r="J336">
            <v>1.7479200110446029</v>
          </cell>
          <cell r="K336">
            <v>94.81</v>
          </cell>
          <cell r="L336">
            <v>0.75054080804621881</v>
          </cell>
          <cell r="M336">
            <v>251.93578502807298</v>
          </cell>
          <cell r="N336">
            <v>1.92658</v>
          </cell>
          <cell r="O336">
            <v>11.110368779739906</v>
          </cell>
          <cell r="P336">
            <v>1.2158539545373701</v>
          </cell>
          <cell r="Q336">
            <v>6.7896795827973744</v>
          </cell>
          <cell r="R336">
            <v>69.534071748000002</v>
          </cell>
          <cell r="S336">
            <v>88.623699086788804</v>
          </cell>
          <cell r="T336">
            <v>13.387896783195366</v>
          </cell>
          <cell r="U336">
            <v>0.13055971668668759</v>
          </cell>
        </row>
        <row r="337">
          <cell r="E337">
            <v>329</v>
          </cell>
          <cell r="F337" t="str">
            <v>Kab. Alor</v>
          </cell>
          <cell r="G337">
            <v>168.34800000000001</v>
          </cell>
          <cell r="H337">
            <v>2864.6</v>
          </cell>
          <cell r="I337">
            <v>48.712000000000003</v>
          </cell>
          <cell r="J337">
            <v>7.0842891636399932</v>
          </cell>
          <cell r="K337">
            <v>106.05</v>
          </cell>
          <cell r="L337">
            <v>1.4074513483406526</v>
          </cell>
          <cell r="M337">
            <v>179.62169299999999</v>
          </cell>
          <cell r="N337">
            <v>9.3596699999999995</v>
          </cell>
          <cell r="O337">
            <v>10.312059025916437</v>
          </cell>
          <cell r="P337">
            <v>1.1571244239473701</v>
          </cell>
          <cell r="Q337">
            <v>7.3336273476586538</v>
          </cell>
          <cell r="R337">
            <v>34.60782764686217</v>
          </cell>
          <cell r="S337">
            <v>153.69999999999999</v>
          </cell>
          <cell r="T337">
            <v>28.935300686672843</v>
          </cell>
          <cell r="U337">
            <v>0.24483205619158843</v>
          </cell>
        </row>
        <row r="338">
          <cell r="E338">
            <v>330</v>
          </cell>
          <cell r="F338" t="str">
            <v>Kab. Belu</v>
          </cell>
          <cell r="G338">
            <v>345.959</v>
          </cell>
          <cell r="H338">
            <v>2445.6</v>
          </cell>
          <cell r="I338">
            <v>70.361000000000004</v>
          </cell>
          <cell r="J338">
            <v>3.8753109245172839</v>
          </cell>
          <cell r="K338">
            <v>104.24</v>
          </cell>
          <cell r="L338">
            <v>1.0953787058493007</v>
          </cell>
          <cell r="M338">
            <v>254.30743431577523</v>
          </cell>
          <cell r="N338">
            <v>10.00301</v>
          </cell>
          <cell r="O338">
            <v>11.136550547441368</v>
          </cell>
          <cell r="P338">
            <v>1.1571244239473701</v>
          </cell>
          <cell r="Q338">
            <v>8.0460886196586543</v>
          </cell>
          <cell r="R338">
            <v>119.19387529602049</v>
          </cell>
          <cell r="S338">
            <v>186.69671461230772</v>
          </cell>
          <cell r="T338">
            <v>20.337959122323745</v>
          </cell>
          <cell r="U338">
            <v>0.19054571312731128</v>
          </cell>
        </row>
        <row r="339">
          <cell r="E339">
            <v>331</v>
          </cell>
          <cell r="F339" t="str">
            <v>Kab. Ende</v>
          </cell>
          <cell r="G339">
            <v>238.39599999999999</v>
          </cell>
          <cell r="H339">
            <v>2046.5</v>
          </cell>
          <cell r="I339">
            <v>49.613999999999997</v>
          </cell>
          <cell r="J339">
            <v>2.6560246820575157</v>
          </cell>
          <cell r="K339">
            <v>106.25</v>
          </cell>
          <cell r="L339">
            <v>0.73365509834216469</v>
          </cell>
          <cell r="M339">
            <v>330.30805230615033</v>
          </cell>
          <cell r="N339">
            <v>8.3307900000000004</v>
          </cell>
          <cell r="O339">
            <v>11.9755576197389</v>
          </cell>
          <cell r="P339">
            <v>1.1571244239473701</v>
          </cell>
          <cell r="Q339">
            <v>7.3698063076586537</v>
          </cell>
          <cell r="R339">
            <v>97.811625307418765</v>
          </cell>
          <cell r="S339">
            <v>165.32301285634372</v>
          </cell>
          <cell r="T339">
            <v>20.811590798503328</v>
          </cell>
          <cell r="U339">
            <v>0.12762237676941662</v>
          </cell>
        </row>
        <row r="340">
          <cell r="E340">
            <v>332</v>
          </cell>
          <cell r="F340" t="str">
            <v>Kab. Flores Timur</v>
          </cell>
          <cell r="G340">
            <v>216.09800000000001</v>
          </cell>
          <cell r="H340">
            <v>1812.85</v>
          </cell>
          <cell r="I340">
            <v>33.076000000000001</v>
          </cell>
          <cell r="J340">
            <v>1.8072818313081553</v>
          </cell>
          <cell r="K340">
            <v>104.19</v>
          </cell>
          <cell r="L340">
            <v>0.67877956366046543</v>
          </cell>
          <cell r="M340">
            <v>238.54012536326337</v>
          </cell>
          <cell r="N340">
            <v>4.8103862873299992</v>
          </cell>
          <cell r="O340">
            <v>10.962487703321694</v>
          </cell>
          <cell r="P340">
            <v>1.1571244239473701</v>
          </cell>
          <cell r="Q340">
            <v>7.5871995596586537</v>
          </cell>
          <cell r="R340">
            <v>86.898277456200006</v>
          </cell>
          <cell r="S340">
            <v>150.22237202540427</v>
          </cell>
          <cell r="T340">
            <v>15.306018565650771</v>
          </cell>
          <cell r="U340">
            <v>0.11807654770287511</v>
          </cell>
        </row>
        <row r="341">
          <cell r="E341">
            <v>333</v>
          </cell>
          <cell r="F341" t="str">
            <v>Kab. Kupang</v>
          </cell>
          <cell r="G341">
            <v>335.17</v>
          </cell>
          <cell r="H341">
            <v>5898.18</v>
          </cell>
          <cell r="I341">
            <v>109.05</v>
          </cell>
          <cell r="J341">
            <v>6.8749665021213637</v>
          </cell>
          <cell r="K341">
            <v>104.76</v>
          </cell>
          <cell r="L341">
            <v>1.2147171618938679</v>
          </cell>
          <cell r="M341">
            <v>290.51243165859972</v>
          </cell>
          <cell r="N341">
            <v>20.671979999999998</v>
          </cell>
          <cell r="O341">
            <v>11.536234781943119</v>
          </cell>
          <cell r="P341">
            <v>1.1571244239473701</v>
          </cell>
          <cell r="Q341">
            <v>8.0838996436586541</v>
          </cell>
          <cell r="R341">
            <v>134.01269890945048</v>
          </cell>
          <cell r="S341">
            <v>200.75610032884228</v>
          </cell>
          <cell r="T341">
            <v>32.535728137959843</v>
          </cell>
          <cell r="U341">
            <v>0.21130513732379802</v>
          </cell>
        </row>
        <row r="342">
          <cell r="E342">
            <v>334</v>
          </cell>
          <cell r="F342" t="str">
            <v>Kab. Lembata</v>
          </cell>
          <cell r="G342">
            <v>97.195999999999998</v>
          </cell>
          <cell r="H342">
            <v>1266.48</v>
          </cell>
          <cell r="I342">
            <v>33.537999999999997</v>
          </cell>
          <cell r="J342">
            <v>9.35</v>
          </cell>
          <cell r="K342">
            <v>107.51</v>
          </cell>
          <cell r="L342">
            <v>1.5577148291244531</v>
          </cell>
          <cell r="M342">
            <v>48.636754672463724</v>
          </cell>
          <cell r="N342">
            <v>4.8768900000000004</v>
          </cell>
          <cell r="O342">
            <v>8.8660538153380628</v>
          </cell>
          <cell r="P342">
            <v>1.1688916239473701</v>
          </cell>
          <cell r="Q342">
            <v>6.5634546516586534</v>
          </cell>
          <cell r="R342">
            <v>43.945412189999999</v>
          </cell>
          <cell r="S342">
            <v>121.23435666867208</v>
          </cell>
          <cell r="T342">
            <v>34.505535207210173</v>
          </cell>
          <cell r="U342">
            <v>0.27097101794978828</v>
          </cell>
        </row>
        <row r="343">
          <cell r="E343">
            <v>335</v>
          </cell>
          <cell r="F343" t="str">
            <v>Kab. Manggarai</v>
          </cell>
          <cell r="G343">
            <v>670.73</v>
          </cell>
          <cell r="H343">
            <v>7136.4</v>
          </cell>
          <cell r="I343">
            <v>204.66900000000001</v>
          </cell>
          <cell r="J343">
            <v>3.9875826299034598</v>
          </cell>
          <cell r="K343">
            <v>107.07</v>
          </cell>
          <cell r="L343">
            <v>0.75122575871565522</v>
          </cell>
          <cell r="M343">
            <v>347.87569549718557</v>
          </cell>
          <cell r="N343">
            <v>12.966200000000001</v>
          </cell>
          <cell r="O343">
            <v>12.169495212229856</v>
          </cell>
          <cell r="P343">
            <v>1.15713042055737</v>
          </cell>
          <cell r="Q343">
            <v>6.6024820226586538</v>
          </cell>
          <cell r="R343">
            <v>187.16660310000003</v>
          </cell>
          <cell r="S343">
            <v>238.99264955238675</v>
          </cell>
          <cell r="T343">
            <v>30.514364945656226</v>
          </cell>
          <cell r="U343">
            <v>0.13067886672408363</v>
          </cell>
        </row>
        <row r="344">
          <cell r="E344">
            <v>336</v>
          </cell>
          <cell r="F344" t="str">
            <v>Kab. Ngada</v>
          </cell>
          <cell r="G344">
            <v>240.92</v>
          </cell>
          <cell r="H344">
            <v>3037.88</v>
          </cell>
          <cell r="I344">
            <v>37.293999999999997</v>
          </cell>
          <cell r="J344">
            <v>1.68</v>
          </cell>
          <cell r="K344">
            <v>106.8</v>
          </cell>
          <cell r="L344">
            <v>0.62389036862564695</v>
          </cell>
          <cell r="M344">
            <v>185.10526079020235</v>
          </cell>
          <cell r="N344">
            <v>8.4089200000000002</v>
          </cell>
          <cell r="O344">
            <v>10.372594746270519</v>
          </cell>
          <cell r="P344">
            <v>1.16799669394737</v>
          </cell>
          <cell r="Q344">
            <v>7.6242336516586544</v>
          </cell>
          <cell r="R344">
            <v>87.783480900000001</v>
          </cell>
          <cell r="S344">
            <v>158.23710256896675</v>
          </cell>
          <cell r="T344">
            <v>15.4798273285738</v>
          </cell>
          <cell r="U344">
            <v>0.10852834236070145</v>
          </cell>
        </row>
        <row r="345">
          <cell r="E345">
            <v>337</v>
          </cell>
          <cell r="F345" t="str">
            <v>Kab. Sikka</v>
          </cell>
          <cell r="G345">
            <v>276.66800000000001</v>
          </cell>
          <cell r="H345">
            <v>1731.9</v>
          </cell>
          <cell r="I345">
            <v>53.021000000000001</v>
          </cell>
          <cell r="J345">
            <v>2.8005574753688931</v>
          </cell>
          <cell r="K345">
            <v>105.42</v>
          </cell>
          <cell r="L345">
            <v>0.84007994627675286</v>
          </cell>
          <cell r="M345">
            <v>302.42104717453662</v>
          </cell>
          <cell r="N345">
            <v>8.8188200000000005</v>
          </cell>
          <cell r="O345">
            <v>11.667699668720863</v>
          </cell>
          <cell r="P345">
            <v>1.1803807739473702</v>
          </cell>
          <cell r="Q345">
            <v>7.8241156756586534</v>
          </cell>
          <cell r="R345">
            <v>86.461945160099987</v>
          </cell>
          <cell r="S345">
            <v>153.2900457555057</v>
          </cell>
          <cell r="T345">
            <v>19.164124510243326</v>
          </cell>
          <cell r="U345">
            <v>0.14613542475535371</v>
          </cell>
        </row>
        <row r="346">
          <cell r="E346">
            <v>338</v>
          </cell>
          <cell r="F346" t="str">
            <v>Kab. Sumba Barat</v>
          </cell>
          <cell r="G346">
            <v>393.07499999999999</v>
          </cell>
          <cell r="H346">
            <v>4051.92</v>
          </cell>
          <cell r="I346">
            <v>164.25</v>
          </cell>
          <cell r="J346">
            <v>10.315384084312711</v>
          </cell>
          <cell r="K346">
            <v>105.05</v>
          </cell>
          <cell r="L346">
            <v>1.4191247015432842</v>
          </cell>
          <cell r="M346">
            <v>198.63520335353184</v>
          </cell>
          <cell r="N346">
            <v>10.25168</v>
          </cell>
          <cell r="O346">
            <v>10.521958235654914</v>
          </cell>
          <cell r="P346">
            <v>1.1571297116273702</v>
          </cell>
          <cell r="Q346">
            <v>9.3603644676586537</v>
          </cell>
          <cell r="R346">
            <v>83.593865623799985</v>
          </cell>
          <cell r="S346">
            <v>182.59406132979541</v>
          </cell>
          <cell r="T346">
            <v>41.785918717801948</v>
          </cell>
          <cell r="U346">
            <v>0.2468626848670453</v>
          </cell>
        </row>
        <row r="347">
          <cell r="E347">
            <v>339</v>
          </cell>
          <cell r="F347" t="str">
            <v>Kab. Sumba Timur</v>
          </cell>
          <cell r="G347">
            <v>200.37799999999999</v>
          </cell>
          <cell r="H347">
            <v>7000.5</v>
          </cell>
          <cell r="I347">
            <v>80.284000000000006</v>
          </cell>
          <cell r="J347">
            <v>6.9623804247219452</v>
          </cell>
          <cell r="K347">
            <v>104.81</v>
          </cell>
          <cell r="L347">
            <v>0.99895033351040574</v>
          </cell>
          <cell r="M347">
            <v>227.86820569067623</v>
          </cell>
          <cell r="N347">
            <v>9.1661900000000003</v>
          </cell>
          <cell r="O347">
            <v>10.844675291830175</v>
          </cell>
          <cell r="P347">
            <v>1.1572254202673702</v>
          </cell>
          <cell r="Q347">
            <v>8.621982411658653</v>
          </cell>
          <cell r="R347">
            <v>76.051187767886304</v>
          </cell>
          <cell r="S347">
            <v>162.35761148579934</v>
          </cell>
          <cell r="T347">
            <v>40.066274740740013</v>
          </cell>
          <cell r="U347">
            <v>0.17377159393464869</v>
          </cell>
        </row>
        <row r="348">
          <cell r="E348">
            <v>340</v>
          </cell>
          <cell r="F348" t="str">
            <v>Kab. Timor Tengah Selatan</v>
          </cell>
          <cell r="G348">
            <v>401.36700000000002</v>
          </cell>
          <cell r="H348">
            <v>3947</v>
          </cell>
          <cell r="I348">
            <v>149.54300000000001</v>
          </cell>
          <cell r="J348">
            <v>6.8324035877653611</v>
          </cell>
          <cell r="K348">
            <v>104.32</v>
          </cell>
          <cell r="L348">
            <v>1.0541786032716829</v>
          </cell>
          <cell r="M348">
            <v>277.29209143375522</v>
          </cell>
          <cell r="N348">
            <v>19.569680000000002</v>
          </cell>
          <cell r="O348">
            <v>11.390289140445457</v>
          </cell>
          <cell r="P348">
            <v>1.1571244239473701</v>
          </cell>
          <cell r="Q348">
            <v>8.142815943658654</v>
          </cell>
          <cell r="R348">
            <v>131.4143849754</v>
          </cell>
          <cell r="S348">
            <v>204.90487407263319</v>
          </cell>
          <cell r="T348">
            <v>37.258419351865001</v>
          </cell>
          <cell r="U348">
            <v>0.18337878274547251</v>
          </cell>
        </row>
        <row r="349">
          <cell r="E349">
            <v>341</v>
          </cell>
          <cell r="F349" t="str">
            <v>Kab. Timor Tengah Utara</v>
          </cell>
          <cell r="G349">
            <v>205.80699999999999</v>
          </cell>
          <cell r="H349">
            <v>2669.7</v>
          </cell>
          <cell r="I349">
            <v>62.744</v>
          </cell>
          <cell r="J349">
            <v>5.3792869523849438</v>
          </cell>
          <cell r="K349">
            <v>104.96</v>
          </cell>
          <cell r="L349">
            <v>1.0143264803037</v>
          </cell>
          <cell r="M349">
            <v>147.2301619792733</v>
          </cell>
          <cell r="N349">
            <v>5.34633</v>
          </cell>
          <cell r="O349">
            <v>9.9544734650677569</v>
          </cell>
          <cell r="P349">
            <v>1.1571244239473701</v>
          </cell>
          <cell r="Q349">
            <v>8.5016796116586537</v>
          </cell>
          <cell r="R349">
            <v>81.717547801199999</v>
          </cell>
          <cell r="S349">
            <v>157.1631252870931</v>
          </cell>
          <cell r="T349">
            <v>30.486815317263261</v>
          </cell>
          <cell r="U349">
            <v>0.17644633906182075</v>
          </cell>
        </row>
        <row r="350">
          <cell r="E350">
            <v>342</v>
          </cell>
          <cell r="F350" t="str">
            <v>Kota Kupang</v>
          </cell>
          <cell r="G350">
            <v>262.69900000000001</v>
          </cell>
          <cell r="H350">
            <v>230</v>
          </cell>
          <cell r="I350">
            <v>27.763999999999999</v>
          </cell>
          <cell r="J350">
            <v>1.4164157522202705</v>
          </cell>
          <cell r="K350">
            <v>104.12</v>
          </cell>
          <cell r="L350">
            <v>0.77042832846859588</v>
          </cell>
          <cell r="M350">
            <v>1429.3642761207416</v>
          </cell>
          <cell r="N350">
            <v>15.71726</v>
          </cell>
          <cell r="O350">
            <v>24.108563495425862</v>
          </cell>
          <cell r="P350">
            <v>1.1571244239473701</v>
          </cell>
          <cell r="Q350">
            <v>7.3657129036586539</v>
          </cell>
          <cell r="R350">
            <v>100.51298348340001</v>
          </cell>
          <cell r="S350">
            <v>148.44</v>
          </cell>
          <cell r="T350">
            <v>10.56874978587661</v>
          </cell>
          <cell r="U350">
            <v>0.13401923414944275</v>
          </cell>
        </row>
        <row r="351">
          <cell r="E351">
            <v>343</v>
          </cell>
          <cell r="F351" t="str">
            <v>Kab. Rote Ndao</v>
          </cell>
          <cell r="G351">
            <v>103.054</v>
          </cell>
          <cell r="H351">
            <v>1075.8119999999999</v>
          </cell>
          <cell r="I351">
            <v>28.164999999999999</v>
          </cell>
          <cell r="J351">
            <v>5.7658739835951067</v>
          </cell>
          <cell r="K351">
            <v>103.61</v>
          </cell>
          <cell r="L351">
            <v>1.2127892973202397</v>
          </cell>
          <cell r="M351">
            <v>93.523320999999996</v>
          </cell>
          <cell r="N351">
            <v>0.62931700000000002</v>
          </cell>
          <cell r="O351">
            <v>9.3615780307427912</v>
          </cell>
          <cell r="P351">
            <v>1.1571244239473701</v>
          </cell>
          <cell r="Q351">
            <v>4.7961931316586535</v>
          </cell>
          <cell r="R351">
            <v>31.093120208399995</v>
          </cell>
          <cell r="S351">
            <v>88.907556642841229</v>
          </cell>
          <cell r="T351">
            <v>27.330331670774545</v>
          </cell>
          <cell r="U351">
            <v>0.21096977720767268</v>
          </cell>
        </row>
        <row r="352">
          <cell r="E352">
            <v>344</v>
          </cell>
          <cell r="F352" t="str">
            <v>Kab. Maluku Tenggara Barat</v>
          </cell>
          <cell r="G352">
            <v>145.744</v>
          </cell>
          <cell r="H352">
            <v>14584</v>
          </cell>
          <cell r="I352">
            <v>62.54</v>
          </cell>
          <cell r="J352">
            <v>8.1077473577086074</v>
          </cell>
          <cell r="K352">
            <v>122.45</v>
          </cell>
          <cell r="L352">
            <v>1.086170808425071</v>
          </cell>
          <cell r="M352">
            <v>199.20447000000001</v>
          </cell>
          <cell r="N352">
            <v>3.4731999999999998</v>
          </cell>
          <cell r="O352">
            <v>10.528242641690538</v>
          </cell>
          <cell r="P352">
            <v>2.17483673394737</v>
          </cell>
          <cell r="Q352">
            <v>10.595356981658654</v>
          </cell>
          <cell r="R352">
            <v>78.019627867200001</v>
          </cell>
          <cell r="S352">
            <v>170.48374717220568</v>
          </cell>
          <cell r="T352">
            <v>42.910857393786365</v>
          </cell>
          <cell r="U352">
            <v>0.18894396080938333</v>
          </cell>
        </row>
        <row r="353">
          <cell r="E353">
            <v>345</v>
          </cell>
          <cell r="F353" t="str">
            <v>Kab. Maluku Tengah</v>
          </cell>
          <cell r="G353">
            <v>553.899</v>
          </cell>
          <cell r="H353">
            <v>17821</v>
          </cell>
          <cell r="I353">
            <v>210.38</v>
          </cell>
          <cell r="J353">
            <v>7.5108233850583836</v>
          </cell>
          <cell r="K353">
            <v>122.21</v>
          </cell>
          <cell r="L353">
            <v>1.1367861966710333</v>
          </cell>
          <cell r="M353">
            <v>463.51029</v>
          </cell>
          <cell r="N353">
            <v>7.9423300000000001</v>
          </cell>
          <cell r="O353">
            <v>13.446040655615661</v>
          </cell>
          <cell r="P353">
            <v>4.9542716339473705</v>
          </cell>
          <cell r="Q353">
            <v>18.998422077658653</v>
          </cell>
          <cell r="R353">
            <v>209.15642230635572</v>
          </cell>
          <cell r="S353">
            <v>310.57949751383296</v>
          </cell>
          <cell r="T353">
            <v>37.981653694987713</v>
          </cell>
          <cell r="U353">
            <v>0.19774871956271764</v>
          </cell>
        </row>
        <row r="354">
          <cell r="E354">
            <v>346</v>
          </cell>
          <cell r="F354" t="str">
            <v>Kab. Maluku Tenggara</v>
          </cell>
          <cell r="G354">
            <v>193.47900000000001</v>
          </cell>
          <cell r="H354">
            <v>9934</v>
          </cell>
          <cell r="I354">
            <v>72.25</v>
          </cell>
          <cell r="J354">
            <v>7.8914572240938616</v>
          </cell>
          <cell r="K354">
            <v>123.08</v>
          </cell>
          <cell r="L354">
            <v>1.2148378118006358</v>
          </cell>
          <cell r="M354">
            <v>258.47910999999999</v>
          </cell>
          <cell r="N354">
            <v>8.9435699999999994</v>
          </cell>
          <cell r="O354">
            <v>11.182603665099432</v>
          </cell>
          <cell r="P354">
            <v>2.6705988893473704</v>
          </cell>
          <cell r="Q354">
            <v>9.2278826966586536</v>
          </cell>
          <cell r="R354">
            <v>88.168469480400006</v>
          </cell>
          <cell r="S354">
            <v>174.85495369850739</v>
          </cell>
          <cell r="T354">
            <v>37.342553972265726</v>
          </cell>
          <cell r="U354">
            <v>0.21132612488033994</v>
          </cell>
        </row>
        <row r="355">
          <cell r="E355">
            <v>347</v>
          </cell>
          <cell r="F355" t="str">
            <v>Kab. Pulau Buru</v>
          </cell>
          <cell r="G355">
            <v>122.346</v>
          </cell>
          <cell r="H355">
            <v>11020</v>
          </cell>
          <cell r="I355">
            <v>38.25</v>
          </cell>
          <cell r="J355">
            <v>6.5308524063475284</v>
          </cell>
          <cell r="K355">
            <v>121.43</v>
          </cell>
          <cell r="L355">
            <v>1.2008625912152477</v>
          </cell>
          <cell r="M355">
            <v>86.71347999999999</v>
          </cell>
          <cell r="N355">
            <v>3.0140599999999997</v>
          </cell>
          <cell r="O355">
            <v>9.2864009478282128</v>
          </cell>
          <cell r="P355">
            <v>2.3903294139473701</v>
          </cell>
          <cell r="Q355">
            <v>9.4632437526586521</v>
          </cell>
          <cell r="R355">
            <v>39.240333260555957</v>
          </cell>
          <cell r="S355">
            <v>142.27722973885835</v>
          </cell>
          <cell r="T355">
            <v>31.263792849786672</v>
          </cell>
          <cell r="U355">
            <v>0.20889507673385482</v>
          </cell>
        </row>
        <row r="356">
          <cell r="E356">
            <v>348</v>
          </cell>
          <cell r="F356" t="str">
            <v>Kota Ambon</v>
          </cell>
          <cell r="G356">
            <v>228.47499999999999</v>
          </cell>
          <cell r="H356">
            <v>359.45</v>
          </cell>
          <cell r="I356">
            <v>14.135999999999999</v>
          </cell>
          <cell r="J356">
            <v>0.41</v>
          </cell>
          <cell r="K356">
            <v>111.92</v>
          </cell>
          <cell r="L356">
            <v>0.38094398247680622</v>
          </cell>
          <cell r="M356">
            <v>1013.25202</v>
          </cell>
          <cell r="N356">
            <v>8.1782299999999992</v>
          </cell>
          <cell r="O356">
            <v>19.514901825474734</v>
          </cell>
          <cell r="P356">
            <v>2.17483673394737</v>
          </cell>
          <cell r="Q356">
            <v>11.992533073658652</v>
          </cell>
          <cell r="R356">
            <v>136.24531991872018</v>
          </cell>
          <cell r="S356">
            <v>177.82990746105304</v>
          </cell>
          <cell r="T356">
            <v>6.1871101871101866</v>
          </cell>
          <cell r="U356">
            <v>6.6266801075268819E-2</v>
          </cell>
        </row>
        <row r="357">
          <cell r="E357">
            <v>349</v>
          </cell>
          <cell r="F357" t="str">
            <v>Kab. Halmahera Tengah</v>
          </cell>
          <cell r="G357">
            <v>164.60699999999997</v>
          </cell>
          <cell r="H357">
            <v>10027.601000000001</v>
          </cell>
          <cell r="I357">
            <v>29.876999999999999</v>
          </cell>
          <cell r="J357">
            <v>3.8824669103663676</v>
          </cell>
          <cell r="K357">
            <v>118.85</v>
          </cell>
          <cell r="L357">
            <v>1.2296575686565643</v>
          </cell>
          <cell r="M357">
            <v>151.0831</v>
          </cell>
          <cell r="N357">
            <v>6.3050500000000005</v>
          </cell>
          <cell r="O357">
            <v>9.9970078856289568</v>
          </cell>
          <cell r="P357">
            <v>1.7419297985873701</v>
          </cell>
          <cell r="Q357">
            <v>7.7557995746586545</v>
          </cell>
          <cell r="R357">
            <v>90.237716240884936</v>
          </cell>
          <cell r="S357">
            <v>171.49733599999999</v>
          </cell>
          <cell r="T357">
            <v>18.150503927536498</v>
          </cell>
          <cell r="U357">
            <v>0.21390408364784838</v>
          </cell>
        </row>
        <row r="358">
          <cell r="E358">
            <v>350</v>
          </cell>
          <cell r="F358" t="str">
            <v>Kab. Halmahera Barat</v>
          </cell>
          <cell r="G358">
            <v>555.26199999999994</v>
          </cell>
          <cell r="H358">
            <v>24842.421999999999</v>
          </cell>
          <cell r="I358">
            <v>71.864999999999995</v>
          </cell>
          <cell r="J358">
            <v>2.2198231452875552</v>
          </cell>
          <cell r="K358">
            <v>113.62</v>
          </cell>
          <cell r="L358">
            <v>0.9859707015317839</v>
          </cell>
          <cell r="M358">
            <v>71.785921939642307</v>
          </cell>
          <cell r="N358">
            <v>7.7676999999999996</v>
          </cell>
          <cell r="O358">
            <v>9.1216085143461818</v>
          </cell>
          <cell r="P358">
            <v>1.7633150340973702</v>
          </cell>
          <cell r="Q358">
            <v>5.7683872776586531</v>
          </cell>
          <cell r="R358">
            <v>159.03319528463416</v>
          </cell>
          <cell r="S358">
            <v>274.16780680764435</v>
          </cell>
          <cell r="T358">
            <v>12.942538837521747</v>
          </cell>
          <cell r="U358">
            <v>0.17151373259565275</v>
          </cell>
        </row>
        <row r="359">
          <cell r="E359">
            <v>351</v>
          </cell>
          <cell r="F359" t="str">
            <v>Kota Ternate</v>
          </cell>
          <cell r="G359">
            <v>152.899</v>
          </cell>
          <cell r="H359">
            <v>114.37</v>
          </cell>
          <cell r="I359">
            <v>6.0140000000000002</v>
          </cell>
          <cell r="J359">
            <v>0.48980021277651575</v>
          </cell>
          <cell r="K359">
            <v>112.48</v>
          </cell>
          <cell r="L359">
            <v>0.7158553947443751</v>
          </cell>
          <cell r="M359">
            <v>291.5706595239364</v>
          </cell>
          <cell r="N359">
            <v>7.8535000000000004</v>
          </cell>
          <cell r="O359">
            <v>11.547917064095513</v>
          </cell>
          <cell r="P359">
            <v>1.5060415180973701</v>
          </cell>
          <cell r="Q359">
            <v>13.858154337658654</v>
          </cell>
          <cell r="R359">
            <v>77.387296583099982</v>
          </cell>
          <cell r="S359">
            <v>126.04186899999999</v>
          </cell>
          <cell r="T359">
            <v>3.9333154566086113</v>
          </cell>
          <cell r="U359">
            <v>0.12452604378669184</v>
          </cell>
        </row>
        <row r="360">
          <cell r="E360">
            <v>352</v>
          </cell>
          <cell r="F360" t="str">
            <v>Kab. Biak Numfor</v>
          </cell>
          <cell r="G360">
            <v>112.41200000000001</v>
          </cell>
          <cell r="H360">
            <v>3131</v>
          </cell>
          <cell r="I360">
            <v>51.83</v>
          </cell>
          <cell r="J360">
            <v>14.14</v>
          </cell>
          <cell r="K360">
            <v>154.44</v>
          </cell>
          <cell r="L360">
            <v>1.7629743221551517</v>
          </cell>
          <cell r="M360">
            <v>380.37695264422945</v>
          </cell>
          <cell r="N360">
            <v>3.9393231360000001</v>
          </cell>
          <cell r="O360">
            <v>12.528292092123436</v>
          </cell>
          <cell r="P360">
            <v>1.7787763639473702</v>
          </cell>
          <cell r="Q360">
            <v>10.493678409138653</v>
          </cell>
          <cell r="R360">
            <v>102.40353799926797</v>
          </cell>
          <cell r="S360">
            <v>191.24290101097435</v>
          </cell>
          <cell r="T360">
            <v>46.107177169697181</v>
          </cell>
          <cell r="U360">
            <v>0.3066767663515339</v>
          </cell>
        </row>
        <row r="361">
          <cell r="E361">
            <v>353</v>
          </cell>
          <cell r="F361" t="str">
            <v>Kab. Jayapura</v>
          </cell>
          <cell r="G361">
            <v>161.37400000000002</v>
          </cell>
          <cell r="H361">
            <v>61493</v>
          </cell>
          <cell r="I361">
            <v>44.502000000000002</v>
          </cell>
          <cell r="J361">
            <v>5.9255011870425358</v>
          </cell>
          <cell r="K361">
            <v>154.01</v>
          </cell>
          <cell r="L361">
            <v>1.2352197744283275</v>
          </cell>
          <cell r="M361">
            <v>305.36255225370002</v>
          </cell>
          <cell r="N361">
            <v>3.7875199999999998</v>
          </cell>
          <cell r="O361">
            <v>11.700172346310534</v>
          </cell>
          <cell r="P361">
            <v>3.46000379954737</v>
          </cell>
          <cell r="Q361">
            <v>22.870879736258654</v>
          </cell>
          <cell r="R361">
            <v>154.47298362867804</v>
          </cell>
          <cell r="S361">
            <v>333.36634643309026</v>
          </cell>
          <cell r="T361">
            <v>27.576933087114401</v>
          </cell>
          <cell r="U361">
            <v>0.21487165263534275</v>
          </cell>
        </row>
        <row r="362">
          <cell r="E362">
            <v>354</v>
          </cell>
          <cell r="F362" t="str">
            <v>Kab. Jayawijaya</v>
          </cell>
          <cell r="G362">
            <v>480.21799999999996</v>
          </cell>
          <cell r="H362">
            <v>52880</v>
          </cell>
          <cell r="I362">
            <v>214.96600000000001</v>
          </cell>
          <cell r="J362">
            <v>13.966406742682929</v>
          </cell>
          <cell r="K362">
            <v>220.43</v>
          </cell>
          <cell r="L362">
            <v>1.7935705182626602</v>
          </cell>
          <cell r="M362">
            <v>401.15021300000001</v>
          </cell>
          <cell r="N362">
            <v>2.85162</v>
          </cell>
          <cell r="O362">
            <v>12.757618021491229</v>
          </cell>
          <cell r="P362">
            <v>1.7789090591473702</v>
          </cell>
          <cell r="Q362">
            <v>24.528349912698655</v>
          </cell>
          <cell r="R362">
            <v>127.0497546582162</v>
          </cell>
          <cell r="S362">
            <v>362.27708907889098</v>
          </cell>
          <cell r="T362">
            <v>44.764252901807097</v>
          </cell>
          <cell r="U362">
            <v>0.31199910279568449</v>
          </cell>
        </row>
        <row r="363">
          <cell r="E363">
            <v>355</v>
          </cell>
          <cell r="F363" t="str">
            <v>Kab. Merauke</v>
          </cell>
          <cell r="G363">
            <v>315.19200000000001</v>
          </cell>
          <cell r="H363">
            <v>119749</v>
          </cell>
          <cell r="I363">
            <v>90.484999999999999</v>
          </cell>
          <cell r="J363">
            <v>7.3133273891043791</v>
          </cell>
          <cell r="K363">
            <v>176.55</v>
          </cell>
          <cell r="L363">
            <v>1.4644640744928876</v>
          </cell>
          <cell r="M363">
            <v>483.05257</v>
          </cell>
          <cell r="N363">
            <v>14.45942</v>
          </cell>
          <cell r="O363">
            <v>13.661777205690754</v>
          </cell>
          <cell r="P363">
            <v>2.5378654839473702</v>
          </cell>
          <cell r="Q363">
            <v>34.759884148938653</v>
          </cell>
          <cell r="R363">
            <v>175.41186071592404</v>
          </cell>
          <cell r="S363">
            <v>500.52330748455313</v>
          </cell>
          <cell r="T363">
            <v>28.707898677631409</v>
          </cell>
          <cell r="U363">
            <v>0.25474965866459498</v>
          </cell>
        </row>
        <row r="364">
          <cell r="E364">
            <v>356</v>
          </cell>
          <cell r="F364" t="str">
            <v>Kab. Mimika</v>
          </cell>
          <cell r="G364">
            <v>126.324</v>
          </cell>
          <cell r="H364">
            <v>19952</v>
          </cell>
          <cell r="I364">
            <v>38.619999999999997</v>
          </cell>
          <cell r="J364">
            <v>12.88</v>
          </cell>
          <cell r="K364">
            <v>174.11</v>
          </cell>
          <cell r="L364">
            <v>2.4218908924718887</v>
          </cell>
          <cell r="M364">
            <v>219.44592542679482</v>
          </cell>
          <cell r="N364">
            <v>15.646990097001721</v>
          </cell>
          <cell r="O364">
            <v>10.751697722790363</v>
          </cell>
          <cell r="P364">
            <v>1.7787763639473702</v>
          </cell>
          <cell r="Q364">
            <v>46.162483954258654</v>
          </cell>
          <cell r="R364">
            <v>37.944834000000007</v>
          </cell>
          <cell r="S364">
            <v>155.15619007009965</v>
          </cell>
          <cell r="T364">
            <v>30.572179475000787</v>
          </cell>
          <cell r="U364">
            <v>0.4212980631796997</v>
          </cell>
        </row>
        <row r="365">
          <cell r="E365">
            <v>357</v>
          </cell>
          <cell r="F365" t="str">
            <v>Kab. Nabire</v>
          </cell>
          <cell r="G365">
            <v>161.38399999999999</v>
          </cell>
          <cell r="H365">
            <v>10247</v>
          </cell>
          <cell r="I365">
            <v>70.957999999999998</v>
          </cell>
          <cell r="J365">
            <v>10.678945014960167</v>
          </cell>
          <cell r="K365">
            <v>155.82</v>
          </cell>
          <cell r="L365">
            <v>1.3962158737765797</v>
          </cell>
          <cell r="M365">
            <v>174.43863000000002</v>
          </cell>
          <cell r="N365">
            <v>3.5430999999999999</v>
          </cell>
          <cell r="O365">
            <v>10.254840721274304</v>
          </cell>
          <cell r="P365">
            <v>3.6742282956273704</v>
          </cell>
          <cell r="Q365">
            <v>13.261759947018653</v>
          </cell>
          <cell r="R365">
            <v>99.564173699999998</v>
          </cell>
          <cell r="S365">
            <v>225.31277269865666</v>
          </cell>
          <cell r="T365">
            <v>43.968423139840382</v>
          </cell>
          <cell r="U365">
            <v>0.24287759833906417</v>
          </cell>
        </row>
        <row r="366">
          <cell r="E366">
            <v>358</v>
          </cell>
          <cell r="F366" t="str">
            <v>Kab. Paniai</v>
          </cell>
          <cell r="G366">
            <v>112.786</v>
          </cell>
          <cell r="H366">
            <v>15563</v>
          </cell>
          <cell r="I366">
            <v>54.636457447665414</v>
          </cell>
          <cell r="J366">
            <v>17.66</v>
          </cell>
          <cell r="K366">
            <v>220.43</v>
          </cell>
          <cell r="L366">
            <v>2.0956969082758072</v>
          </cell>
          <cell r="M366">
            <v>62.474740252338336</v>
          </cell>
          <cell r="N366">
            <v>6.2228300000000001</v>
          </cell>
          <cell r="O366">
            <v>9.0188179385105407</v>
          </cell>
          <cell r="P366">
            <v>1.77879934794737</v>
          </cell>
          <cell r="Q366">
            <v>14.057333778698656</v>
          </cell>
          <cell r="R366">
            <v>41.790665099148207</v>
          </cell>
          <cell r="S366">
            <v>209.65611497831762</v>
          </cell>
          <cell r="T366">
            <v>48.442588129435762</v>
          </cell>
          <cell r="U366">
            <v>0.36455525358829949</v>
          </cell>
        </row>
        <row r="367">
          <cell r="E367">
            <v>359</v>
          </cell>
          <cell r="F367" t="str">
            <v>Kab. Puncak Jaya</v>
          </cell>
          <cell r="G367">
            <v>111.617</v>
          </cell>
          <cell r="H367">
            <v>14532</v>
          </cell>
          <cell r="I367">
            <v>55.81</v>
          </cell>
          <cell r="J367">
            <v>15.536297129417134</v>
          </cell>
          <cell r="K367">
            <v>220.43</v>
          </cell>
          <cell r="L367">
            <v>1.7862035696729772</v>
          </cell>
          <cell r="M367">
            <v>55.836163116782487</v>
          </cell>
          <cell r="N367">
            <v>3.5367642275999998E-2</v>
          </cell>
          <cell r="O367">
            <v>8.9455315190839322</v>
          </cell>
          <cell r="P367">
            <v>1.7790664459673702</v>
          </cell>
          <cell r="Q367">
            <v>8.5873551646586535</v>
          </cell>
          <cell r="R367">
            <v>21.776103012900002</v>
          </cell>
          <cell r="S367">
            <v>195.57042883560931</v>
          </cell>
          <cell r="T367">
            <v>50.001343881308401</v>
          </cell>
          <cell r="U367">
            <v>0.31071759123708159</v>
          </cell>
        </row>
        <row r="368">
          <cell r="E368">
            <v>360</v>
          </cell>
          <cell r="F368" t="str">
            <v>Kab. Yapen Waropen</v>
          </cell>
          <cell r="G368">
            <v>92.313000000000002</v>
          </cell>
          <cell r="H368">
            <v>18994</v>
          </cell>
          <cell r="I368">
            <v>39.58</v>
          </cell>
          <cell r="J368">
            <v>12.687923728891784</v>
          </cell>
          <cell r="K368">
            <v>150.84</v>
          </cell>
          <cell r="L368">
            <v>1.7011505341494311</v>
          </cell>
          <cell r="M368">
            <v>215.56981999999999</v>
          </cell>
          <cell r="N368">
            <v>2.6326025100000003</v>
          </cell>
          <cell r="O368">
            <v>10.708907546183331</v>
          </cell>
          <cell r="P368">
            <v>5.0703360080273701</v>
          </cell>
          <cell r="Q368">
            <v>9.7300049256586529</v>
          </cell>
          <cell r="R368">
            <v>83.135265900868632</v>
          </cell>
          <cell r="S368">
            <v>212.74758802107453</v>
          </cell>
          <cell r="T368">
            <v>42.875867970925</v>
          </cell>
          <cell r="U368">
            <v>0.29592225952127016</v>
          </cell>
        </row>
        <row r="369">
          <cell r="E369">
            <v>361</v>
          </cell>
          <cell r="F369" t="str">
            <v>Kota Jayapura</v>
          </cell>
          <cell r="G369">
            <v>200.19200000000001</v>
          </cell>
          <cell r="H369">
            <v>940</v>
          </cell>
          <cell r="I369">
            <v>45.75</v>
          </cell>
          <cell r="J369">
            <v>5.27</v>
          </cell>
          <cell r="K369">
            <v>150.63</v>
          </cell>
          <cell r="L369">
            <v>1.3256575410406808</v>
          </cell>
          <cell r="M369">
            <v>1064.217757395204</v>
          </cell>
          <cell r="N369">
            <v>14.623557881</v>
          </cell>
          <cell r="O369">
            <v>20.07753690990063</v>
          </cell>
          <cell r="P369">
            <v>1.7787763639473702</v>
          </cell>
          <cell r="Q369">
            <v>19.092288327898654</v>
          </cell>
          <cell r="R369">
            <v>104.27832187669989</v>
          </cell>
          <cell r="S369">
            <v>170.38895227390333</v>
          </cell>
          <cell r="T369">
            <v>22.853061061381073</v>
          </cell>
          <cell r="U369">
            <v>0.23060368087431693</v>
          </cell>
        </row>
        <row r="370">
          <cell r="E370">
            <v>362</v>
          </cell>
          <cell r="F370" t="str">
            <v>Kab. Kepulauan Riau</v>
          </cell>
          <cell r="G370">
            <v>197.215</v>
          </cell>
          <cell r="H370">
            <v>4814.9799999999996</v>
          </cell>
          <cell r="I370">
            <v>24.556000000000001</v>
          </cell>
          <cell r="J370">
            <v>2.2612293986870231</v>
          </cell>
          <cell r="K370">
            <v>106.12</v>
          </cell>
          <cell r="L370">
            <v>1.0439796997388842</v>
          </cell>
          <cell r="M370">
            <v>331.20620000000002</v>
          </cell>
          <cell r="N370">
            <v>52.960250000000002</v>
          </cell>
          <cell r="O370">
            <v>11.985472700524205</v>
          </cell>
          <cell r="P370">
            <v>11.96239574474737</v>
          </cell>
          <cell r="Q370">
            <v>23.227113083530654</v>
          </cell>
          <cell r="R370">
            <v>64.19571361832061</v>
          </cell>
          <cell r="S370">
            <v>95.510323999999997</v>
          </cell>
          <cell r="T370">
            <v>12.451385543695967</v>
          </cell>
          <cell r="U370">
            <v>0.18160464076480748</v>
          </cell>
        </row>
        <row r="371">
          <cell r="E371">
            <v>363</v>
          </cell>
          <cell r="F371" t="str">
            <v>Kab. Natuna</v>
          </cell>
          <cell r="G371">
            <v>87.451999999999998</v>
          </cell>
          <cell r="H371">
            <v>3404.4</v>
          </cell>
          <cell r="I371">
            <v>4.51</v>
          </cell>
          <cell r="J371">
            <v>0.76047762541969699</v>
          </cell>
          <cell r="K371">
            <v>107.81</v>
          </cell>
          <cell r="L371">
            <v>0.84770502308561857</v>
          </cell>
          <cell r="M371">
            <v>162.90648000000002</v>
          </cell>
          <cell r="N371">
            <v>7.9038300000000001</v>
          </cell>
          <cell r="O371">
            <v>10.127531816891167</v>
          </cell>
          <cell r="P371">
            <v>44.380369748347363</v>
          </cell>
          <cell r="Q371">
            <v>34.543495692230657</v>
          </cell>
          <cell r="R371">
            <v>32.214886199999995</v>
          </cell>
          <cell r="S371">
            <v>147.583877</v>
          </cell>
          <cell r="T371">
            <v>5.1571147600969676</v>
          </cell>
          <cell r="U371">
            <v>0.14746183879867703</v>
          </cell>
        </row>
        <row r="372">
          <cell r="E372">
            <v>364</v>
          </cell>
          <cell r="F372" t="str">
            <v>Kab. Karimun</v>
          </cell>
          <cell r="G372">
            <v>188.227</v>
          </cell>
          <cell r="H372">
            <v>4257</v>
          </cell>
          <cell r="I372">
            <v>11.526</v>
          </cell>
          <cell r="J372">
            <v>0.97382990419132809</v>
          </cell>
          <cell r="K372">
            <v>107.16</v>
          </cell>
          <cell r="L372">
            <v>0.9142216953612301</v>
          </cell>
          <cell r="M372">
            <v>556.19033999999999</v>
          </cell>
          <cell r="N372">
            <v>30.552798128999999</v>
          </cell>
          <cell r="O372">
            <v>14.469179933519118</v>
          </cell>
          <cell r="P372">
            <v>11.965388409647371</v>
          </cell>
          <cell r="Q372">
            <v>17.626514743690652</v>
          </cell>
          <cell r="R372">
            <v>40.847442295500002</v>
          </cell>
          <cell r="S372">
            <v>117.648838</v>
          </cell>
          <cell r="T372">
            <v>6.1234573148379354</v>
          </cell>
          <cell r="U372">
            <v>0.15903269250062563</v>
          </cell>
        </row>
        <row r="373">
          <cell r="E373">
            <v>365</v>
          </cell>
          <cell r="F373" t="str">
            <v>Kota  Batam</v>
          </cell>
          <cell r="G373">
            <v>554.29499999999996</v>
          </cell>
          <cell r="H373">
            <v>612.53</v>
          </cell>
          <cell r="I373">
            <v>28.064</v>
          </cell>
          <cell r="J373">
            <v>1.1088956961317404</v>
          </cell>
          <cell r="K373">
            <v>105.64</v>
          </cell>
          <cell r="L373">
            <v>1.2590622381504022</v>
          </cell>
          <cell r="M373">
            <v>2062.7938300000001</v>
          </cell>
          <cell r="N373">
            <v>56.379182848999996</v>
          </cell>
          <cell r="O373">
            <v>31.101294469985472</v>
          </cell>
          <cell r="P373">
            <v>11.961369748347369</v>
          </cell>
          <cell r="Q373">
            <v>73.071338719690658</v>
          </cell>
          <cell r="R373">
            <v>49.084345199999987</v>
          </cell>
          <cell r="S373">
            <v>104.200777</v>
          </cell>
          <cell r="T373">
            <v>5.0630079650727504</v>
          </cell>
          <cell r="U373">
            <v>0.21901914904765643</v>
          </cell>
        </row>
        <row r="374">
          <cell r="E374">
            <v>366</v>
          </cell>
          <cell r="F374" t="str">
            <v>Kota Tanjung Pinang</v>
          </cell>
          <cell r="G374">
            <v>164.85599999999999</v>
          </cell>
          <cell r="H374">
            <v>239.5</v>
          </cell>
          <cell r="I374">
            <v>17.039000000000001</v>
          </cell>
          <cell r="J374">
            <v>1.8769992204041539</v>
          </cell>
          <cell r="K374">
            <v>105.67</v>
          </cell>
          <cell r="L374">
            <v>1.0439744233645394</v>
          </cell>
          <cell r="M374">
            <v>756.42692</v>
          </cell>
          <cell r="N374">
            <v>11.59897</v>
          </cell>
          <cell r="O374">
            <v>16.679687047736877</v>
          </cell>
          <cell r="P374">
            <v>11.961369748347369</v>
          </cell>
          <cell r="Q374">
            <v>25.976087151270654</v>
          </cell>
          <cell r="R374">
            <v>45.804798764574379</v>
          </cell>
          <cell r="S374">
            <v>59.818082323484063</v>
          </cell>
          <cell r="T374">
            <v>10.335686902508858</v>
          </cell>
          <cell r="U374">
            <v>0.18160372291739371</v>
          </cell>
        </row>
        <row r="375">
          <cell r="E375">
            <v>367</v>
          </cell>
          <cell r="F375" t="str">
            <v>Kab. Sorong</v>
          </cell>
          <cell r="G375">
            <v>143.179</v>
          </cell>
          <cell r="H375">
            <v>41336.9</v>
          </cell>
          <cell r="I375">
            <v>45.8</v>
          </cell>
          <cell r="J375">
            <v>10.939608867790735</v>
          </cell>
          <cell r="K375">
            <v>138.4</v>
          </cell>
          <cell r="L375">
            <v>1.9659875033737384</v>
          </cell>
          <cell r="M375">
            <v>280.26432</v>
          </cell>
          <cell r="N375">
            <v>6.7217399999999996</v>
          </cell>
          <cell r="O375">
            <v>11.423100989263318</v>
          </cell>
          <cell r="P375">
            <v>2.1929401389073697</v>
          </cell>
          <cell r="Q375">
            <v>28.226971656378655</v>
          </cell>
          <cell r="R375">
            <v>173.49366715158541</v>
          </cell>
          <cell r="S375">
            <v>255.18796122272963</v>
          </cell>
          <cell r="T375">
            <v>31.987931191026615</v>
          </cell>
          <cell r="U375">
            <v>0.34199175940642135</v>
          </cell>
        </row>
        <row r="376">
          <cell r="E376">
            <v>368</v>
          </cell>
          <cell r="F376" t="str">
            <v>Kab. Manokwari</v>
          </cell>
          <cell r="G376">
            <v>219.95</v>
          </cell>
          <cell r="H376">
            <v>37901</v>
          </cell>
          <cell r="I376">
            <v>112.242</v>
          </cell>
          <cell r="J376">
            <v>17.451524628700231</v>
          </cell>
          <cell r="K376">
            <v>142.29</v>
          </cell>
          <cell r="L376">
            <v>1.9659254987345212</v>
          </cell>
          <cell r="M376">
            <v>331.20936</v>
          </cell>
          <cell r="N376">
            <v>11.57801406107</v>
          </cell>
          <cell r="O376">
            <v>11.985507585271442</v>
          </cell>
          <cell r="P376">
            <v>2.4731330839473697</v>
          </cell>
          <cell r="Q376">
            <v>22.497906124698652</v>
          </cell>
          <cell r="R376">
            <v>165.04098027534067</v>
          </cell>
          <cell r="S376">
            <v>273.16866373119183</v>
          </cell>
          <cell r="T376">
            <v>51.030688792907483</v>
          </cell>
          <cell r="U376">
            <v>0.34198097343976547</v>
          </cell>
        </row>
        <row r="377">
          <cell r="E377">
            <v>369</v>
          </cell>
          <cell r="F377" t="str">
            <v>Kab. Fak Fak</v>
          </cell>
          <cell r="G377">
            <v>95.903999999999996</v>
          </cell>
          <cell r="H377">
            <v>22600.6</v>
          </cell>
          <cell r="I377">
            <v>34.799999999999997</v>
          </cell>
          <cell r="J377">
            <v>8.4433478164954572</v>
          </cell>
          <cell r="K377">
            <v>152.47</v>
          </cell>
          <cell r="L377">
            <v>1.3376339066428091</v>
          </cell>
          <cell r="M377">
            <v>195.85291000000001</v>
          </cell>
          <cell r="N377">
            <v>12.596819999999999</v>
          </cell>
          <cell r="O377">
            <v>10.491243172244307</v>
          </cell>
          <cell r="P377">
            <v>2.5735581935473704</v>
          </cell>
          <cell r="Q377">
            <v>13.715502795218654</v>
          </cell>
          <cell r="R377">
            <v>140.00747030192167</v>
          </cell>
          <cell r="S377">
            <v>219.79822288739052</v>
          </cell>
          <cell r="T377">
            <v>36.286286286286284</v>
          </cell>
          <cell r="U377">
            <v>0.23268701982562653</v>
          </cell>
        </row>
        <row r="378">
          <cell r="E378">
            <v>370</v>
          </cell>
          <cell r="F378" t="str">
            <v>Kota Sorong</v>
          </cell>
          <cell r="G378">
            <v>183.43899999999999</v>
          </cell>
          <cell r="H378">
            <v>1105</v>
          </cell>
          <cell r="I378">
            <v>66.84</v>
          </cell>
          <cell r="J378">
            <v>8.576809449673787</v>
          </cell>
          <cell r="K378">
            <v>123.48</v>
          </cell>
          <cell r="L378">
            <v>1.3531505112660938</v>
          </cell>
          <cell r="M378">
            <v>405.06059999999997</v>
          </cell>
          <cell r="N378">
            <v>9.9030400000000007</v>
          </cell>
          <cell r="O378">
            <v>12.800786648736285</v>
          </cell>
          <cell r="P378">
            <v>1.8147567039473702</v>
          </cell>
          <cell r="Q378">
            <v>19.313324552298653</v>
          </cell>
          <cell r="R378">
            <v>67.349996999999988</v>
          </cell>
          <cell r="S378">
            <v>152.40113875108307</v>
          </cell>
          <cell r="T378">
            <v>36.437180752184659</v>
          </cell>
          <cell r="U378">
            <v>0.23538619818053702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a KK"/>
      <sheetName val="DAU suatu daerah"/>
      <sheetName val="40 db"/>
    </sheetNames>
    <sheetDataSet>
      <sheetData sheetId="0">
        <row r="9">
          <cell r="E9">
            <v>1</v>
          </cell>
          <cell r="F9" t="str">
            <v>Kab. Aceh Barat</v>
          </cell>
          <cell r="G9">
            <v>162.24700000000001</v>
          </cell>
          <cell r="H9">
            <v>2312.39</v>
          </cell>
          <cell r="I9">
            <v>57.013262499999996</v>
          </cell>
          <cell r="J9">
            <v>8.4503410922032316</v>
          </cell>
          <cell r="K9">
            <v>97.79</v>
          </cell>
          <cell r="L9">
            <v>1.3824203953973311</v>
          </cell>
          <cell r="M9">
            <v>249.83153156490141</v>
          </cell>
          <cell r="N9">
            <v>6.8878199999999996</v>
          </cell>
          <cell r="O9">
            <v>11.087138922086233</v>
          </cell>
          <cell r="P9">
            <v>10.704087344347371</v>
          </cell>
          <cell r="Q9">
            <v>5.8262567172899047</v>
          </cell>
          <cell r="R9">
            <v>73.929768172207375</v>
          </cell>
          <cell r="S9">
            <v>115.73231908331931</v>
          </cell>
          <cell r="T9">
            <v>35.139794572472823</v>
          </cell>
          <cell r="U9">
            <v>0.24047781710206431</v>
          </cell>
        </row>
        <row r="10">
          <cell r="E10">
            <v>2</v>
          </cell>
          <cell r="F10" t="str">
            <v>Kab. Aceh Besar</v>
          </cell>
          <cell r="G10">
            <v>303.01600000000002</v>
          </cell>
          <cell r="H10">
            <v>2686.1</v>
          </cell>
          <cell r="I10">
            <v>89.939607800000005</v>
          </cell>
          <cell r="J10">
            <v>3.4146100731377942</v>
          </cell>
          <cell r="K10">
            <v>96.13</v>
          </cell>
          <cell r="L10">
            <v>0.66133392276772762</v>
          </cell>
          <cell r="M10">
            <v>361.37298299999998</v>
          </cell>
          <cell r="N10">
            <v>3.7630972370497613</v>
          </cell>
          <cell r="O10">
            <v>12.318498206825616</v>
          </cell>
          <cell r="P10">
            <v>10.32737942434737</v>
          </cell>
          <cell r="Q10">
            <v>6.2991112268899041</v>
          </cell>
          <cell r="R10">
            <v>140.48244978978011</v>
          </cell>
          <cell r="S10">
            <v>192.2</v>
          </cell>
          <cell r="T10">
            <v>29.681471539456659</v>
          </cell>
          <cell r="U10">
            <v>0.11504180541044365</v>
          </cell>
        </row>
        <row r="11">
          <cell r="E11">
            <v>3</v>
          </cell>
          <cell r="F11" t="str">
            <v>Kab. Aceh Selatan</v>
          </cell>
          <cell r="G11">
            <v>186.857</v>
          </cell>
          <cell r="H11">
            <v>3642.6109999999999</v>
          </cell>
          <cell r="I11">
            <v>51.08544150036068</v>
          </cell>
          <cell r="J11">
            <v>4.9420567356934955</v>
          </cell>
          <cell r="K11">
            <v>95.31</v>
          </cell>
          <cell r="L11">
            <v>1.0391663120288597</v>
          </cell>
          <cell r="M11">
            <v>219.45546770000001</v>
          </cell>
          <cell r="N11">
            <v>3.3156215772462061</v>
          </cell>
          <cell r="O11">
            <v>10.751803064495689</v>
          </cell>
          <cell r="P11">
            <v>10.399244454437369</v>
          </cell>
          <cell r="Q11">
            <v>4.8968070174899037</v>
          </cell>
          <cell r="R11">
            <v>81.071172299999986</v>
          </cell>
          <cell r="S11">
            <v>126.33934757205338</v>
          </cell>
          <cell r="T11">
            <v>27.3393244568631</v>
          </cell>
          <cell r="U11">
            <v>0.18076733181506507</v>
          </cell>
        </row>
        <row r="12">
          <cell r="E12">
            <v>4</v>
          </cell>
          <cell r="F12" t="str">
            <v>Kab. Aceh Singkil</v>
          </cell>
          <cell r="G12">
            <v>147.11699999999999</v>
          </cell>
          <cell r="H12">
            <v>3964</v>
          </cell>
          <cell r="I12">
            <v>41.863081000000008</v>
          </cell>
          <cell r="J12">
            <v>6.2516791976345703</v>
          </cell>
          <cell r="K12">
            <v>95.81</v>
          </cell>
          <cell r="L12">
            <v>1.262971260194766</v>
          </cell>
          <cell r="M12">
            <v>114.1551</v>
          </cell>
          <cell r="N12">
            <v>5.3420764096399997</v>
          </cell>
          <cell r="O12">
            <v>9.5893420799413374</v>
          </cell>
          <cell r="P12">
            <v>10.310661874437368</v>
          </cell>
          <cell r="Q12">
            <v>7.225287175089905</v>
          </cell>
          <cell r="R12">
            <v>35.450567399999997</v>
          </cell>
          <cell r="S12">
            <v>106.03430843184358</v>
          </cell>
          <cell r="T12">
            <v>28.455638029595498</v>
          </cell>
          <cell r="U12">
            <v>0.21969913980253983</v>
          </cell>
        </row>
        <row r="13">
          <cell r="E13">
            <v>5</v>
          </cell>
          <cell r="F13" t="str">
            <v>Kab. Aceh Tengah</v>
          </cell>
          <cell r="G13">
            <v>287.8</v>
          </cell>
          <cell r="H13">
            <v>5790.3</v>
          </cell>
          <cell r="I13">
            <v>79.547933652685515</v>
          </cell>
          <cell r="J13">
            <v>4.6955156882726889</v>
          </cell>
          <cell r="K13">
            <v>96.54</v>
          </cell>
          <cell r="L13">
            <v>0.97658555039088013</v>
          </cell>
          <cell r="M13">
            <v>243.63649115674903</v>
          </cell>
          <cell r="N13">
            <v>6.7597500000000004</v>
          </cell>
          <cell r="O13">
            <v>11.018748916148819</v>
          </cell>
          <cell r="P13">
            <v>10.334257994437369</v>
          </cell>
          <cell r="Q13">
            <v>6.6980868648899037</v>
          </cell>
          <cell r="R13">
            <v>107.97834059999998</v>
          </cell>
          <cell r="S13">
            <v>158.67541338730223</v>
          </cell>
          <cell r="T13">
            <v>27.640004743810113</v>
          </cell>
          <cell r="U13">
            <v>0.16988114625140338</v>
          </cell>
        </row>
        <row r="14">
          <cell r="E14">
            <v>6</v>
          </cell>
          <cell r="F14" t="str">
            <v>Kab. Aceh Tenggara</v>
          </cell>
          <cell r="G14">
            <v>168.30600000000001</v>
          </cell>
          <cell r="H14">
            <v>4231.2870000000003</v>
          </cell>
          <cell r="I14">
            <v>39.952651200000005</v>
          </cell>
          <cell r="J14">
            <v>7.9440960879781368</v>
          </cell>
          <cell r="K14">
            <v>97.37</v>
          </cell>
          <cell r="L14">
            <v>1.9238162767237483</v>
          </cell>
          <cell r="M14">
            <v>76.899419999999992</v>
          </cell>
          <cell r="N14">
            <v>5.0162500000000003</v>
          </cell>
          <cell r="O14">
            <v>9.178058858438952</v>
          </cell>
          <cell r="P14">
            <v>10.310661874437368</v>
          </cell>
          <cell r="Q14">
            <v>5.3971095402899039</v>
          </cell>
          <cell r="R14">
            <v>70.412895599999985</v>
          </cell>
          <cell r="S14">
            <v>117.29617433893213</v>
          </cell>
          <cell r="T14">
            <v>23.738102741435245</v>
          </cell>
          <cell r="U14">
            <v>0.3346558979253042</v>
          </cell>
        </row>
        <row r="15">
          <cell r="E15">
            <v>7</v>
          </cell>
          <cell r="F15" t="str">
            <v>Kab. Aceh Timur</v>
          </cell>
          <cell r="G15">
            <v>312.06700000000001</v>
          </cell>
          <cell r="H15">
            <v>6085.893</v>
          </cell>
          <cell r="I15">
            <v>93.461208619999994</v>
          </cell>
          <cell r="J15">
            <v>6.0467784817147612</v>
          </cell>
          <cell r="K15">
            <v>96.25</v>
          </cell>
          <cell r="L15">
            <v>1.1606616192278656</v>
          </cell>
          <cell r="M15">
            <v>224.12662</v>
          </cell>
          <cell r="N15">
            <v>6.2472825543704316</v>
          </cell>
          <cell r="O15">
            <v>10.803370142752543</v>
          </cell>
          <cell r="P15">
            <v>37.376025004437366</v>
          </cell>
          <cell r="Q15">
            <v>14.660944626089904</v>
          </cell>
          <cell r="R15">
            <v>92.800510199999991</v>
          </cell>
          <cell r="S15">
            <v>143.89976776499071</v>
          </cell>
          <cell r="T15">
            <v>29.949084209480652</v>
          </cell>
          <cell r="U15">
            <v>0.20190194930236294</v>
          </cell>
        </row>
        <row r="16">
          <cell r="E16">
            <v>8</v>
          </cell>
          <cell r="F16" t="str">
            <v>Kab. Aceh Utara</v>
          </cell>
          <cell r="G16">
            <v>487.37200000000001</v>
          </cell>
          <cell r="H16">
            <v>3191.91</v>
          </cell>
          <cell r="I16">
            <v>166.70806680000001</v>
          </cell>
          <cell r="J16">
            <v>10.355968019430854</v>
          </cell>
          <cell r="K16">
            <v>95.83</v>
          </cell>
          <cell r="L16">
            <v>1.7404428681634427</v>
          </cell>
          <cell r="M16">
            <v>653.09171980758515</v>
          </cell>
          <cell r="N16">
            <v>37.774709999999999</v>
          </cell>
          <cell r="O16">
            <v>15.538920484632129</v>
          </cell>
          <cell r="P16">
            <v>146.13951798443739</v>
          </cell>
          <cell r="Q16">
            <v>29.996770475889896</v>
          </cell>
          <cell r="R16">
            <v>130.68605579999999</v>
          </cell>
          <cell r="S16">
            <v>199.89551900000001</v>
          </cell>
          <cell r="T16">
            <v>34.205507661498814</v>
          </cell>
          <cell r="U16">
            <v>0.30275732557208529</v>
          </cell>
        </row>
        <row r="17">
          <cell r="E17">
            <v>9</v>
          </cell>
          <cell r="F17" t="str">
            <v>Kab. Bireuen</v>
          </cell>
          <cell r="G17">
            <v>349.34500000000003</v>
          </cell>
          <cell r="H17">
            <v>1901.21</v>
          </cell>
          <cell r="I17">
            <v>101.46123</v>
          </cell>
          <cell r="J17">
            <v>5.2943588498777787</v>
          </cell>
          <cell r="K17">
            <v>98.36</v>
          </cell>
          <cell r="L17">
            <v>1.0479314989436521</v>
          </cell>
          <cell r="M17">
            <v>610.03206136787037</v>
          </cell>
          <cell r="N17">
            <v>3.0979800000000002</v>
          </cell>
          <cell r="O17">
            <v>15.063564376788214</v>
          </cell>
          <cell r="P17">
            <v>10.310661874437368</v>
          </cell>
          <cell r="Q17">
            <v>11.152586686889904</v>
          </cell>
          <cell r="R17">
            <v>127.22263039829002</v>
          </cell>
          <cell r="S17">
            <v>159.11633269277527</v>
          </cell>
          <cell r="T17">
            <v>29.043275272295293</v>
          </cell>
          <cell r="U17">
            <v>0.18229207278588608</v>
          </cell>
        </row>
        <row r="18">
          <cell r="E18">
            <v>10</v>
          </cell>
          <cell r="F18" t="str">
            <v>Kab. Aceh Pidie</v>
          </cell>
          <cell r="G18">
            <v>473.50400000000002</v>
          </cell>
          <cell r="H18">
            <v>4160.6000000000004</v>
          </cell>
          <cell r="I18">
            <v>165.52228000000002</v>
          </cell>
          <cell r="J18">
            <v>6.2794656156148392</v>
          </cell>
          <cell r="K18">
            <v>94.96</v>
          </cell>
          <cell r="L18">
            <v>1.0326543775347055</v>
          </cell>
          <cell r="M18">
            <v>329.01854893539144</v>
          </cell>
          <cell r="N18">
            <v>5.5873500000000007</v>
          </cell>
          <cell r="O18">
            <v>11.9613221769698</v>
          </cell>
          <cell r="P18">
            <v>10.394241944437368</v>
          </cell>
          <cell r="Q18">
            <v>7.2239530036899033</v>
          </cell>
          <cell r="R18">
            <v>182.32598129999997</v>
          </cell>
          <cell r="S18">
            <v>233.01622400000002</v>
          </cell>
          <cell r="T18">
            <v>34.956891599648579</v>
          </cell>
          <cell r="U18">
            <v>0.17963455353902139</v>
          </cell>
        </row>
        <row r="19">
          <cell r="E19">
            <v>11</v>
          </cell>
          <cell r="F19" t="str">
            <v>Kab. Simeuleu</v>
          </cell>
          <cell r="G19">
            <v>71.453000000000003</v>
          </cell>
          <cell r="H19">
            <v>2125.12</v>
          </cell>
          <cell r="I19">
            <v>24.308840399999998</v>
          </cell>
          <cell r="J19">
            <v>7.7371713816572525</v>
          </cell>
          <cell r="K19">
            <v>106.32</v>
          </cell>
          <cell r="L19">
            <v>1.3073851678202792</v>
          </cell>
          <cell r="M19">
            <v>50.23263</v>
          </cell>
          <cell r="N19">
            <v>2.4572570010965031</v>
          </cell>
          <cell r="O19">
            <v>8.8836714442694173</v>
          </cell>
          <cell r="P19">
            <v>10.310661874437368</v>
          </cell>
          <cell r="Q19">
            <v>5.9992605764899043</v>
          </cell>
          <cell r="R19">
            <v>25.564432824245973</v>
          </cell>
          <cell r="S19">
            <v>90.043110920641567</v>
          </cell>
          <cell r="T19">
            <v>34.020741466418478</v>
          </cell>
          <cell r="U19">
            <v>0.22742512503128523</v>
          </cell>
        </row>
        <row r="20">
          <cell r="E20">
            <v>12</v>
          </cell>
          <cell r="F20" t="str">
            <v>Kota Banda Aceh</v>
          </cell>
          <cell r="G20">
            <v>238.70400000000001</v>
          </cell>
          <cell r="H20">
            <v>61.36</v>
          </cell>
          <cell r="I20">
            <v>21.119795200000002</v>
          </cell>
          <cell r="J20">
            <v>1.5167141716455226</v>
          </cell>
          <cell r="K20">
            <v>94.34</v>
          </cell>
          <cell r="L20">
            <v>0.98545965823486115</v>
          </cell>
          <cell r="M20">
            <v>733.36222999999995</v>
          </cell>
          <cell r="N20">
            <v>6.3524899999999995</v>
          </cell>
          <cell r="O20">
            <v>16.425064933574586</v>
          </cell>
          <cell r="P20">
            <v>10.310661874437368</v>
          </cell>
          <cell r="Q20">
            <v>7.3404993522899034</v>
          </cell>
          <cell r="R20">
            <v>114.97851269999997</v>
          </cell>
          <cell r="S20">
            <v>145.11351491282193</v>
          </cell>
          <cell r="T20">
            <v>8.8476922045713522</v>
          </cell>
          <cell r="U20">
            <v>0.17142483447399756</v>
          </cell>
        </row>
        <row r="21">
          <cell r="E21">
            <v>13</v>
          </cell>
          <cell r="F21" t="str">
            <v>Kota Sabang</v>
          </cell>
          <cell r="G21">
            <v>28.489000000000001</v>
          </cell>
          <cell r="H21">
            <v>118.7</v>
          </cell>
          <cell r="I21">
            <v>8.9073195276426063</v>
          </cell>
          <cell r="J21">
            <v>6.7656170282122172</v>
          </cell>
          <cell r="K21">
            <v>96.32</v>
          </cell>
          <cell r="L21">
            <v>1.2439493443442087</v>
          </cell>
          <cell r="M21">
            <v>78.856009999999998</v>
          </cell>
          <cell r="N21">
            <v>2.245311816906788</v>
          </cell>
          <cell r="O21">
            <v>9.1996585886910722</v>
          </cell>
          <cell r="P21">
            <v>10.310661874437368</v>
          </cell>
          <cell r="Q21">
            <v>5.7348526592899045</v>
          </cell>
          <cell r="R21">
            <v>30.0970029</v>
          </cell>
          <cell r="S21">
            <v>80.258150679826315</v>
          </cell>
          <cell r="T21">
            <v>31.265820238136143</v>
          </cell>
          <cell r="U21">
            <v>0.21639019788004568</v>
          </cell>
        </row>
        <row r="22">
          <cell r="E22">
            <v>14</v>
          </cell>
          <cell r="F22" t="str">
            <v>Kota Langsa</v>
          </cell>
          <cell r="G22">
            <v>134.28100000000001</v>
          </cell>
          <cell r="H22">
            <v>262.41000000000003</v>
          </cell>
          <cell r="I22">
            <v>20.512189671569356</v>
          </cell>
          <cell r="J22">
            <v>2.7913140702083314</v>
          </cell>
          <cell r="K22">
            <v>95.38</v>
          </cell>
          <cell r="L22">
            <v>1.0504523557236338</v>
          </cell>
          <cell r="M22">
            <v>336.14451000000003</v>
          </cell>
          <cell r="N22">
            <v>2.0624799999999999</v>
          </cell>
          <cell r="O22">
            <v>12.039989060058575</v>
          </cell>
          <cell r="P22">
            <v>10.310661874437368</v>
          </cell>
          <cell r="Q22">
            <v>6.101164548489904</v>
          </cell>
          <cell r="R22">
            <v>40.925546699999998</v>
          </cell>
          <cell r="S22">
            <v>85.498353909963285</v>
          </cell>
          <cell r="T22">
            <v>15.27557113185734</v>
          </cell>
          <cell r="U22">
            <v>0.18273058637964906</v>
          </cell>
        </row>
        <row r="23">
          <cell r="E23">
            <v>15</v>
          </cell>
          <cell r="F23" t="str">
            <v>Kota Lhokseumawe</v>
          </cell>
          <cell r="G23">
            <v>138.679</v>
          </cell>
          <cell r="H23">
            <v>181.06</v>
          </cell>
          <cell r="I23">
            <v>20.659734610640591</v>
          </cell>
          <cell r="J23">
            <v>4.4452516551565457</v>
          </cell>
          <cell r="K23">
            <v>95.08</v>
          </cell>
          <cell r="L23">
            <v>1.7153289871372659</v>
          </cell>
          <cell r="M23">
            <v>512.19875047935739</v>
          </cell>
          <cell r="N23">
            <v>3.9798188928503904</v>
          </cell>
          <cell r="O23">
            <v>13.983535793966155</v>
          </cell>
          <cell r="P23">
            <v>10.310661874437368</v>
          </cell>
          <cell r="Q23">
            <v>20.373944964089905</v>
          </cell>
          <cell r="R23">
            <v>39.473228562375198</v>
          </cell>
          <cell r="S23">
            <v>95.472655405671048</v>
          </cell>
          <cell r="T23">
            <v>14.897522054990727</v>
          </cell>
          <cell r="U23">
            <v>0.29838866079526088</v>
          </cell>
        </row>
        <row r="24">
          <cell r="E24">
            <v>16</v>
          </cell>
          <cell r="F24" t="str">
            <v>Kab. Nagan Raya</v>
          </cell>
          <cell r="G24">
            <v>111.515</v>
          </cell>
          <cell r="H24">
            <v>2656.5459999999998</v>
          </cell>
          <cell r="I24">
            <v>39.641911549257593</v>
          </cell>
          <cell r="J24">
            <v>8.1559952316367088</v>
          </cell>
          <cell r="K24">
            <v>95.94</v>
          </cell>
          <cell r="L24">
            <v>1.3189270496504648</v>
          </cell>
          <cell r="M24">
            <v>88.437068940004451</v>
          </cell>
          <cell r="N24">
            <v>1.01667</v>
          </cell>
          <cell r="O24">
            <v>9.3054284682436474</v>
          </cell>
          <cell r="P24">
            <v>10.549723704437369</v>
          </cell>
          <cell r="Q24">
            <v>4.7494643494899034</v>
          </cell>
          <cell r="R24">
            <v>44.929745780376201</v>
          </cell>
          <cell r="S24">
            <v>94.899692429152026</v>
          </cell>
          <cell r="T24">
            <v>35.548501591048371</v>
          </cell>
          <cell r="U24">
            <v>0.22943288371092713</v>
          </cell>
        </row>
        <row r="25">
          <cell r="E25">
            <v>17</v>
          </cell>
          <cell r="F25" t="str">
            <v>Kab. Aceh Jaya</v>
          </cell>
          <cell r="G25">
            <v>79.957999999999998</v>
          </cell>
          <cell r="H25">
            <v>3011.3629999999998</v>
          </cell>
          <cell r="I25">
            <v>24.904038839948097</v>
          </cell>
          <cell r="J25">
            <v>7.5022339668794498</v>
          </cell>
          <cell r="K25">
            <v>95.96</v>
          </cell>
          <cell r="L25">
            <v>1.3846750059867972</v>
          </cell>
          <cell r="M25">
            <v>72.290623124958515</v>
          </cell>
          <cell r="N25">
            <v>0.96760000000000002</v>
          </cell>
          <cell r="O25">
            <v>9.1271801514601183</v>
          </cell>
          <cell r="P25">
            <v>10.499348214347371</v>
          </cell>
          <cell r="Q25">
            <v>4.0502261060899034</v>
          </cell>
          <cell r="R25">
            <v>21.407164741500001</v>
          </cell>
          <cell r="S25">
            <v>77.698728238174908</v>
          </cell>
          <cell r="T25">
            <v>31.146400410150449</v>
          </cell>
          <cell r="U25">
            <v>0.24087001605599698</v>
          </cell>
        </row>
        <row r="26">
          <cell r="E26">
            <v>18</v>
          </cell>
          <cell r="F26" t="str">
            <v>Kab. Aceh Barat Daya</v>
          </cell>
          <cell r="G26">
            <v>111.366</v>
          </cell>
          <cell r="H26">
            <v>1413.3889999999999</v>
          </cell>
          <cell r="I26">
            <v>30.962750917266447</v>
          </cell>
          <cell r="J26">
            <v>4.8591179312155042</v>
          </cell>
          <cell r="K26">
            <v>94.37</v>
          </cell>
          <cell r="L26">
            <v>1.0046982206086439</v>
          </cell>
          <cell r="M26">
            <v>120.26037593811756</v>
          </cell>
          <cell r="N26">
            <v>0.62614000000000003</v>
          </cell>
          <cell r="O26">
            <v>9.6567411330787394</v>
          </cell>
          <cell r="P26">
            <v>10.407991974347372</v>
          </cell>
          <cell r="Q26">
            <v>3.7411966800899039</v>
          </cell>
          <cell r="R26">
            <v>38.079677699999998</v>
          </cell>
          <cell r="S26">
            <v>80.452303896193513</v>
          </cell>
          <cell r="T26">
            <v>27.802696439906654</v>
          </cell>
          <cell r="U26">
            <v>0.17477146296648263</v>
          </cell>
        </row>
        <row r="27">
          <cell r="E27">
            <v>19</v>
          </cell>
          <cell r="F27" t="str">
            <v>Kab. Gayo Lues</v>
          </cell>
          <cell r="G27">
            <v>68.186000000000007</v>
          </cell>
          <cell r="H27">
            <v>5719.4129999999996</v>
          </cell>
          <cell r="I27">
            <v>21.960318980091511</v>
          </cell>
          <cell r="J27">
            <v>10.583268784462225</v>
          </cell>
          <cell r="K27">
            <v>95.85</v>
          </cell>
          <cell r="L27">
            <v>1.8890415377309684</v>
          </cell>
          <cell r="M27">
            <v>64.440721732483439</v>
          </cell>
          <cell r="N27">
            <v>0.83138000000000001</v>
          </cell>
          <cell r="O27">
            <v>9.0405213457914719</v>
          </cell>
          <cell r="P27">
            <v>10.345205874347371</v>
          </cell>
          <cell r="Q27">
            <v>4.9396411124899036</v>
          </cell>
          <cell r="R27">
            <v>21.793118099999997</v>
          </cell>
          <cell r="S27">
            <v>85.734461080454224</v>
          </cell>
          <cell r="T27">
            <v>32.20649250592718</v>
          </cell>
          <cell r="U27">
            <v>0.32860668644729052</v>
          </cell>
        </row>
        <row r="28">
          <cell r="E28">
            <v>20</v>
          </cell>
          <cell r="F28" t="str">
            <v>Kab. Aceh Tamiang</v>
          </cell>
          <cell r="G28">
            <v>228.82400000000001</v>
          </cell>
          <cell r="H28">
            <v>1894.4269999999999</v>
          </cell>
          <cell r="I28">
            <v>57.663758308103368</v>
          </cell>
          <cell r="J28">
            <v>4.6305107562687251</v>
          </cell>
          <cell r="K28">
            <v>95.92</v>
          </cell>
          <cell r="L28">
            <v>1.0563130306699462</v>
          </cell>
          <cell r="M28">
            <v>299.98953999999998</v>
          </cell>
          <cell r="N28">
            <v>0.75797999999999999</v>
          </cell>
          <cell r="O28">
            <v>11.640857101255992</v>
          </cell>
          <cell r="P28">
            <v>11.23409188434737</v>
          </cell>
          <cell r="Q28">
            <v>11.198854272689903</v>
          </cell>
          <cell r="R28">
            <v>51.288735233579324</v>
          </cell>
          <cell r="S28">
            <v>92.010576370254626</v>
          </cell>
          <cell r="T28">
            <v>25.200048206527008</v>
          </cell>
          <cell r="U28">
            <v>0.18375007532999033</v>
          </cell>
        </row>
        <row r="29">
          <cell r="E29">
            <v>21</v>
          </cell>
          <cell r="F29" t="str">
            <v>Kab. Asahan</v>
          </cell>
          <cell r="G29">
            <v>1009.856</v>
          </cell>
          <cell r="H29">
            <v>4624.41</v>
          </cell>
          <cell r="I29">
            <v>129.59700000000001</v>
          </cell>
          <cell r="J29">
            <v>1.5849751629131112</v>
          </cell>
          <cell r="K29">
            <v>92.43</v>
          </cell>
          <cell r="L29">
            <v>0.70998974258758729</v>
          </cell>
          <cell r="M29">
            <v>2336.5576700000001</v>
          </cell>
          <cell r="N29">
            <v>22.62659</v>
          </cell>
          <cell r="O29">
            <v>34.123504077918113</v>
          </cell>
          <cell r="P29">
            <v>2.0277012439473703</v>
          </cell>
          <cell r="Q29">
            <v>35.982108027658654</v>
          </cell>
          <cell r="R29">
            <v>209.4493923</v>
          </cell>
          <cell r="S29">
            <v>274.4467948057424</v>
          </cell>
          <cell r="T29">
            <v>12.833215824830472</v>
          </cell>
          <cell r="U29">
            <v>0.12350568902974474</v>
          </cell>
        </row>
        <row r="30">
          <cell r="E30">
            <v>22</v>
          </cell>
          <cell r="F30" t="str">
            <v>Kab. Dairi</v>
          </cell>
          <cell r="G30">
            <v>293.41800000000001</v>
          </cell>
          <cell r="H30">
            <v>2785.1</v>
          </cell>
          <cell r="I30">
            <v>62.344999999999999</v>
          </cell>
          <cell r="J30">
            <v>4.0081424320514838</v>
          </cell>
          <cell r="K30">
            <v>92.29</v>
          </cell>
          <cell r="L30">
            <v>1.084409667878409</v>
          </cell>
          <cell r="M30">
            <v>461.41230000000002</v>
          </cell>
          <cell r="N30">
            <v>4.7425100000000002</v>
          </cell>
          <cell r="O30">
            <v>13.422879943319447</v>
          </cell>
          <cell r="P30">
            <v>2.4506381539473701</v>
          </cell>
          <cell r="Q30">
            <v>8.7704337146586546</v>
          </cell>
          <cell r="R30">
            <v>111.01383176665325</v>
          </cell>
          <cell r="S30">
            <v>157.43667066995675</v>
          </cell>
          <cell r="T30">
            <v>21.247844372192571</v>
          </cell>
          <cell r="U30">
            <v>0.18863760303595836</v>
          </cell>
        </row>
        <row r="31">
          <cell r="E31">
            <v>23</v>
          </cell>
          <cell r="F31" t="str">
            <v>Kab. Deli Serdang</v>
          </cell>
          <cell r="G31">
            <v>2106.9520000000002</v>
          </cell>
          <cell r="H31">
            <v>4329</v>
          </cell>
          <cell r="I31">
            <v>165.53</v>
          </cell>
          <cell r="J31">
            <v>0.9946828636065338</v>
          </cell>
          <cell r="K31">
            <v>92.88</v>
          </cell>
          <cell r="L31">
            <v>0.72782618166156077</v>
          </cell>
          <cell r="M31">
            <v>2503.8471600000003</v>
          </cell>
          <cell r="N31">
            <v>52.076449999999994</v>
          </cell>
          <cell r="O31">
            <v>35.970292550727933</v>
          </cell>
          <cell r="P31">
            <v>4.0157012439473707</v>
          </cell>
          <cell r="Q31">
            <v>50.562419106658652</v>
          </cell>
          <cell r="R31">
            <v>409.51656662490001</v>
          </cell>
          <cell r="S31">
            <v>485.41598863204206</v>
          </cell>
          <cell r="T31">
            <v>7.8563726178859312</v>
          </cell>
          <cell r="U31">
            <v>0.12660841230239314</v>
          </cell>
        </row>
        <row r="32">
          <cell r="E32">
            <v>24</v>
          </cell>
          <cell r="F32" t="str">
            <v>Kab. Tanah Karo</v>
          </cell>
          <cell r="G32">
            <v>312.3</v>
          </cell>
          <cell r="H32">
            <v>2127.27</v>
          </cell>
          <cell r="I32">
            <v>62.142000000000003</v>
          </cell>
          <cell r="J32">
            <v>4.5476668138548266</v>
          </cell>
          <cell r="K32">
            <v>93.35</v>
          </cell>
          <cell r="L32">
            <v>1.3138340332660314</v>
          </cell>
          <cell r="M32">
            <v>701.45775000000003</v>
          </cell>
          <cell r="N32">
            <v>9.3103499999999997</v>
          </cell>
          <cell r="O32">
            <v>16.072856161254272</v>
          </cell>
          <cell r="P32">
            <v>2.0277012439473703</v>
          </cell>
          <cell r="Q32">
            <v>7.9277800906586542</v>
          </cell>
          <cell r="R32">
            <v>135.3703683</v>
          </cell>
          <cell r="S32">
            <v>179.84514763514176</v>
          </cell>
          <cell r="T32">
            <v>19.898174831892412</v>
          </cell>
          <cell r="U32">
            <v>0.22854693218223782</v>
          </cell>
        </row>
        <row r="33">
          <cell r="E33">
            <v>25</v>
          </cell>
          <cell r="F33" t="str">
            <v>Kab. Labuhan Batu</v>
          </cell>
          <cell r="G33">
            <v>933.86599999999999</v>
          </cell>
          <cell r="H33">
            <v>9223.18</v>
          </cell>
          <cell r="I33">
            <v>131.30099999999999</v>
          </cell>
          <cell r="J33">
            <v>1.7687637148778284</v>
          </cell>
          <cell r="K33">
            <v>93.3</v>
          </cell>
          <cell r="L33">
            <v>0.72318841782448717</v>
          </cell>
          <cell r="M33">
            <v>1524.0974799999999</v>
          </cell>
          <cell r="N33">
            <v>26.031700000000001</v>
          </cell>
          <cell r="O33">
            <v>25.154368518303009</v>
          </cell>
          <cell r="P33">
            <v>2.0277012439473703</v>
          </cell>
          <cell r="Q33">
            <v>35.871127870658654</v>
          </cell>
          <cell r="R33">
            <v>189.08010530159999</v>
          </cell>
          <cell r="S33">
            <v>268.12701738252952</v>
          </cell>
          <cell r="T33">
            <v>14.059940077056021</v>
          </cell>
          <cell r="U33">
            <v>0.12580165386083109</v>
          </cell>
        </row>
        <row r="34">
          <cell r="E34">
            <v>26</v>
          </cell>
          <cell r="F34" t="str">
            <v>Kab. Langkat</v>
          </cell>
          <cell r="G34">
            <v>955.34799999999996</v>
          </cell>
          <cell r="H34">
            <v>6188.88</v>
          </cell>
          <cell r="I34">
            <v>189.18</v>
          </cell>
          <cell r="J34">
            <v>3.0596700285352325</v>
          </cell>
          <cell r="K34">
            <v>91.11</v>
          </cell>
          <cell r="L34">
            <v>0.88823131719134252</v>
          </cell>
          <cell r="M34">
            <v>1224.1682599999999</v>
          </cell>
          <cell r="N34">
            <v>14.788930000000001</v>
          </cell>
          <cell r="O34">
            <v>21.843306800350256</v>
          </cell>
          <cell r="P34">
            <v>15.88570124394737</v>
          </cell>
          <cell r="Q34">
            <v>37.898688079658655</v>
          </cell>
          <cell r="R34">
            <v>218.82478058505896</v>
          </cell>
          <cell r="S34">
            <v>273.58326485540073</v>
          </cell>
          <cell r="T34">
            <v>19.80220820057194</v>
          </cell>
          <cell r="U34">
            <v>0.15451155737504371</v>
          </cell>
        </row>
        <row r="35">
          <cell r="E35">
            <v>27</v>
          </cell>
          <cell r="F35" t="str">
            <v>Kab. Mandailing Natal</v>
          </cell>
          <cell r="G35">
            <v>379.04500000000002</v>
          </cell>
          <cell r="H35">
            <v>6620.7</v>
          </cell>
          <cell r="I35">
            <v>80.209999999999994</v>
          </cell>
          <cell r="J35">
            <v>4.0903514765171503</v>
          </cell>
          <cell r="K35">
            <v>91.94</v>
          </cell>
          <cell r="L35">
            <v>1.111189157525251</v>
          </cell>
          <cell r="M35">
            <v>774.22106000000008</v>
          </cell>
          <cell r="N35">
            <v>5.8440000000000003</v>
          </cell>
          <cell r="O35">
            <v>16.876125046535037</v>
          </cell>
          <cell r="P35">
            <v>2.7476261739473702</v>
          </cell>
          <cell r="Q35">
            <v>10.592504471658653</v>
          </cell>
          <cell r="R35">
            <v>96.865710287202091</v>
          </cell>
          <cell r="S35">
            <v>168.14422736497414</v>
          </cell>
          <cell r="T35">
            <v>21.161075861705072</v>
          </cell>
          <cell r="U35">
            <v>0.19329600740761044</v>
          </cell>
        </row>
        <row r="36">
          <cell r="E36">
            <v>28</v>
          </cell>
          <cell r="F36" t="str">
            <v>Kab. Nias</v>
          </cell>
          <cell r="G36">
            <v>716.06500000000005</v>
          </cell>
          <cell r="H36">
            <v>5157.6899999999996</v>
          </cell>
          <cell r="I36">
            <v>226.018</v>
          </cell>
          <cell r="J36">
            <v>5.7133086536531312</v>
          </cell>
          <cell r="K36">
            <v>109.61</v>
          </cell>
          <cell r="L36">
            <v>1.0405482362833463</v>
          </cell>
          <cell r="M36">
            <v>1141.1634199999999</v>
          </cell>
          <cell r="N36">
            <v>10.92994</v>
          </cell>
          <cell r="O36">
            <v>20.926976780458251</v>
          </cell>
          <cell r="P36">
            <v>2.0277012439473703</v>
          </cell>
          <cell r="Q36">
            <v>7.5870292366586538</v>
          </cell>
          <cell r="R36">
            <v>138.78570253552104</v>
          </cell>
          <cell r="S36">
            <v>222.2513715083999</v>
          </cell>
          <cell r="T36">
            <v>31.563894339201049</v>
          </cell>
          <cell r="U36">
            <v>0.18100772332637796</v>
          </cell>
        </row>
        <row r="37">
          <cell r="E37">
            <v>29</v>
          </cell>
          <cell r="F37" t="str">
            <v>Kab. Simalungun</v>
          </cell>
          <cell r="G37">
            <v>818.97500000000002</v>
          </cell>
          <cell r="H37">
            <v>4386.6000000000004</v>
          </cell>
          <cell r="I37">
            <v>146.33500000000001</v>
          </cell>
          <cell r="J37">
            <v>2.4016320381819654</v>
          </cell>
          <cell r="K37">
            <v>91.2</v>
          </cell>
          <cell r="L37">
            <v>0.77266993293513375</v>
          </cell>
          <cell r="M37">
            <v>1048.22686</v>
          </cell>
          <cell r="N37">
            <v>15.18581</v>
          </cell>
          <cell r="O37">
            <v>19.901005766316253</v>
          </cell>
          <cell r="P37">
            <v>2.0277012439473703</v>
          </cell>
          <cell r="Q37">
            <v>32.218177367658654</v>
          </cell>
          <cell r="R37">
            <v>263.96245740000001</v>
          </cell>
          <cell r="S37">
            <v>299.97000000000003</v>
          </cell>
          <cell r="T37">
            <v>17.868066790805582</v>
          </cell>
          <cell r="U37">
            <v>0.13440917063382479</v>
          </cell>
        </row>
        <row r="38">
          <cell r="E38">
            <v>30</v>
          </cell>
          <cell r="F38" t="str">
            <v>Kab. Tapanuli Selatan</v>
          </cell>
          <cell r="G38">
            <v>630.16600000000005</v>
          </cell>
          <cell r="H38">
            <v>12260.64</v>
          </cell>
          <cell r="I38">
            <v>138.25</v>
          </cell>
          <cell r="J38">
            <v>4.5347330542974351</v>
          </cell>
          <cell r="K38">
            <v>92.85</v>
          </cell>
          <cell r="L38">
            <v>1.1882468334115275</v>
          </cell>
          <cell r="M38">
            <v>1199.2483200000001</v>
          </cell>
          <cell r="N38">
            <v>8.57226</v>
          </cell>
          <cell r="O38">
            <v>21.568203696532365</v>
          </cell>
          <cell r="P38">
            <v>2.9036315139473703</v>
          </cell>
          <cell r="Q38">
            <v>20.870505026658655</v>
          </cell>
          <cell r="R38">
            <v>167.72554199999999</v>
          </cell>
          <cell r="S38">
            <v>252.88949700000001</v>
          </cell>
          <cell r="T38">
            <v>21.938663780654618</v>
          </cell>
          <cell r="U38">
            <v>0.20670051283142118</v>
          </cell>
        </row>
        <row r="39">
          <cell r="E39">
            <v>31</v>
          </cell>
          <cell r="F39" t="str">
            <v>Kab. Tapanuli Tengah</v>
          </cell>
          <cell r="G39">
            <v>278.47199999999998</v>
          </cell>
          <cell r="H39">
            <v>2194.98</v>
          </cell>
          <cell r="I39">
            <v>87.07</v>
          </cell>
          <cell r="J39">
            <v>6.356272296264649</v>
          </cell>
          <cell r="K39">
            <v>90.62</v>
          </cell>
          <cell r="L39">
            <v>1.1686395895330695</v>
          </cell>
          <cell r="M39">
            <v>346.89022999999997</v>
          </cell>
          <cell r="N39">
            <v>5.4337499999999999</v>
          </cell>
          <cell r="O39">
            <v>12.158616188565224</v>
          </cell>
          <cell r="P39">
            <v>2.09921004394737</v>
          </cell>
          <cell r="Q39">
            <v>10.406948441658654</v>
          </cell>
          <cell r="R39">
            <v>84.517858799999999</v>
          </cell>
          <cell r="S39">
            <v>134.81674223736758</v>
          </cell>
          <cell r="T39">
            <v>31.267057370220346</v>
          </cell>
          <cell r="U39">
            <v>0.20328975064722743</v>
          </cell>
        </row>
        <row r="40">
          <cell r="E40">
            <v>32</v>
          </cell>
          <cell r="F40" t="str">
            <v>Kab. Tapanuli Utara</v>
          </cell>
          <cell r="G40">
            <v>407.91899999999998</v>
          </cell>
          <cell r="H40">
            <v>6126.97</v>
          </cell>
          <cell r="I40">
            <v>79.581999999999994</v>
          </cell>
          <cell r="J40">
            <v>3.0713660175486432</v>
          </cell>
          <cell r="K40">
            <v>91.6</v>
          </cell>
          <cell r="L40">
            <v>0.90501498718534845</v>
          </cell>
          <cell r="M40">
            <v>773.86973</v>
          </cell>
          <cell r="N40">
            <v>12.403169999999999</v>
          </cell>
          <cell r="O40">
            <v>16.872246547089837</v>
          </cell>
          <cell r="P40">
            <v>2.4473677239473699</v>
          </cell>
          <cell r="Q40">
            <v>6.799293604999999</v>
          </cell>
          <cell r="R40">
            <v>162.33163662632296</v>
          </cell>
          <cell r="S40">
            <v>210.643677</v>
          </cell>
          <cell r="T40">
            <v>19.50926531983065</v>
          </cell>
          <cell r="U40">
            <v>0.15743114705742822</v>
          </cell>
        </row>
        <row r="41">
          <cell r="E41">
            <v>33</v>
          </cell>
          <cell r="F41" t="str">
            <v>Kab. Toba Samosir</v>
          </cell>
          <cell r="G41">
            <v>287.45999999999998</v>
          </cell>
          <cell r="H41">
            <v>3528.1</v>
          </cell>
          <cell r="I41">
            <v>58.433999999999997</v>
          </cell>
          <cell r="J41">
            <v>3.268872166004432</v>
          </cell>
          <cell r="K41">
            <v>92</v>
          </cell>
          <cell r="L41">
            <v>0.92443175129068555</v>
          </cell>
          <cell r="M41">
            <v>565.35029000000009</v>
          </cell>
          <cell r="N41">
            <v>13.024049999999999</v>
          </cell>
          <cell r="O41">
            <v>14.570300990625064</v>
          </cell>
          <cell r="P41">
            <v>2.0277012439473703</v>
          </cell>
          <cell r="Q41">
            <v>12.250944127658654</v>
          </cell>
          <cell r="R41">
            <v>106.93103812979999</v>
          </cell>
          <cell r="S41">
            <v>159.84800291749215</v>
          </cell>
          <cell r="T41">
            <v>20.327697766645795</v>
          </cell>
          <cell r="U41">
            <v>0.16080877448739331</v>
          </cell>
        </row>
        <row r="42">
          <cell r="E42">
            <v>34</v>
          </cell>
          <cell r="F42" t="str">
            <v>Kota Binjai</v>
          </cell>
          <cell r="G42">
            <v>232.23599999999999</v>
          </cell>
          <cell r="H42">
            <v>90.23</v>
          </cell>
          <cell r="I42">
            <v>14.734</v>
          </cell>
          <cell r="J42">
            <v>0.82700411811443486</v>
          </cell>
          <cell r="K42">
            <v>92.04</v>
          </cell>
          <cell r="L42">
            <v>0.74934473591413575</v>
          </cell>
          <cell r="M42">
            <v>667.49747000000002</v>
          </cell>
          <cell r="N42">
            <v>8.3129299999999997</v>
          </cell>
          <cell r="O42">
            <v>15.697952432171268</v>
          </cell>
          <cell r="P42">
            <v>2.4807012439473701</v>
          </cell>
          <cell r="Q42">
            <v>10.533734462658654</v>
          </cell>
          <cell r="R42">
            <v>86.150960035499992</v>
          </cell>
          <cell r="S42">
            <v>132.05000000000001</v>
          </cell>
          <cell r="T42">
            <v>6.3444082743416192</v>
          </cell>
          <cell r="U42">
            <v>0.13035165493038134</v>
          </cell>
        </row>
        <row r="43">
          <cell r="E43">
            <v>35</v>
          </cell>
          <cell r="F43" t="str">
            <v>Kota Medan</v>
          </cell>
          <cell r="G43">
            <v>2010.6759999999999</v>
          </cell>
          <cell r="H43">
            <v>265.08999999999997</v>
          </cell>
          <cell r="I43">
            <v>142.62700000000001</v>
          </cell>
          <cell r="J43">
            <v>1.1085469216331718</v>
          </cell>
          <cell r="K43">
            <v>92.54</v>
          </cell>
          <cell r="L43">
            <v>0.89837889017025019</v>
          </cell>
          <cell r="M43">
            <v>14715.446729999998</v>
          </cell>
          <cell r="N43">
            <v>233.78668999999999</v>
          </cell>
          <cell r="O43">
            <v>170.77996481672221</v>
          </cell>
          <cell r="P43">
            <v>2.0277012439473703</v>
          </cell>
          <cell r="Q43">
            <v>128.58764487265864</v>
          </cell>
          <cell r="R43">
            <v>391.46537356866196</v>
          </cell>
          <cell r="S43">
            <v>404.98967401708586</v>
          </cell>
          <cell r="T43">
            <v>7.0934849771917508</v>
          </cell>
          <cell r="U43">
            <v>0.15627677019089647</v>
          </cell>
        </row>
        <row r="44">
          <cell r="E44">
            <v>36</v>
          </cell>
          <cell r="F44" t="str">
            <v>Kota Pematang Siantar</v>
          </cell>
          <cell r="G44">
            <v>227.55099999999999</v>
          </cell>
          <cell r="H44">
            <v>79.97</v>
          </cell>
          <cell r="I44">
            <v>26.16</v>
          </cell>
          <cell r="J44">
            <v>1.984529117076141</v>
          </cell>
          <cell r="K44">
            <v>89.11</v>
          </cell>
          <cell r="L44">
            <v>0.99234707861091698</v>
          </cell>
          <cell r="M44">
            <v>1349.29216</v>
          </cell>
          <cell r="N44">
            <v>11.56325</v>
          </cell>
          <cell r="O44">
            <v>23.224609213269375</v>
          </cell>
          <cell r="P44">
            <v>2.0277012439473703</v>
          </cell>
          <cell r="Q44">
            <v>11.353542667658655</v>
          </cell>
          <cell r="R44">
            <v>101.59330499999997</v>
          </cell>
          <cell r="S44">
            <v>140.22863464897029</v>
          </cell>
          <cell r="T44">
            <v>11.496323901015597</v>
          </cell>
          <cell r="U44">
            <v>0.17262293009166396</v>
          </cell>
        </row>
        <row r="45">
          <cell r="E45">
            <v>37</v>
          </cell>
          <cell r="F45" t="str">
            <v>Kota Sibolga</v>
          </cell>
          <cell r="G45">
            <v>87.26</v>
          </cell>
          <cell r="H45">
            <v>27.78</v>
          </cell>
          <cell r="I45">
            <v>7.8179999999999996</v>
          </cell>
          <cell r="J45">
            <v>1.5348083733790669</v>
          </cell>
          <cell r="K45">
            <v>91.06</v>
          </cell>
          <cell r="L45">
            <v>0.9847790794768887</v>
          </cell>
          <cell r="M45">
            <v>275.96753999999999</v>
          </cell>
          <cell r="N45">
            <v>7.1621600000000001</v>
          </cell>
          <cell r="O45">
            <v>11.375666785391934</v>
          </cell>
          <cell r="P45">
            <v>2.0277012439473703</v>
          </cell>
          <cell r="Q45">
            <v>7.8329280676586537</v>
          </cell>
          <cell r="R45">
            <v>40.320007800000006</v>
          </cell>
          <cell r="S45">
            <v>93.120742395259583</v>
          </cell>
          <cell r="T45">
            <v>8.9594315837726324</v>
          </cell>
          <cell r="U45">
            <v>0.17130644494890943</v>
          </cell>
        </row>
        <row r="46">
          <cell r="E46">
            <v>38</v>
          </cell>
          <cell r="F46" t="str">
            <v>Kota Tanjung Balai</v>
          </cell>
          <cell r="G46">
            <v>149.238</v>
          </cell>
          <cell r="H46">
            <v>80.52</v>
          </cell>
          <cell r="I46">
            <v>18.55</v>
          </cell>
          <cell r="J46">
            <v>1.6514939560859612</v>
          </cell>
          <cell r="K46">
            <v>90.39</v>
          </cell>
          <cell r="L46">
            <v>0.76379639885663098</v>
          </cell>
          <cell r="M46">
            <v>519.37010999999995</v>
          </cell>
          <cell r="N46">
            <v>8.2863400000000009</v>
          </cell>
          <cell r="O46">
            <v>14.062703852264963</v>
          </cell>
          <cell r="P46">
            <v>2.0277012439473703</v>
          </cell>
          <cell r="Q46">
            <v>7.5107465226586534</v>
          </cell>
          <cell r="R46">
            <v>41.279535600000003</v>
          </cell>
          <cell r="S46">
            <v>103.86</v>
          </cell>
          <cell r="T46">
            <v>12.429810101984749</v>
          </cell>
          <cell r="U46">
            <v>0.13286558222013836</v>
          </cell>
        </row>
        <row r="47">
          <cell r="E47">
            <v>39</v>
          </cell>
          <cell r="F47" t="str">
            <v>Kota Tebing Tinggi</v>
          </cell>
          <cell r="G47">
            <v>134.38200000000001</v>
          </cell>
          <cell r="H47">
            <v>38.43</v>
          </cell>
          <cell r="I47">
            <v>13.53</v>
          </cell>
          <cell r="J47">
            <v>1.2349741121817051</v>
          </cell>
          <cell r="K47">
            <v>93.78</v>
          </cell>
          <cell r="L47">
            <v>0.70512525399288495</v>
          </cell>
          <cell r="M47">
            <v>570.41483999999991</v>
          </cell>
          <cell r="N47">
            <v>8.0515600000000003</v>
          </cell>
          <cell r="O47">
            <v>14.626210973732601</v>
          </cell>
          <cell r="P47">
            <v>2.0277012439473703</v>
          </cell>
          <cell r="Q47">
            <v>8.9654367046586536</v>
          </cell>
          <cell r="R47">
            <v>56.516615171100007</v>
          </cell>
          <cell r="S47">
            <v>110.041178</v>
          </cell>
          <cell r="T47">
            <v>10.068312720453632</v>
          </cell>
          <cell r="U47">
            <v>0.12265949086711153</v>
          </cell>
        </row>
        <row r="48">
          <cell r="E48">
            <v>40</v>
          </cell>
          <cell r="F48" t="str">
            <v>Kota Padang Sidempuan</v>
          </cell>
          <cell r="G48">
            <v>152.17500000000001</v>
          </cell>
          <cell r="H48">
            <v>114.66</v>
          </cell>
          <cell r="I48">
            <v>20.646999999999998</v>
          </cell>
          <cell r="J48">
            <v>2.8030163933194658</v>
          </cell>
          <cell r="K48">
            <v>90.26</v>
          </cell>
          <cell r="L48">
            <v>1.1876189038731688</v>
          </cell>
          <cell r="M48">
            <v>433.89648</v>
          </cell>
          <cell r="N48">
            <v>3.4836399999999998</v>
          </cell>
          <cell r="O48">
            <v>13.119119682014869</v>
          </cell>
          <cell r="P48">
            <v>2.0546972439473703</v>
          </cell>
          <cell r="Q48">
            <v>6.6696294056586538</v>
          </cell>
          <cell r="R48">
            <v>70.806784199999996</v>
          </cell>
          <cell r="S48">
            <v>110.1153083979349</v>
          </cell>
          <cell r="T48">
            <v>13.567931657631016</v>
          </cell>
          <cell r="U48">
            <v>0.20659128185857012</v>
          </cell>
        </row>
        <row r="49">
          <cell r="E49">
            <v>41</v>
          </cell>
          <cell r="F49" t="str">
            <v>Kab. Limapuluh Kota</v>
          </cell>
          <cell r="G49">
            <v>325.166</v>
          </cell>
          <cell r="H49">
            <v>3571.14</v>
          </cell>
          <cell r="I49">
            <v>39.790999999999997</v>
          </cell>
          <cell r="J49">
            <v>1.6547747937490727</v>
          </cell>
          <cell r="K49">
            <v>88.89</v>
          </cell>
          <cell r="L49">
            <v>0.77736374742116221</v>
          </cell>
          <cell r="M49">
            <v>1086.7785100000001</v>
          </cell>
          <cell r="N49">
            <v>17.30218</v>
          </cell>
          <cell r="O49">
            <v>20.326595818792342</v>
          </cell>
          <cell r="P49">
            <v>1.28344212794737</v>
          </cell>
          <cell r="Q49">
            <v>9.6343090042586539</v>
          </cell>
          <cell r="R49">
            <v>120.50937179688168</v>
          </cell>
          <cell r="S49">
            <v>167.83966676155367</v>
          </cell>
          <cell r="T49">
            <v>12.23713426372991</v>
          </cell>
          <cell r="U49">
            <v>0.13522567932050236</v>
          </cell>
        </row>
        <row r="50">
          <cell r="E50">
            <v>42</v>
          </cell>
          <cell r="F50" t="str">
            <v xml:space="preserve">Kab. Agam         </v>
          </cell>
          <cell r="G50">
            <v>427.798</v>
          </cell>
          <cell r="H50">
            <v>2019.21</v>
          </cell>
          <cell r="I50">
            <v>57.231000000000002</v>
          </cell>
          <cell r="J50">
            <v>1.7308950961376441</v>
          </cell>
          <cell r="K50">
            <v>92.64</v>
          </cell>
          <cell r="L50">
            <v>0.74377790768352459</v>
          </cell>
          <cell r="M50">
            <v>1089.40561</v>
          </cell>
          <cell r="N50">
            <v>11.183069999999999</v>
          </cell>
          <cell r="O50">
            <v>20.355597628750154</v>
          </cell>
          <cell r="P50">
            <v>1.28344212794737</v>
          </cell>
          <cell r="Q50">
            <v>10.407149486528652</v>
          </cell>
          <cell r="R50">
            <v>148.74398642518383</v>
          </cell>
          <cell r="S50">
            <v>190.46955740924176</v>
          </cell>
          <cell r="T50">
            <v>13.378042908101486</v>
          </cell>
          <cell r="U50">
            <v>0.12938328184681239</v>
          </cell>
        </row>
        <row r="51">
          <cell r="E51">
            <v>43</v>
          </cell>
          <cell r="F51" t="str">
            <v>Kab. Kepulauan Mentawai</v>
          </cell>
          <cell r="G51">
            <v>67.554000000000002</v>
          </cell>
          <cell r="H51">
            <v>6011.35</v>
          </cell>
          <cell r="I51">
            <v>11.827</v>
          </cell>
          <cell r="J51">
            <v>2.1556799445820647</v>
          </cell>
          <cell r="K51">
            <v>111.98</v>
          </cell>
          <cell r="L51">
            <v>0.70782494757706538</v>
          </cell>
          <cell r="M51">
            <v>192.86562000000001</v>
          </cell>
          <cell r="N51">
            <v>5.57</v>
          </cell>
          <cell r="O51">
            <v>10.458265053075316</v>
          </cell>
          <cell r="P51">
            <v>1.89903611794737</v>
          </cell>
          <cell r="Q51">
            <v>9.5909689377586531</v>
          </cell>
          <cell r="R51">
            <v>22.119612946539739</v>
          </cell>
          <cell r="S51">
            <v>99.248906000000005</v>
          </cell>
          <cell r="T51">
            <v>17.507475501080616</v>
          </cell>
          <cell r="U51">
            <v>0.12312911387190056</v>
          </cell>
        </row>
        <row r="52">
          <cell r="E52">
            <v>44</v>
          </cell>
          <cell r="F52" t="str">
            <v>Kab. Padang Pariaman</v>
          </cell>
          <cell r="G52">
            <v>377.18599999999998</v>
          </cell>
          <cell r="H52">
            <v>1272.1980000000001</v>
          </cell>
          <cell r="I52">
            <v>47.008000000000003</v>
          </cell>
          <cell r="J52">
            <v>2.3886847519528143</v>
          </cell>
          <cell r="K52">
            <v>91.03</v>
          </cell>
          <cell r="L52">
            <v>1.1018126121202079</v>
          </cell>
          <cell r="M52">
            <v>903.92799000000002</v>
          </cell>
          <cell r="N52">
            <v>11.11323</v>
          </cell>
          <cell r="O52">
            <v>18.308021713609278</v>
          </cell>
          <cell r="P52">
            <v>1.28344212794737</v>
          </cell>
          <cell r="Q52">
            <v>7.3382749994786538</v>
          </cell>
          <cell r="R52">
            <v>139.89936220644151</v>
          </cell>
          <cell r="S52">
            <v>182.50428071776184</v>
          </cell>
          <cell r="T52">
            <v>12.462816753538043</v>
          </cell>
          <cell r="U52">
            <v>0.19166491806715327</v>
          </cell>
        </row>
        <row r="53">
          <cell r="E53">
            <v>45</v>
          </cell>
          <cell r="F53" t="str">
            <v xml:space="preserve">Kab. Pasaman    </v>
          </cell>
          <cell r="G53">
            <v>557.41999999999996</v>
          </cell>
          <cell r="H53">
            <v>9537.01</v>
          </cell>
          <cell r="I53">
            <v>73.367999999999995</v>
          </cell>
          <cell r="J53">
            <v>1.6807541128049501</v>
          </cell>
          <cell r="K53">
            <v>90.15</v>
          </cell>
          <cell r="L53">
            <v>0.73408298971711639</v>
          </cell>
          <cell r="M53">
            <v>908.46901000000003</v>
          </cell>
          <cell r="N53">
            <v>16.49239</v>
          </cell>
          <cell r="O53">
            <v>18.358152199336736</v>
          </cell>
          <cell r="P53">
            <v>1.32023590794737</v>
          </cell>
          <cell r="Q53">
            <v>14.718680061098652</v>
          </cell>
          <cell r="R53">
            <v>133.60639242768724</v>
          </cell>
          <cell r="S53">
            <v>210.89732414732646</v>
          </cell>
          <cell r="T53">
            <v>13.162068099458219</v>
          </cell>
          <cell r="U53">
            <v>0.12769681026601995</v>
          </cell>
        </row>
        <row r="54">
          <cell r="E54">
            <v>46</v>
          </cell>
          <cell r="F54" t="str">
            <v>Kab. Pesisir Selatan</v>
          </cell>
          <cell r="G54">
            <v>419.16699999999997</v>
          </cell>
          <cell r="H54">
            <v>5749.89</v>
          </cell>
          <cell r="I54">
            <v>52.018999999999998</v>
          </cell>
          <cell r="J54">
            <v>1.7368525109381538</v>
          </cell>
          <cell r="K54">
            <v>92.84</v>
          </cell>
          <cell r="L54">
            <v>0.80455018218006513</v>
          </cell>
          <cell r="M54">
            <v>868.44951000000003</v>
          </cell>
          <cell r="N54">
            <v>7.6162799999999997</v>
          </cell>
          <cell r="O54">
            <v>17.916357850584689</v>
          </cell>
          <cell r="P54">
            <v>1.31116212794737</v>
          </cell>
          <cell r="Q54">
            <v>9.1169734971886545</v>
          </cell>
          <cell r="R54">
            <v>135.006053724</v>
          </cell>
          <cell r="S54">
            <v>193.01565143474286</v>
          </cell>
          <cell r="T54">
            <v>12.410089534720052</v>
          </cell>
          <cell r="U54">
            <v>0.1399548734986088</v>
          </cell>
        </row>
        <row r="55">
          <cell r="E55">
            <v>47</v>
          </cell>
          <cell r="F55" t="str">
            <v>Kab. Sawahlunto Sijunjung</v>
          </cell>
          <cell r="G55">
            <v>345.57400000000001</v>
          </cell>
          <cell r="H55">
            <v>6078.23</v>
          </cell>
          <cell r="I55">
            <v>46.51</v>
          </cell>
          <cell r="J55">
            <v>1.9905289270179467</v>
          </cell>
          <cell r="K55">
            <v>88.95</v>
          </cell>
          <cell r="L55">
            <v>0.85021414335526424</v>
          </cell>
          <cell r="M55">
            <v>798.27356999999995</v>
          </cell>
          <cell r="N55">
            <v>19.94932</v>
          </cell>
          <cell r="O55">
            <v>17.141652176841564</v>
          </cell>
          <cell r="P55">
            <v>2.1321090844373702</v>
          </cell>
          <cell r="Q55">
            <v>10.921659182068652</v>
          </cell>
          <cell r="R55">
            <v>105.15758893493685</v>
          </cell>
          <cell r="S55">
            <v>167.02970002991788</v>
          </cell>
          <cell r="T55">
            <v>13.458767152621434</v>
          </cell>
          <cell r="U55">
            <v>0.14789831077731672</v>
          </cell>
        </row>
        <row r="56">
          <cell r="E56">
            <v>48</v>
          </cell>
          <cell r="F56" t="str">
            <v>Kab. Solok</v>
          </cell>
          <cell r="G56">
            <v>457.96499999999997</v>
          </cell>
          <cell r="H56">
            <v>7084.2</v>
          </cell>
          <cell r="I56">
            <v>65.850999999999999</v>
          </cell>
          <cell r="J56">
            <v>2.3954383655237104</v>
          </cell>
          <cell r="K56">
            <v>88.51</v>
          </cell>
          <cell r="L56">
            <v>0.95767913666152837</v>
          </cell>
          <cell r="M56">
            <v>881.55346999999995</v>
          </cell>
          <cell r="N56">
            <v>11.769350000000001</v>
          </cell>
          <cell r="O56">
            <v>18.061018715269974</v>
          </cell>
          <cell r="P56">
            <v>1.28344212794737</v>
          </cell>
          <cell r="Q56">
            <v>11.478130151568653</v>
          </cell>
          <cell r="R56">
            <v>137.45791750682591</v>
          </cell>
          <cell r="S56">
            <v>202.06436304666227</v>
          </cell>
          <cell r="T56">
            <v>14.379046433679429</v>
          </cell>
          <cell r="U56">
            <v>0.16659229640659459</v>
          </cell>
        </row>
        <row r="57">
          <cell r="E57">
            <v>49</v>
          </cell>
          <cell r="F57" t="str">
            <v>Kab. Tanah Datar</v>
          </cell>
          <cell r="G57">
            <v>340.62</v>
          </cell>
          <cell r="H57">
            <v>1336.1</v>
          </cell>
          <cell r="I57">
            <v>23.855</v>
          </cell>
          <cell r="J57">
            <v>0.80705048786237255</v>
          </cell>
          <cell r="K57">
            <v>90.02</v>
          </cell>
          <cell r="L57">
            <v>0.66245523980567544</v>
          </cell>
          <cell r="M57">
            <v>889.51605000000006</v>
          </cell>
          <cell r="N57">
            <v>11.905200000000001</v>
          </cell>
          <cell r="O57">
            <v>18.148921433831831</v>
          </cell>
          <cell r="P57">
            <v>1.2834421269473701</v>
          </cell>
          <cell r="Q57">
            <v>7.9133149483486545</v>
          </cell>
          <cell r="R57">
            <v>130.87491727912712</v>
          </cell>
          <cell r="S57">
            <v>173.26393110384376</v>
          </cell>
          <cell r="T57">
            <v>7.0034055545769487</v>
          </cell>
          <cell r="U57">
            <v>0.11523686320506447</v>
          </cell>
        </row>
        <row r="58">
          <cell r="E58">
            <v>50</v>
          </cell>
          <cell r="F58" t="str">
            <v>Kota Bukit Tinggi</v>
          </cell>
          <cell r="G58">
            <v>100.333</v>
          </cell>
          <cell r="H58">
            <v>25.24</v>
          </cell>
          <cell r="I58">
            <v>3.3079999999999998</v>
          </cell>
          <cell r="J58">
            <v>0.31741913701568208</v>
          </cell>
          <cell r="K58">
            <v>93.43</v>
          </cell>
          <cell r="L58">
            <v>0.55344760855369068</v>
          </cell>
          <cell r="M58">
            <v>645.19952999999998</v>
          </cell>
          <cell r="N58">
            <v>15.28431</v>
          </cell>
          <cell r="O58">
            <v>15.451794836978618</v>
          </cell>
          <cell r="P58">
            <v>1.2834421269473701</v>
          </cell>
          <cell r="Q58">
            <v>7.1436931598986533</v>
          </cell>
          <cell r="R58">
            <v>59.560750229768118</v>
          </cell>
          <cell r="S58">
            <v>103.85910155641004</v>
          </cell>
          <cell r="T58">
            <v>3.2970209203352834</v>
          </cell>
          <cell r="U58">
            <v>9.6274529244844115E-2</v>
          </cell>
        </row>
        <row r="59">
          <cell r="E59">
            <v>51</v>
          </cell>
          <cell r="F59" t="str">
            <v>Kota Padang Panjang</v>
          </cell>
          <cell r="G59">
            <v>43.42</v>
          </cell>
          <cell r="H59">
            <v>23</v>
          </cell>
          <cell r="I59">
            <v>1.6040000000000001</v>
          </cell>
          <cell r="J59">
            <v>0.55154341157403908</v>
          </cell>
          <cell r="K59">
            <v>91.23</v>
          </cell>
          <cell r="L59">
            <v>0.85828252020441687</v>
          </cell>
          <cell r="M59">
            <v>230.34307999999999</v>
          </cell>
          <cell r="N59">
            <v>4.5923800000000004</v>
          </cell>
          <cell r="O59">
            <v>10.871996609780945</v>
          </cell>
          <cell r="P59">
            <v>1.2834421269473701</v>
          </cell>
          <cell r="Q59">
            <v>6.4994254216586542</v>
          </cell>
          <cell r="R59">
            <v>34.669194301799998</v>
          </cell>
          <cell r="S59">
            <v>85.712548393116393</v>
          </cell>
          <cell r="T59">
            <v>3.6941501612160295</v>
          </cell>
          <cell r="U59">
            <v>0.1493018387191071</v>
          </cell>
        </row>
        <row r="60">
          <cell r="E60">
            <v>52</v>
          </cell>
          <cell r="F60" t="str">
            <v>Kota Padang</v>
          </cell>
          <cell r="G60">
            <v>787.18</v>
          </cell>
          <cell r="H60">
            <v>626.63</v>
          </cell>
          <cell r="I60">
            <v>31.773</v>
          </cell>
          <cell r="J60">
            <v>0.5275601442268304</v>
          </cell>
          <cell r="K60">
            <v>89.53</v>
          </cell>
          <cell r="L60">
            <v>0.75136838659355765</v>
          </cell>
          <cell r="M60">
            <v>7539.1509699999997</v>
          </cell>
          <cell r="N60">
            <v>63.932550000000006</v>
          </cell>
          <cell r="O60">
            <v>91.557413017192133</v>
          </cell>
          <cell r="P60">
            <v>1.2834421269473701</v>
          </cell>
          <cell r="Q60">
            <v>24.675886479628652</v>
          </cell>
          <cell r="R60">
            <v>265.46947560628234</v>
          </cell>
          <cell r="S60">
            <v>272.15373540666587</v>
          </cell>
          <cell r="T60">
            <v>4.0363068167382306</v>
          </cell>
          <cell r="U60">
            <v>0.13070367744074413</v>
          </cell>
        </row>
        <row r="61">
          <cell r="E61">
            <v>53</v>
          </cell>
          <cell r="F61" t="str">
            <v>Kota Payakumbuh</v>
          </cell>
          <cell r="G61">
            <v>104.09399999999999</v>
          </cell>
          <cell r="H61">
            <v>85.22</v>
          </cell>
          <cell r="I61">
            <v>6.3140000000000001</v>
          </cell>
          <cell r="J61">
            <v>0.96334582260281809</v>
          </cell>
          <cell r="K61">
            <v>90.3</v>
          </cell>
          <cell r="L61">
            <v>0.91299510650962901</v>
          </cell>
          <cell r="M61">
            <v>510.31162</v>
          </cell>
          <cell r="N61">
            <v>14.36294</v>
          </cell>
          <cell r="O61">
            <v>13.962702860492778</v>
          </cell>
          <cell r="P61">
            <v>1.2834421269473701</v>
          </cell>
          <cell r="Q61">
            <v>6.9171159061586538</v>
          </cell>
          <cell r="R61">
            <v>58.91724036913903</v>
          </cell>
          <cell r="S61">
            <v>119.97</v>
          </cell>
          <cell r="T61">
            <v>6.0656714123772746</v>
          </cell>
          <cell r="U61">
            <v>0.15881932223316081</v>
          </cell>
        </row>
        <row r="62">
          <cell r="E62">
            <v>54</v>
          </cell>
          <cell r="F62" t="str">
            <v>Kota Sawahlunto</v>
          </cell>
          <cell r="G62">
            <v>52.988999999999997</v>
          </cell>
          <cell r="H62">
            <v>273.45</v>
          </cell>
          <cell r="I62">
            <v>2.907</v>
          </cell>
          <cell r="J62">
            <v>0.6087426507321827</v>
          </cell>
          <cell r="K62">
            <v>92.12</v>
          </cell>
          <cell r="L62">
            <v>0.63788080618358378</v>
          </cell>
          <cell r="M62">
            <v>252.53296</v>
          </cell>
          <cell r="N62">
            <v>8.4349899999999991</v>
          </cell>
          <cell r="O62">
            <v>11.116961279091811</v>
          </cell>
          <cell r="P62">
            <v>1.92662180443737</v>
          </cell>
          <cell r="Q62">
            <v>7.6127632669686545</v>
          </cell>
          <cell r="R62">
            <v>32.279682829141549</v>
          </cell>
          <cell r="S62">
            <v>81.802180990492232</v>
          </cell>
          <cell r="T62">
            <v>5.4860442733397496</v>
          </cell>
          <cell r="U62">
            <v>0.11096203756328735</v>
          </cell>
        </row>
        <row r="63">
          <cell r="E63">
            <v>55</v>
          </cell>
          <cell r="F63" t="str">
            <v>Kota Solok</v>
          </cell>
          <cell r="G63">
            <v>54.375999999999998</v>
          </cell>
          <cell r="H63">
            <v>57.64</v>
          </cell>
          <cell r="I63">
            <v>3.3079999999999998</v>
          </cell>
          <cell r="J63">
            <v>0.72249310801197031</v>
          </cell>
          <cell r="K63">
            <v>91.58</v>
          </cell>
          <cell r="L63">
            <v>0.68271677836009159</v>
          </cell>
          <cell r="M63">
            <v>277.63067000000001</v>
          </cell>
          <cell r="N63">
            <v>7.2620699999999996</v>
          </cell>
          <cell r="O63">
            <v>11.394026870731331</v>
          </cell>
          <cell r="P63">
            <v>1.3165545669473699</v>
          </cell>
          <cell r="Q63">
            <v>6.3636739396786535</v>
          </cell>
          <cell r="R63">
            <v>37.472517876299996</v>
          </cell>
          <cell r="S63">
            <v>90.62197141946811</v>
          </cell>
          <cell r="T63">
            <v>6.0835662792408414</v>
          </cell>
          <cell r="U63">
            <v>0.11876144268820707</v>
          </cell>
        </row>
        <row r="64">
          <cell r="E64">
            <v>56</v>
          </cell>
          <cell r="F64" t="str">
            <v>Kota Pariaman</v>
          </cell>
          <cell r="G64">
            <v>74.614000000000004</v>
          </cell>
          <cell r="H64">
            <v>129.94200000000001</v>
          </cell>
          <cell r="I64">
            <v>5.7130000000000001</v>
          </cell>
          <cell r="J64">
            <v>1.4662826210717104</v>
          </cell>
          <cell r="K64">
            <v>91.51</v>
          </cell>
          <cell r="L64">
            <v>1.1008772511079505</v>
          </cell>
          <cell r="M64">
            <v>311.62268999999998</v>
          </cell>
          <cell r="N64">
            <v>1.2173800000000001</v>
          </cell>
          <cell r="O64">
            <v>11.769280992813481</v>
          </cell>
          <cell r="P64">
            <v>1.2834421269473701</v>
          </cell>
          <cell r="Q64">
            <v>4.8360837466486544</v>
          </cell>
          <cell r="R64">
            <v>34.547047649936346</v>
          </cell>
          <cell r="S64">
            <v>70.577684014293297</v>
          </cell>
          <cell r="T64">
            <v>7.6567400219797896</v>
          </cell>
          <cell r="U64">
            <v>0.19150220810195098</v>
          </cell>
        </row>
        <row r="65">
          <cell r="E65">
            <v>57</v>
          </cell>
          <cell r="F65" t="str">
            <v>Kab. Bengkalis</v>
          </cell>
          <cell r="G65">
            <v>659.72500000000002</v>
          </cell>
          <cell r="H65">
            <v>11481.77</v>
          </cell>
          <cell r="I65">
            <v>70.561999999999998</v>
          </cell>
          <cell r="J65">
            <v>1.4899087567366138</v>
          </cell>
          <cell r="K65">
            <v>105.9</v>
          </cell>
          <cell r="L65">
            <v>0.80078668632052541</v>
          </cell>
          <cell r="M65">
            <v>1211.34672</v>
          </cell>
          <cell r="N65">
            <v>42.28904</v>
          </cell>
          <cell r="O65">
            <v>21.701763704751905</v>
          </cell>
          <cell r="P65">
            <v>650.46962597394736</v>
          </cell>
          <cell r="Q65">
            <v>34.568944544182287</v>
          </cell>
          <cell r="R65">
            <v>124.56292467877448</v>
          </cell>
          <cell r="S65">
            <v>206.72284199999999</v>
          </cell>
          <cell r="T65">
            <v>10.695668649816211</v>
          </cell>
          <cell r="U65">
            <v>0.13930019763301246</v>
          </cell>
        </row>
        <row r="66">
          <cell r="E66">
            <v>58</v>
          </cell>
          <cell r="F66" t="str">
            <v>Kab. Indragiri Hilir</v>
          </cell>
          <cell r="G66">
            <v>628.53700000000003</v>
          </cell>
          <cell r="H66">
            <v>11605</v>
          </cell>
          <cell r="I66">
            <v>115.13</v>
          </cell>
          <cell r="J66">
            <v>4.1137187854723827</v>
          </cell>
          <cell r="K66">
            <v>104.27</v>
          </cell>
          <cell r="L66">
            <v>1.2910470065863719</v>
          </cell>
          <cell r="M66">
            <v>1123.6324099999999</v>
          </cell>
          <cell r="N66">
            <v>21.30348</v>
          </cell>
          <cell r="O66">
            <v>20.733443599236203</v>
          </cell>
          <cell r="P66">
            <v>120.94701102394738</v>
          </cell>
          <cell r="Q66">
            <v>26.83618840912229</v>
          </cell>
          <cell r="R66">
            <v>116.85091064371998</v>
          </cell>
          <cell r="S66">
            <v>203.82331299999998</v>
          </cell>
          <cell r="T66">
            <v>18.317139643330464</v>
          </cell>
          <cell r="U66">
            <v>0.22458303346342873</v>
          </cell>
        </row>
        <row r="67">
          <cell r="E67">
            <v>59</v>
          </cell>
          <cell r="F67" t="str">
            <v>Kab. Indragiri Hulu</v>
          </cell>
          <cell r="G67">
            <v>284.959</v>
          </cell>
          <cell r="H67">
            <v>8283.66</v>
          </cell>
          <cell r="I67">
            <v>55.728000000000002</v>
          </cell>
          <cell r="J67">
            <v>3.1136619587452845</v>
          </cell>
          <cell r="K67">
            <v>103.98</v>
          </cell>
          <cell r="L67">
            <v>0.91526212960474884</v>
          </cell>
          <cell r="M67">
            <v>533.09083999999996</v>
          </cell>
          <cell r="N67">
            <v>5.3374799999999993</v>
          </cell>
          <cell r="O67">
            <v>14.214173535163367</v>
          </cell>
          <cell r="P67">
            <v>123.07061767394737</v>
          </cell>
          <cell r="Q67">
            <v>25.197557877102287</v>
          </cell>
          <cell r="R67">
            <v>83.001515400000002</v>
          </cell>
          <cell r="S67">
            <v>162.263667</v>
          </cell>
          <cell r="T67">
            <v>19.556497601409326</v>
          </cell>
          <cell r="U67">
            <v>0.15921368039443323</v>
          </cell>
        </row>
        <row r="68">
          <cell r="E68">
            <v>60</v>
          </cell>
          <cell r="F68" t="str">
            <v>Kab. Kampar</v>
          </cell>
          <cell r="G68">
            <v>531.38900000000001</v>
          </cell>
          <cell r="H68">
            <v>10623.45</v>
          </cell>
          <cell r="I68">
            <v>79.281999999999996</v>
          </cell>
          <cell r="J68">
            <v>2.5603399290579913</v>
          </cell>
          <cell r="K68">
            <v>101.32</v>
          </cell>
          <cell r="L68">
            <v>0.98650820886729707</v>
          </cell>
          <cell r="M68">
            <v>578.65895</v>
          </cell>
          <cell r="N68">
            <v>31.505419999999997</v>
          </cell>
          <cell r="O68">
            <v>14.717221636246883</v>
          </cell>
          <cell r="P68">
            <v>212.62514816394736</v>
          </cell>
          <cell r="Q68">
            <v>44.857920023822288</v>
          </cell>
          <cell r="R68">
            <v>152.81106510000004</v>
          </cell>
          <cell r="S68">
            <v>185.10885499999998</v>
          </cell>
          <cell r="T68">
            <v>14.919766875114087</v>
          </cell>
          <cell r="U68">
            <v>0.17160723424764726</v>
          </cell>
        </row>
        <row r="69">
          <cell r="E69">
            <v>61</v>
          </cell>
          <cell r="F69" t="str">
            <v>Kab. Kuantan Singingi</v>
          </cell>
          <cell r="G69">
            <v>242.85300000000001</v>
          </cell>
          <cell r="H69">
            <v>7565.03</v>
          </cell>
          <cell r="I69">
            <v>61.640999999999998</v>
          </cell>
          <cell r="J69">
            <v>4.1935115367672262</v>
          </cell>
          <cell r="K69">
            <v>103.17</v>
          </cell>
          <cell r="L69">
            <v>0.94976628909854821</v>
          </cell>
          <cell r="M69">
            <v>357.98864000000003</v>
          </cell>
          <cell r="N69">
            <v>5.7524700000000006</v>
          </cell>
          <cell r="O69">
            <v>12.281136830205757</v>
          </cell>
          <cell r="P69">
            <v>121.02253675394738</v>
          </cell>
          <cell r="Q69">
            <v>16.696799929702287</v>
          </cell>
          <cell r="R69">
            <v>87.678075000000021</v>
          </cell>
          <cell r="S69">
            <v>118.227751</v>
          </cell>
          <cell r="T69">
            <v>25.382021222714972</v>
          </cell>
          <cell r="U69">
            <v>0.16521582343546201</v>
          </cell>
        </row>
        <row r="70">
          <cell r="E70">
            <v>62</v>
          </cell>
          <cell r="F70" t="str">
            <v>Kab. Pelalawan</v>
          </cell>
          <cell r="G70">
            <v>219.31299999999999</v>
          </cell>
          <cell r="H70">
            <v>12490.42</v>
          </cell>
          <cell r="I70">
            <v>52.52</v>
          </cell>
          <cell r="J70">
            <v>4.393866770617362</v>
          </cell>
          <cell r="K70">
            <v>103.18</v>
          </cell>
          <cell r="L70">
            <v>1.0547551486109674</v>
          </cell>
          <cell r="M70">
            <v>193.69148000000001</v>
          </cell>
          <cell r="N70">
            <v>13.505690000000001</v>
          </cell>
          <cell r="O70">
            <v>10.467382115528878</v>
          </cell>
          <cell r="P70">
            <v>123.71443457394737</v>
          </cell>
          <cell r="Q70">
            <v>37.564276679762287</v>
          </cell>
          <cell r="R70">
            <v>38.80463189999999</v>
          </cell>
          <cell r="S70">
            <v>109.9469</v>
          </cell>
          <cell r="T70">
            <v>23.947508811607157</v>
          </cell>
          <cell r="U70">
            <v>0.18347907522170703</v>
          </cell>
        </row>
        <row r="71">
          <cell r="E71">
            <v>63</v>
          </cell>
          <cell r="F71" t="str">
            <v>Kab. Rokan Hilir</v>
          </cell>
          <cell r="G71">
            <v>426.98500000000001</v>
          </cell>
          <cell r="H71">
            <v>8881.59</v>
          </cell>
          <cell r="I71">
            <v>49.412999999999997</v>
          </cell>
          <cell r="J71">
            <v>1.5874990624195084</v>
          </cell>
          <cell r="K71">
            <v>101.95</v>
          </cell>
          <cell r="L71">
            <v>0.78858767578966349</v>
          </cell>
          <cell r="M71">
            <v>682.04217000000006</v>
          </cell>
          <cell r="N71">
            <v>28.462859999999999</v>
          </cell>
          <cell r="O71">
            <v>15.858518312911757</v>
          </cell>
          <cell r="P71">
            <v>338.07255227394734</v>
          </cell>
          <cell r="Q71">
            <v>50.090842655802298</v>
          </cell>
          <cell r="R71">
            <v>47.406842099999999</v>
          </cell>
          <cell r="S71">
            <v>91.848131999999993</v>
          </cell>
          <cell r="T71">
            <v>11.572537676967574</v>
          </cell>
          <cell r="U71">
            <v>0.1371781286639536</v>
          </cell>
        </row>
        <row r="72">
          <cell r="E72">
            <v>64</v>
          </cell>
          <cell r="F72" t="str">
            <v>Kab. Rokan Hulu</v>
          </cell>
          <cell r="G72">
            <v>330.06700000000001</v>
          </cell>
          <cell r="H72">
            <v>7449.85</v>
          </cell>
          <cell r="I72">
            <v>95.92</v>
          </cell>
          <cell r="J72">
            <v>5.3815259361391341</v>
          </cell>
          <cell r="K72">
            <v>100.57</v>
          </cell>
          <cell r="L72">
            <v>1.064543677494489</v>
          </cell>
          <cell r="M72">
            <v>265.77247999999997</v>
          </cell>
          <cell r="N72">
            <v>8.6008800000000001</v>
          </cell>
          <cell r="O72">
            <v>11.263118655275663</v>
          </cell>
          <cell r="P72">
            <v>122.30055227394736</v>
          </cell>
          <cell r="Q72">
            <v>34.745435318482286</v>
          </cell>
          <cell r="R72">
            <v>63.842164500000003</v>
          </cell>
          <cell r="S72">
            <v>104.14572699999999</v>
          </cell>
          <cell r="T72">
            <v>29.060766450447939</v>
          </cell>
          <cell r="U72">
            <v>0.18518183081355666</v>
          </cell>
        </row>
        <row r="73">
          <cell r="E73">
            <v>65</v>
          </cell>
          <cell r="F73" t="str">
            <v>Kab. Siak</v>
          </cell>
          <cell r="G73">
            <v>282.52999999999997</v>
          </cell>
          <cell r="H73">
            <v>8556.09</v>
          </cell>
          <cell r="I73">
            <v>26.962</v>
          </cell>
          <cell r="J73">
            <v>1.6258075495495021</v>
          </cell>
          <cell r="K73">
            <v>103.39</v>
          </cell>
          <cell r="L73">
            <v>0.97936981031493353</v>
          </cell>
          <cell r="M73">
            <v>262.82312000000002</v>
          </cell>
          <cell r="N73">
            <v>68.41049000000001</v>
          </cell>
          <cell r="O73">
            <v>11.230559263468287</v>
          </cell>
          <cell r="P73">
            <v>338.97276334394735</v>
          </cell>
          <cell r="Q73">
            <v>48.746538279362298</v>
          </cell>
          <cell r="R73">
            <v>48.495051977751196</v>
          </cell>
          <cell r="S73">
            <v>95.609185999999994</v>
          </cell>
          <cell r="T73">
            <v>9.5430573744381135</v>
          </cell>
          <cell r="U73">
            <v>0.17036547992516163</v>
          </cell>
        </row>
        <row r="74">
          <cell r="E74">
            <v>66</v>
          </cell>
          <cell r="F74" t="str">
            <v>Kota Dumai</v>
          </cell>
          <cell r="G74">
            <v>215.84700000000001</v>
          </cell>
          <cell r="H74">
            <v>1726.38</v>
          </cell>
          <cell r="I74">
            <v>21.349</v>
          </cell>
          <cell r="J74">
            <v>1.4913851809469398</v>
          </cell>
          <cell r="K74">
            <v>107.17</v>
          </cell>
          <cell r="L74">
            <v>0.86680900532998995</v>
          </cell>
          <cell r="M74">
            <v>730.44159999999999</v>
          </cell>
          <cell r="N74">
            <v>11.5906</v>
          </cell>
          <cell r="O74">
            <v>16.392822705940667</v>
          </cell>
          <cell r="P74">
            <v>120.20404267394738</v>
          </cell>
          <cell r="Q74">
            <v>81.301205462722294</v>
          </cell>
          <cell r="R74">
            <v>50.814673799999994</v>
          </cell>
          <cell r="S74">
            <v>93.479358000000005</v>
          </cell>
          <cell r="T74">
            <v>9.8908022812455112</v>
          </cell>
          <cell r="U74">
            <v>0.15078505651405413</v>
          </cell>
        </row>
        <row r="75">
          <cell r="E75">
            <v>67</v>
          </cell>
          <cell r="F75" t="str">
            <v>Kota Pekanbaru</v>
          </cell>
          <cell r="G75">
            <v>697.40099999999995</v>
          </cell>
          <cell r="H75">
            <v>446.5</v>
          </cell>
          <cell r="I75">
            <v>30.186</v>
          </cell>
          <cell r="J75">
            <v>0.56000000000000005</v>
          </cell>
          <cell r="K75">
            <v>101.44</v>
          </cell>
          <cell r="L75">
            <v>0.74375540792103711</v>
          </cell>
          <cell r="M75">
            <v>3594.51242</v>
          </cell>
          <cell r="N75">
            <v>58.70185</v>
          </cell>
          <cell r="O75">
            <v>48.010666574595916</v>
          </cell>
          <cell r="P75">
            <v>120.07055227394737</v>
          </cell>
          <cell r="Q75">
            <v>48.705350970782291</v>
          </cell>
          <cell r="R75">
            <v>172.7470970778017</v>
          </cell>
          <cell r="S75">
            <v>164.75236580365646</v>
          </cell>
          <cell r="T75">
            <v>4.3283562828272402</v>
          </cell>
          <cell r="U75">
            <v>0.12937936791890281</v>
          </cell>
        </row>
        <row r="76">
          <cell r="E76">
            <v>68</v>
          </cell>
          <cell r="F76" t="str">
            <v>Kab. Batanghari</v>
          </cell>
          <cell r="G76">
            <v>210.07</v>
          </cell>
          <cell r="H76">
            <v>5804</v>
          </cell>
          <cell r="I76">
            <v>39.691000000000003</v>
          </cell>
          <cell r="J76">
            <v>3.2773022920499226</v>
          </cell>
          <cell r="K76">
            <v>95.68</v>
          </cell>
          <cell r="L76">
            <v>0.99713418996507075</v>
          </cell>
          <cell r="M76">
            <v>398.09600899897293</v>
          </cell>
          <cell r="N76">
            <v>21.413330000000002</v>
          </cell>
          <cell r="O76">
            <v>12.723901206748675</v>
          </cell>
          <cell r="P76">
            <v>3.8012699339473706</v>
          </cell>
          <cell r="Q76">
            <v>25.424881623658653</v>
          </cell>
          <cell r="R76">
            <v>73.306860624600006</v>
          </cell>
          <cell r="S76">
            <v>140.88</v>
          </cell>
          <cell r="T76">
            <v>18.89417813109916</v>
          </cell>
          <cell r="U76">
            <v>0.17345566815926208</v>
          </cell>
        </row>
        <row r="77">
          <cell r="E77">
            <v>69</v>
          </cell>
          <cell r="F77" t="str">
            <v xml:space="preserve">Kab. Bungo     </v>
          </cell>
          <cell r="G77">
            <v>241.273</v>
          </cell>
          <cell r="H77">
            <v>4659</v>
          </cell>
          <cell r="I77">
            <v>27.963999999999999</v>
          </cell>
          <cell r="J77">
            <v>2.3395279936500057</v>
          </cell>
          <cell r="K77">
            <v>96.99</v>
          </cell>
          <cell r="L77">
            <v>1.1603868229357108</v>
          </cell>
          <cell r="M77">
            <v>461.13093759756907</v>
          </cell>
          <cell r="N77">
            <v>28.021240000000002</v>
          </cell>
          <cell r="O77">
            <v>13.419773849556524</v>
          </cell>
          <cell r="P77">
            <v>3.0667646839473703</v>
          </cell>
          <cell r="Q77">
            <v>9.6217633496586537</v>
          </cell>
          <cell r="R77">
            <v>92.352194229599974</v>
          </cell>
          <cell r="S77">
            <v>147.8240793064279</v>
          </cell>
          <cell r="T77">
            <v>11.590190365270875</v>
          </cell>
          <cell r="U77">
            <v>0.20185414733654625</v>
          </cell>
        </row>
        <row r="78">
          <cell r="E78">
            <v>70</v>
          </cell>
          <cell r="F78" t="str">
            <v>Kab. Kerinci</v>
          </cell>
          <cell r="G78">
            <v>302.78100000000001</v>
          </cell>
          <cell r="H78">
            <v>4200</v>
          </cell>
          <cell r="I78">
            <v>37.549999999999997</v>
          </cell>
          <cell r="J78">
            <v>1.8586750684824149</v>
          </cell>
          <cell r="K78">
            <v>96.73</v>
          </cell>
          <cell r="L78">
            <v>0.86156344207057201</v>
          </cell>
          <cell r="M78">
            <v>817.40881002810579</v>
          </cell>
          <cell r="N78">
            <v>8.5664400000000001</v>
          </cell>
          <cell r="O78">
            <v>17.352895218519528</v>
          </cell>
          <cell r="P78">
            <v>2.9960009739473703</v>
          </cell>
          <cell r="Q78">
            <v>8.2758976516586529</v>
          </cell>
          <cell r="R78">
            <v>134.86384090730874</v>
          </cell>
          <cell r="S78">
            <v>177.75307118603826</v>
          </cell>
          <cell r="T78">
            <v>12.401702880960165</v>
          </cell>
          <cell r="U78">
            <v>0.14987256881762293</v>
          </cell>
        </row>
        <row r="79">
          <cell r="E79">
            <v>71</v>
          </cell>
          <cell r="F79" t="str">
            <v>Kab. Merangin</v>
          </cell>
          <cell r="G79">
            <v>276.62700000000001</v>
          </cell>
          <cell r="H79">
            <v>7679</v>
          </cell>
          <cell r="I79">
            <v>41.25</v>
          </cell>
          <cell r="J79">
            <v>2.0943790710767591</v>
          </cell>
          <cell r="K79">
            <v>96.01</v>
          </cell>
          <cell r="L79">
            <v>0.80740421973558141</v>
          </cell>
          <cell r="M79">
            <v>330.46519708076994</v>
          </cell>
          <cell r="N79">
            <v>10.31485324981</v>
          </cell>
          <cell r="O79">
            <v>11.977292415859862</v>
          </cell>
          <cell r="P79">
            <v>3.2672002939473703</v>
          </cell>
          <cell r="Q79">
            <v>14.458972368658653</v>
          </cell>
          <cell r="R79">
            <v>93.571212418200005</v>
          </cell>
          <cell r="S79">
            <v>152.48892787638454</v>
          </cell>
          <cell r="T79">
            <v>14.911776507716166</v>
          </cell>
          <cell r="U79">
            <v>0.14045134528357592</v>
          </cell>
        </row>
        <row r="80">
          <cell r="E80">
            <v>72</v>
          </cell>
          <cell r="F80" t="str">
            <v>Kab. Muaro Jambi</v>
          </cell>
          <cell r="G80">
            <v>275.351</v>
          </cell>
          <cell r="H80">
            <v>5326</v>
          </cell>
          <cell r="I80">
            <v>26.460999999999999</v>
          </cell>
          <cell r="J80">
            <v>1.0641404694684893</v>
          </cell>
          <cell r="K80">
            <v>96.27</v>
          </cell>
          <cell r="L80">
            <v>0.63656752146501228</v>
          </cell>
          <cell r="M80">
            <v>264.48669885887136</v>
          </cell>
          <cell r="N80">
            <v>10.78248</v>
          </cell>
          <cell r="O80">
            <v>11.248924303974858</v>
          </cell>
          <cell r="P80">
            <v>3.9791249939473703</v>
          </cell>
          <cell r="Q80">
            <v>24.698988331658654</v>
          </cell>
          <cell r="R80">
            <v>73.501451525999997</v>
          </cell>
          <cell r="S80">
            <v>128.07378606099888</v>
          </cell>
          <cell r="T80">
            <v>9.6099160707605922</v>
          </cell>
          <cell r="U80">
            <v>0.11073358618669665</v>
          </cell>
        </row>
        <row r="81">
          <cell r="E81">
            <v>73</v>
          </cell>
          <cell r="F81" t="str">
            <v>Kab. Sarolangun</v>
          </cell>
          <cell r="G81">
            <v>196.92500000000001</v>
          </cell>
          <cell r="H81">
            <v>6184</v>
          </cell>
          <cell r="I81">
            <v>39.591000000000001</v>
          </cell>
          <cell r="J81">
            <v>3.7537129667233953</v>
          </cell>
          <cell r="K81">
            <v>96.47</v>
          </cell>
          <cell r="L81">
            <v>1.0733232939014488</v>
          </cell>
          <cell r="M81">
            <v>319.55985985819001</v>
          </cell>
          <cell r="N81">
            <v>6.7262299999999993</v>
          </cell>
          <cell r="O81">
            <v>11.856903196699923</v>
          </cell>
          <cell r="P81">
            <v>3.1654655239473701</v>
          </cell>
          <cell r="Q81">
            <v>14.881116627658653</v>
          </cell>
          <cell r="R81">
            <v>56.412937883999987</v>
          </cell>
          <cell r="S81">
            <v>128.63</v>
          </cell>
          <cell r="T81">
            <v>20.104608353434049</v>
          </cell>
          <cell r="U81">
            <v>0.18670908185496821</v>
          </cell>
        </row>
        <row r="82">
          <cell r="E82">
            <v>74</v>
          </cell>
          <cell r="F82" t="str">
            <v>Kab. Tanjung Jabung Barat</v>
          </cell>
          <cell r="G82">
            <v>229.73699999999999</v>
          </cell>
          <cell r="H82">
            <v>4649.8500000000004</v>
          </cell>
          <cell r="I82">
            <v>35.781999999999996</v>
          </cell>
          <cell r="J82">
            <v>2.6801731060185623</v>
          </cell>
          <cell r="K82">
            <v>96.77</v>
          </cell>
          <cell r="L82">
            <v>0.98922319419487048</v>
          </cell>
          <cell r="M82">
            <v>572.19913863340048</v>
          </cell>
          <cell r="N82">
            <v>15.57335</v>
          </cell>
          <cell r="O82">
            <v>14.645908697410368</v>
          </cell>
          <cell r="P82">
            <v>5.6544496939473703</v>
          </cell>
          <cell r="Q82">
            <v>18.711312572658652</v>
          </cell>
          <cell r="R82">
            <v>56.658143006099998</v>
          </cell>
          <cell r="S82">
            <v>119.27299084220385</v>
          </cell>
          <cell r="T82">
            <v>15.57520120833823</v>
          </cell>
          <cell r="U82">
            <v>0.17207951731523852</v>
          </cell>
        </row>
        <row r="83">
          <cell r="E83">
            <v>75</v>
          </cell>
          <cell r="F83" t="str">
            <v>Kab. Tanjung Jabung Timur</v>
          </cell>
          <cell r="G83">
            <v>203.62299999999999</v>
          </cell>
          <cell r="H83">
            <v>5445</v>
          </cell>
          <cell r="I83">
            <v>23.53</v>
          </cell>
          <cell r="J83">
            <v>2.4500000000000002</v>
          </cell>
          <cell r="K83">
            <v>97.14</v>
          </cell>
          <cell r="L83">
            <v>1.2188102567852983</v>
          </cell>
          <cell r="M83">
            <v>400.32083090606659</v>
          </cell>
          <cell r="N83">
            <v>6.3188300000000002</v>
          </cell>
          <cell r="O83">
            <v>12.74846207696279</v>
          </cell>
          <cell r="P83">
            <v>11.782051404196871</v>
          </cell>
          <cell r="Q83">
            <v>19.117986770658653</v>
          </cell>
          <cell r="R83">
            <v>53.021899584600007</v>
          </cell>
          <cell r="S83">
            <v>113.79651820764801</v>
          </cell>
          <cell r="T83">
            <v>11.555669055067455</v>
          </cell>
          <cell r="U83">
            <v>0.21201714832129195</v>
          </cell>
        </row>
        <row r="84">
          <cell r="E84">
            <v>76</v>
          </cell>
          <cell r="F84" t="str">
            <v>Kab. Tebo</v>
          </cell>
          <cell r="G84">
            <v>236.23</v>
          </cell>
          <cell r="H84">
            <v>6461</v>
          </cell>
          <cell r="I84">
            <v>26.16</v>
          </cell>
          <cell r="J84">
            <v>1.3789330621187286</v>
          </cell>
          <cell r="K84">
            <v>96.16</v>
          </cell>
          <cell r="L84">
            <v>0.71582293057090496</v>
          </cell>
          <cell r="M84">
            <v>312.53527359282344</v>
          </cell>
          <cell r="N84">
            <v>18.543119999999998</v>
          </cell>
          <cell r="O84">
            <v>11.779355438373102</v>
          </cell>
          <cell r="P84">
            <v>3.3042078339473702</v>
          </cell>
          <cell r="Q84">
            <v>9.595636696658655</v>
          </cell>
          <cell r="R84">
            <v>58.932953967599992</v>
          </cell>
          <cell r="S84">
            <v>128.75789485712394</v>
          </cell>
          <cell r="T84">
            <v>11.073953350548194</v>
          </cell>
          <cell r="U84">
            <v>0.12452039650776271</v>
          </cell>
        </row>
        <row r="85">
          <cell r="E85">
            <v>77</v>
          </cell>
          <cell r="F85" t="str">
            <v>Kota Jambi</v>
          </cell>
          <cell r="G85">
            <v>452.70100000000002</v>
          </cell>
          <cell r="H85">
            <v>205.43</v>
          </cell>
          <cell r="I85">
            <v>27.161999999999999</v>
          </cell>
          <cell r="J85">
            <v>0.98544248971683523</v>
          </cell>
          <cell r="K85">
            <v>92.92</v>
          </cell>
          <cell r="L85">
            <v>0.94416110250886354</v>
          </cell>
          <cell r="M85">
            <v>1731.2102202273752</v>
          </cell>
          <cell r="N85">
            <v>23.436360000000001</v>
          </cell>
          <cell r="O85">
            <v>27.440784845018879</v>
          </cell>
          <cell r="P85">
            <v>3.8387618039473703</v>
          </cell>
          <cell r="Q85">
            <v>25.547869223658651</v>
          </cell>
          <cell r="R85">
            <v>152.57181640484163</v>
          </cell>
          <cell r="S85">
            <v>186.77959236342596</v>
          </cell>
          <cell r="T85">
            <v>5.9999867462188066</v>
          </cell>
          <cell r="U85">
            <v>0.16424077775469445</v>
          </cell>
        </row>
        <row r="86">
          <cell r="E86">
            <v>78</v>
          </cell>
          <cell r="F86" t="str">
            <v xml:space="preserve">Kab. Lahat     </v>
          </cell>
          <cell r="G86">
            <v>541.89499999999998</v>
          </cell>
          <cell r="H86">
            <v>5722.09</v>
          </cell>
          <cell r="I86">
            <v>160.22999999999999</v>
          </cell>
          <cell r="J86">
            <v>5.3497554338353988</v>
          </cell>
          <cell r="K86">
            <v>96.1</v>
          </cell>
          <cell r="L86">
            <v>1.0400886356770658</v>
          </cell>
          <cell r="M86">
            <v>788.24900000000002</v>
          </cell>
          <cell r="N86">
            <v>10.138540000000001</v>
          </cell>
          <cell r="O86">
            <v>17.030986167154552</v>
          </cell>
          <cell r="P86">
            <v>40.224948593947374</v>
          </cell>
          <cell r="Q86">
            <v>29.854818545158651</v>
          </cell>
          <cell r="R86">
            <v>148.97988447206046</v>
          </cell>
          <cell r="S86">
            <v>193.31977481441504</v>
          </cell>
          <cell r="T86">
            <v>29.568458834276012</v>
          </cell>
          <cell r="U86">
            <v>0.18092777387619258</v>
          </cell>
        </row>
        <row r="87">
          <cell r="E87">
            <v>79</v>
          </cell>
          <cell r="F87" t="str">
            <v>Kab. Musi Banyuasin</v>
          </cell>
          <cell r="G87">
            <v>455.73899999999998</v>
          </cell>
          <cell r="H87">
            <v>14265.298000000001</v>
          </cell>
          <cell r="I87">
            <v>164.37700000000001</v>
          </cell>
          <cell r="J87">
            <v>7.0341913186317191</v>
          </cell>
          <cell r="K87">
            <v>95.78</v>
          </cell>
          <cell r="L87">
            <v>1.1211260216553129</v>
          </cell>
          <cell r="M87">
            <v>1402.2439999999999</v>
          </cell>
          <cell r="N87">
            <v>23.880860000000002</v>
          </cell>
          <cell r="O87">
            <v>23.80916983166847</v>
          </cell>
          <cell r="P87">
            <v>231.08287269394737</v>
          </cell>
          <cell r="Q87">
            <v>51.845749315658658</v>
          </cell>
          <cell r="R87">
            <v>102.64846223280087</v>
          </cell>
          <cell r="S87">
            <v>145.33598899999998</v>
          </cell>
          <cell r="T87">
            <v>36.068232036319039</v>
          </cell>
          <cell r="U87">
            <v>0.19502456653679653</v>
          </cell>
        </row>
        <row r="88">
          <cell r="E88">
            <v>80</v>
          </cell>
          <cell r="F88" t="str">
            <v xml:space="preserve">Kab. Musi Rawas   </v>
          </cell>
          <cell r="G88">
            <v>465.68200000000002</v>
          </cell>
          <cell r="H88">
            <v>18248.88</v>
          </cell>
          <cell r="I88">
            <v>163.976</v>
          </cell>
          <cell r="J88">
            <v>6.1018859582978564</v>
          </cell>
          <cell r="K88">
            <v>97.5</v>
          </cell>
          <cell r="L88">
            <v>0.99618124589909218</v>
          </cell>
          <cell r="M88">
            <v>336.916</v>
          </cell>
          <cell r="N88">
            <v>13.07382</v>
          </cell>
          <cell r="O88">
            <v>12.048505906149073</v>
          </cell>
          <cell r="P88">
            <v>55.676925673947366</v>
          </cell>
          <cell r="Q88">
            <v>35.758437437658657</v>
          </cell>
          <cell r="R88">
            <v>114.74790360009898</v>
          </cell>
          <cell r="S88">
            <v>187.25649203012895</v>
          </cell>
          <cell r="T88">
            <v>35.212011630254118</v>
          </cell>
          <cell r="U88">
            <v>0.1732898995482304</v>
          </cell>
        </row>
        <row r="89">
          <cell r="E89">
            <v>81</v>
          </cell>
          <cell r="F89" t="str">
            <v xml:space="preserve">Kab. Muara Enim </v>
          </cell>
          <cell r="G89">
            <v>621.87599999999998</v>
          </cell>
          <cell r="H89">
            <v>9238.77</v>
          </cell>
          <cell r="I89">
            <v>138.31700000000001</v>
          </cell>
          <cell r="J89">
            <v>3.4920099465842642</v>
          </cell>
          <cell r="K89">
            <v>95.68</v>
          </cell>
          <cell r="L89">
            <v>0.9025449055890753</v>
          </cell>
          <cell r="M89">
            <v>951.89200000000005</v>
          </cell>
          <cell r="N89">
            <v>27.90174</v>
          </cell>
          <cell r="O89">
            <v>18.837519297574268</v>
          </cell>
          <cell r="P89">
            <v>91.482320123947375</v>
          </cell>
          <cell r="Q89">
            <v>39.679144012658661</v>
          </cell>
          <cell r="R89">
            <v>137.29679640331452</v>
          </cell>
          <cell r="S89">
            <v>179.5804813053833</v>
          </cell>
          <cell r="T89">
            <v>22.241893882381699</v>
          </cell>
          <cell r="U89">
            <v>0.15700146601950848</v>
          </cell>
        </row>
        <row r="90">
          <cell r="E90">
            <v>82</v>
          </cell>
          <cell r="F90" t="str">
            <v>Kab. Ogan Komering Ilir</v>
          </cell>
          <cell r="G90">
            <v>1000.152</v>
          </cell>
          <cell r="H90">
            <v>21387.49</v>
          </cell>
          <cell r="I90">
            <v>218.89</v>
          </cell>
          <cell r="J90">
            <v>4.9160305848811179</v>
          </cell>
          <cell r="K90">
            <v>96.45</v>
          </cell>
          <cell r="L90">
            <v>1.2912780662619971</v>
          </cell>
          <cell r="M90">
            <v>1475.944</v>
          </cell>
          <cell r="N90">
            <v>13.824129999999998</v>
          </cell>
          <cell r="O90">
            <v>24.622779284635801</v>
          </cell>
          <cell r="P90">
            <v>34.795826733947365</v>
          </cell>
          <cell r="Q90">
            <v>28.274821732658655</v>
          </cell>
          <cell r="R90">
            <v>209.99324555816986</v>
          </cell>
          <cell r="S90">
            <v>315.68761715262684</v>
          </cell>
          <cell r="T90">
            <v>21.885673377646594</v>
          </cell>
          <cell r="U90">
            <v>0.22462322726163922</v>
          </cell>
        </row>
        <row r="91">
          <cell r="E91">
            <v>83</v>
          </cell>
          <cell r="F91" t="str">
            <v>Kab. Ogan Komering Ulu</v>
          </cell>
          <cell r="G91">
            <v>1112.854</v>
          </cell>
          <cell r="H91">
            <v>14679.11</v>
          </cell>
          <cell r="I91">
            <v>201.35</v>
          </cell>
          <cell r="J91">
            <v>3.3504298870640818</v>
          </cell>
          <cell r="K91">
            <v>96.4</v>
          </cell>
          <cell r="L91">
            <v>1.0645160229553061</v>
          </cell>
          <cell r="M91">
            <v>1744.3</v>
          </cell>
          <cell r="N91">
            <v>16.853725706639999</v>
          </cell>
          <cell r="O91">
            <v>27.585289167410576</v>
          </cell>
          <cell r="P91">
            <v>40.809783183947374</v>
          </cell>
          <cell r="Q91">
            <v>29.617943887658654</v>
          </cell>
          <cell r="R91">
            <v>246.14185386324161</v>
          </cell>
          <cell r="S91">
            <v>323.69657969156304</v>
          </cell>
          <cell r="T91">
            <v>18.093119133327463</v>
          </cell>
          <cell r="U91">
            <v>0.18517702019065369</v>
          </cell>
        </row>
        <row r="92">
          <cell r="E92">
            <v>84</v>
          </cell>
          <cell r="F92" t="str">
            <v xml:space="preserve">Kota Palembang </v>
          </cell>
          <cell r="G92">
            <v>1304.211</v>
          </cell>
          <cell r="H92">
            <v>421.01</v>
          </cell>
          <cell r="I92">
            <v>124.13</v>
          </cell>
          <cell r="J92">
            <v>1.4123185169162578</v>
          </cell>
          <cell r="K92">
            <v>94.59</v>
          </cell>
          <cell r="L92">
            <v>0.85303896270370105</v>
          </cell>
          <cell r="M92">
            <v>8116.0559999999996</v>
          </cell>
          <cell r="N92">
            <v>63.522970000000001</v>
          </cell>
          <cell r="O92">
            <v>97.926142811932991</v>
          </cell>
          <cell r="P92">
            <v>33.938826733947366</v>
          </cell>
          <cell r="Q92">
            <v>55.357989816658659</v>
          </cell>
          <cell r="R92">
            <v>323.71498365970149</v>
          </cell>
          <cell r="S92">
            <v>343.37584036191458</v>
          </cell>
          <cell r="T92">
            <v>9.5176317329021138</v>
          </cell>
          <cell r="U92">
            <v>0.14838969993280188</v>
          </cell>
        </row>
        <row r="93">
          <cell r="E93">
            <v>85</v>
          </cell>
          <cell r="F93" t="str">
            <v>Kota Pagar Alam</v>
          </cell>
          <cell r="G93">
            <v>113.752</v>
          </cell>
          <cell r="H93">
            <v>633.66</v>
          </cell>
          <cell r="I93">
            <v>16.939</v>
          </cell>
          <cell r="J93">
            <v>2.8795260612615432</v>
          </cell>
          <cell r="K93">
            <v>96.51</v>
          </cell>
          <cell r="L93">
            <v>1.111622677989164</v>
          </cell>
          <cell r="M93">
            <v>243.40899999999999</v>
          </cell>
          <cell r="N93">
            <v>4.1516899999999994</v>
          </cell>
          <cell r="O93">
            <v>11.016237532762151</v>
          </cell>
          <cell r="P93">
            <v>33.938826733947366</v>
          </cell>
          <cell r="Q93">
            <v>7.7467261126586537</v>
          </cell>
          <cell r="R93">
            <v>33.579363756599996</v>
          </cell>
          <cell r="S93">
            <v>85.81</v>
          </cell>
          <cell r="T93">
            <v>14.891166748716506</v>
          </cell>
          <cell r="U93">
            <v>0.19337142010781219</v>
          </cell>
        </row>
        <row r="94">
          <cell r="E94">
            <v>86</v>
          </cell>
          <cell r="F94" t="str">
            <v>Kota Lubuk Linggau</v>
          </cell>
          <cell r="G94">
            <v>171.23500000000001</v>
          </cell>
          <cell r="H94">
            <v>401.5</v>
          </cell>
          <cell r="I94">
            <v>27.963999999999999</v>
          </cell>
          <cell r="J94">
            <v>3.0120819204078861</v>
          </cell>
          <cell r="K94">
            <v>94.1</v>
          </cell>
          <cell r="L94">
            <v>1.0602911474884185</v>
          </cell>
          <cell r="M94">
            <v>532.18299999999999</v>
          </cell>
          <cell r="N94">
            <v>11.43228</v>
          </cell>
          <cell r="O94">
            <v>14.204151456387494</v>
          </cell>
          <cell r="P94">
            <v>33.938826733947366</v>
          </cell>
          <cell r="Q94">
            <v>10.946511090658653</v>
          </cell>
          <cell r="R94">
            <v>52.111418784299993</v>
          </cell>
          <cell r="S94">
            <v>92.816992985123207</v>
          </cell>
          <cell r="T94">
            <v>16.330773498408618</v>
          </cell>
          <cell r="U94">
            <v>0.18444208541018611</v>
          </cell>
        </row>
        <row r="95">
          <cell r="E95">
            <v>87</v>
          </cell>
          <cell r="F95" t="str">
            <v>Kota Prabumulih</v>
          </cell>
          <cell r="G95">
            <v>128.20699999999999</v>
          </cell>
          <cell r="H95">
            <v>251.94</v>
          </cell>
          <cell r="I95">
            <v>15.836</v>
          </cell>
          <cell r="J95">
            <v>1.9336480710966522</v>
          </cell>
          <cell r="K95">
            <v>96.8</v>
          </cell>
          <cell r="L95">
            <v>0.89993012624566115</v>
          </cell>
          <cell r="M95">
            <v>475.37099999999998</v>
          </cell>
          <cell r="N95">
            <v>8.523579999999999</v>
          </cell>
          <cell r="O95">
            <v>13.576976690553302</v>
          </cell>
          <cell r="P95">
            <v>37.703826733947366</v>
          </cell>
          <cell r="Q95">
            <v>16.200033453658655</v>
          </cell>
          <cell r="R95">
            <v>41.943691863529828</v>
          </cell>
          <cell r="S95">
            <v>76.102741674911513</v>
          </cell>
          <cell r="T95">
            <v>12.35189966226493</v>
          </cell>
          <cell r="U95">
            <v>0.15654661420250598</v>
          </cell>
        </row>
        <row r="96">
          <cell r="E96">
            <v>88</v>
          </cell>
          <cell r="F96" t="str">
            <v>Kab. Banyuasin</v>
          </cell>
          <cell r="G96">
            <v>712.81299999999999</v>
          </cell>
          <cell r="H96">
            <v>11832.191999999999</v>
          </cell>
          <cell r="I96">
            <v>147.33699999999999</v>
          </cell>
          <cell r="J96">
            <v>4.032567841417614</v>
          </cell>
          <cell r="K96">
            <v>96.59</v>
          </cell>
          <cell r="L96">
            <v>1.1215291934344285</v>
          </cell>
          <cell r="M96">
            <v>1344.665</v>
          </cell>
          <cell r="N96">
            <v>3.0240399999999998</v>
          </cell>
          <cell r="O96">
            <v>23.173527786995393</v>
          </cell>
          <cell r="P96">
            <v>35.44956113394737</v>
          </cell>
          <cell r="Q96">
            <v>27.204673097658656</v>
          </cell>
          <cell r="R96">
            <v>111.37726085473591</v>
          </cell>
          <cell r="S96">
            <v>165.3784296852447</v>
          </cell>
          <cell r="T96">
            <v>20.669796987428679</v>
          </cell>
          <cell r="U96">
            <v>0.19509469995618303</v>
          </cell>
        </row>
        <row r="97">
          <cell r="E97">
            <v>89</v>
          </cell>
          <cell r="F97" t="str">
            <v>Kab. Bangka</v>
          </cell>
          <cell r="G97">
            <v>657.05799999999999</v>
          </cell>
          <cell r="H97">
            <v>11534.14</v>
          </cell>
          <cell r="I97">
            <v>56.529000000000003</v>
          </cell>
          <cell r="J97">
            <v>1.3167881371891517</v>
          </cell>
          <cell r="K97">
            <v>105.25</v>
          </cell>
          <cell r="L97">
            <v>0.87985969016298105</v>
          </cell>
          <cell r="M97">
            <v>990.6862830927256</v>
          </cell>
          <cell r="N97">
            <v>31.953990000000001</v>
          </cell>
          <cell r="O97">
            <v>19.265787892490579</v>
          </cell>
          <cell r="P97">
            <v>13.19377454394737</v>
          </cell>
          <cell r="Q97">
            <v>14.940895755578655</v>
          </cell>
          <cell r="R97">
            <v>123.29250632891684</v>
          </cell>
          <cell r="S97">
            <v>197.70156245033797</v>
          </cell>
          <cell r="T97">
            <v>8.603350084771817</v>
          </cell>
          <cell r="U97">
            <v>0.15305527779462391</v>
          </cell>
        </row>
        <row r="98">
          <cell r="E98">
            <v>90</v>
          </cell>
          <cell r="F98" t="str">
            <v>Kab. Belitung</v>
          </cell>
          <cell r="G98">
            <v>225.17899999999997</v>
          </cell>
          <cell r="H98">
            <v>4800.6000000000004</v>
          </cell>
          <cell r="I98">
            <v>26.962</v>
          </cell>
          <cell r="J98">
            <v>1.469338560734371</v>
          </cell>
          <cell r="K98">
            <v>103.51</v>
          </cell>
          <cell r="L98">
            <v>0.70544436617899309</v>
          </cell>
          <cell r="M98">
            <v>695.62</v>
          </cell>
          <cell r="N98">
            <v>22.005779999999998</v>
          </cell>
          <cell r="O98">
            <v>16.008410454550607</v>
          </cell>
          <cell r="P98">
            <v>7.72131282294737</v>
          </cell>
          <cell r="Q98">
            <v>8.8509510082886536</v>
          </cell>
          <cell r="R98">
            <v>72.873296536729441</v>
          </cell>
          <cell r="S98">
            <v>123.99915494977185</v>
          </cell>
          <cell r="T98">
            <v>11.97358545867954</v>
          </cell>
          <cell r="U98">
            <v>0.12271500176826826</v>
          </cell>
        </row>
        <row r="99">
          <cell r="E99">
            <v>91</v>
          </cell>
          <cell r="F99" t="str">
            <v xml:space="preserve">Kota Pangkal Pinang </v>
          </cell>
          <cell r="G99">
            <v>141.55600000000001</v>
          </cell>
          <cell r="H99">
            <v>89.4</v>
          </cell>
          <cell r="I99">
            <v>8.3190000000000008</v>
          </cell>
          <cell r="J99">
            <v>0.64389363496340335</v>
          </cell>
          <cell r="K99">
            <v>101.49</v>
          </cell>
          <cell r="L99">
            <v>0.62984893784035467</v>
          </cell>
          <cell r="M99">
            <v>556.66684030995725</v>
          </cell>
          <cell r="N99">
            <v>10.065799999999999</v>
          </cell>
          <cell r="O99">
            <v>14.474440247718888</v>
          </cell>
          <cell r="P99">
            <v>7.07431175294737</v>
          </cell>
          <cell r="Q99">
            <v>11.195638479268652</v>
          </cell>
          <cell r="R99">
            <v>50.076493152516228</v>
          </cell>
          <cell r="S99">
            <v>95.876274196297771</v>
          </cell>
          <cell r="T99">
            <v>5.8768261324140276</v>
          </cell>
          <cell r="U99">
            <v>0.10956486042899329</v>
          </cell>
        </row>
        <row r="100">
          <cell r="E100">
            <v>92</v>
          </cell>
          <cell r="F100" t="str">
            <v>Kab. Bengkulu Selatan</v>
          </cell>
          <cell r="G100">
            <v>393.36699999999996</v>
          </cell>
          <cell r="H100">
            <v>5955.59</v>
          </cell>
          <cell r="I100">
            <v>137.816</v>
          </cell>
          <cell r="J100">
            <v>7.212031460628082</v>
          </cell>
          <cell r="K100">
            <v>94.52</v>
          </cell>
          <cell r="L100">
            <v>1.1833712311800328</v>
          </cell>
          <cell r="M100">
            <v>614.37699999999995</v>
          </cell>
          <cell r="N100">
            <v>4.5951599999999999</v>
          </cell>
          <cell r="O100">
            <v>15.111530226770082</v>
          </cell>
          <cell r="P100">
            <v>1.8378315609473703</v>
          </cell>
          <cell r="Q100">
            <v>6.0551396836586537</v>
          </cell>
          <cell r="R100">
            <v>166.65133562045676</v>
          </cell>
          <cell r="S100">
            <v>210.9565870549753</v>
          </cell>
          <cell r="T100">
            <v>35.034967346015307</v>
          </cell>
          <cell r="U100">
            <v>0.2058523814051261</v>
          </cell>
        </row>
        <row r="101">
          <cell r="E101">
            <v>93</v>
          </cell>
          <cell r="F101" t="str">
            <v>Kab. Bengkulu Utara</v>
          </cell>
          <cell r="G101">
            <v>451.18700000000001</v>
          </cell>
          <cell r="H101">
            <v>9585.24</v>
          </cell>
          <cell r="I101">
            <v>102.334</v>
          </cell>
          <cell r="J101">
            <v>2.9271560777413912</v>
          </cell>
          <cell r="K101">
            <v>95.29</v>
          </cell>
          <cell r="L101">
            <v>0.74190384048495372</v>
          </cell>
          <cell r="M101">
            <v>416.202</v>
          </cell>
          <cell r="N101">
            <v>8.820170000000001</v>
          </cell>
          <cell r="O101">
            <v>12.923781877491919</v>
          </cell>
          <cell r="P101">
            <v>4.9652697969473696</v>
          </cell>
          <cell r="Q101">
            <v>8.892871161658654</v>
          </cell>
          <cell r="R101">
            <v>175.11626859963553</v>
          </cell>
          <cell r="S101">
            <v>218.32200498097939</v>
          </cell>
          <cell r="T101">
            <v>22.681061289443178</v>
          </cell>
          <cell r="U101">
            <v>0.12905728000937178</v>
          </cell>
        </row>
        <row r="102">
          <cell r="E102">
            <v>94</v>
          </cell>
          <cell r="F102" t="str">
            <v>Kab. Rejang Lebong</v>
          </cell>
          <cell r="G102">
            <v>440.512</v>
          </cell>
          <cell r="H102">
            <v>4109.8</v>
          </cell>
          <cell r="I102">
            <v>78.58</v>
          </cell>
          <cell r="J102">
            <v>2.5136628624875446</v>
          </cell>
          <cell r="K102">
            <v>95.9</v>
          </cell>
          <cell r="L102">
            <v>0.81006125287321207</v>
          </cell>
          <cell r="M102">
            <v>568.31261400929304</v>
          </cell>
          <cell r="N102">
            <v>7.5352399999999999</v>
          </cell>
          <cell r="O102">
            <v>14.603003498314518</v>
          </cell>
          <cell r="P102">
            <v>1.8334022109473702</v>
          </cell>
          <cell r="Q102">
            <v>10.441503938658654</v>
          </cell>
          <cell r="R102">
            <v>147.59921269859996</v>
          </cell>
          <cell r="S102">
            <v>198.96710449535937</v>
          </cell>
          <cell r="T102">
            <v>17.838333575475808</v>
          </cell>
          <cell r="U102">
            <v>0.14091354732503353</v>
          </cell>
        </row>
        <row r="103">
          <cell r="E103">
            <v>95</v>
          </cell>
          <cell r="F103" t="str">
            <v>Kota Bengkulu</v>
          </cell>
          <cell r="G103">
            <v>264.08199999999999</v>
          </cell>
          <cell r="H103">
            <v>144.52000000000001</v>
          </cell>
          <cell r="I103">
            <v>26.36</v>
          </cell>
          <cell r="J103">
            <v>1.8123520825420669</v>
          </cell>
          <cell r="K103">
            <v>94.92</v>
          </cell>
          <cell r="L103">
            <v>1.0437610281162064</v>
          </cell>
          <cell r="M103">
            <v>1344.816</v>
          </cell>
          <cell r="N103">
            <v>9.6858500000000003</v>
          </cell>
          <cell r="O103">
            <v>23.175194748018434</v>
          </cell>
          <cell r="P103">
            <v>1.8261559309473703</v>
          </cell>
          <cell r="Q103">
            <v>8.5094910676586544</v>
          </cell>
          <cell r="R103">
            <v>115.8822575331</v>
          </cell>
          <cell r="S103">
            <v>156.08278493883702</v>
          </cell>
          <cell r="T103">
            <v>9.9817480933952325</v>
          </cell>
          <cell r="U103">
            <v>0.18156660192028609</v>
          </cell>
        </row>
        <row r="104">
          <cell r="E104">
            <v>96</v>
          </cell>
          <cell r="F104" t="str">
            <v>Kab. Lampung Barat</v>
          </cell>
          <cell r="G104">
            <v>384.245</v>
          </cell>
          <cell r="H104">
            <v>4950.3999999999996</v>
          </cell>
          <cell r="I104">
            <v>82.692999999999998</v>
          </cell>
          <cell r="J104">
            <v>2.95</v>
          </cell>
          <cell r="K104">
            <v>94.45</v>
          </cell>
          <cell r="L104">
            <v>0.78800070222494389</v>
          </cell>
          <cell r="M104">
            <v>277.601</v>
          </cell>
          <cell r="N104">
            <v>5.3944200000000002</v>
          </cell>
          <cell r="O104">
            <v>11.393699329449518</v>
          </cell>
          <cell r="P104">
            <v>7.4491731539473705</v>
          </cell>
          <cell r="Q104">
            <v>11.701932235329048</v>
          </cell>
          <cell r="R104">
            <v>83.859984599999976</v>
          </cell>
          <cell r="S104">
            <v>149.38446008354589</v>
          </cell>
          <cell r="T104">
            <v>21.520904631159805</v>
          </cell>
          <cell r="U104">
            <v>0.13707602215423315</v>
          </cell>
        </row>
        <row r="105">
          <cell r="E105">
            <v>97</v>
          </cell>
          <cell r="F105" t="str">
            <v>Kab. Lampung Selatan</v>
          </cell>
          <cell r="G105">
            <v>1201.075</v>
          </cell>
          <cell r="H105">
            <v>3180.78</v>
          </cell>
          <cell r="I105">
            <v>340.9</v>
          </cell>
          <cell r="J105">
            <v>6.2255179942780972</v>
          </cell>
          <cell r="K105">
            <v>94.32</v>
          </cell>
          <cell r="L105">
            <v>1.2609089586359494</v>
          </cell>
          <cell r="M105">
            <v>1500.508</v>
          </cell>
          <cell r="N105">
            <v>11.928100000000001</v>
          </cell>
          <cell r="O105">
            <v>24.89395299701965</v>
          </cell>
          <cell r="P105">
            <v>7.4416068739473706</v>
          </cell>
          <cell r="Q105">
            <v>20.155797146780927</v>
          </cell>
          <cell r="R105">
            <v>233.6285331</v>
          </cell>
          <cell r="S105">
            <v>312.59228547107591</v>
          </cell>
          <cell r="T105">
            <v>28.382906979164495</v>
          </cell>
          <cell r="U105">
            <v>0.21934039380984355</v>
          </cell>
        </row>
        <row r="106">
          <cell r="E106">
            <v>98</v>
          </cell>
          <cell r="F106" t="str">
            <v>Kab. Lampung Tengah</v>
          </cell>
          <cell r="G106">
            <v>1114.5129999999999</v>
          </cell>
          <cell r="H106">
            <v>3961.51</v>
          </cell>
          <cell r="I106">
            <v>210.58199999999999</v>
          </cell>
          <cell r="J106">
            <v>2.8108343668217413</v>
          </cell>
          <cell r="K106">
            <v>92.55</v>
          </cell>
          <cell r="L106">
            <v>0.85519323908484635</v>
          </cell>
          <cell r="M106">
            <v>1409.1869999999999</v>
          </cell>
          <cell r="N106">
            <v>10.12501</v>
          </cell>
          <cell r="O106">
            <v>23.885816920297401</v>
          </cell>
          <cell r="P106">
            <v>7.4244173639473701</v>
          </cell>
          <cell r="Q106">
            <v>26.761754965751777</v>
          </cell>
          <cell r="R106">
            <v>249.25919219999992</v>
          </cell>
          <cell r="S106">
            <v>308.26845429994438</v>
          </cell>
          <cell r="T106">
            <v>18.894530615614176</v>
          </cell>
          <cell r="U106">
            <v>0.1487644453310159</v>
          </cell>
        </row>
        <row r="107">
          <cell r="E107">
            <v>99</v>
          </cell>
          <cell r="F107" t="str">
            <v>Kab. Lampung Utara</v>
          </cell>
          <cell r="G107">
            <v>560.10799999999995</v>
          </cell>
          <cell r="H107">
            <v>2724.81</v>
          </cell>
          <cell r="I107">
            <v>188.95</v>
          </cell>
          <cell r="J107">
            <v>5.060330876401026</v>
          </cell>
          <cell r="K107">
            <v>92.61</v>
          </cell>
          <cell r="L107">
            <v>0.86232088698564247</v>
          </cell>
          <cell r="M107">
            <v>756.18600000000004</v>
          </cell>
          <cell r="N107">
            <v>7.8632100000000005</v>
          </cell>
          <cell r="O107">
            <v>16.677027416944355</v>
          </cell>
          <cell r="P107">
            <v>7.4244173639473701</v>
          </cell>
          <cell r="Q107">
            <v>11.683921952291682</v>
          </cell>
          <cell r="R107">
            <v>158.75557860000001</v>
          </cell>
          <cell r="S107">
            <v>215.61</v>
          </cell>
          <cell r="T107">
            <v>33.734565476658076</v>
          </cell>
          <cell r="U107">
            <v>0.15000432953263962</v>
          </cell>
        </row>
        <row r="108">
          <cell r="E108">
            <v>100</v>
          </cell>
          <cell r="F108" t="str">
            <v>Kab. Lampung Timur</v>
          </cell>
          <cell r="G108">
            <v>911.05399999999997</v>
          </cell>
          <cell r="H108">
            <v>5325.03</v>
          </cell>
          <cell r="I108">
            <v>257.18900000000002</v>
          </cell>
          <cell r="J108">
            <v>5.9815783899847101</v>
          </cell>
          <cell r="K108">
            <v>94.47</v>
          </cell>
          <cell r="L108">
            <v>1.2180711008379301</v>
          </cell>
          <cell r="M108">
            <v>1046.088</v>
          </cell>
          <cell r="N108">
            <v>3.9674999999999998</v>
          </cell>
          <cell r="O108">
            <v>19.877393870596119</v>
          </cell>
          <cell r="P108">
            <v>17.139580563947369</v>
          </cell>
          <cell r="Q108">
            <v>13.706287141329849</v>
          </cell>
          <cell r="R108">
            <v>187.41962370000005</v>
          </cell>
          <cell r="S108">
            <v>257.02794259094509</v>
          </cell>
          <cell r="T108">
            <v>28.229830504009644</v>
          </cell>
          <cell r="U108">
            <v>0.21188856904879794</v>
          </cell>
        </row>
        <row r="109">
          <cell r="E109">
            <v>101</v>
          </cell>
          <cell r="F109" t="str">
            <v>Kab. Tanggamus</v>
          </cell>
          <cell r="G109">
            <v>827.42100000000005</v>
          </cell>
          <cell r="H109">
            <v>3356.61</v>
          </cell>
          <cell r="I109">
            <v>173.197</v>
          </cell>
          <cell r="J109">
            <v>4.5166977201586596</v>
          </cell>
          <cell r="K109">
            <v>95.12</v>
          </cell>
          <cell r="L109">
            <v>1.2404301445836365</v>
          </cell>
          <cell r="M109">
            <v>1031.1780000000001</v>
          </cell>
          <cell r="N109">
            <v>7.60738</v>
          </cell>
          <cell r="O109">
            <v>19.712795268917112</v>
          </cell>
          <cell r="P109">
            <v>7.4700503639473705</v>
          </cell>
          <cell r="Q109">
            <v>14.094855135694353</v>
          </cell>
          <cell r="R109">
            <v>203.80845450000004</v>
          </cell>
          <cell r="S109">
            <v>261.16299155756587</v>
          </cell>
          <cell r="T109">
            <v>20.932149413660035</v>
          </cell>
          <cell r="U109">
            <v>0.21577801834393195</v>
          </cell>
        </row>
        <row r="110">
          <cell r="E110">
            <v>102</v>
          </cell>
          <cell r="F110" t="str">
            <v>Kab. Tulang Bawang</v>
          </cell>
          <cell r="G110">
            <v>754.31299999999999</v>
          </cell>
          <cell r="H110">
            <v>7770.84</v>
          </cell>
          <cell r="I110">
            <v>126.289</v>
          </cell>
          <cell r="J110">
            <v>2.6836205803387987</v>
          </cell>
          <cell r="K110">
            <v>94.26</v>
          </cell>
          <cell r="L110">
            <v>0.92145110118711793</v>
          </cell>
          <cell r="M110">
            <v>811.40200000000004</v>
          </cell>
          <cell r="N110">
            <v>6.86273</v>
          </cell>
          <cell r="O110">
            <v>17.286583177528403</v>
          </cell>
          <cell r="P110">
            <v>7.4244173639473701</v>
          </cell>
          <cell r="Q110">
            <v>16.237241050298167</v>
          </cell>
          <cell r="R110">
            <v>108.90532170000003</v>
          </cell>
          <cell r="S110">
            <v>203.81196536039209</v>
          </cell>
          <cell r="T110">
            <v>16.742254210122322</v>
          </cell>
          <cell r="U110">
            <v>0.16029027791946254</v>
          </cell>
        </row>
        <row r="111">
          <cell r="E111">
            <v>103</v>
          </cell>
          <cell r="F111" t="str">
            <v>Kab. Way Kanan</v>
          </cell>
          <cell r="G111">
            <v>375.48599999999999</v>
          </cell>
          <cell r="H111">
            <v>3822</v>
          </cell>
          <cell r="I111">
            <v>112.25700000000001</v>
          </cell>
          <cell r="J111">
            <v>5.2173075073861561</v>
          </cell>
          <cell r="K111">
            <v>93.28</v>
          </cell>
          <cell r="L111">
            <v>1.0032100250362288</v>
          </cell>
          <cell r="M111">
            <v>343.73899999999998</v>
          </cell>
          <cell r="N111">
            <v>3.81732</v>
          </cell>
          <cell r="O111">
            <v>12.123828257541151</v>
          </cell>
          <cell r="P111">
            <v>7.4244173639473701</v>
          </cell>
          <cell r="Q111">
            <v>9.6519297097320766</v>
          </cell>
          <cell r="R111">
            <v>68.632140899999996</v>
          </cell>
          <cell r="S111">
            <v>136.82426813263669</v>
          </cell>
          <cell r="T111">
            <v>29.896454195362811</v>
          </cell>
          <cell r="U111">
            <v>0.17451258511437132</v>
          </cell>
        </row>
        <row r="112">
          <cell r="E112">
            <v>104</v>
          </cell>
          <cell r="F112" t="str">
            <v xml:space="preserve">Kota Bandar Lampung </v>
          </cell>
          <cell r="G112">
            <v>803.71100000000001</v>
          </cell>
          <cell r="H112">
            <v>192.93</v>
          </cell>
          <cell r="I112">
            <v>58.935000000000002</v>
          </cell>
          <cell r="J112">
            <v>1.3841798640377989</v>
          </cell>
          <cell r="K112">
            <v>93.01</v>
          </cell>
          <cell r="L112">
            <v>1.0851362284866219</v>
          </cell>
          <cell r="M112">
            <v>4123.9620000000004</v>
          </cell>
          <cell r="N112">
            <v>35.511800000000001</v>
          </cell>
          <cell r="O112">
            <v>53.855513021781576</v>
          </cell>
          <cell r="P112">
            <v>7.4244173639473701</v>
          </cell>
          <cell r="Q112">
            <v>22.286845627118346</v>
          </cell>
          <cell r="R112">
            <v>210.41873443161271</v>
          </cell>
          <cell r="S112">
            <v>243.04395160586756</v>
          </cell>
          <cell r="T112">
            <v>7.3328596970801696</v>
          </cell>
          <cell r="U112">
            <v>0.18876399129645938</v>
          </cell>
        </row>
        <row r="113">
          <cell r="E113">
            <v>105</v>
          </cell>
          <cell r="F113" t="str">
            <v>Kota Metro</v>
          </cell>
          <cell r="G113">
            <v>131.82599999999999</v>
          </cell>
          <cell r="H113">
            <v>61.79</v>
          </cell>
          <cell r="I113">
            <v>10.725</v>
          </cell>
          <cell r="J113">
            <v>0.9779342792377741</v>
          </cell>
          <cell r="K113">
            <v>93.36</v>
          </cell>
          <cell r="L113">
            <v>0.69100080716582013</v>
          </cell>
          <cell r="M113">
            <v>248.471</v>
          </cell>
          <cell r="N113">
            <v>10.098040000000001</v>
          </cell>
          <cell r="O113">
            <v>11.07211936520341</v>
          </cell>
          <cell r="P113">
            <v>7.4244173639473701</v>
          </cell>
          <cell r="Q113">
            <v>7.4303683615003067</v>
          </cell>
          <cell r="R113">
            <v>71.732010899999992</v>
          </cell>
          <cell r="S113">
            <v>116.05</v>
          </cell>
          <cell r="T113">
            <v>8.1357243639342762</v>
          </cell>
          <cell r="U113">
            <v>0.12020248419095461</v>
          </cell>
        </row>
        <row r="114">
          <cell r="E114">
            <v>106</v>
          </cell>
          <cell r="F114" t="str">
            <v>Kab. Bandung</v>
          </cell>
          <cell r="G114">
            <v>4097.366</v>
          </cell>
          <cell r="H114">
            <v>3073.69</v>
          </cell>
          <cell r="I114">
            <v>483.608</v>
          </cell>
          <cell r="J114">
            <v>1.9205437088239403</v>
          </cell>
          <cell r="K114">
            <v>89.57</v>
          </cell>
          <cell r="L114">
            <v>0.93540694461626062</v>
          </cell>
          <cell r="M114">
            <v>7196.9739200000004</v>
          </cell>
          <cell r="N114">
            <v>99.760580000000004</v>
          </cell>
          <cell r="O114">
            <v>87.779957352762366</v>
          </cell>
          <cell r="P114">
            <v>16.247232883947369</v>
          </cell>
          <cell r="Q114">
            <v>78.777045656658657</v>
          </cell>
          <cell r="R114">
            <v>594.06153494909995</v>
          </cell>
          <cell r="S114">
            <v>757.2850116536672</v>
          </cell>
          <cell r="T114">
            <v>11.802899716549607</v>
          </cell>
          <cell r="U114">
            <v>0.16271795532847086</v>
          </cell>
        </row>
        <row r="115">
          <cell r="E115">
            <v>107</v>
          </cell>
          <cell r="F115" t="str">
            <v>Kab. Bekasi</v>
          </cell>
          <cell r="G115">
            <v>1934.0039999999999</v>
          </cell>
          <cell r="H115">
            <v>1082.68</v>
          </cell>
          <cell r="I115">
            <v>121.679</v>
          </cell>
          <cell r="J115">
            <v>1.2914923883168257</v>
          </cell>
          <cell r="K115">
            <v>92.27</v>
          </cell>
          <cell r="L115">
            <v>1.1800453516508604</v>
          </cell>
          <cell r="M115">
            <v>4864.8025299999999</v>
          </cell>
          <cell r="N115">
            <v>100.75324000000001</v>
          </cell>
          <cell r="O115">
            <v>62.03400499395697</v>
          </cell>
          <cell r="P115">
            <v>20.025081303947371</v>
          </cell>
          <cell r="Q115">
            <v>159.56786163365865</v>
          </cell>
          <cell r="R115">
            <v>176.22920920320001</v>
          </cell>
          <cell r="S115">
            <v>248.16111568010672</v>
          </cell>
          <cell r="T115">
            <v>6.2915588592371066</v>
          </cell>
          <cell r="U115">
            <v>0.20527383073285396</v>
          </cell>
        </row>
        <row r="116">
          <cell r="E116">
            <v>108</v>
          </cell>
          <cell r="F116" t="str">
            <v>Kab. Bogor</v>
          </cell>
          <cell r="G116">
            <v>3797.875</v>
          </cell>
          <cell r="H116">
            <v>3357.92</v>
          </cell>
          <cell r="I116">
            <v>453.36</v>
          </cell>
          <cell r="J116">
            <v>2.0599072300739163</v>
          </cell>
          <cell r="K116">
            <v>92.99</v>
          </cell>
          <cell r="L116">
            <v>0.99199672968712105</v>
          </cell>
          <cell r="M116">
            <v>4303.9031799999993</v>
          </cell>
          <cell r="N116">
            <v>148.92178167842002</v>
          </cell>
          <cell r="O116">
            <v>55.84196953502574</v>
          </cell>
          <cell r="P116">
            <v>19.949395203947372</v>
          </cell>
          <cell r="Q116">
            <v>111.22273570865865</v>
          </cell>
          <cell r="R116">
            <v>341.32405075889994</v>
          </cell>
          <cell r="S116">
            <v>556.96343505387176</v>
          </cell>
          <cell r="T116">
            <v>11.937201724648652</v>
          </cell>
          <cell r="U116">
            <v>0.17256198542917273</v>
          </cell>
        </row>
        <row r="117">
          <cell r="E117">
            <v>109</v>
          </cell>
          <cell r="F117" t="str">
            <v>Kab. Ciamis</v>
          </cell>
          <cell r="G117">
            <v>1671.328</v>
          </cell>
          <cell r="H117">
            <v>2557.4899999999998</v>
          </cell>
          <cell r="I117">
            <v>238.82900000000001</v>
          </cell>
          <cell r="J117">
            <v>2.6046623193939626</v>
          </cell>
          <cell r="K117">
            <v>92.03</v>
          </cell>
          <cell r="L117">
            <v>1.0478308184473206</v>
          </cell>
          <cell r="M117">
            <v>3738.83637</v>
          </cell>
          <cell r="N117">
            <v>27.85697</v>
          </cell>
          <cell r="O117">
            <v>49.603927497385392</v>
          </cell>
          <cell r="P117">
            <v>16.522725103947369</v>
          </cell>
          <cell r="Q117">
            <v>16.401521656658655</v>
          </cell>
          <cell r="R117">
            <v>400.46095999542507</v>
          </cell>
          <cell r="S117">
            <v>451.65081247869961</v>
          </cell>
          <cell r="T117">
            <v>14.289774359072545</v>
          </cell>
          <cell r="U117">
            <v>0.18227455899191777</v>
          </cell>
        </row>
        <row r="118">
          <cell r="E118">
            <v>110</v>
          </cell>
          <cell r="F118" t="str">
            <v>Kab. Cianjur</v>
          </cell>
          <cell r="G118">
            <v>2063.6819999999998</v>
          </cell>
          <cell r="H118">
            <v>3460.82</v>
          </cell>
          <cell r="I118">
            <v>357.92</v>
          </cell>
          <cell r="J118">
            <v>2.423087047942138</v>
          </cell>
          <cell r="K118">
            <v>91.09</v>
          </cell>
          <cell r="L118">
            <v>0.80313940968222997</v>
          </cell>
          <cell r="M118">
            <v>3740.8273399999998</v>
          </cell>
          <cell r="N118">
            <v>31.68798</v>
          </cell>
          <cell r="O118">
            <v>49.62590676485587</v>
          </cell>
          <cell r="P118">
            <v>16.46008183394737</v>
          </cell>
          <cell r="Q118">
            <v>36.082756489658649</v>
          </cell>
          <cell r="R118">
            <v>305.19692783853583</v>
          </cell>
          <cell r="S118">
            <v>411.22019335684701</v>
          </cell>
          <cell r="T118">
            <v>17.343757419990098</v>
          </cell>
          <cell r="U118">
            <v>0.13970946371455428</v>
          </cell>
        </row>
        <row r="119">
          <cell r="E119">
            <v>111</v>
          </cell>
          <cell r="F119" t="str">
            <v>Kab. Cirebon</v>
          </cell>
          <cell r="G119">
            <v>2058.625</v>
          </cell>
          <cell r="H119">
            <v>990.92</v>
          </cell>
          <cell r="I119">
            <v>341.18200000000002</v>
          </cell>
          <cell r="J119">
            <v>2.5787930583749299</v>
          </cell>
          <cell r="K119">
            <v>90.96</v>
          </cell>
          <cell r="L119">
            <v>0.89448432803975053</v>
          </cell>
          <cell r="M119">
            <v>2703.8232793562192</v>
          </cell>
          <cell r="N119">
            <v>45.16545</v>
          </cell>
          <cell r="O119">
            <v>38.177924315666104</v>
          </cell>
          <cell r="P119">
            <v>16.242081303947369</v>
          </cell>
          <cell r="Q119">
            <v>26.482232583658654</v>
          </cell>
          <cell r="R119">
            <v>287.94849985439993</v>
          </cell>
          <cell r="S119">
            <v>407.41637914738004</v>
          </cell>
          <cell r="T119">
            <v>16.573295282045056</v>
          </cell>
          <cell r="U119">
            <v>0.1555992947985852</v>
          </cell>
        </row>
        <row r="120">
          <cell r="E120">
            <v>112</v>
          </cell>
          <cell r="F120" t="str">
            <v>Kab. Garut</v>
          </cell>
          <cell r="G120">
            <v>2204.1750000000002</v>
          </cell>
          <cell r="H120">
            <v>3065.19</v>
          </cell>
          <cell r="I120">
            <v>338.25</v>
          </cell>
          <cell r="J120">
            <v>2.4415928846358117</v>
          </cell>
          <cell r="K120">
            <v>89.93</v>
          </cell>
          <cell r="L120">
            <v>0.91463249965983162</v>
          </cell>
          <cell r="M120">
            <v>3723.8370599999998</v>
          </cell>
          <cell r="N120">
            <v>30.31146</v>
          </cell>
          <cell r="O120">
            <v>49.438342960017856</v>
          </cell>
          <cell r="P120">
            <v>16.250150443947369</v>
          </cell>
          <cell r="Q120">
            <v>20.615703664658653</v>
          </cell>
          <cell r="R120">
            <v>391.09514369999999</v>
          </cell>
          <cell r="S120">
            <v>490.6108624542826</v>
          </cell>
          <cell r="T120">
            <v>15.345877709347032</v>
          </cell>
          <cell r="U120">
            <v>0.15910415362874031</v>
          </cell>
        </row>
        <row r="121">
          <cell r="E121">
            <v>113</v>
          </cell>
          <cell r="F121" t="str">
            <v>Kab. Indramayu</v>
          </cell>
          <cell r="G121">
            <v>1656.6469999999999</v>
          </cell>
          <cell r="H121">
            <v>1862.61</v>
          </cell>
          <cell r="I121">
            <v>273.02499999999998</v>
          </cell>
          <cell r="J121">
            <v>1.8847111042467379</v>
          </cell>
          <cell r="K121">
            <v>91.5</v>
          </cell>
          <cell r="L121">
            <v>0.65741175208901703</v>
          </cell>
          <cell r="M121">
            <v>3297.1593625718924</v>
          </cell>
          <cell r="N121">
            <v>34.037589999999994</v>
          </cell>
          <cell r="O121">
            <v>44.728044344036277</v>
          </cell>
          <cell r="P121">
            <v>40.678177413947374</v>
          </cell>
          <cell r="Q121">
            <v>36.789288844658657</v>
          </cell>
          <cell r="R121">
            <v>244.28877515369999</v>
          </cell>
          <cell r="S121">
            <v>333.71209792138217</v>
          </cell>
          <cell r="T121">
            <v>16.480577938450374</v>
          </cell>
          <cell r="U121">
            <v>0.11435952739555155</v>
          </cell>
        </row>
        <row r="122">
          <cell r="E122">
            <v>114</v>
          </cell>
          <cell r="F122" t="str">
            <v xml:space="preserve">Kab. Karawang    </v>
          </cell>
          <cell r="G122">
            <v>1902.537</v>
          </cell>
          <cell r="H122">
            <v>1578.45</v>
          </cell>
          <cell r="I122">
            <v>252.07</v>
          </cell>
          <cell r="J122">
            <v>1.5351013822818615</v>
          </cell>
          <cell r="K122">
            <v>92.46</v>
          </cell>
          <cell r="L122">
            <v>0.66606118301686223</v>
          </cell>
          <cell r="M122">
            <v>4928.42</v>
          </cell>
          <cell r="N122">
            <v>67.664419999999993</v>
          </cell>
          <cell r="O122">
            <v>62.736308589151889</v>
          </cell>
          <cell r="P122">
            <v>76.90508130394737</v>
          </cell>
          <cell r="Q122">
            <v>80.41531283865865</v>
          </cell>
          <cell r="R122">
            <v>259.8764210999999</v>
          </cell>
          <cell r="S122">
            <v>327.96</v>
          </cell>
          <cell r="T122">
            <v>13.249151002056728</v>
          </cell>
          <cell r="U122">
            <v>0.11586413212767827</v>
          </cell>
        </row>
        <row r="123">
          <cell r="E123">
            <v>115</v>
          </cell>
          <cell r="F123" t="str">
            <v>Kab. Kuningan</v>
          </cell>
          <cell r="G123">
            <v>1038.596</v>
          </cell>
          <cell r="H123">
            <v>1117</v>
          </cell>
          <cell r="I123">
            <v>196.751</v>
          </cell>
          <cell r="J123">
            <v>3.1117805176764306</v>
          </cell>
          <cell r="K123">
            <v>89.92</v>
          </cell>
          <cell r="L123">
            <v>0.94428646813517392</v>
          </cell>
          <cell r="M123">
            <v>1532.4758903985598</v>
          </cell>
          <cell r="N123">
            <v>20.51118</v>
          </cell>
          <cell r="O123">
            <v>25.246861786974762</v>
          </cell>
          <cell r="P123">
            <v>16.294366443947371</v>
          </cell>
          <cell r="Q123">
            <v>12.865687957658654</v>
          </cell>
          <cell r="R123">
            <v>231.62308248783634</v>
          </cell>
          <cell r="S123">
            <v>293.53353367379299</v>
          </cell>
          <cell r="T123">
            <v>18.943939703214724</v>
          </cell>
          <cell r="U123">
            <v>0.16426258563039936</v>
          </cell>
        </row>
        <row r="124">
          <cell r="E124">
            <v>116</v>
          </cell>
          <cell r="F124" t="str">
            <v>Kab. Majalengka</v>
          </cell>
          <cell r="G124">
            <v>1161.7850000000001</v>
          </cell>
          <cell r="H124">
            <v>1204.24</v>
          </cell>
          <cell r="I124">
            <v>201.98</v>
          </cell>
          <cell r="J124">
            <v>3.1299916679967144</v>
          </cell>
          <cell r="K124">
            <v>91.68</v>
          </cell>
          <cell r="L124">
            <v>1.0349650637338117</v>
          </cell>
          <cell r="M124">
            <v>1639.4324276775062</v>
          </cell>
          <cell r="N124">
            <v>23.867349999999998</v>
          </cell>
          <cell r="O124">
            <v>26.427606017460562</v>
          </cell>
          <cell r="P124">
            <v>17.54908467394737</v>
          </cell>
          <cell r="Q124">
            <v>15.736203550658654</v>
          </cell>
          <cell r="R124">
            <v>244.75936233576053</v>
          </cell>
          <cell r="S124">
            <v>308.1615350581651</v>
          </cell>
          <cell r="T124">
            <v>17.385316560292996</v>
          </cell>
          <cell r="U124">
            <v>0.18003650708008531</v>
          </cell>
        </row>
        <row r="125">
          <cell r="E125">
            <v>117</v>
          </cell>
          <cell r="F125" t="str">
            <v>Kab. Purwakarta</v>
          </cell>
          <cell r="G125">
            <v>763.74300000000005</v>
          </cell>
          <cell r="H125">
            <v>971.72</v>
          </cell>
          <cell r="I125">
            <v>95.519000000000005</v>
          </cell>
          <cell r="J125">
            <v>1.9062382720172815</v>
          </cell>
          <cell r="K125">
            <v>90.61</v>
          </cell>
          <cell r="L125">
            <v>0.87619298516544963</v>
          </cell>
          <cell r="M125">
            <v>2528.5307499999999</v>
          </cell>
          <cell r="N125">
            <v>37.697400000000002</v>
          </cell>
          <cell r="O125">
            <v>36.242786474163069</v>
          </cell>
          <cell r="P125">
            <v>16.356297723947371</v>
          </cell>
          <cell r="Q125">
            <v>32.332833416658659</v>
          </cell>
          <cell r="R125">
            <v>138.76936271310001</v>
          </cell>
          <cell r="S125">
            <v>196.90663422639287</v>
          </cell>
          <cell r="T125">
            <v>12.506694005706107</v>
          </cell>
          <cell r="U125">
            <v>0.15241743910481628</v>
          </cell>
        </row>
        <row r="126">
          <cell r="E126">
            <v>118</v>
          </cell>
          <cell r="F126" t="str">
            <v xml:space="preserve">Kab. Subang          </v>
          </cell>
          <cell r="G126">
            <v>1387.511</v>
          </cell>
          <cell r="H126">
            <v>1864</v>
          </cell>
          <cell r="I126">
            <v>202.464</v>
          </cell>
          <cell r="J126">
            <v>2.0046163441819642</v>
          </cell>
          <cell r="K126">
            <v>89.8</v>
          </cell>
          <cell r="L126">
            <v>0.78974157311565585</v>
          </cell>
          <cell r="M126">
            <v>2907.7370000000001</v>
          </cell>
          <cell r="N126">
            <v>36.766589999999994</v>
          </cell>
          <cell r="O126">
            <v>40.429025139350216</v>
          </cell>
          <cell r="P126">
            <v>79.899206593947383</v>
          </cell>
          <cell r="Q126">
            <v>28.271956025658653</v>
          </cell>
          <cell r="R126">
            <v>238.44032257439997</v>
          </cell>
          <cell r="S126">
            <v>313.19606143254026</v>
          </cell>
          <cell r="T126">
            <v>14.591884316592807</v>
          </cell>
          <cell r="U126">
            <v>0.13737885393612004</v>
          </cell>
        </row>
        <row r="127">
          <cell r="E127">
            <v>119</v>
          </cell>
          <cell r="F127" t="str">
            <v>Kab. Sukabumi</v>
          </cell>
          <cell r="G127">
            <v>2190.08</v>
          </cell>
          <cell r="H127">
            <v>3947.83</v>
          </cell>
          <cell r="I127">
            <v>321.43599999999998</v>
          </cell>
          <cell r="J127">
            <v>2.6077028134966311</v>
          </cell>
          <cell r="K127">
            <v>90.47</v>
          </cell>
          <cell r="L127">
            <v>1.0213831083840827</v>
          </cell>
          <cell r="M127">
            <v>3030.4990699999998</v>
          </cell>
          <cell r="N127">
            <v>32.227519999999998</v>
          </cell>
          <cell r="O127">
            <v>41.784254184368358</v>
          </cell>
          <cell r="P127">
            <v>16.50144477394737</v>
          </cell>
          <cell r="Q127">
            <v>31.150944835658656</v>
          </cell>
          <cell r="R127">
            <v>275.57052616679994</v>
          </cell>
          <cell r="S127">
            <v>418.18287953552624</v>
          </cell>
          <cell r="T127">
            <v>14.676906779661017</v>
          </cell>
          <cell r="U127">
            <v>0.1776738690682656</v>
          </cell>
        </row>
        <row r="128">
          <cell r="E128">
            <v>120</v>
          </cell>
          <cell r="F128" t="str">
            <v>Kab. Sumedang</v>
          </cell>
          <cell r="G128">
            <v>1025.5719999999999</v>
          </cell>
          <cell r="H128">
            <v>1421.82</v>
          </cell>
          <cell r="I128">
            <v>120.276</v>
          </cell>
          <cell r="J128">
            <v>1.5805146955900045</v>
          </cell>
          <cell r="K128">
            <v>89.34</v>
          </cell>
          <cell r="L128">
            <v>0.7747308118008992</v>
          </cell>
          <cell r="M128">
            <v>1750.9545261273049</v>
          </cell>
          <cell r="N128">
            <v>41.752449999999996</v>
          </cell>
          <cell r="O128">
            <v>27.658751655364352</v>
          </cell>
          <cell r="P128">
            <v>16.385951423947372</v>
          </cell>
          <cell r="Q128">
            <v>17.016939448658654</v>
          </cell>
          <cell r="R128">
            <v>253.37338565249996</v>
          </cell>
          <cell r="S128">
            <v>301.08850532012963</v>
          </cell>
          <cell r="T128">
            <v>11.727699274161152</v>
          </cell>
          <cell r="U128">
            <v>0.13476766914310684</v>
          </cell>
        </row>
        <row r="129">
          <cell r="E129">
            <v>121</v>
          </cell>
          <cell r="F129" t="str">
            <v>Kab. Tasikmalaya</v>
          </cell>
          <cell r="G129">
            <v>1616.8579999999999</v>
          </cell>
          <cell r="H129">
            <v>2568.61</v>
          </cell>
          <cell r="I129">
            <v>260.89800000000002</v>
          </cell>
          <cell r="J129">
            <v>2.7164084597602067</v>
          </cell>
          <cell r="K129">
            <v>91.93</v>
          </cell>
          <cell r="L129">
            <v>0.96774584584319279</v>
          </cell>
          <cell r="M129">
            <v>2316.3006399999999</v>
          </cell>
          <cell r="N129">
            <v>18.659209999999998</v>
          </cell>
          <cell r="O129">
            <v>33.899877061676008</v>
          </cell>
          <cell r="P129">
            <v>16.323560193947369</v>
          </cell>
          <cell r="Q129">
            <v>15.761279255658653</v>
          </cell>
          <cell r="R129">
            <v>300.63001691460005</v>
          </cell>
          <cell r="S129">
            <v>387.80083587269115</v>
          </cell>
          <cell r="T129">
            <v>16.136110901513927</v>
          </cell>
          <cell r="U129">
            <v>0.16834344262627415</v>
          </cell>
        </row>
        <row r="130">
          <cell r="E130">
            <v>122</v>
          </cell>
          <cell r="F130" t="str">
            <v>Kota Bandung</v>
          </cell>
          <cell r="G130">
            <v>2239.7570000000001</v>
          </cell>
          <cell r="H130">
            <v>168.06</v>
          </cell>
          <cell r="I130">
            <v>75.472999999999999</v>
          </cell>
          <cell r="J130">
            <v>0.41764150444796438</v>
          </cell>
          <cell r="K130">
            <v>89.72</v>
          </cell>
          <cell r="L130">
            <v>0.7124888172657845</v>
          </cell>
          <cell r="M130">
            <v>14437.002</v>
          </cell>
          <cell r="N130">
            <v>213.02946</v>
          </cell>
          <cell r="O130">
            <v>167.70608063141782</v>
          </cell>
          <cell r="P130">
            <v>16.242081303947369</v>
          </cell>
          <cell r="Q130">
            <v>167.93972053165868</v>
          </cell>
          <cell r="R130">
            <v>449.37182471507776</v>
          </cell>
          <cell r="S130">
            <v>434.5023569559728</v>
          </cell>
          <cell r="T130">
            <v>3.3696959089758396</v>
          </cell>
          <cell r="U130">
            <v>0.12394041353568289</v>
          </cell>
        </row>
        <row r="131">
          <cell r="E131">
            <v>123</v>
          </cell>
          <cell r="F131" t="str">
            <v>Kota Bekasi</v>
          </cell>
          <cell r="G131">
            <v>1941.0650000000001</v>
          </cell>
          <cell r="H131">
            <v>210.49</v>
          </cell>
          <cell r="I131">
            <v>58.2</v>
          </cell>
          <cell r="J131">
            <v>0.51052887966987726</v>
          </cell>
          <cell r="K131">
            <v>91.14</v>
          </cell>
          <cell r="L131">
            <v>0.97881929077139096</v>
          </cell>
          <cell r="M131">
            <v>5496.2979999999998</v>
          </cell>
          <cell r="N131">
            <v>85.882559999999998</v>
          </cell>
          <cell r="O131">
            <v>69.005384694066151</v>
          </cell>
          <cell r="P131">
            <v>16.242081303947369</v>
          </cell>
          <cell r="Q131">
            <v>77.069032302658655</v>
          </cell>
          <cell r="R131">
            <v>170.30094829710004</v>
          </cell>
          <cell r="S131">
            <v>275.76155255812739</v>
          </cell>
          <cell r="T131">
            <v>2.9983539963885804</v>
          </cell>
          <cell r="U131">
            <v>0.17026971474508767</v>
          </cell>
        </row>
        <row r="132">
          <cell r="E132">
            <v>124</v>
          </cell>
          <cell r="F132" t="str">
            <v>Kota Bogor</v>
          </cell>
          <cell r="G132">
            <v>907.61400000000003</v>
          </cell>
          <cell r="H132">
            <v>112.74</v>
          </cell>
          <cell r="I132">
            <v>67.694999999999993</v>
          </cell>
          <cell r="J132">
            <v>1.02</v>
          </cell>
          <cell r="K132">
            <v>90.34</v>
          </cell>
          <cell r="L132">
            <v>0.78615807015189765</v>
          </cell>
          <cell r="M132">
            <v>2246.0730680932083</v>
          </cell>
          <cell r="N132">
            <v>41.454149999999998</v>
          </cell>
          <cell r="O132">
            <v>33.12460139868675</v>
          </cell>
          <cell r="P132">
            <v>16.242081303947369</v>
          </cell>
          <cell r="Q132">
            <v>44.522871801658653</v>
          </cell>
          <cell r="R132">
            <v>138.4807114603185</v>
          </cell>
          <cell r="S132">
            <v>201.10764146378443</v>
          </cell>
          <cell r="T132">
            <v>7.4585671882540368</v>
          </cell>
          <cell r="U132">
            <v>0.13675548858852207</v>
          </cell>
        </row>
        <row r="133">
          <cell r="E133">
            <v>125</v>
          </cell>
          <cell r="F133" t="str">
            <v>Kota Cirebon</v>
          </cell>
          <cell r="G133">
            <v>275.22800000000001</v>
          </cell>
          <cell r="H133">
            <v>37.36</v>
          </cell>
          <cell r="I133">
            <v>20.66</v>
          </cell>
          <cell r="J133">
            <v>1.1517124693139662</v>
          </cell>
          <cell r="K133">
            <v>90.87</v>
          </cell>
          <cell r="L133">
            <v>0.88200587389462948</v>
          </cell>
          <cell r="M133">
            <v>3047.31423</v>
          </cell>
          <cell r="N133">
            <v>29.347619999999999</v>
          </cell>
          <cell r="O133">
            <v>41.969884755998727</v>
          </cell>
          <cell r="P133">
            <v>16.242081303947369</v>
          </cell>
          <cell r="Q133">
            <v>19.961547566658652</v>
          </cell>
          <cell r="R133">
            <v>105.37792820760001</v>
          </cell>
          <cell r="S133">
            <v>139.4307779784468</v>
          </cell>
          <cell r="T133">
            <v>7.5065036987515805</v>
          </cell>
          <cell r="U133">
            <v>0.15342861544256742</v>
          </cell>
        </row>
        <row r="134">
          <cell r="E134">
            <v>126</v>
          </cell>
          <cell r="F134" t="str">
            <v>Kota Depok</v>
          </cell>
          <cell r="G134">
            <v>1320.7729999999999</v>
          </cell>
          <cell r="H134">
            <v>200.29</v>
          </cell>
          <cell r="I134">
            <v>63.97</v>
          </cell>
          <cell r="J134">
            <v>0.86588547662848669</v>
          </cell>
          <cell r="K134">
            <v>92.2</v>
          </cell>
          <cell r="L134">
            <v>1.0277261293426154</v>
          </cell>
          <cell r="M134">
            <v>2654.8805200000002</v>
          </cell>
          <cell r="N134">
            <v>42.581480000000006</v>
          </cell>
          <cell r="O134">
            <v>37.637621850720038</v>
          </cell>
          <cell r="P134">
            <v>16.242081303947369</v>
          </cell>
          <cell r="Q134">
            <v>59.173008986658658</v>
          </cell>
          <cell r="R134">
            <v>115.20874772039998</v>
          </cell>
          <cell r="S134">
            <v>227.62666454418675</v>
          </cell>
          <cell r="T134">
            <v>4.8433758109834173</v>
          </cell>
          <cell r="U134">
            <v>0.1787772641274091</v>
          </cell>
        </row>
        <row r="135">
          <cell r="E135">
            <v>127</v>
          </cell>
          <cell r="F135" t="str">
            <v>Kota Sukabumi</v>
          </cell>
          <cell r="G135">
            <v>275.55</v>
          </cell>
          <cell r="H135">
            <v>48</v>
          </cell>
          <cell r="I135">
            <v>16.838999999999999</v>
          </cell>
          <cell r="J135">
            <v>0.77015332890934118</v>
          </cell>
          <cell r="K135">
            <v>92.01</v>
          </cell>
          <cell r="L135">
            <v>0.72448004339799832</v>
          </cell>
          <cell r="M135">
            <v>1285.5916767963524</v>
          </cell>
          <cell r="N135">
            <v>26.347639999999998</v>
          </cell>
          <cell r="O135">
            <v>22.521389195724268</v>
          </cell>
          <cell r="P135">
            <v>16.242081303947369</v>
          </cell>
          <cell r="Q135">
            <v>12.781092136658653</v>
          </cell>
          <cell r="R135">
            <v>83.493346721099996</v>
          </cell>
          <cell r="S135">
            <v>126.82407253518663</v>
          </cell>
          <cell r="T135">
            <v>6.1110506260206847</v>
          </cell>
          <cell r="U135">
            <v>0.12602633753843401</v>
          </cell>
        </row>
        <row r="136">
          <cell r="E136">
            <v>128</v>
          </cell>
          <cell r="F136" t="str">
            <v>Kota Cimahi</v>
          </cell>
          <cell r="G136">
            <v>504.77199999999999</v>
          </cell>
          <cell r="H136">
            <v>39.270000000000003</v>
          </cell>
          <cell r="I136">
            <v>43.5</v>
          </cell>
          <cell r="J136">
            <v>1.4358356779853405</v>
          </cell>
          <cell r="K136">
            <v>91.15</v>
          </cell>
          <cell r="L136">
            <v>0.95780224673296976</v>
          </cell>
          <cell r="M136">
            <v>1100.6614340429501</v>
          </cell>
          <cell r="N136">
            <v>30.16037</v>
          </cell>
          <cell r="O136">
            <v>20.479856039093178</v>
          </cell>
          <cell r="P136">
            <v>16.242081303947369</v>
          </cell>
          <cell r="Q136">
            <v>18.513157204658654</v>
          </cell>
          <cell r="R136">
            <v>92.693276911799998</v>
          </cell>
          <cell r="S136">
            <v>145.80238587763859</v>
          </cell>
          <cell r="T136">
            <v>8.6177521732584221</v>
          </cell>
          <cell r="U136">
            <v>0.1666137119190842</v>
          </cell>
        </row>
        <row r="137">
          <cell r="E137">
            <v>129</v>
          </cell>
          <cell r="F137" t="str">
            <v>Kota Tasikmalaya</v>
          </cell>
          <cell r="G137">
            <v>575.73199999999997</v>
          </cell>
          <cell r="H137">
            <v>171.56</v>
          </cell>
          <cell r="I137">
            <v>48.610999999999997</v>
          </cell>
          <cell r="J137">
            <v>1.427581253819711</v>
          </cell>
          <cell r="K137">
            <v>92.05</v>
          </cell>
          <cell r="L137">
            <v>0.97196754018413567</v>
          </cell>
          <cell r="M137">
            <v>1684.3324499999999</v>
          </cell>
          <cell r="N137">
            <v>26.393599999999999</v>
          </cell>
          <cell r="O137">
            <v>26.923278780011781</v>
          </cell>
          <cell r="P137">
            <v>16.242081303947369</v>
          </cell>
          <cell r="Q137">
            <v>12.419231763658654</v>
          </cell>
          <cell r="R137">
            <v>144.5172976023</v>
          </cell>
          <cell r="S137">
            <v>192.83889034953575</v>
          </cell>
          <cell r="T137">
            <v>8.4433382198661882</v>
          </cell>
          <cell r="U137">
            <v>0.16907782403656166</v>
          </cell>
        </row>
        <row r="138">
          <cell r="E138">
            <v>130</v>
          </cell>
          <cell r="F138" t="str">
            <v>Kab. Lebak</v>
          </cell>
          <cell r="G138">
            <v>1134.066</v>
          </cell>
          <cell r="H138">
            <v>3044.72</v>
          </cell>
          <cell r="I138">
            <v>138.01599999999999</v>
          </cell>
          <cell r="J138">
            <v>1.7958200732721277</v>
          </cell>
          <cell r="K138">
            <v>92.37</v>
          </cell>
          <cell r="L138">
            <v>0.84827531071922424</v>
          </cell>
          <cell r="M138">
            <v>1741.1330247456497</v>
          </cell>
          <cell r="N138">
            <v>14.11867</v>
          </cell>
          <cell r="O138">
            <v>27.550327417013655</v>
          </cell>
          <cell r="P138">
            <v>1.49366072394737</v>
          </cell>
          <cell r="Q138">
            <v>16.08757315993148</v>
          </cell>
          <cell r="R138">
            <v>173.31566670000001</v>
          </cell>
          <cell r="S138">
            <v>264.40077099810486</v>
          </cell>
          <cell r="T138">
            <v>12.170014796316968</v>
          </cell>
          <cell r="U138">
            <v>0.14756104272080259</v>
          </cell>
        </row>
        <row r="139">
          <cell r="E139">
            <v>131</v>
          </cell>
          <cell r="F139" t="str">
            <v>Kab. Pandeglang</v>
          </cell>
          <cell r="G139">
            <v>1101.876</v>
          </cell>
          <cell r="H139">
            <v>2746.91</v>
          </cell>
          <cell r="I139">
            <v>151.547</v>
          </cell>
          <cell r="J139">
            <v>1.9890558450944975</v>
          </cell>
          <cell r="K139">
            <v>91.16</v>
          </cell>
          <cell r="L139">
            <v>0.8313759714777178</v>
          </cell>
          <cell r="M139">
            <v>1886.9037800000001</v>
          </cell>
          <cell r="N139">
            <v>14.77023</v>
          </cell>
          <cell r="O139">
            <v>29.159560313094069</v>
          </cell>
          <cell r="P139">
            <v>1.21743690394737</v>
          </cell>
          <cell r="Q139">
            <v>17.685229056723177</v>
          </cell>
          <cell r="R139">
            <v>198.6220209423</v>
          </cell>
          <cell r="S139">
            <v>284.43065104608638</v>
          </cell>
          <cell r="T139">
            <v>13.753543955944226</v>
          </cell>
          <cell r="U139">
            <v>0.14462133188841381</v>
          </cell>
        </row>
        <row r="140">
          <cell r="E140">
            <v>132</v>
          </cell>
          <cell r="F140" t="str">
            <v>Kab. Serang</v>
          </cell>
          <cell r="G140">
            <v>1836.133</v>
          </cell>
          <cell r="H140">
            <v>1704.12</v>
          </cell>
          <cell r="I140">
            <v>166.68199999999999</v>
          </cell>
          <cell r="J140">
            <v>0.9116365675991901</v>
          </cell>
          <cell r="K140">
            <v>91.53</v>
          </cell>
          <cell r="L140">
            <v>0.57730096300940514</v>
          </cell>
          <cell r="M140">
            <v>2214.0460699999999</v>
          </cell>
          <cell r="N140">
            <v>61.863019999999999</v>
          </cell>
          <cell r="O140">
            <v>32.771040090697589</v>
          </cell>
          <cell r="P140">
            <v>1.2564289039473702</v>
          </cell>
          <cell r="Q140">
            <v>51.723937805491019</v>
          </cell>
          <cell r="R140">
            <v>234.08171904439692</v>
          </cell>
          <cell r="S140">
            <v>346.94610183212041</v>
          </cell>
          <cell r="T140">
            <v>9.0778827023968294</v>
          </cell>
          <cell r="U140">
            <v>0.10042392014588282</v>
          </cell>
        </row>
        <row r="141">
          <cell r="E141">
            <v>133</v>
          </cell>
          <cell r="F141" t="str">
            <v>Kab. Tangerang</v>
          </cell>
          <cell r="G141">
            <v>3227.087</v>
          </cell>
          <cell r="H141">
            <v>1230</v>
          </cell>
          <cell r="I141">
            <v>245.96299999999999</v>
          </cell>
          <cell r="J141">
            <v>1.4129646974665617</v>
          </cell>
          <cell r="K141">
            <v>91.22</v>
          </cell>
          <cell r="L141">
            <v>1.0657057649203501</v>
          </cell>
          <cell r="M141">
            <v>4760.7442199999996</v>
          </cell>
          <cell r="N141">
            <v>122.15403000000001</v>
          </cell>
          <cell r="O141">
            <v>60.885255676781867</v>
          </cell>
          <cell r="P141">
            <v>1.2216481039473701</v>
          </cell>
          <cell r="Q141">
            <v>189.38504145480732</v>
          </cell>
          <cell r="R141">
            <v>242.79753059999999</v>
          </cell>
          <cell r="S141">
            <v>401.15946174857021</v>
          </cell>
          <cell r="T141">
            <v>7.6218273631916338</v>
          </cell>
          <cell r="U141">
            <v>0.18538398078789389</v>
          </cell>
        </row>
        <row r="142">
          <cell r="E142">
            <v>134</v>
          </cell>
          <cell r="F142" t="str">
            <v>Kota Cilegon</v>
          </cell>
          <cell r="G142">
            <v>329.70499999999998</v>
          </cell>
          <cell r="H142">
            <v>175.5</v>
          </cell>
          <cell r="I142">
            <v>14.532999999999999</v>
          </cell>
          <cell r="J142">
            <v>0.56877048532345209</v>
          </cell>
          <cell r="K142">
            <v>89.48</v>
          </cell>
          <cell r="L142">
            <v>0.74177539430163431</v>
          </cell>
          <cell r="M142">
            <v>2466.6775499999999</v>
          </cell>
          <cell r="N142">
            <v>72.62236</v>
          </cell>
          <cell r="O142">
            <v>35.559959497008677</v>
          </cell>
          <cell r="P142">
            <v>1.2578689039473701</v>
          </cell>
          <cell r="Q142">
            <v>53.777952360765198</v>
          </cell>
          <cell r="R142">
            <v>55.541112230399989</v>
          </cell>
          <cell r="S142">
            <v>95.541829920438587</v>
          </cell>
          <cell r="T142">
            <v>4.407879771310717</v>
          </cell>
          <cell r="U142">
            <v>0.12903493625787435</v>
          </cell>
        </row>
        <row r="143">
          <cell r="E143">
            <v>135</v>
          </cell>
          <cell r="F143" t="str">
            <v>Kota Tangerang</v>
          </cell>
          <cell r="G143">
            <v>1499.9110000000001</v>
          </cell>
          <cell r="H143">
            <v>168</v>
          </cell>
          <cell r="I143">
            <v>62.442999999999998</v>
          </cell>
          <cell r="J143">
            <v>0.57941666505490008</v>
          </cell>
          <cell r="K143">
            <v>91.17</v>
          </cell>
          <cell r="L143">
            <v>0.80008812333214319</v>
          </cell>
          <cell r="M143">
            <v>9155.4090899999992</v>
          </cell>
          <cell r="N143">
            <v>93.382509999999996</v>
          </cell>
          <cell r="O143">
            <v>109.40005731661147</v>
          </cell>
          <cell r="P143">
            <v>1.21743690394737</v>
          </cell>
          <cell r="Q143">
            <v>148.04470876155372</v>
          </cell>
          <cell r="R143">
            <v>133.07855430000001</v>
          </cell>
          <cell r="S143">
            <v>201.02022789407641</v>
          </cell>
          <cell r="T143">
            <v>4.1631136780782327</v>
          </cell>
          <cell r="U143">
            <v>0.13917867967572989</v>
          </cell>
        </row>
        <row r="144">
          <cell r="E144">
            <v>136</v>
          </cell>
          <cell r="F144" t="str">
            <v>Kab. Banjarnegara</v>
          </cell>
          <cell r="G144">
            <v>895.82799999999997</v>
          </cell>
          <cell r="H144">
            <v>1069.74</v>
          </cell>
          <cell r="I144">
            <v>240.25</v>
          </cell>
          <cell r="J144">
            <v>4.7985437587949367</v>
          </cell>
          <cell r="K144">
            <v>89.67</v>
          </cell>
          <cell r="L144">
            <v>1.028574628052634</v>
          </cell>
          <cell r="M144">
            <v>1076.3472039999999</v>
          </cell>
          <cell r="N144">
            <v>25.303139999999999</v>
          </cell>
          <cell r="O144">
            <v>20.211439656398923</v>
          </cell>
          <cell r="P144">
            <v>1.4845278169473701</v>
          </cell>
          <cell r="Q144">
            <v>12.279790797928655</v>
          </cell>
          <cell r="R144">
            <v>191.11136871681819</v>
          </cell>
          <cell r="S144">
            <v>260.99583106419885</v>
          </cell>
          <cell r="T144">
            <v>26.818764316364302</v>
          </cell>
          <cell r="U144">
            <v>0.17892486403137359</v>
          </cell>
        </row>
        <row r="145">
          <cell r="E145">
            <v>137</v>
          </cell>
          <cell r="F145" t="str">
            <v>Kab. Banyumas</v>
          </cell>
          <cell r="G145">
            <v>1519.2260000000001</v>
          </cell>
          <cell r="H145">
            <v>1327.65</v>
          </cell>
          <cell r="I145">
            <v>325.245</v>
          </cell>
          <cell r="J145">
            <v>3.9590038802687952</v>
          </cell>
          <cell r="K145">
            <v>89.32</v>
          </cell>
          <cell r="L145">
            <v>1.0630722810073361</v>
          </cell>
          <cell r="M145">
            <v>1612.36653</v>
          </cell>
          <cell r="N145">
            <v>45.045839999999998</v>
          </cell>
          <cell r="O145">
            <v>26.128812663275138</v>
          </cell>
          <cell r="P145">
            <v>1.32815475694737</v>
          </cell>
          <cell r="Q145">
            <v>21.502043298008651</v>
          </cell>
          <cell r="R145">
            <v>303.35094015391286</v>
          </cell>
          <cell r="S145">
            <v>374.86727216598462</v>
          </cell>
          <cell r="T145">
            <v>21.40859885231032</v>
          </cell>
          <cell r="U145">
            <v>0.18492587523267817</v>
          </cell>
        </row>
        <row r="146">
          <cell r="E146">
            <v>138</v>
          </cell>
          <cell r="F146" t="str">
            <v>Kab. Batang</v>
          </cell>
          <cell r="G146">
            <v>704.41300000000001</v>
          </cell>
          <cell r="H146">
            <v>788.67</v>
          </cell>
          <cell r="I146">
            <v>133.30500000000001</v>
          </cell>
          <cell r="J146">
            <v>2.8144072929314268</v>
          </cell>
          <cell r="K146">
            <v>90.2</v>
          </cell>
          <cell r="L146">
            <v>0.85493477386187566</v>
          </cell>
          <cell r="M146">
            <v>839.46912400000008</v>
          </cell>
          <cell r="N146">
            <v>23.30857</v>
          </cell>
          <cell r="O146">
            <v>17.596429546646533</v>
          </cell>
          <cell r="P146">
            <v>1.4214466869473701</v>
          </cell>
          <cell r="Q146">
            <v>12.096252091078654</v>
          </cell>
          <cell r="R146">
            <v>138.31510776732193</v>
          </cell>
          <cell r="S146">
            <v>211.87893700000001</v>
          </cell>
          <cell r="T146">
            <v>18.924267439698021</v>
          </cell>
          <cell r="U146">
            <v>0.14871948422307527</v>
          </cell>
        </row>
        <row r="147">
          <cell r="E147">
            <v>139</v>
          </cell>
          <cell r="F147" t="str">
            <v>Kab. Blora</v>
          </cell>
          <cell r="G147">
            <v>834.83699999999999</v>
          </cell>
          <cell r="H147">
            <v>1820.59</v>
          </cell>
          <cell r="I147">
            <v>191.238</v>
          </cell>
          <cell r="J147">
            <v>2.9697502065953421</v>
          </cell>
          <cell r="K147">
            <v>89.95</v>
          </cell>
          <cell r="L147">
            <v>0.74526809310852937</v>
          </cell>
          <cell r="M147">
            <v>711.13268999999991</v>
          </cell>
          <cell r="N147">
            <v>26.933910000000001</v>
          </cell>
          <cell r="O147">
            <v>16.17966243860694</v>
          </cell>
          <cell r="P147">
            <v>1.6188583069473701</v>
          </cell>
          <cell r="Q147">
            <v>15.851335234528653</v>
          </cell>
          <cell r="R147">
            <v>194.10833819999999</v>
          </cell>
          <cell r="S147">
            <v>285.24969999999996</v>
          </cell>
          <cell r="T147">
            <v>22.907226201042839</v>
          </cell>
          <cell r="U147">
            <v>0.12964250584211481</v>
          </cell>
        </row>
        <row r="148">
          <cell r="E148">
            <v>140</v>
          </cell>
          <cell r="F148" t="str">
            <v>Kab. Boyolali</v>
          </cell>
          <cell r="G148">
            <v>935.09100000000001</v>
          </cell>
          <cell r="H148">
            <v>1015.1</v>
          </cell>
          <cell r="I148">
            <v>172.25</v>
          </cell>
          <cell r="J148">
            <v>2.5779157796500138</v>
          </cell>
          <cell r="K148">
            <v>89.07</v>
          </cell>
          <cell r="L148">
            <v>0.80450450954246533</v>
          </cell>
          <cell r="M148">
            <v>1616.1585490000002</v>
          </cell>
          <cell r="N148">
            <v>32.781309999999998</v>
          </cell>
          <cell r="O148">
            <v>26.170674569709764</v>
          </cell>
          <cell r="P148">
            <v>1.26965441694737</v>
          </cell>
          <cell r="Q148">
            <v>13.483484964698654</v>
          </cell>
          <cell r="R148">
            <v>248.33248199999997</v>
          </cell>
          <cell r="S148">
            <v>300.18282583896826</v>
          </cell>
          <cell r="T148">
            <v>18.420667079460713</v>
          </cell>
          <cell r="U148">
            <v>0.1399469285520297</v>
          </cell>
        </row>
        <row r="149">
          <cell r="E149">
            <v>141</v>
          </cell>
          <cell r="F149" t="str">
            <v>Kab. Brebes</v>
          </cell>
          <cell r="G149">
            <v>1793.184</v>
          </cell>
          <cell r="H149">
            <v>1661.17</v>
          </cell>
          <cell r="I149">
            <v>519.59</v>
          </cell>
          <cell r="J149">
            <v>6.101226955235771</v>
          </cell>
          <cell r="K149">
            <v>88.85</v>
          </cell>
          <cell r="L149">
            <v>1.2104486289530496</v>
          </cell>
          <cell r="M149">
            <v>1537.4837119999997</v>
          </cell>
          <cell r="N149">
            <v>25.28838</v>
          </cell>
          <cell r="O149">
            <v>25.302145518232638</v>
          </cell>
          <cell r="P149">
            <v>2.0046890269473701</v>
          </cell>
          <cell r="Q149">
            <v>17.534637153808653</v>
          </cell>
          <cell r="R149">
            <v>251.03176829999998</v>
          </cell>
          <cell r="S149">
            <v>375.14618713661895</v>
          </cell>
          <cell r="T149">
            <v>28.97583293181291</v>
          </cell>
          <cell r="U149">
            <v>0.21056260814291078</v>
          </cell>
        </row>
        <row r="150">
          <cell r="E150">
            <v>142</v>
          </cell>
          <cell r="F150" t="str">
            <v xml:space="preserve">Kab. Cilacap    </v>
          </cell>
          <cell r="G150">
            <v>1659.96</v>
          </cell>
          <cell r="H150">
            <v>2253.61</v>
          </cell>
          <cell r="I150">
            <v>346.24</v>
          </cell>
          <cell r="J150">
            <v>3.3385142954938032</v>
          </cell>
          <cell r="K150">
            <v>89.39</v>
          </cell>
          <cell r="L150">
            <v>0.920107849246531</v>
          </cell>
          <cell r="M150">
            <v>11322.204469999999</v>
          </cell>
          <cell r="N150">
            <v>48.301120000000004</v>
          </cell>
          <cell r="O150">
            <v>133.3203450210068</v>
          </cell>
          <cell r="P150">
            <v>1.5349179169473701</v>
          </cell>
          <cell r="Q150">
            <v>26.459116300838652</v>
          </cell>
          <cell r="R150">
            <v>298.96634837346545</v>
          </cell>
          <cell r="S150">
            <v>378.02070074199099</v>
          </cell>
          <cell r="T150">
            <v>20.858333935757489</v>
          </cell>
          <cell r="U150">
            <v>0.16005661361910506</v>
          </cell>
        </row>
        <row r="151">
          <cell r="E151">
            <v>143</v>
          </cell>
          <cell r="F151" t="str">
            <v xml:space="preserve">Kab. Demak  </v>
          </cell>
          <cell r="G151">
            <v>1051.7360000000001</v>
          </cell>
          <cell r="H151">
            <v>900.12</v>
          </cell>
          <cell r="I151">
            <v>260.56</v>
          </cell>
          <cell r="J151">
            <v>4.0199999999999996</v>
          </cell>
          <cell r="K151">
            <v>90.52</v>
          </cell>
          <cell r="L151">
            <v>0.93280348228017884</v>
          </cell>
          <cell r="M151">
            <v>1020.79616</v>
          </cell>
          <cell r="N151">
            <v>16.172530000000002</v>
          </cell>
          <cell r="O151">
            <v>19.59818518529168</v>
          </cell>
          <cell r="P151">
            <v>1.22930169694737</v>
          </cell>
          <cell r="Q151">
            <v>14.477437841898652</v>
          </cell>
          <cell r="R151">
            <v>178.25723099999999</v>
          </cell>
          <cell r="S151">
            <v>258.92759034625641</v>
          </cell>
          <cell r="T151">
            <v>24.774277955684695</v>
          </cell>
          <cell r="U151">
            <v>0.16226507215228736</v>
          </cell>
        </row>
        <row r="152">
          <cell r="E152">
            <v>144</v>
          </cell>
          <cell r="F152" t="str">
            <v>Kab. Grobogan</v>
          </cell>
          <cell r="G152">
            <v>1319.4739999999999</v>
          </cell>
          <cell r="H152">
            <v>1975.86</v>
          </cell>
          <cell r="I152">
            <v>385.06</v>
          </cell>
          <cell r="J152">
            <v>4.4989617644264479</v>
          </cell>
          <cell r="K152">
            <v>91.28</v>
          </cell>
          <cell r="L152">
            <v>0.8862369315854477</v>
          </cell>
          <cell r="M152">
            <v>1045.15094</v>
          </cell>
          <cell r="N152">
            <v>37.29607</v>
          </cell>
          <cell r="O152">
            <v>19.867049218303073</v>
          </cell>
          <cell r="P152">
            <v>1.31011547694737</v>
          </cell>
          <cell r="Q152">
            <v>16.352881038038653</v>
          </cell>
          <cell r="R152">
            <v>228.65301599999992</v>
          </cell>
          <cell r="S152">
            <v>331.415066972614</v>
          </cell>
          <cell r="T152">
            <v>29.182841041202785</v>
          </cell>
          <cell r="U152">
            <v>0.15416462564677771</v>
          </cell>
        </row>
        <row r="153">
          <cell r="E153">
            <v>145</v>
          </cell>
          <cell r="F153" t="str">
            <v>Kab. Jepara</v>
          </cell>
          <cell r="G153">
            <v>1059.6379999999999</v>
          </cell>
          <cell r="H153">
            <v>1004.16</v>
          </cell>
          <cell r="I153">
            <v>104.038</v>
          </cell>
          <cell r="J153">
            <v>1.2507869071035598</v>
          </cell>
          <cell r="K153">
            <v>88.53</v>
          </cell>
          <cell r="L153">
            <v>0.732342043301492</v>
          </cell>
          <cell r="M153">
            <v>1722.7507900000001</v>
          </cell>
          <cell r="N153">
            <v>53.74024</v>
          </cell>
          <cell r="O153">
            <v>27.347397159812502</v>
          </cell>
          <cell r="P153">
            <v>1.2330716169473701</v>
          </cell>
          <cell r="Q153">
            <v>16.326541036618654</v>
          </cell>
          <cell r="R153">
            <v>179.23841789999994</v>
          </cell>
          <cell r="S153">
            <v>258.97336275078345</v>
          </cell>
          <cell r="T153">
            <v>9.8182586883445104</v>
          </cell>
          <cell r="U153">
            <v>0.12739396534625827</v>
          </cell>
        </row>
        <row r="154">
          <cell r="E154">
            <v>146</v>
          </cell>
          <cell r="F154" t="str">
            <v>Kab. Karanganyar</v>
          </cell>
          <cell r="G154">
            <v>824.63599999999997</v>
          </cell>
          <cell r="H154">
            <v>772.2</v>
          </cell>
          <cell r="I154">
            <v>132.58000000000001</v>
          </cell>
          <cell r="J154">
            <v>3.1921356462823232</v>
          </cell>
          <cell r="K154">
            <v>89.49</v>
          </cell>
          <cell r="L154">
            <v>1.1413812265922114</v>
          </cell>
          <cell r="M154">
            <v>1099.17868</v>
          </cell>
          <cell r="N154">
            <v>25.196919999999999</v>
          </cell>
          <cell r="O154">
            <v>20.463487209978258</v>
          </cell>
          <cell r="P154">
            <v>1.22930169694737</v>
          </cell>
          <cell r="Q154">
            <v>15.075450240808653</v>
          </cell>
          <cell r="R154">
            <v>210.83014379999997</v>
          </cell>
          <cell r="S154">
            <v>277.90609633546637</v>
          </cell>
          <cell r="T154">
            <v>16.077396572548373</v>
          </cell>
          <cell r="U154">
            <v>0.1985480442606479</v>
          </cell>
        </row>
        <row r="155">
          <cell r="E155">
            <v>147</v>
          </cell>
          <cell r="F155" t="str">
            <v>Kab. Kebumen</v>
          </cell>
          <cell r="G155">
            <v>1202.6510000000001</v>
          </cell>
          <cell r="H155">
            <v>1306.8</v>
          </cell>
          <cell r="I155">
            <v>371.54</v>
          </cell>
          <cell r="J155">
            <v>5.2302826190757443</v>
          </cell>
          <cell r="K155">
            <v>90.22</v>
          </cell>
          <cell r="L155">
            <v>0.97324976631227222</v>
          </cell>
          <cell r="M155">
            <v>1199.4768254200001</v>
          </cell>
          <cell r="N155">
            <v>29.807200000000002</v>
          </cell>
          <cell r="O155">
            <v>21.570726276854838</v>
          </cell>
          <cell r="P155">
            <v>1.22930169694737</v>
          </cell>
          <cell r="Q155">
            <v>13.501645431158654</v>
          </cell>
          <cell r="R155">
            <v>280.13714777671566</v>
          </cell>
          <cell r="S155">
            <v>339.71625313725593</v>
          </cell>
          <cell r="T155">
            <v>30.893417957495569</v>
          </cell>
          <cell r="U155">
            <v>0.16930087264127852</v>
          </cell>
        </row>
        <row r="156">
          <cell r="E156">
            <v>148</v>
          </cell>
          <cell r="F156" t="str">
            <v xml:space="preserve">Kab. Kendal </v>
          </cell>
          <cell r="G156">
            <v>891.11599999999999</v>
          </cell>
          <cell r="H156">
            <v>1002.33</v>
          </cell>
          <cell r="I156">
            <v>185.52500000000001</v>
          </cell>
          <cell r="J156">
            <v>3.4637101164274995</v>
          </cell>
          <cell r="K156">
            <v>89.3</v>
          </cell>
          <cell r="L156">
            <v>0.95639754086694684</v>
          </cell>
          <cell r="M156">
            <v>1725.9365</v>
          </cell>
          <cell r="N156">
            <v>37.17407</v>
          </cell>
          <cell r="O156">
            <v>27.382565732002629</v>
          </cell>
          <cell r="P156">
            <v>1.3632650169473701</v>
          </cell>
          <cell r="Q156">
            <v>15.012510440418655</v>
          </cell>
          <cell r="R156">
            <v>184.15934219999997</v>
          </cell>
          <cell r="S156">
            <v>286.80818799999997</v>
          </cell>
          <cell r="T156">
            <v>20.819399494566365</v>
          </cell>
          <cell r="U156">
            <v>0.16636935745103934</v>
          </cell>
        </row>
        <row r="157">
          <cell r="E157">
            <v>149</v>
          </cell>
          <cell r="F157" t="str">
            <v>Kab. Klaten</v>
          </cell>
          <cell r="G157">
            <v>1131.4760000000001</v>
          </cell>
          <cell r="H157">
            <v>656.16</v>
          </cell>
          <cell r="I157">
            <v>263.90499999999997</v>
          </cell>
          <cell r="J157">
            <v>3.7581236650824881</v>
          </cell>
          <cell r="K157">
            <v>89.15</v>
          </cell>
          <cell r="L157">
            <v>0.92626212561723098</v>
          </cell>
          <cell r="M157">
            <v>1896.03205</v>
          </cell>
          <cell r="N157">
            <v>22.288970000000003</v>
          </cell>
          <cell r="O157">
            <v>29.260331639569483</v>
          </cell>
          <cell r="P157">
            <v>1.22930169694737</v>
          </cell>
          <cell r="Q157">
            <v>13.994906616018655</v>
          </cell>
          <cell r="R157">
            <v>364.3071584999999</v>
          </cell>
          <cell r="S157">
            <v>382.34527695438294</v>
          </cell>
          <cell r="T157">
            <v>23.323959147167059</v>
          </cell>
          <cell r="U157">
            <v>0.16112717576676736</v>
          </cell>
        </row>
        <row r="158">
          <cell r="E158">
            <v>150</v>
          </cell>
          <cell r="F158" t="str">
            <v>Kab. Kudus</v>
          </cell>
          <cell r="G158">
            <v>750.70699999999999</v>
          </cell>
          <cell r="H158">
            <v>425.15</v>
          </cell>
          <cell r="I158">
            <v>85.495999999999995</v>
          </cell>
          <cell r="J158">
            <v>1.5079911014418115</v>
          </cell>
          <cell r="K158">
            <v>88.79</v>
          </cell>
          <cell r="L158">
            <v>0.76118208691324918</v>
          </cell>
          <cell r="M158">
            <v>3663.6668999999997</v>
          </cell>
          <cell r="N158">
            <v>38.842599999999997</v>
          </cell>
          <cell r="O158">
            <v>48.774095864189405</v>
          </cell>
          <cell r="P158">
            <v>1.22930169694737</v>
          </cell>
          <cell r="Q158">
            <v>20.945052703038655</v>
          </cell>
          <cell r="R158">
            <v>160.84070880000007</v>
          </cell>
          <cell r="S158">
            <v>217.44069282056432</v>
          </cell>
          <cell r="T158">
            <v>11.388730889681327</v>
          </cell>
          <cell r="U158">
            <v>0.13241081170932886</v>
          </cell>
        </row>
        <row r="159">
          <cell r="E159">
            <v>151</v>
          </cell>
          <cell r="F159" t="str">
            <v>Kab. Magelang</v>
          </cell>
          <cell r="G159">
            <v>1158.067</v>
          </cell>
          <cell r="H159">
            <v>1085.74</v>
          </cell>
          <cell r="I159">
            <v>185.82599999999999</v>
          </cell>
          <cell r="J159">
            <v>2.1075795051739408</v>
          </cell>
          <cell r="K159">
            <v>88.93</v>
          </cell>
          <cell r="L159">
            <v>0.75505099780461082</v>
          </cell>
          <cell r="M159">
            <v>775.34848</v>
          </cell>
          <cell r="N159">
            <v>35.80818</v>
          </cell>
          <cell r="O159">
            <v>16.888571173664811</v>
          </cell>
          <cell r="P159">
            <v>1.22930169694737</v>
          </cell>
          <cell r="Q159">
            <v>13.938407053728653</v>
          </cell>
          <cell r="R159">
            <v>240.82149570000004</v>
          </cell>
          <cell r="S159">
            <v>304.6207097246936</v>
          </cell>
          <cell r="T159">
            <v>16.046221850721935</v>
          </cell>
          <cell r="U159">
            <v>0.13134428308300616</v>
          </cell>
        </row>
        <row r="160">
          <cell r="E160">
            <v>152</v>
          </cell>
          <cell r="F160" t="str">
            <v>Kab. Pati</v>
          </cell>
          <cell r="G160">
            <v>1203.18</v>
          </cell>
          <cell r="H160">
            <v>1489.19</v>
          </cell>
          <cell r="I160">
            <v>247.86799999999999</v>
          </cell>
          <cell r="J160">
            <v>3.44</v>
          </cell>
          <cell r="K160">
            <v>89.45</v>
          </cell>
          <cell r="L160">
            <v>0.9599170279822492</v>
          </cell>
          <cell r="M160">
            <v>1236.549184</v>
          </cell>
          <cell r="N160">
            <v>40.826749999999997</v>
          </cell>
          <cell r="O160">
            <v>21.979985725762333</v>
          </cell>
          <cell r="P160">
            <v>1.22930169694737</v>
          </cell>
          <cell r="Q160">
            <v>16.750953569678657</v>
          </cell>
          <cell r="R160">
            <v>243.60801179999993</v>
          </cell>
          <cell r="S160">
            <v>312.71232034432865</v>
          </cell>
          <cell r="T160">
            <v>20.601073821040909</v>
          </cell>
          <cell r="U160">
            <v>0.16698158697371179</v>
          </cell>
        </row>
        <row r="161">
          <cell r="E161">
            <v>153</v>
          </cell>
          <cell r="F161" t="str">
            <v>Kab. Pekalongan</v>
          </cell>
          <cell r="G161">
            <v>846.83199999999999</v>
          </cell>
          <cell r="H161">
            <v>836.13</v>
          </cell>
          <cell r="I161">
            <v>181.11500000000001</v>
          </cell>
          <cell r="J161">
            <v>4.5999513939718524</v>
          </cell>
          <cell r="K161">
            <v>90.55</v>
          </cell>
          <cell r="L161">
            <v>1.2364062583486972</v>
          </cell>
          <cell r="M161">
            <v>1501.3496639999998</v>
          </cell>
          <cell r="N161">
            <v>22.734770000000001</v>
          </cell>
          <cell r="O161">
            <v>24.903244527367303</v>
          </cell>
          <cell r="P161">
            <v>1.23690916694737</v>
          </cell>
          <cell r="Q161">
            <v>10.954144448378655</v>
          </cell>
          <cell r="R161">
            <v>159.79349969999998</v>
          </cell>
          <cell r="S161">
            <v>233.31926908838898</v>
          </cell>
          <cell r="T161">
            <v>21.387359003911051</v>
          </cell>
          <cell r="U161">
            <v>0.2150780464820678</v>
          </cell>
        </row>
        <row r="162">
          <cell r="E162">
            <v>154</v>
          </cell>
          <cell r="F162" t="str">
            <v>Kab. Pemalang</v>
          </cell>
          <cell r="G162">
            <v>1348.386</v>
          </cell>
          <cell r="H162">
            <v>1115.31</v>
          </cell>
          <cell r="I162">
            <v>299.08499999999998</v>
          </cell>
          <cell r="J162">
            <v>4.5008962174063791</v>
          </cell>
          <cell r="K162">
            <v>90.04</v>
          </cell>
          <cell r="L162">
            <v>1.1664972324262235</v>
          </cell>
          <cell r="M162">
            <v>1438.2664959999997</v>
          </cell>
          <cell r="N162">
            <v>28.982710000000001</v>
          </cell>
          <cell r="O162">
            <v>24.206839346798425</v>
          </cell>
          <cell r="P162">
            <v>1.22930169694737</v>
          </cell>
          <cell r="Q162">
            <v>14.744203971718655</v>
          </cell>
          <cell r="R162">
            <v>204.42646719188713</v>
          </cell>
          <cell r="S162">
            <v>312.26353397442466</v>
          </cell>
          <cell r="T162">
            <v>22.180963018008196</v>
          </cell>
          <cell r="U162">
            <v>0.20291707865669351</v>
          </cell>
        </row>
        <row r="163">
          <cell r="E163">
            <v>155</v>
          </cell>
          <cell r="F163" t="str">
            <v xml:space="preserve">Kab. Purbalingga       </v>
          </cell>
          <cell r="G163">
            <v>856.72</v>
          </cell>
          <cell r="H163">
            <v>777.64</v>
          </cell>
          <cell r="I163">
            <v>266.51</v>
          </cell>
          <cell r="J163">
            <v>6.3672093899732483</v>
          </cell>
          <cell r="K163">
            <v>90.31</v>
          </cell>
          <cell r="L163">
            <v>1.1766292487546737</v>
          </cell>
          <cell r="M163">
            <v>987.15433999999993</v>
          </cell>
          <cell r="N163">
            <v>28.30057</v>
          </cell>
          <cell r="O163">
            <v>19.226797088045743</v>
          </cell>
          <cell r="P163">
            <v>1.22930169694737</v>
          </cell>
          <cell r="Q163">
            <v>11.508081300378654</v>
          </cell>
          <cell r="R163">
            <v>172.6746717243</v>
          </cell>
          <cell r="S163">
            <v>246.69356669134325</v>
          </cell>
          <cell r="T163">
            <v>31.108180035484168</v>
          </cell>
          <cell r="U163">
            <v>0.20467958532805081</v>
          </cell>
        </row>
        <row r="164">
          <cell r="E164">
            <v>156</v>
          </cell>
          <cell r="F164" t="str">
            <v>Kab. Purworejo</v>
          </cell>
          <cell r="G164">
            <v>711.13199999999995</v>
          </cell>
          <cell r="H164">
            <v>1034.49</v>
          </cell>
          <cell r="I164">
            <v>167.083</v>
          </cell>
          <cell r="J164">
            <v>3.3761621924682945</v>
          </cell>
          <cell r="K164">
            <v>89.54</v>
          </cell>
          <cell r="L164">
            <v>0.82605006730473407</v>
          </cell>
          <cell r="M164">
            <v>1268.59979</v>
          </cell>
          <cell r="N164">
            <v>21.882950000000001</v>
          </cell>
          <cell r="O164">
            <v>22.333807652694915</v>
          </cell>
          <cell r="P164">
            <v>1.46329665694737</v>
          </cell>
          <cell r="Q164">
            <v>11.993527480568655</v>
          </cell>
          <cell r="R164">
            <v>227.97397373763289</v>
          </cell>
          <cell r="S164">
            <v>275.19352132147685</v>
          </cell>
          <cell r="T164">
            <v>23.49535669889697</v>
          </cell>
          <cell r="U164">
            <v>0.14369486855361485</v>
          </cell>
        </row>
        <row r="165">
          <cell r="E165">
            <v>157</v>
          </cell>
          <cell r="F165" t="str">
            <v>Kab. Rembang</v>
          </cell>
          <cell r="G165">
            <v>583.30100000000004</v>
          </cell>
          <cell r="H165">
            <v>1014.1</v>
          </cell>
          <cell r="I165">
            <v>186.25</v>
          </cell>
          <cell r="J165">
            <v>5.2391157130100021</v>
          </cell>
          <cell r="K165">
            <v>87.75</v>
          </cell>
          <cell r="L165">
            <v>0.94323420532656377</v>
          </cell>
          <cell r="M165">
            <v>756.46525299999996</v>
          </cell>
          <cell r="N165">
            <v>18.295450000000002</v>
          </cell>
          <cell r="O165">
            <v>16.680110224007713</v>
          </cell>
          <cell r="P165">
            <v>1.22930169694737</v>
          </cell>
          <cell r="Q165">
            <v>11.563597933558654</v>
          </cell>
          <cell r="R165">
            <v>147.04061130000002</v>
          </cell>
          <cell r="S165">
            <v>196.64192917837758</v>
          </cell>
          <cell r="T165">
            <v>31.930341281773899</v>
          </cell>
          <cell r="U165">
            <v>0.16407954010815826</v>
          </cell>
        </row>
        <row r="166">
          <cell r="E166">
            <v>158</v>
          </cell>
          <cell r="F166" t="str">
            <v>Kab. Semarang</v>
          </cell>
          <cell r="G166">
            <v>888.43</v>
          </cell>
          <cell r="H166">
            <v>950.21</v>
          </cell>
          <cell r="I166">
            <v>121.25</v>
          </cell>
          <cell r="J166">
            <v>2.36</v>
          </cell>
          <cell r="K166">
            <v>89.19</v>
          </cell>
          <cell r="L166">
            <v>0.99407369632753073</v>
          </cell>
          <cell r="M166">
            <v>1419.624667</v>
          </cell>
          <cell r="N166">
            <v>40.269709999999996</v>
          </cell>
          <cell r="O166">
            <v>24.001043304803851</v>
          </cell>
          <cell r="P166">
            <v>1.22930169694737</v>
          </cell>
          <cell r="Q166">
            <v>16.573165241678655</v>
          </cell>
          <cell r="R166">
            <v>199.30169759999998</v>
          </cell>
          <cell r="S166">
            <v>268.21740955496307</v>
          </cell>
          <cell r="T166">
            <v>13.647670609952389</v>
          </cell>
          <cell r="U166">
            <v>0.17292328247422678</v>
          </cell>
        </row>
        <row r="167">
          <cell r="E167">
            <v>159</v>
          </cell>
          <cell r="F167" t="str">
            <v>Kab. Sragen</v>
          </cell>
          <cell r="G167">
            <v>865.11199999999997</v>
          </cell>
          <cell r="H167">
            <v>940.77</v>
          </cell>
          <cell r="I167">
            <v>225.11600000000001</v>
          </cell>
          <cell r="J167">
            <v>5.2827197147724387</v>
          </cell>
          <cell r="K167">
            <v>89.62</v>
          </cell>
          <cell r="L167">
            <v>1.1670478241279301</v>
          </cell>
          <cell r="M167">
            <v>886.77238999999997</v>
          </cell>
          <cell r="N167">
            <v>42.976690000000005</v>
          </cell>
          <cell r="O167">
            <v>18.118632862437956</v>
          </cell>
          <cell r="P167">
            <v>1.22930169694737</v>
          </cell>
          <cell r="Q167">
            <v>12.647702949748654</v>
          </cell>
          <cell r="R167">
            <v>241.35131795231501</v>
          </cell>
          <cell r="S167">
            <v>283.62125126376037</v>
          </cell>
          <cell r="T167">
            <v>26.021601827277856</v>
          </cell>
          <cell r="U167">
            <v>0.20301285638898231</v>
          </cell>
        </row>
        <row r="168">
          <cell r="E168">
            <v>160</v>
          </cell>
          <cell r="F168" t="str">
            <v>Kab. Sukoharjo</v>
          </cell>
          <cell r="G168">
            <v>825.28099999999995</v>
          </cell>
          <cell r="H168">
            <v>466.66</v>
          </cell>
          <cell r="I168">
            <v>118.07</v>
          </cell>
          <cell r="J168">
            <v>2.1276477447198463</v>
          </cell>
          <cell r="K168">
            <v>89.27</v>
          </cell>
          <cell r="L168">
            <v>0.8549232386966209</v>
          </cell>
          <cell r="M168">
            <v>1444.20416</v>
          </cell>
          <cell r="N168">
            <v>19.929269999999999</v>
          </cell>
          <cell r="O168">
            <v>24.272388051804452</v>
          </cell>
          <cell r="P168">
            <v>1.22930169694737</v>
          </cell>
          <cell r="Q168">
            <v>16.884155572478655</v>
          </cell>
          <cell r="R168">
            <v>203.76294329999999</v>
          </cell>
          <cell r="S168">
            <v>263.30357367854918</v>
          </cell>
          <cell r="T168">
            <v>14.306642222467255</v>
          </cell>
          <cell r="U168">
            <v>0.14871747763277204</v>
          </cell>
        </row>
        <row r="169">
          <cell r="E169">
            <v>161</v>
          </cell>
          <cell r="F169" t="str">
            <v>Kab. Tegal</v>
          </cell>
          <cell r="G169">
            <v>1453.318</v>
          </cell>
          <cell r="H169">
            <v>864.88</v>
          </cell>
          <cell r="I169">
            <v>297.18099999999998</v>
          </cell>
          <cell r="J169">
            <v>3.1582422552555438</v>
          </cell>
          <cell r="K169">
            <v>89.13</v>
          </cell>
          <cell r="L169">
            <v>0.88787159890776268</v>
          </cell>
          <cell r="M169">
            <v>1402.58978</v>
          </cell>
          <cell r="N169">
            <v>38.336280000000002</v>
          </cell>
          <cell r="O169">
            <v>23.812987062016465</v>
          </cell>
          <cell r="P169">
            <v>1.22930169694737</v>
          </cell>
          <cell r="Q169">
            <v>15.903584991778654</v>
          </cell>
          <cell r="R169">
            <v>219.45888751539644</v>
          </cell>
          <cell r="S169">
            <v>323.65233272250794</v>
          </cell>
          <cell r="T169">
            <v>20.44844968547833</v>
          </cell>
          <cell r="U169">
            <v>0.1544489828731809</v>
          </cell>
        </row>
        <row r="170">
          <cell r="E170">
            <v>162</v>
          </cell>
          <cell r="F170" t="str">
            <v>Kab. Temanggung</v>
          </cell>
          <cell r="G170">
            <v>707.83399999999995</v>
          </cell>
          <cell r="H170">
            <v>864.93</v>
          </cell>
          <cell r="I170">
            <v>107.246</v>
          </cell>
          <cell r="J170">
            <v>1.8799253703331837</v>
          </cell>
          <cell r="K170">
            <v>89.7</v>
          </cell>
          <cell r="L170">
            <v>0.7132734142562166</v>
          </cell>
          <cell r="M170">
            <v>903.27710000000002</v>
          </cell>
          <cell r="N170">
            <v>18.58006</v>
          </cell>
          <cell r="O170">
            <v>18.300836228441817</v>
          </cell>
          <cell r="P170">
            <v>1.23117930694737</v>
          </cell>
          <cell r="Q170">
            <v>11.477025589468653</v>
          </cell>
          <cell r="R170">
            <v>154.68210690000001</v>
          </cell>
          <cell r="S170">
            <v>228.08596842500202</v>
          </cell>
          <cell r="T170">
            <v>15.151292534690338</v>
          </cell>
          <cell r="U170">
            <v>0.12407689746791663</v>
          </cell>
        </row>
        <row r="171">
          <cell r="E171">
            <v>163</v>
          </cell>
          <cell r="F171" t="str">
            <v>Kab. Wonogiri</v>
          </cell>
          <cell r="G171">
            <v>1008.403</v>
          </cell>
          <cell r="H171">
            <v>1793.4</v>
          </cell>
          <cell r="I171">
            <v>246.06399999999999</v>
          </cell>
          <cell r="J171">
            <v>4.4063098091396098</v>
          </cell>
          <cell r="K171">
            <v>88.3</v>
          </cell>
          <cell r="L171">
            <v>1.03806892437516</v>
          </cell>
          <cell r="M171">
            <v>1006.9742199999999</v>
          </cell>
          <cell r="N171">
            <v>25.998750000000001</v>
          </cell>
          <cell r="O171">
            <v>19.445598196928756</v>
          </cell>
          <cell r="P171">
            <v>1.22930169694737</v>
          </cell>
          <cell r="Q171">
            <v>11.273365048098652</v>
          </cell>
          <cell r="R171">
            <v>260.57309849999996</v>
          </cell>
          <cell r="S171">
            <v>326.10363660111534</v>
          </cell>
          <cell r="T171">
            <v>24.401355410485685</v>
          </cell>
          <cell r="U171">
            <v>0.18057643663704609</v>
          </cell>
        </row>
        <row r="172">
          <cell r="E172">
            <v>164</v>
          </cell>
          <cell r="F172" t="str">
            <v xml:space="preserve">Kab. Wonosobo       </v>
          </cell>
          <cell r="G172">
            <v>771.26099999999997</v>
          </cell>
          <cell r="H172">
            <v>987.84</v>
          </cell>
          <cell r="I172">
            <v>254.65</v>
          </cell>
          <cell r="J172">
            <v>6.7887274070981816</v>
          </cell>
          <cell r="K172">
            <v>87.5</v>
          </cell>
          <cell r="L172">
            <v>1.1819828429122921</v>
          </cell>
          <cell r="M172">
            <v>738.21437000000003</v>
          </cell>
          <cell r="N172">
            <v>24.385840000000002</v>
          </cell>
          <cell r="O172">
            <v>16.478630021378127</v>
          </cell>
          <cell r="P172">
            <v>1.22930169694737</v>
          </cell>
          <cell r="Q172">
            <v>11.919416542228653</v>
          </cell>
          <cell r="R172">
            <v>154.94248050000004</v>
          </cell>
          <cell r="S172">
            <v>231.62949235672806</v>
          </cell>
          <cell r="T172">
            <v>33.017357288907391</v>
          </cell>
          <cell r="U172">
            <v>0.20561086545163754</v>
          </cell>
        </row>
        <row r="173">
          <cell r="E173">
            <v>165</v>
          </cell>
          <cell r="F173" t="str">
            <v>Kota Magelang</v>
          </cell>
          <cell r="G173">
            <v>126.169</v>
          </cell>
          <cell r="H173">
            <v>18.12</v>
          </cell>
          <cell r="I173">
            <v>17.440000000000001</v>
          </cell>
          <cell r="J173">
            <v>2.3203263224095347</v>
          </cell>
          <cell r="K173">
            <v>89.54</v>
          </cell>
          <cell r="L173">
            <v>0.96498454672198197</v>
          </cell>
          <cell r="M173">
            <v>1517.18083</v>
          </cell>
          <cell r="N173">
            <v>23.567460000000001</v>
          </cell>
          <cell r="O173">
            <v>25.078012319892338</v>
          </cell>
          <cell r="P173">
            <v>1.22930169694737</v>
          </cell>
          <cell r="Q173">
            <v>8.8055057992086549</v>
          </cell>
          <cell r="R173">
            <v>76.335513581699985</v>
          </cell>
          <cell r="S173">
            <v>122.29787887934961</v>
          </cell>
          <cell r="T173">
            <v>13.822729830624006</v>
          </cell>
          <cell r="U173">
            <v>0.16786310308032601</v>
          </cell>
        </row>
        <row r="174">
          <cell r="E174">
            <v>166</v>
          </cell>
          <cell r="F174" t="str">
            <v>Kota Pekalongan</v>
          </cell>
          <cell r="G174">
            <v>274.62599999999998</v>
          </cell>
          <cell r="H174">
            <v>45.25</v>
          </cell>
          <cell r="I174">
            <v>18.643000000000001</v>
          </cell>
          <cell r="J174">
            <v>0.67060513646745012</v>
          </cell>
          <cell r="K174">
            <v>90.48</v>
          </cell>
          <cell r="L174">
            <v>0.56788165428757154</v>
          </cell>
          <cell r="M174">
            <v>975.13685499999997</v>
          </cell>
          <cell r="N174">
            <v>13.67948</v>
          </cell>
          <cell r="O174">
            <v>19.09413033910554</v>
          </cell>
          <cell r="P174">
            <v>1.22930169694737</v>
          </cell>
          <cell r="Q174">
            <v>10.678968419088653</v>
          </cell>
          <cell r="R174">
            <v>72.033961199999993</v>
          </cell>
          <cell r="S174">
            <v>125.40845545413876</v>
          </cell>
          <cell r="T174">
            <v>6.7885050942008416</v>
          </cell>
          <cell r="U174">
            <v>9.8785391947385032E-2</v>
          </cell>
        </row>
        <row r="175">
          <cell r="E175">
            <v>167</v>
          </cell>
          <cell r="F175" t="str">
            <v>Kota Salatiga</v>
          </cell>
          <cell r="G175">
            <v>168.113</v>
          </cell>
          <cell r="H175">
            <v>56.98</v>
          </cell>
          <cell r="I175">
            <v>16.036999999999999</v>
          </cell>
          <cell r="J175">
            <v>1.4717203259312381</v>
          </cell>
          <cell r="K175">
            <v>89.6</v>
          </cell>
          <cell r="L175">
            <v>0.88688757067989732</v>
          </cell>
          <cell r="M175">
            <v>511.42538999999999</v>
          </cell>
          <cell r="N175">
            <v>20.18196</v>
          </cell>
          <cell r="O175">
            <v>13.974998298761861</v>
          </cell>
          <cell r="P175">
            <v>1.22930169694737</v>
          </cell>
          <cell r="Q175">
            <v>8.5613373546886535</v>
          </cell>
          <cell r="R175">
            <v>70.133649299999988</v>
          </cell>
          <cell r="S175">
            <v>107.73366865621576</v>
          </cell>
          <cell r="T175">
            <v>9.5394169397964461</v>
          </cell>
          <cell r="U175">
            <v>0.15427780704201424</v>
          </cell>
        </row>
        <row r="176">
          <cell r="E176">
            <v>168</v>
          </cell>
          <cell r="F176" t="str">
            <v>Kota Semarang</v>
          </cell>
          <cell r="G176">
            <v>1416.2270000000001</v>
          </cell>
          <cell r="H176">
            <v>373.69</v>
          </cell>
          <cell r="I176">
            <v>78.980999999999995</v>
          </cell>
          <cell r="J176">
            <v>0.96546332814595215</v>
          </cell>
          <cell r="K176">
            <v>89</v>
          </cell>
          <cell r="L176">
            <v>0.99520176021873807</v>
          </cell>
          <cell r="M176">
            <v>12265.294139999998</v>
          </cell>
          <cell r="N176">
            <v>143.15729999999999</v>
          </cell>
          <cell r="O176">
            <v>143.73156171717829</v>
          </cell>
          <cell r="P176">
            <v>1.22930169694737</v>
          </cell>
          <cell r="Q176">
            <v>93.610021315768662</v>
          </cell>
          <cell r="R176">
            <v>303.20990471310989</v>
          </cell>
          <cell r="S176">
            <v>310.73624998811363</v>
          </cell>
          <cell r="T176">
            <v>5.5768602067323947</v>
          </cell>
          <cell r="U176">
            <v>0.17311951391222669</v>
          </cell>
        </row>
        <row r="177">
          <cell r="E177">
            <v>169</v>
          </cell>
          <cell r="F177" t="str">
            <v>Kota Surakarta</v>
          </cell>
          <cell r="G177">
            <v>513.024</v>
          </cell>
          <cell r="H177">
            <v>44.04</v>
          </cell>
          <cell r="I177">
            <v>69.459000000000003</v>
          </cell>
          <cell r="J177">
            <v>1.8740451307820678</v>
          </cell>
          <cell r="K177">
            <v>88.46</v>
          </cell>
          <cell r="L177">
            <v>0.79570907806761881</v>
          </cell>
          <cell r="M177">
            <v>2373.0302099999999</v>
          </cell>
          <cell r="N177">
            <v>54.81568</v>
          </cell>
          <cell r="O177">
            <v>34.526141843423254</v>
          </cell>
          <cell r="P177">
            <v>1.22930169694737</v>
          </cell>
          <cell r="Q177">
            <v>27.068551274408655</v>
          </cell>
          <cell r="R177">
            <v>179.06407440000001</v>
          </cell>
          <cell r="S177">
            <v>218.04451960483581</v>
          </cell>
          <cell r="T177">
            <v>13.53913267215569</v>
          </cell>
          <cell r="U177">
            <v>0.13841692641332864</v>
          </cell>
        </row>
        <row r="178">
          <cell r="E178">
            <v>170</v>
          </cell>
          <cell r="F178" t="str">
            <v xml:space="preserve">Kota Tegal </v>
          </cell>
          <cell r="G178">
            <v>243.39699999999999</v>
          </cell>
          <cell r="H178">
            <v>35.380000000000003</v>
          </cell>
          <cell r="I178">
            <v>23.06</v>
          </cell>
          <cell r="J178">
            <v>1.2373116883780175</v>
          </cell>
          <cell r="K178">
            <v>90.15</v>
          </cell>
          <cell r="L178">
            <v>0.75075830491506101</v>
          </cell>
          <cell r="M178">
            <v>676.377478</v>
          </cell>
          <cell r="N178">
            <v>35.147570000000002</v>
          </cell>
          <cell r="O178">
            <v>15.79598307601422</v>
          </cell>
          <cell r="P178">
            <v>1.22930169694737</v>
          </cell>
          <cell r="Q178">
            <v>11.474670269548653</v>
          </cell>
          <cell r="R178">
            <v>78.233327099999997</v>
          </cell>
          <cell r="S178">
            <v>178.27305200000001</v>
          </cell>
          <cell r="T178">
            <v>9.474233453986697</v>
          </cell>
          <cell r="U178">
            <v>0.13059755117785962</v>
          </cell>
        </row>
        <row r="179">
          <cell r="E179">
            <v>171</v>
          </cell>
          <cell r="F179" t="str">
            <v>Kab. Bantul</v>
          </cell>
          <cell r="G179">
            <v>818.76400000000001</v>
          </cell>
          <cell r="H179">
            <v>508.13</v>
          </cell>
          <cell r="I179">
            <v>151.447</v>
          </cell>
          <cell r="J179">
            <v>3.5482973473282815</v>
          </cell>
          <cell r="K179">
            <v>90.01</v>
          </cell>
          <cell r="L179">
            <v>1.1027655291420992</v>
          </cell>
          <cell r="M179">
            <v>1344.2665323567996</v>
          </cell>
          <cell r="N179">
            <v>32.882339999999999</v>
          </cell>
          <cell r="O179">
            <v>23.169128912623489</v>
          </cell>
          <cell r="P179">
            <v>1.1554266139473701</v>
          </cell>
          <cell r="Q179">
            <v>13.219591091330159</v>
          </cell>
          <cell r="R179">
            <v>253.21208380166669</v>
          </cell>
          <cell r="S179">
            <v>292.7</v>
          </cell>
          <cell r="T179">
            <v>18.497027226404679</v>
          </cell>
          <cell r="U179">
            <v>0.19183068197375272</v>
          </cell>
        </row>
        <row r="180">
          <cell r="E180">
            <v>172</v>
          </cell>
          <cell r="F180" t="str">
            <v>Kab. Gunung Kidul</v>
          </cell>
          <cell r="G180">
            <v>687.41200000000003</v>
          </cell>
          <cell r="H180">
            <v>1431.42</v>
          </cell>
          <cell r="I180">
            <v>173.25</v>
          </cell>
          <cell r="J180">
            <v>4.3645608821412978</v>
          </cell>
          <cell r="K180">
            <v>92.57</v>
          </cell>
          <cell r="L180">
            <v>0.99551895460633477</v>
          </cell>
          <cell r="M180">
            <v>1118.7919999999999</v>
          </cell>
          <cell r="N180">
            <v>17.48169</v>
          </cell>
          <cell r="O180">
            <v>20.680008004497566</v>
          </cell>
          <cell r="P180">
            <v>1.1601679839473702</v>
          </cell>
          <cell r="Q180">
            <v>7.9013352052433685</v>
          </cell>
          <cell r="R180">
            <v>202.40074767457213</v>
          </cell>
          <cell r="S180">
            <v>255.64196423832243</v>
          </cell>
          <cell r="T180">
            <v>25.203226012929651</v>
          </cell>
          <cell r="U180">
            <v>0.17317469120430096</v>
          </cell>
        </row>
        <row r="181">
          <cell r="E181">
            <v>173</v>
          </cell>
          <cell r="F181" t="str">
            <v>Kab. Kulon Progo</v>
          </cell>
          <cell r="G181">
            <v>376.05500000000001</v>
          </cell>
          <cell r="H181">
            <v>586.28</v>
          </cell>
          <cell r="I181">
            <v>94.56</v>
          </cell>
          <cell r="J181">
            <v>4.8600000000000003</v>
          </cell>
          <cell r="K181">
            <v>88.41</v>
          </cell>
          <cell r="L181">
            <v>1.1110798834865827</v>
          </cell>
          <cell r="M181">
            <v>589.96048399799861</v>
          </cell>
          <cell r="N181">
            <v>24.039439999999999</v>
          </cell>
          <cell r="O181">
            <v>14.841984660586142</v>
          </cell>
          <cell r="P181">
            <v>1.1554266139473701</v>
          </cell>
          <cell r="Q181">
            <v>7.8146895057021215</v>
          </cell>
          <cell r="R181">
            <v>197.78131600010616</v>
          </cell>
          <cell r="S181">
            <v>215.47</v>
          </cell>
          <cell r="T181">
            <v>25.145258007472311</v>
          </cell>
          <cell r="U181">
            <v>0.19327699873096449</v>
          </cell>
        </row>
        <row r="182">
          <cell r="E182">
            <v>174</v>
          </cell>
          <cell r="F182" t="str">
            <v>Kab. Sleman</v>
          </cell>
          <cell r="G182">
            <v>945.04499999999996</v>
          </cell>
          <cell r="H182">
            <v>574.82000000000005</v>
          </cell>
          <cell r="I182">
            <v>146.536</v>
          </cell>
          <cell r="J182">
            <v>2.7964928264134281</v>
          </cell>
          <cell r="K182">
            <v>90.12</v>
          </cell>
          <cell r="L182">
            <v>1.0367808750175689</v>
          </cell>
          <cell r="M182">
            <v>2923.828</v>
          </cell>
          <cell r="N182">
            <v>52.978730000000006</v>
          </cell>
          <cell r="O182">
            <v>40.606661363335256</v>
          </cell>
          <cell r="P182">
            <v>1.1554266139473701</v>
          </cell>
          <cell r="Q182">
            <v>32.441556776739347</v>
          </cell>
          <cell r="R182">
            <v>268.1041178550995</v>
          </cell>
          <cell r="S182">
            <v>307.33080347538646</v>
          </cell>
          <cell r="T182">
            <v>15.505716658995075</v>
          </cell>
          <cell r="U182">
            <v>0.18035237505717899</v>
          </cell>
        </row>
        <row r="183">
          <cell r="E183">
            <v>175</v>
          </cell>
          <cell r="F183" t="str">
            <v>Kota Yogyakarta</v>
          </cell>
          <cell r="G183">
            <v>396.238</v>
          </cell>
          <cell r="H183">
            <v>32.5</v>
          </cell>
          <cell r="I183">
            <v>50.414999999999999</v>
          </cell>
          <cell r="J183">
            <v>2.9581325837795207</v>
          </cell>
          <cell r="K183">
            <v>88.55</v>
          </cell>
          <cell r="L183">
            <v>1.3365311897617729</v>
          </cell>
          <cell r="M183">
            <v>3690.7069999999999</v>
          </cell>
          <cell r="N183">
            <v>68.621560000000002</v>
          </cell>
          <cell r="O183">
            <v>49.072604425508018</v>
          </cell>
          <cell r="P183">
            <v>1.1554266139473701</v>
          </cell>
          <cell r="Q183">
            <v>33.049550986398273</v>
          </cell>
          <cell r="R183">
            <v>169.92370758007291</v>
          </cell>
          <cell r="S183">
            <v>197.78663471308155</v>
          </cell>
          <cell r="T183">
            <v>12.723413705904028</v>
          </cell>
          <cell r="U183">
            <v>0.23249519760619453</v>
          </cell>
        </row>
        <row r="184">
          <cell r="E184">
            <v>176</v>
          </cell>
          <cell r="F184" t="str">
            <v>Kab. Bangkalan</v>
          </cell>
          <cell r="G184">
            <v>891.29600000000005</v>
          </cell>
          <cell r="H184">
            <v>1259.54</v>
          </cell>
          <cell r="I184">
            <v>292.56</v>
          </cell>
          <cell r="J184">
            <v>5.7246684158113261</v>
          </cell>
          <cell r="K184">
            <v>94.86</v>
          </cell>
          <cell r="L184">
            <v>1.0025878982867322</v>
          </cell>
          <cell r="M184">
            <v>1259.5488449527161</v>
          </cell>
          <cell r="N184">
            <v>20.873080000000002</v>
          </cell>
          <cell r="O184">
            <v>22.233889953254511</v>
          </cell>
          <cell r="P184">
            <v>1.80888289394737</v>
          </cell>
          <cell r="Q184">
            <v>13.968806297340432</v>
          </cell>
          <cell r="R184">
            <v>158.32667939999996</v>
          </cell>
          <cell r="S184">
            <v>246.20866291565247</v>
          </cell>
          <cell r="T184">
            <v>32.824112303881087</v>
          </cell>
          <cell r="U184">
            <v>0.17440436356094383</v>
          </cell>
        </row>
        <row r="185">
          <cell r="E185">
            <v>177</v>
          </cell>
          <cell r="F185" t="str">
            <v>Kab. Banyuwangi</v>
          </cell>
          <cell r="G185">
            <v>1540.4290000000001</v>
          </cell>
          <cell r="H185">
            <v>5782.6</v>
          </cell>
          <cell r="I185">
            <v>244.86088329506774</v>
          </cell>
          <cell r="J185">
            <v>2.1112008875711981</v>
          </cell>
          <cell r="K185">
            <v>88.77</v>
          </cell>
          <cell r="L185">
            <v>0.76351389571563588</v>
          </cell>
          <cell r="M185">
            <v>2629.1883800000001</v>
          </cell>
          <cell r="N185">
            <v>41.969839999999998</v>
          </cell>
          <cell r="O185">
            <v>37.353994062782988</v>
          </cell>
          <cell r="P185">
            <v>1.8386509439473699</v>
          </cell>
          <cell r="Q185">
            <v>23.895370308300272</v>
          </cell>
          <cell r="R185">
            <v>285.23207359724807</v>
          </cell>
          <cell r="S185">
            <v>372.02266993710356</v>
          </cell>
          <cell r="T185">
            <v>15.895629288663596</v>
          </cell>
          <cell r="U185">
            <v>0.13281643961569101</v>
          </cell>
        </row>
        <row r="186">
          <cell r="E186">
            <v>178</v>
          </cell>
          <cell r="F186" t="str">
            <v>Kab. Blitar</v>
          </cell>
          <cell r="G186">
            <v>1113.17</v>
          </cell>
          <cell r="H186">
            <v>1588.79</v>
          </cell>
          <cell r="I186">
            <v>179.41096238156825</v>
          </cell>
          <cell r="J186">
            <v>2.0964641731851299</v>
          </cell>
          <cell r="K186">
            <v>89.09</v>
          </cell>
          <cell r="L186">
            <v>0.74776489782056632</v>
          </cell>
          <cell r="M186">
            <v>1774.5084693177391</v>
          </cell>
          <cell r="N186">
            <v>21.761009999999999</v>
          </cell>
          <cell r="O186">
            <v>27.91877486885679</v>
          </cell>
          <cell r="P186">
            <v>1.64975088394737</v>
          </cell>
          <cell r="Q186">
            <v>14.391346225118866</v>
          </cell>
          <cell r="R186">
            <v>262.06956300000007</v>
          </cell>
          <cell r="S186">
            <v>308.85448882939716</v>
          </cell>
          <cell r="T186">
            <v>16.117121588038508</v>
          </cell>
          <cell r="U186">
            <v>0.13007683547793317</v>
          </cell>
        </row>
        <row r="187">
          <cell r="E187">
            <v>179</v>
          </cell>
          <cell r="F187" t="str">
            <v>Kab. Bojonegoro</v>
          </cell>
          <cell r="G187">
            <v>1217.508</v>
          </cell>
          <cell r="H187">
            <v>2198.79</v>
          </cell>
          <cell r="I187">
            <v>336.87164500807313</v>
          </cell>
          <cell r="J187">
            <v>4.7973654560332823</v>
          </cell>
          <cell r="K187">
            <v>88.64</v>
          </cell>
          <cell r="L187">
            <v>0.99672483916646071</v>
          </cell>
          <cell r="M187">
            <v>1426.7718780475059</v>
          </cell>
          <cell r="N187">
            <v>42.473179999999999</v>
          </cell>
          <cell r="O187">
            <v>24.079944776589514</v>
          </cell>
          <cell r="P187">
            <v>10.39489238394737</v>
          </cell>
          <cell r="Q187">
            <v>19.105585845955488</v>
          </cell>
          <cell r="R187">
            <v>219.3801998912451</v>
          </cell>
          <cell r="S187">
            <v>303.39476731620408</v>
          </cell>
          <cell r="T187">
            <v>27.668947145158235</v>
          </cell>
          <cell r="U187">
            <v>0.17338445987355791</v>
          </cell>
        </row>
        <row r="188">
          <cell r="E188">
            <v>180</v>
          </cell>
          <cell r="F188" t="str">
            <v>Kab. Bondowoso</v>
          </cell>
          <cell r="G188">
            <v>710.822</v>
          </cell>
          <cell r="H188">
            <v>1525.97</v>
          </cell>
          <cell r="I188">
            <v>172.99626875451776</v>
          </cell>
          <cell r="J188">
            <v>4.3039255306903312</v>
          </cell>
          <cell r="K188">
            <v>88.49</v>
          </cell>
          <cell r="L188">
            <v>1.016609079964613</v>
          </cell>
          <cell r="M188">
            <v>637.47933896822019</v>
          </cell>
          <cell r="N188">
            <v>21.172049999999999</v>
          </cell>
          <cell r="O188">
            <v>15.366567965850129</v>
          </cell>
          <cell r="P188">
            <v>1.6041459939473701</v>
          </cell>
          <cell r="Q188">
            <v>10.9340382301441</v>
          </cell>
          <cell r="R188">
            <v>153.78438299999999</v>
          </cell>
          <cell r="S188">
            <v>251.71821300000002</v>
          </cell>
          <cell r="T188">
            <v>24.337495006417605</v>
          </cell>
          <cell r="U188">
            <v>0.17684340683194472</v>
          </cell>
        </row>
        <row r="189">
          <cell r="E189">
            <v>181</v>
          </cell>
          <cell r="F189" t="str">
            <v>Kab. Gresik</v>
          </cell>
          <cell r="G189">
            <v>1077.9760000000001</v>
          </cell>
          <cell r="H189">
            <v>1191.25</v>
          </cell>
          <cell r="I189">
            <v>247.46685258105697</v>
          </cell>
          <cell r="J189">
            <v>3.6655409704083719</v>
          </cell>
          <cell r="K189">
            <v>91.69</v>
          </cell>
          <cell r="L189">
            <v>0.91789973953163762</v>
          </cell>
          <cell r="M189">
            <v>3857.1848374790188</v>
          </cell>
          <cell r="N189">
            <v>59.811699999999995</v>
          </cell>
          <cell r="O189">
            <v>50.910432679001758</v>
          </cell>
          <cell r="P189">
            <v>1.6041459939473701</v>
          </cell>
          <cell r="Q189">
            <v>44.985951670127491</v>
          </cell>
          <cell r="R189">
            <v>171.62878563539996</v>
          </cell>
          <cell r="S189">
            <v>247.50035014860771</v>
          </cell>
          <cell r="T189">
            <v>22.956619867330712</v>
          </cell>
          <cell r="U189">
            <v>0.15967250368704144</v>
          </cell>
        </row>
        <row r="190">
          <cell r="E190">
            <v>182</v>
          </cell>
          <cell r="F190" t="str">
            <v>Kab. Jember</v>
          </cell>
          <cell r="G190">
            <v>2242.2220000000002</v>
          </cell>
          <cell r="H190">
            <v>2477.6799999999998</v>
          </cell>
          <cell r="I190">
            <v>386.08437267810103</v>
          </cell>
          <cell r="J190">
            <v>2.9144724272753377</v>
          </cell>
          <cell r="K190">
            <v>89.96</v>
          </cell>
          <cell r="L190">
            <v>0.97301928640928248</v>
          </cell>
          <cell r="M190">
            <v>2909.4002157296059</v>
          </cell>
          <cell r="N190">
            <v>37.592239999999997</v>
          </cell>
          <cell r="O190">
            <v>40.447386171099623</v>
          </cell>
          <cell r="P190">
            <v>1.72728160394737</v>
          </cell>
          <cell r="Q190">
            <v>29.186493972938273</v>
          </cell>
          <cell r="R190">
            <v>347.44313607452921</v>
          </cell>
          <cell r="S190">
            <v>472.42748831302953</v>
          </cell>
          <cell r="T190">
            <v>17.218829031117391</v>
          </cell>
          <cell r="U190">
            <v>0.16926077969694595</v>
          </cell>
        </row>
        <row r="191">
          <cell r="E191">
            <v>183</v>
          </cell>
          <cell r="F191" t="str">
            <v>Kab. Jombang</v>
          </cell>
          <cell r="G191">
            <v>1179.9000000000001</v>
          </cell>
          <cell r="H191">
            <v>1115.0899999999999</v>
          </cell>
          <cell r="I191">
            <v>284.25111134867461</v>
          </cell>
          <cell r="J191">
            <v>3.898472028716307</v>
          </cell>
          <cell r="K191">
            <v>90.16</v>
          </cell>
          <cell r="L191">
            <v>0.93025617985408593</v>
          </cell>
          <cell r="M191">
            <v>2123.1614799999998</v>
          </cell>
          <cell r="N191">
            <v>70.11475999999999</v>
          </cell>
          <cell r="O191">
            <v>31.767721752121467</v>
          </cell>
          <cell r="P191">
            <v>1.6041459939473701</v>
          </cell>
          <cell r="Q191">
            <v>17.055351186364799</v>
          </cell>
          <cell r="R191">
            <v>214.53146592367636</v>
          </cell>
          <cell r="S191">
            <v>292.09505811157464</v>
          </cell>
          <cell r="T191">
            <v>24.091118853180319</v>
          </cell>
          <cell r="U191">
            <v>0.16182195822763382</v>
          </cell>
        </row>
        <row r="192">
          <cell r="E192">
            <v>184</v>
          </cell>
          <cell r="F192" t="str">
            <v>Kab. Kediri</v>
          </cell>
          <cell r="G192">
            <v>1479.6869999999999</v>
          </cell>
          <cell r="H192">
            <v>1386.05</v>
          </cell>
          <cell r="I192">
            <v>255.28476043902475</v>
          </cell>
          <cell r="J192">
            <v>2.7884389951466693</v>
          </cell>
          <cell r="K192">
            <v>90.37</v>
          </cell>
          <cell r="L192">
            <v>0.92911875657868281</v>
          </cell>
          <cell r="M192">
            <v>1901.2338279364274</v>
          </cell>
          <cell r="N192">
            <v>33.195970000000003</v>
          </cell>
          <cell r="O192">
            <v>29.317756547321373</v>
          </cell>
          <cell r="P192">
            <v>1.6041459939473701</v>
          </cell>
          <cell r="Q192">
            <v>21.869784231038786</v>
          </cell>
          <cell r="R192">
            <v>274.18769008278997</v>
          </cell>
          <cell r="S192">
            <v>358.23273813950158</v>
          </cell>
          <cell r="T192">
            <v>17.2526189957082</v>
          </cell>
          <cell r="U192">
            <v>0.16162409868555769</v>
          </cell>
        </row>
        <row r="193">
          <cell r="E193">
            <v>185</v>
          </cell>
          <cell r="F193" t="str">
            <v>Kab. Lamongan</v>
          </cell>
          <cell r="G193">
            <v>1237.616</v>
          </cell>
          <cell r="H193">
            <v>1669.56</v>
          </cell>
          <cell r="I193">
            <v>318.42940083030294</v>
          </cell>
          <cell r="J193">
            <v>3.2773922408563636</v>
          </cell>
          <cell r="K193">
            <v>91.38</v>
          </cell>
          <cell r="L193">
            <v>0.7322616474188004</v>
          </cell>
          <cell r="M193">
            <v>1589.4842764279467</v>
          </cell>
          <cell r="N193">
            <v>32.31467</v>
          </cell>
          <cell r="O193">
            <v>25.87620455185834</v>
          </cell>
          <cell r="P193">
            <v>1.6041459939473701</v>
          </cell>
          <cell r="Q193">
            <v>17.239603865573489</v>
          </cell>
          <cell r="R193">
            <v>224.34154738829994</v>
          </cell>
          <cell r="S193">
            <v>298.57010679356108</v>
          </cell>
          <cell r="T193">
            <v>25.729256960988138</v>
          </cell>
          <cell r="U193">
            <v>0.12737998014578089</v>
          </cell>
        </row>
        <row r="194">
          <cell r="E194">
            <v>186</v>
          </cell>
          <cell r="F194" t="str">
            <v>Kab. Lumajang</v>
          </cell>
          <cell r="G194">
            <v>1002.131</v>
          </cell>
          <cell r="H194">
            <v>1790.9</v>
          </cell>
          <cell r="I194">
            <v>179.8118807332589</v>
          </cell>
          <cell r="J194">
            <v>2.7579228047071846</v>
          </cell>
          <cell r="K194">
            <v>89.02</v>
          </cell>
          <cell r="L194">
            <v>0.88359516491587875</v>
          </cell>
          <cell r="M194">
            <v>1334.2987000000001</v>
          </cell>
          <cell r="N194">
            <v>25.775029999999997</v>
          </cell>
          <cell r="O194">
            <v>23.059089256842135</v>
          </cell>
          <cell r="P194">
            <v>1.6041459939473701</v>
          </cell>
          <cell r="Q194">
            <v>14.419220662689364</v>
          </cell>
          <cell r="R194">
            <v>189.34981283060571</v>
          </cell>
          <cell r="S194">
            <v>265.66385388109791</v>
          </cell>
          <cell r="T194">
            <v>17.94295164337386</v>
          </cell>
          <cell r="U194">
            <v>0.15370507927137261</v>
          </cell>
        </row>
        <row r="195">
          <cell r="E195">
            <v>187</v>
          </cell>
          <cell r="F195" t="str">
            <v>Kab. Madiun</v>
          </cell>
          <cell r="G195">
            <v>657.66</v>
          </cell>
          <cell r="H195">
            <v>1010.86</v>
          </cell>
          <cell r="I195">
            <v>155.85700921974222</v>
          </cell>
          <cell r="J195">
            <v>3.9819141927742536</v>
          </cell>
          <cell r="K195">
            <v>91.4</v>
          </cell>
          <cell r="L195">
            <v>0.96589984970810561</v>
          </cell>
          <cell r="M195">
            <v>994.19029899999998</v>
          </cell>
          <cell r="N195">
            <v>18.704249999999998</v>
          </cell>
          <cell r="O195">
            <v>19.304470395414683</v>
          </cell>
          <cell r="P195">
            <v>1.6939317539473699</v>
          </cell>
          <cell r="Q195">
            <v>12.504022860044872</v>
          </cell>
          <cell r="R195">
            <v>180.86511369209995</v>
          </cell>
          <cell r="S195">
            <v>230.1237059136036</v>
          </cell>
          <cell r="T195">
            <v>23.698721105091117</v>
          </cell>
          <cell r="U195">
            <v>0.16802232386788299</v>
          </cell>
        </row>
        <row r="196">
          <cell r="E196">
            <v>188</v>
          </cell>
          <cell r="F196" t="str">
            <v>Kab. Magetan</v>
          </cell>
          <cell r="G196">
            <v>623.39599999999996</v>
          </cell>
          <cell r="H196">
            <v>688.84</v>
          </cell>
          <cell r="I196">
            <v>106.74451113763698</v>
          </cell>
          <cell r="J196">
            <v>3.3862518520943117</v>
          </cell>
          <cell r="K196">
            <v>91.08</v>
          </cell>
          <cell r="L196">
            <v>1.1368491090404174</v>
          </cell>
          <cell r="M196">
            <v>983.48032222754307</v>
          </cell>
          <cell r="N196">
            <v>25.828080000000003</v>
          </cell>
          <cell r="O196">
            <v>19.186237853445462</v>
          </cell>
          <cell r="P196">
            <v>1.6041459939473701</v>
          </cell>
          <cell r="Q196">
            <v>12.330043002798105</v>
          </cell>
          <cell r="R196">
            <v>205.12731993990005</v>
          </cell>
          <cell r="S196">
            <v>253.13466263126384</v>
          </cell>
          <cell r="T196">
            <v>17.123066419681386</v>
          </cell>
          <cell r="U196">
            <v>0.19775966343283743</v>
          </cell>
        </row>
        <row r="197">
          <cell r="E197">
            <v>189</v>
          </cell>
          <cell r="F197" t="str">
            <v>Kab.  Malang</v>
          </cell>
          <cell r="G197">
            <v>2355.4050000000002</v>
          </cell>
          <cell r="H197">
            <v>2920.82</v>
          </cell>
          <cell r="I197">
            <v>381.27335245781319</v>
          </cell>
          <cell r="J197">
            <v>2.5441281981309047</v>
          </cell>
          <cell r="K197">
            <v>90.52</v>
          </cell>
          <cell r="L197">
            <v>0.90351058018772268</v>
          </cell>
          <cell r="M197">
            <v>4755.3064846030147</v>
          </cell>
          <cell r="N197">
            <v>38.519570000000002</v>
          </cell>
          <cell r="O197">
            <v>60.825225922077358</v>
          </cell>
          <cell r="P197">
            <v>1.7015372439473699</v>
          </cell>
          <cell r="Q197">
            <v>28.687657664610697</v>
          </cell>
          <cell r="R197">
            <v>355.58002456452391</v>
          </cell>
          <cell r="S197">
            <v>484.99452890460668</v>
          </cell>
          <cell r="T197">
            <v>16.187167491697316</v>
          </cell>
          <cell r="U197">
            <v>0.15716944916001105</v>
          </cell>
        </row>
        <row r="198">
          <cell r="E198">
            <v>190</v>
          </cell>
          <cell r="F198" t="str">
            <v>Kab. Mojokerto</v>
          </cell>
          <cell r="G198">
            <v>982.98900000000003</v>
          </cell>
          <cell r="H198">
            <v>717.83</v>
          </cell>
          <cell r="I198">
            <v>157.46068262650488</v>
          </cell>
          <cell r="J198">
            <v>2.6947740430417659</v>
          </cell>
          <cell r="K198">
            <v>90.78</v>
          </cell>
          <cell r="L198">
            <v>0.96708354764327098</v>
          </cell>
          <cell r="M198">
            <v>1502.6454384264098</v>
          </cell>
          <cell r="N198">
            <v>32.074849999999998</v>
          </cell>
          <cell r="O198">
            <v>24.917549199310866</v>
          </cell>
          <cell r="P198">
            <v>1.6041459939473701</v>
          </cell>
          <cell r="Q198">
            <v>23.850473312459577</v>
          </cell>
          <cell r="R198">
            <v>177.90364371569996</v>
          </cell>
          <cell r="S198">
            <v>257.94407306267999</v>
          </cell>
          <cell r="T198">
            <v>16.018559986582236</v>
          </cell>
          <cell r="U198">
            <v>0.16822823308081455</v>
          </cell>
        </row>
        <row r="199">
          <cell r="E199">
            <v>191</v>
          </cell>
          <cell r="F199" t="str">
            <v>Kab. Nganjuk</v>
          </cell>
          <cell r="G199">
            <v>1029.3920000000001</v>
          </cell>
          <cell r="H199">
            <v>1224.25</v>
          </cell>
          <cell r="I199">
            <v>240.63</v>
          </cell>
          <cell r="J199">
            <v>4.1450456838301504</v>
          </cell>
          <cell r="K199">
            <v>90.09</v>
          </cell>
          <cell r="L199">
            <v>1.0193549837960201</v>
          </cell>
          <cell r="M199">
            <v>1874.9332400000001</v>
          </cell>
          <cell r="N199">
            <v>36.77281</v>
          </cell>
          <cell r="O199">
            <v>29.027411812400398</v>
          </cell>
          <cell r="P199">
            <v>1.95583101394737</v>
          </cell>
          <cell r="Q199">
            <v>17.187690791189695</v>
          </cell>
          <cell r="R199">
            <v>241.3063418774999</v>
          </cell>
          <cell r="S199">
            <v>300.44806806643226</v>
          </cell>
          <cell r="T199">
            <v>23.375934532228733</v>
          </cell>
          <cell r="U199">
            <v>0.17732106830275884</v>
          </cell>
        </row>
        <row r="200">
          <cell r="E200">
            <v>192</v>
          </cell>
          <cell r="F200" t="str">
            <v>Kab. Ngawi</v>
          </cell>
          <cell r="G200">
            <v>841.51900000000001</v>
          </cell>
          <cell r="H200">
            <v>1295.98</v>
          </cell>
          <cell r="I200">
            <v>212.48672639604729</v>
          </cell>
          <cell r="J200">
            <v>4.473604862507031</v>
          </cell>
          <cell r="K200">
            <v>92.09</v>
          </cell>
          <cell r="L200">
            <v>1.0184855072893486</v>
          </cell>
          <cell r="M200">
            <v>1143.8493522115155</v>
          </cell>
          <cell r="N200">
            <v>17.89199</v>
          </cell>
          <cell r="O200">
            <v>20.956628067260404</v>
          </cell>
          <cell r="P200">
            <v>1.7005106439473701</v>
          </cell>
          <cell r="Q200">
            <v>14.219105843523575</v>
          </cell>
          <cell r="R200">
            <v>208.36063093379011</v>
          </cell>
          <cell r="S200">
            <v>272.52648603441673</v>
          </cell>
          <cell r="T200">
            <v>25.250377756895244</v>
          </cell>
          <cell r="U200">
            <v>0.17716981922321545</v>
          </cell>
        </row>
        <row r="201">
          <cell r="E201">
            <v>193</v>
          </cell>
          <cell r="F201" t="str">
            <v>Kab. Pacitan</v>
          </cell>
          <cell r="G201">
            <v>540.02599999999995</v>
          </cell>
          <cell r="H201">
            <v>1389.92</v>
          </cell>
          <cell r="I201">
            <v>133.44999999999999</v>
          </cell>
          <cell r="J201">
            <v>4.8802697612693038</v>
          </cell>
          <cell r="K201">
            <v>90.69</v>
          </cell>
          <cell r="L201">
            <v>1.135285345247423</v>
          </cell>
          <cell r="M201">
            <v>475.12064018200039</v>
          </cell>
          <cell r="N201">
            <v>12.335930000000001</v>
          </cell>
          <cell r="O201">
            <v>13.574212849107337</v>
          </cell>
          <cell r="P201">
            <v>1.60435788394737</v>
          </cell>
          <cell r="Q201">
            <v>9.4943614528131519</v>
          </cell>
          <cell r="R201">
            <v>152.168490558</v>
          </cell>
          <cell r="S201">
            <v>211.33231603560114</v>
          </cell>
          <cell r="T201">
            <v>24.711773136848965</v>
          </cell>
          <cell r="U201">
            <v>0.19748764017229054</v>
          </cell>
        </row>
        <row r="202">
          <cell r="E202">
            <v>194</v>
          </cell>
          <cell r="F202" t="str">
            <v>Kab. Pamekasan</v>
          </cell>
          <cell r="G202">
            <v>746.54499999999996</v>
          </cell>
          <cell r="H202">
            <v>792.24</v>
          </cell>
          <cell r="I202">
            <v>241.25261812985178</v>
          </cell>
          <cell r="J202">
            <v>5.4869830738543088</v>
          </cell>
          <cell r="K202">
            <v>95.08</v>
          </cell>
          <cell r="L202">
            <v>0.97607387300500936</v>
          </cell>
          <cell r="M202">
            <v>565.57846999999992</v>
          </cell>
          <cell r="N202">
            <v>14.71214</v>
          </cell>
          <cell r="O202">
            <v>14.572819978480938</v>
          </cell>
          <cell r="P202">
            <v>1.6041459939473701</v>
          </cell>
          <cell r="Q202">
            <v>12.430876180333509</v>
          </cell>
          <cell r="R202">
            <v>158.07733530000002</v>
          </cell>
          <cell r="S202">
            <v>230.95179909402808</v>
          </cell>
          <cell r="T202">
            <v>32.315884257459601</v>
          </cell>
          <cell r="U202">
            <v>0.16979213782732025</v>
          </cell>
        </row>
        <row r="203">
          <cell r="E203">
            <v>195</v>
          </cell>
          <cell r="F203" t="str">
            <v>Kab. Pasuruan</v>
          </cell>
          <cell r="G203">
            <v>1441.383</v>
          </cell>
          <cell r="H203">
            <v>1150.75</v>
          </cell>
          <cell r="I203">
            <v>290.86626415157036</v>
          </cell>
          <cell r="J203">
            <v>3.9970027935609425</v>
          </cell>
          <cell r="K203">
            <v>89.2</v>
          </cell>
          <cell r="L203">
            <v>1.1386378227855136</v>
          </cell>
          <cell r="M203">
            <v>1669.3139956525235</v>
          </cell>
          <cell r="N203">
            <v>48.64669</v>
          </cell>
          <cell r="O203">
            <v>26.757482899061102</v>
          </cell>
          <cell r="P203">
            <v>1.6041459939473701</v>
          </cell>
          <cell r="Q203">
            <v>32.737947416557645</v>
          </cell>
          <cell r="R203">
            <v>224.81303855699997</v>
          </cell>
          <cell r="S203">
            <v>378.25223599999998</v>
          </cell>
          <cell r="T203">
            <v>20.179665234817556</v>
          </cell>
          <cell r="U203">
            <v>0.19807081767960158</v>
          </cell>
        </row>
        <row r="204">
          <cell r="E204">
            <v>196</v>
          </cell>
          <cell r="F204" t="str">
            <v>Kab. Ponorogo</v>
          </cell>
          <cell r="G204">
            <v>869.91200000000003</v>
          </cell>
          <cell r="H204">
            <v>1305.7</v>
          </cell>
          <cell r="I204">
            <v>153.19999999999999</v>
          </cell>
          <cell r="J204">
            <v>2.4703535974492081</v>
          </cell>
          <cell r="K204">
            <v>88.79</v>
          </cell>
          <cell r="L204">
            <v>0.80638193327794661</v>
          </cell>
          <cell r="M204">
            <v>1105.7893653994599</v>
          </cell>
          <cell r="N204">
            <v>23.8735</v>
          </cell>
          <cell r="O204">
            <v>20.536465719226477</v>
          </cell>
          <cell r="P204">
            <v>1.6041459939473701</v>
          </cell>
          <cell r="Q204">
            <v>13.666582730025567</v>
          </cell>
          <cell r="R204">
            <v>217.37622300000007</v>
          </cell>
          <cell r="S204">
            <v>278.56671365848291</v>
          </cell>
          <cell r="T204">
            <v>17.610976742475099</v>
          </cell>
          <cell r="U204">
            <v>0.14027351427312243</v>
          </cell>
        </row>
        <row r="205">
          <cell r="E205">
            <v>197</v>
          </cell>
          <cell r="F205" t="str">
            <v xml:space="preserve">Kab. Probolinggo    </v>
          </cell>
          <cell r="G205">
            <v>1045.184</v>
          </cell>
          <cell r="H205">
            <v>1599.03</v>
          </cell>
          <cell r="I205">
            <v>272.86</v>
          </cell>
          <cell r="J205">
            <v>4.75</v>
          </cell>
          <cell r="K205">
            <v>88.71</v>
          </cell>
          <cell r="L205">
            <v>1.0459516252726704</v>
          </cell>
          <cell r="M205">
            <v>1915.478904600933</v>
          </cell>
          <cell r="N205">
            <v>23.705400000000001</v>
          </cell>
          <cell r="O205">
            <v>29.475014743148865</v>
          </cell>
          <cell r="P205">
            <v>1.6041459939473701</v>
          </cell>
          <cell r="Q205">
            <v>20.407621693184151</v>
          </cell>
          <cell r="R205">
            <v>178.80984119999999</v>
          </cell>
          <cell r="S205">
            <v>262.25579739397961</v>
          </cell>
          <cell r="T205">
            <v>26.106408058294043</v>
          </cell>
          <cell r="U205">
            <v>0.18194766546947153</v>
          </cell>
        </row>
        <row r="206">
          <cell r="E206">
            <v>198</v>
          </cell>
          <cell r="F206" t="str">
            <v>Kab. Sampang</v>
          </cell>
          <cell r="G206">
            <v>837.95799999999997</v>
          </cell>
          <cell r="H206">
            <v>1233.3</v>
          </cell>
          <cell r="I206">
            <v>332.58</v>
          </cell>
          <cell r="J206">
            <v>9.0736687533747702</v>
          </cell>
          <cell r="K206">
            <v>96.25</v>
          </cell>
          <cell r="L206">
            <v>1.3142384069498729</v>
          </cell>
          <cell r="M206">
            <v>651.78470631680034</v>
          </cell>
          <cell r="N206">
            <v>11.92414</v>
          </cell>
          <cell r="O206">
            <v>15.524491739296195</v>
          </cell>
          <cell r="P206">
            <v>1.6041459939473701</v>
          </cell>
          <cell r="Q206">
            <v>14.466775096558806</v>
          </cell>
          <cell r="R206">
            <v>117.42897057088543</v>
          </cell>
          <cell r="S206">
            <v>214.53076653230193</v>
          </cell>
          <cell r="T206">
            <v>39.689340038522211</v>
          </cell>
          <cell r="U206">
            <v>0.22861727467798476</v>
          </cell>
        </row>
        <row r="207">
          <cell r="E207">
            <v>199</v>
          </cell>
          <cell r="F207" t="str">
            <v>Kab. Sidoarjo</v>
          </cell>
          <cell r="G207">
            <v>1738.8989999999999</v>
          </cell>
          <cell r="H207">
            <v>634.39</v>
          </cell>
          <cell r="I207">
            <v>220.00394549024708</v>
          </cell>
          <cell r="J207">
            <v>1.9596091079240652</v>
          </cell>
          <cell r="K207">
            <v>90.47</v>
          </cell>
          <cell r="L207">
            <v>0.89038625907241986</v>
          </cell>
          <cell r="M207">
            <v>6141.824304463973</v>
          </cell>
          <cell r="N207">
            <v>112.97982</v>
          </cell>
          <cell r="O207">
            <v>76.13165746816324</v>
          </cell>
          <cell r="P207">
            <v>1.6041459939473701</v>
          </cell>
          <cell r="Q207">
            <v>64.409302486412386</v>
          </cell>
          <cell r="R207">
            <v>260.65456466589114</v>
          </cell>
          <cell r="S207">
            <v>343.07505710580875</v>
          </cell>
          <cell r="T207">
            <v>12.651910518681481</v>
          </cell>
          <cell r="U207">
            <v>0.1548864185397579</v>
          </cell>
        </row>
        <row r="208">
          <cell r="E208">
            <v>200</v>
          </cell>
          <cell r="F208" t="str">
            <v>Kab. Situbondo</v>
          </cell>
          <cell r="G208">
            <v>623.36199999999997</v>
          </cell>
          <cell r="H208">
            <v>1638.81</v>
          </cell>
          <cell r="I208">
            <v>115.46448528690873</v>
          </cell>
          <cell r="J208">
            <v>2.7807136538716142</v>
          </cell>
          <cell r="K208">
            <v>89.79</v>
          </cell>
          <cell r="L208">
            <v>0.86300493894909125</v>
          </cell>
          <cell r="M208">
            <v>1390.9870190599556</v>
          </cell>
          <cell r="N208">
            <v>41.497669999999999</v>
          </cell>
          <cell r="O208">
            <v>23.684898649786611</v>
          </cell>
          <cell r="P208">
            <v>1.8909414939473701</v>
          </cell>
          <cell r="Q208">
            <v>12.568183995145763</v>
          </cell>
          <cell r="R208">
            <v>150.6080805</v>
          </cell>
          <cell r="S208">
            <v>206.729848</v>
          </cell>
          <cell r="T208">
            <v>18.52286236358789</v>
          </cell>
          <cell r="U208">
            <v>0.15012332323636551</v>
          </cell>
        </row>
        <row r="209">
          <cell r="E209">
            <v>201</v>
          </cell>
          <cell r="F209" t="str">
            <v>Kab. Sumenep</v>
          </cell>
          <cell r="G209">
            <v>1038.7059999999999</v>
          </cell>
          <cell r="H209">
            <v>1998.54</v>
          </cell>
          <cell r="I209">
            <v>314.1195285496284</v>
          </cell>
          <cell r="J209">
            <v>5.6073677052050277</v>
          </cell>
          <cell r="K209">
            <v>96.28</v>
          </cell>
          <cell r="L209">
            <v>1.0659132255870012</v>
          </cell>
          <cell r="M209">
            <v>1204.1334882947738</v>
          </cell>
          <cell r="N209">
            <v>32.227519999999998</v>
          </cell>
          <cell r="O209">
            <v>21.62213339943554</v>
          </cell>
          <cell r="P209">
            <v>7.3861459939473697</v>
          </cell>
          <cell r="Q209">
            <v>30.84815270356053</v>
          </cell>
          <cell r="R209">
            <v>194.37273452531423</v>
          </cell>
          <cell r="S209">
            <v>363.40689900000001</v>
          </cell>
          <cell r="T209">
            <v>30.241428137473779</v>
          </cell>
          <cell r="U209">
            <v>0.18542006943966502</v>
          </cell>
        </row>
        <row r="210">
          <cell r="E210">
            <v>202</v>
          </cell>
          <cell r="F210" t="str">
            <v>Kab. Trenggalek</v>
          </cell>
          <cell r="G210">
            <v>671.02200000000005</v>
          </cell>
          <cell r="H210">
            <v>1261.4000000000001</v>
          </cell>
          <cell r="I210">
            <v>161.53</v>
          </cell>
          <cell r="J210">
            <v>4.3491891000111602</v>
          </cell>
          <cell r="K210">
            <v>89.41</v>
          </cell>
          <cell r="L210">
            <v>1.0386206867878884</v>
          </cell>
          <cell r="M210">
            <v>662.30696</v>
          </cell>
          <cell r="N210">
            <v>19.248619999999999</v>
          </cell>
          <cell r="O210">
            <v>15.640651916544112</v>
          </cell>
          <cell r="P210">
            <v>1.6041459939473701</v>
          </cell>
          <cell r="Q210">
            <v>12.079868172083984</v>
          </cell>
          <cell r="R210">
            <v>187.34627440006719</v>
          </cell>
          <cell r="S210">
            <v>252.00355456354001</v>
          </cell>
          <cell r="T210">
            <v>24.072236081678394</v>
          </cell>
          <cell r="U210">
            <v>0.18067241801941986</v>
          </cell>
        </row>
        <row r="211">
          <cell r="E211">
            <v>203</v>
          </cell>
          <cell r="F211" t="str">
            <v>Kab. Tuban</v>
          </cell>
          <cell r="G211">
            <v>1083.874</v>
          </cell>
          <cell r="H211">
            <v>1834.15</v>
          </cell>
          <cell r="I211">
            <v>306.80276863127398</v>
          </cell>
          <cell r="J211">
            <v>5.1535417961983168</v>
          </cell>
          <cell r="K211">
            <v>91.57</v>
          </cell>
          <cell r="L211">
            <v>1.0466233949381021</v>
          </cell>
          <cell r="M211">
            <v>1470.5771497355965</v>
          </cell>
          <cell r="N211">
            <v>54.485150000000004</v>
          </cell>
          <cell r="O211">
            <v>24.563532064720214</v>
          </cell>
          <cell r="P211">
            <v>1.63771910394737</v>
          </cell>
          <cell r="Q211">
            <v>20.362514268166443</v>
          </cell>
          <cell r="R211">
            <v>193.98211789199999</v>
          </cell>
          <cell r="S211">
            <v>278.09849042105753</v>
          </cell>
          <cell r="T211">
            <v>28.30612863038268</v>
          </cell>
          <cell r="U211">
            <v>0.18206452261602135</v>
          </cell>
        </row>
        <row r="212">
          <cell r="E212">
            <v>204</v>
          </cell>
          <cell r="F212" t="str">
            <v>Kab. Tulungagung</v>
          </cell>
          <cell r="G212">
            <v>962.82500000000005</v>
          </cell>
          <cell r="H212">
            <v>1055.6500000000001</v>
          </cell>
          <cell r="I212">
            <v>158.12</v>
          </cell>
          <cell r="J212">
            <v>2.7439103570532986</v>
          </cell>
          <cell r="K212">
            <v>90.28</v>
          </cell>
          <cell r="L212">
            <v>0.96049604978390202</v>
          </cell>
          <cell r="M212">
            <v>2342.1144866164959</v>
          </cell>
          <cell r="N212">
            <v>26.259270000000001</v>
          </cell>
          <cell r="O212">
            <v>34.184848427003416</v>
          </cell>
          <cell r="P212">
            <v>1.6041459939473701</v>
          </cell>
          <cell r="Q212">
            <v>15.460733418498318</v>
          </cell>
          <cell r="R212">
            <v>254.06405519999998</v>
          </cell>
          <cell r="S212">
            <v>309.0236332464404</v>
          </cell>
          <cell r="T212">
            <v>16.42250668605406</v>
          </cell>
          <cell r="U212">
            <v>0.16708231024094625</v>
          </cell>
        </row>
        <row r="213">
          <cell r="E213">
            <v>205</v>
          </cell>
          <cell r="F213" t="str">
            <v>Kota Blitar</v>
          </cell>
          <cell r="G213">
            <v>123.80800000000001</v>
          </cell>
          <cell r="H213">
            <v>32.58</v>
          </cell>
          <cell r="I213">
            <v>14.533290248786255</v>
          </cell>
          <cell r="J213">
            <v>2.2217260368319849</v>
          </cell>
          <cell r="K213">
            <v>90.38</v>
          </cell>
          <cell r="L213">
            <v>1.0880287645473035</v>
          </cell>
          <cell r="M213">
            <v>348.61836147430199</v>
          </cell>
          <cell r="N213">
            <v>18.64847</v>
          </cell>
          <cell r="O213">
            <v>12.17769385618344</v>
          </cell>
          <cell r="P213">
            <v>1.6041459939473701</v>
          </cell>
          <cell r="Q213">
            <v>8.4896452388145978</v>
          </cell>
          <cell r="R213">
            <v>63.614634299999999</v>
          </cell>
          <cell r="S213">
            <v>113.60284078413761</v>
          </cell>
          <cell r="T213">
            <v>11.738571214126917</v>
          </cell>
          <cell r="U213">
            <v>0.18926716005762467</v>
          </cell>
        </row>
        <row r="214">
          <cell r="E214">
            <v>206</v>
          </cell>
          <cell r="F214" t="str">
            <v>Kota Kediri</v>
          </cell>
          <cell r="G214">
            <v>252.673</v>
          </cell>
          <cell r="H214">
            <v>63.4</v>
          </cell>
          <cell r="I214">
            <v>34.278519069551031</v>
          </cell>
          <cell r="J214">
            <v>2.5655950182393288</v>
          </cell>
          <cell r="K214">
            <v>89.21</v>
          </cell>
          <cell r="L214">
            <v>1.0871513287513714</v>
          </cell>
          <cell r="M214">
            <v>4685.1924946245499</v>
          </cell>
          <cell r="N214">
            <v>26.209849999999999</v>
          </cell>
          <cell r="O214">
            <v>60.051204144170498</v>
          </cell>
          <cell r="P214">
            <v>1.6041459939473701</v>
          </cell>
          <cell r="Q214">
            <v>39.468106304057322</v>
          </cell>
          <cell r="R214">
            <v>101.10332744759999</v>
          </cell>
          <cell r="S214">
            <v>119.25943959664104</v>
          </cell>
          <cell r="T214">
            <v>13.566356147887202</v>
          </cell>
          <cell r="U214">
            <v>0.18911452642638235</v>
          </cell>
        </row>
        <row r="215">
          <cell r="E215">
            <v>207</v>
          </cell>
          <cell r="F215" t="str">
            <v>Kota Madiun</v>
          </cell>
          <cell r="G215">
            <v>176.07300000000001</v>
          </cell>
          <cell r="H215">
            <v>33.229999999999997</v>
          </cell>
          <cell r="I215">
            <v>15.836274891780883</v>
          </cell>
          <cell r="J215">
            <v>1.5602141755536207</v>
          </cell>
          <cell r="K215">
            <v>89.17</v>
          </cell>
          <cell r="L215">
            <v>0.99721559838935725</v>
          </cell>
          <cell r="M215">
            <v>558.60699470766099</v>
          </cell>
          <cell r="N215">
            <v>19.47174</v>
          </cell>
          <cell r="O215">
            <v>14.495858537517911</v>
          </cell>
          <cell r="P215">
            <v>1.6041459939473701</v>
          </cell>
          <cell r="Q215">
            <v>14.754463320681777</v>
          </cell>
          <cell r="R215">
            <v>88.178567884199964</v>
          </cell>
          <cell r="S215">
            <v>207.32012699999999</v>
          </cell>
          <cell r="T215">
            <v>8.994152931898066</v>
          </cell>
          <cell r="U215">
            <v>0.17346982949559026</v>
          </cell>
        </row>
        <row r="216">
          <cell r="E216">
            <v>208</v>
          </cell>
          <cell r="F216" t="str">
            <v>Kota Malang</v>
          </cell>
          <cell r="G216">
            <v>775.90899999999999</v>
          </cell>
          <cell r="H216">
            <v>110.06</v>
          </cell>
          <cell r="I216">
            <v>55.928110060846407</v>
          </cell>
          <cell r="J216">
            <v>0.99176962973029692</v>
          </cell>
          <cell r="K216">
            <v>90.81</v>
          </cell>
          <cell r="L216">
            <v>0.79096371724051784</v>
          </cell>
          <cell r="M216">
            <v>5379.9843758026682</v>
          </cell>
          <cell r="N216">
            <v>41.5822</v>
          </cell>
          <cell r="O216">
            <v>67.721343118003205</v>
          </cell>
          <cell r="P216">
            <v>1.6041459939473701</v>
          </cell>
          <cell r="Q216">
            <v>35.379596636948463</v>
          </cell>
          <cell r="R216">
            <v>162.13378424392837</v>
          </cell>
          <cell r="S216">
            <v>211.62781221793267</v>
          </cell>
          <cell r="T216">
            <v>7.2080759548924425</v>
          </cell>
          <cell r="U216">
            <v>0.1375914510247549</v>
          </cell>
        </row>
        <row r="217">
          <cell r="E217">
            <v>209</v>
          </cell>
          <cell r="F217" t="str">
            <v>Kota Mojokerto</v>
          </cell>
          <cell r="G217">
            <v>112.96599999999999</v>
          </cell>
          <cell r="H217">
            <v>16.47</v>
          </cell>
          <cell r="I217">
            <v>12.127780138642322</v>
          </cell>
          <cell r="J217">
            <v>1.6991423204978031</v>
          </cell>
          <cell r="K217">
            <v>90.49</v>
          </cell>
          <cell r="L217">
            <v>0.90983220317421298</v>
          </cell>
          <cell r="M217">
            <v>613.37181185528357</v>
          </cell>
          <cell r="N217">
            <v>11.021540000000002</v>
          </cell>
          <cell r="O217">
            <v>15.100433475392173</v>
          </cell>
          <cell r="P217">
            <v>1.66240415394737</v>
          </cell>
          <cell r="Q217">
            <v>9.6427322262929085</v>
          </cell>
          <cell r="R217">
            <v>53.765735101800011</v>
          </cell>
          <cell r="S217">
            <v>109.54</v>
          </cell>
          <cell r="T217">
            <v>10.735779029656998</v>
          </cell>
          <cell r="U217">
            <v>0.15826912195230697</v>
          </cell>
        </row>
        <row r="218">
          <cell r="E218">
            <v>210</v>
          </cell>
          <cell r="F218" t="str">
            <v xml:space="preserve">Kota Pasuruan </v>
          </cell>
          <cell r="G218">
            <v>178.53200000000001</v>
          </cell>
          <cell r="H218">
            <v>35.28</v>
          </cell>
          <cell r="I218">
            <v>22.250968518831368</v>
          </cell>
          <cell r="J218">
            <v>1.4809469113187823</v>
          </cell>
          <cell r="K218">
            <v>91.42</v>
          </cell>
          <cell r="L218">
            <v>0.68308028772308249</v>
          </cell>
          <cell r="M218">
            <v>640.17735500000003</v>
          </cell>
          <cell r="N218">
            <v>15.75417779</v>
          </cell>
          <cell r="O218">
            <v>15.396352651707844</v>
          </cell>
          <cell r="P218">
            <v>1.6041459939473701</v>
          </cell>
          <cell r="Q218">
            <v>8.9403481003301959</v>
          </cell>
          <cell r="R218">
            <v>58.585714076699993</v>
          </cell>
          <cell r="S218">
            <v>125.06964799999999</v>
          </cell>
          <cell r="T218">
            <v>12.463294265919481</v>
          </cell>
          <cell r="U218">
            <v>0.11882467666420979</v>
          </cell>
        </row>
        <row r="219">
          <cell r="E219">
            <v>211</v>
          </cell>
          <cell r="F219" t="str">
            <v>Kota Probollinggo</v>
          </cell>
          <cell r="G219">
            <v>201.73699999999999</v>
          </cell>
          <cell r="H219">
            <v>56.67</v>
          </cell>
          <cell r="I219">
            <v>36.383340415926966</v>
          </cell>
          <cell r="J219">
            <v>2.1147878431940246</v>
          </cell>
          <cell r="K219">
            <v>88.64</v>
          </cell>
          <cell r="L219">
            <v>0.67408537542281832</v>
          </cell>
          <cell r="M219">
            <v>993.45389572295619</v>
          </cell>
          <cell r="N219">
            <v>16.312049999999999</v>
          </cell>
          <cell r="O219">
            <v>19.29634088839434</v>
          </cell>
          <cell r="P219">
            <v>1.6041459939473701</v>
          </cell>
          <cell r="Q219">
            <v>12.584950089570867</v>
          </cell>
          <cell r="R219">
            <v>60.66733259999998</v>
          </cell>
          <cell r="S219">
            <v>111.58860636807543</v>
          </cell>
          <cell r="T219">
            <v>18.035035920989689</v>
          </cell>
          <cell r="U219">
            <v>0.11725997400053827</v>
          </cell>
        </row>
        <row r="220">
          <cell r="E220">
            <v>212</v>
          </cell>
          <cell r="F220" t="str">
            <v>Kota Surabaya</v>
          </cell>
          <cell r="G220">
            <v>2698.7919999999999</v>
          </cell>
          <cell r="H220">
            <v>326.36</v>
          </cell>
          <cell r="I220">
            <v>248.16</v>
          </cell>
          <cell r="J220">
            <v>1.5377267899596181</v>
          </cell>
          <cell r="K220">
            <v>88.21</v>
          </cell>
          <cell r="L220">
            <v>0.96135087458604362</v>
          </cell>
          <cell r="M220">
            <v>33638.380510734656</v>
          </cell>
          <cell r="N220">
            <v>340.81673999999998</v>
          </cell>
          <cell r="O220">
            <v>379.67925656544048</v>
          </cell>
          <cell r="P220">
            <v>1.6041459939473701</v>
          </cell>
          <cell r="Q220">
            <v>279.2116138942709</v>
          </cell>
          <cell r="R220">
            <v>360.98010492177366</v>
          </cell>
          <cell r="S220">
            <v>342.16759629149703</v>
          </cell>
          <cell r="T220">
            <v>9.1952251229438957</v>
          </cell>
          <cell r="U220">
            <v>0.16723101059512804</v>
          </cell>
        </row>
        <row r="221">
          <cell r="E221">
            <v>213</v>
          </cell>
          <cell r="F221" t="str">
            <v>Kota Batu</v>
          </cell>
          <cell r="G221">
            <v>178.505</v>
          </cell>
          <cell r="H221">
            <v>151.37</v>
          </cell>
          <cell r="I221">
            <v>20.246376760378091</v>
          </cell>
          <cell r="J221">
            <v>1.7969143735038646</v>
          </cell>
          <cell r="K221">
            <v>89.61</v>
          </cell>
          <cell r="L221">
            <v>0.91074241970224235</v>
          </cell>
          <cell r="M221">
            <v>444.21277903646347</v>
          </cell>
          <cell r="N221">
            <v>7.1942500000000003</v>
          </cell>
          <cell r="O221">
            <v>13.2330062276825</v>
          </cell>
          <cell r="P221">
            <v>1.6041459939473701</v>
          </cell>
          <cell r="Q221">
            <v>9.9524930823036755</v>
          </cell>
          <cell r="R221">
            <v>33.496366098300001</v>
          </cell>
          <cell r="S221">
            <v>99.343721048203008</v>
          </cell>
          <cell r="T221">
            <v>11.342190280596114</v>
          </cell>
          <cell r="U221">
            <v>0.15842745792917731</v>
          </cell>
        </row>
        <row r="222">
          <cell r="E222">
            <v>214</v>
          </cell>
          <cell r="F222" t="str">
            <v>Kab. Bengkayang</v>
          </cell>
          <cell r="G222">
            <v>194.191</v>
          </cell>
          <cell r="H222">
            <v>5397.3</v>
          </cell>
          <cell r="I222">
            <v>29.466999999999999</v>
          </cell>
          <cell r="J222">
            <v>2.9709120042357893</v>
          </cell>
          <cell r="K222">
            <v>102.06</v>
          </cell>
          <cell r="L222">
            <v>1.1255066753416967</v>
          </cell>
          <cell r="M222">
            <v>445.34596999999997</v>
          </cell>
          <cell r="N222">
            <v>2.1561399999999997</v>
          </cell>
          <cell r="O222">
            <v>13.245516063231353</v>
          </cell>
          <cell r="P222">
            <v>1.6957301839473702</v>
          </cell>
          <cell r="Q222">
            <v>7.5574455996586529</v>
          </cell>
          <cell r="R222">
            <v>49.699630117777872</v>
          </cell>
          <cell r="S222">
            <v>124.56315999704461</v>
          </cell>
          <cell r="T222">
            <v>15.174235675185772</v>
          </cell>
          <cell r="U222">
            <v>0.19578659959091599</v>
          </cell>
        </row>
        <row r="223">
          <cell r="E223">
            <v>215</v>
          </cell>
          <cell r="F223" t="str">
            <v>Kab. Landak</v>
          </cell>
          <cell r="G223">
            <v>307.14299999999997</v>
          </cell>
          <cell r="H223">
            <v>9889.1</v>
          </cell>
          <cell r="I223">
            <v>75.171999999999997</v>
          </cell>
          <cell r="J223">
            <v>5.2620146353299599</v>
          </cell>
          <cell r="K223">
            <v>101.47</v>
          </cell>
          <cell r="L223">
            <v>1.2359522143820829</v>
          </cell>
          <cell r="M223">
            <v>489.63170000000002</v>
          </cell>
          <cell r="N223">
            <v>1.975271338</v>
          </cell>
          <cell r="O223">
            <v>13.734407359833238</v>
          </cell>
          <cell r="P223">
            <v>1.6938373839473702</v>
          </cell>
          <cell r="Q223">
            <v>9.4920287476586545</v>
          </cell>
          <cell r="R223">
            <v>68.258834738782255</v>
          </cell>
          <cell r="S223">
            <v>160.01820760477852</v>
          </cell>
          <cell r="T223">
            <v>24.47459326763104</v>
          </cell>
          <cell r="U223">
            <v>0.2149990636326225</v>
          </cell>
        </row>
        <row r="224">
          <cell r="E224">
            <v>216</v>
          </cell>
          <cell r="F224" t="str">
            <v>Kab. Kapuas Hulu</v>
          </cell>
          <cell r="G224">
            <v>200.042</v>
          </cell>
          <cell r="H224">
            <v>29841.7</v>
          </cell>
          <cell r="I224">
            <v>31.972999999999999</v>
          </cell>
          <cell r="J224">
            <v>3.2479222776426862</v>
          </cell>
          <cell r="K224">
            <v>110.25</v>
          </cell>
          <cell r="L224">
            <v>1.1681767002597121</v>
          </cell>
          <cell r="M224">
            <v>347.71051999726296</v>
          </cell>
          <cell r="N224">
            <v>5.5484900000000001</v>
          </cell>
          <cell r="O224">
            <v>12.167671761101829</v>
          </cell>
          <cell r="P224">
            <v>1.7725475139473701</v>
          </cell>
          <cell r="Q224">
            <v>14.714978099658655</v>
          </cell>
          <cell r="R224">
            <v>85.569563327414528</v>
          </cell>
          <cell r="S224">
            <v>202.23965771675344</v>
          </cell>
          <cell r="T224">
            <v>15.983143539856629</v>
          </cell>
          <cell r="U224">
            <v>0.20320922911963166</v>
          </cell>
        </row>
        <row r="225">
          <cell r="E225">
            <v>217</v>
          </cell>
          <cell r="F225" t="str">
            <v>Kab. Ketapang</v>
          </cell>
          <cell r="G225">
            <v>474.34500000000003</v>
          </cell>
          <cell r="H225">
            <v>35809</v>
          </cell>
          <cell r="I225">
            <v>86.298000000000002</v>
          </cell>
          <cell r="J225">
            <v>3.1315620359034777</v>
          </cell>
          <cell r="K225">
            <v>103.56</v>
          </cell>
          <cell r="L225">
            <v>0.98950895111867654</v>
          </cell>
          <cell r="M225">
            <v>719.82117000000005</v>
          </cell>
          <cell r="N225">
            <v>10.241430000000001</v>
          </cell>
          <cell r="O225">
            <v>16.275578713504061</v>
          </cell>
          <cell r="P225">
            <v>3.1695878239473698</v>
          </cell>
          <cell r="Q225">
            <v>18.385424587658655</v>
          </cell>
          <cell r="R225">
            <v>113.23322024626391</v>
          </cell>
          <cell r="S225">
            <v>254.43413287735476</v>
          </cell>
          <cell r="T225">
            <v>18.193087309869398</v>
          </cell>
          <cell r="U225">
            <v>0.17212922592883209</v>
          </cell>
        </row>
        <row r="226">
          <cell r="E226">
            <v>218</v>
          </cell>
          <cell r="F226" t="str">
            <v>Kab. Pontianak</v>
          </cell>
          <cell r="G226">
            <v>702.005</v>
          </cell>
          <cell r="H226">
            <v>8235.1200000000008</v>
          </cell>
          <cell r="I226">
            <v>79.73</v>
          </cell>
          <cell r="J226">
            <v>1.52</v>
          </cell>
          <cell r="K226">
            <v>100.17</v>
          </cell>
          <cell r="L226">
            <v>0.76935563796211548</v>
          </cell>
          <cell r="M226">
            <v>1737.3016399999999</v>
          </cell>
          <cell r="N226">
            <v>8.9145599999999998</v>
          </cell>
          <cell r="O226">
            <v>27.508030933336375</v>
          </cell>
          <cell r="P226">
            <v>2.35077047394737</v>
          </cell>
          <cell r="Q226">
            <v>13.016533323658653</v>
          </cell>
          <cell r="R226">
            <v>169.06109791577049</v>
          </cell>
          <cell r="S226">
            <v>245.52510898950584</v>
          </cell>
          <cell r="T226">
            <v>11.35746896389627</v>
          </cell>
          <cell r="U226">
            <v>0.13383263514360966</v>
          </cell>
        </row>
        <row r="227">
          <cell r="E227">
            <v>219</v>
          </cell>
          <cell r="F227" t="str">
            <v>Kab. Sambas</v>
          </cell>
          <cell r="G227">
            <v>476.16199999999998</v>
          </cell>
          <cell r="H227">
            <v>8394.7000000000007</v>
          </cell>
          <cell r="I227">
            <v>68.757000000000005</v>
          </cell>
          <cell r="J227">
            <v>2.0617746122942084</v>
          </cell>
          <cell r="K227">
            <v>101.79</v>
          </cell>
          <cell r="L227">
            <v>0.82081278699594296</v>
          </cell>
          <cell r="M227">
            <v>1055.7436299999999</v>
          </cell>
          <cell r="N227">
            <v>7.59795</v>
          </cell>
          <cell r="O227">
            <v>19.983986975648424</v>
          </cell>
          <cell r="P227">
            <v>1.6938373839473702</v>
          </cell>
          <cell r="Q227">
            <v>11.081617115658654</v>
          </cell>
          <cell r="R227">
            <v>116.09854162998853</v>
          </cell>
          <cell r="S227">
            <v>207.7286857101858</v>
          </cell>
          <cell r="T227">
            <v>14.439833502043422</v>
          </cell>
          <cell r="U227">
            <v>0.14278382171113266</v>
          </cell>
        </row>
        <row r="228">
          <cell r="E228">
            <v>220</v>
          </cell>
          <cell r="F228" t="str">
            <v>Kab. Sanggau</v>
          </cell>
          <cell r="G228">
            <v>537.851</v>
          </cell>
          <cell r="H228">
            <v>18314.900000000001</v>
          </cell>
          <cell r="I228">
            <v>58.433999999999997</v>
          </cell>
          <cell r="J228">
            <v>1.5063015433271947</v>
          </cell>
          <cell r="K228">
            <v>102.67</v>
          </cell>
          <cell r="L228">
            <v>0.79702766616822573</v>
          </cell>
          <cell r="M228">
            <v>615.64329484415293</v>
          </cell>
          <cell r="N228">
            <v>8.5750799999999998</v>
          </cell>
          <cell r="O228">
            <v>15.125509459544119</v>
          </cell>
          <cell r="P228">
            <v>2.15838778394737</v>
          </cell>
          <cell r="Q228">
            <v>24.316445443658655</v>
          </cell>
          <cell r="R228">
            <v>141.88541422342942</v>
          </cell>
          <cell r="S228">
            <v>235.93729282172711</v>
          </cell>
          <cell r="T228">
            <v>10.864347189091403</v>
          </cell>
          <cell r="U228">
            <v>0.13864630033543399</v>
          </cell>
        </row>
        <row r="229">
          <cell r="E229">
            <v>221</v>
          </cell>
          <cell r="F229" t="str">
            <v>Kab. Sintang</v>
          </cell>
          <cell r="G229">
            <v>490.35899999999998</v>
          </cell>
          <cell r="H229">
            <v>32279</v>
          </cell>
          <cell r="I229">
            <v>80.885000000000005</v>
          </cell>
          <cell r="J229">
            <v>2.2249751558703923</v>
          </cell>
          <cell r="K229">
            <v>104.26</v>
          </cell>
          <cell r="L229">
            <v>0.77541900015608256</v>
          </cell>
          <cell r="M229">
            <v>526.02562999999998</v>
          </cell>
          <cell r="N229">
            <v>9.119530000000001</v>
          </cell>
          <cell r="O229">
            <v>14.136177312053473</v>
          </cell>
          <cell r="P229">
            <v>3.6336457939473701</v>
          </cell>
          <cell r="Q229">
            <v>16.553752011658652</v>
          </cell>
          <cell r="R229">
            <v>120.88622709736636</v>
          </cell>
          <cell r="S229">
            <v>256.17402438879424</v>
          </cell>
          <cell r="T229">
            <v>16.495057702621956</v>
          </cell>
          <cell r="U229">
            <v>0.13488738238949741</v>
          </cell>
        </row>
        <row r="230">
          <cell r="E230">
            <v>222</v>
          </cell>
          <cell r="F230" t="str">
            <v>Kota Pontianak</v>
          </cell>
          <cell r="G230">
            <v>487.05799999999999</v>
          </cell>
          <cell r="H230">
            <v>107.81</v>
          </cell>
          <cell r="I230">
            <v>31.472000000000001</v>
          </cell>
          <cell r="J230">
            <v>0.83228344668600562</v>
          </cell>
          <cell r="K230">
            <v>103.03</v>
          </cell>
          <cell r="L230">
            <v>0.74044483326431199</v>
          </cell>
          <cell r="M230">
            <v>4872.0757400000002</v>
          </cell>
          <cell r="N230">
            <v>31.320419999999999</v>
          </cell>
          <cell r="O230">
            <v>62.114297428277411</v>
          </cell>
          <cell r="P230">
            <v>1.6938373839473702</v>
          </cell>
          <cell r="Q230">
            <v>25.026186147658652</v>
          </cell>
          <cell r="R230">
            <v>132.29669894820003</v>
          </cell>
          <cell r="S230">
            <v>175.99950799999999</v>
          </cell>
          <cell r="T230">
            <v>6.4616534375782768</v>
          </cell>
          <cell r="U230">
            <v>0.12880347959328689</v>
          </cell>
        </row>
        <row r="231">
          <cell r="E231">
            <v>223</v>
          </cell>
          <cell r="F231" t="str">
            <v>Kota Singkawang</v>
          </cell>
          <cell r="G231">
            <v>164.078</v>
          </cell>
          <cell r="H231">
            <v>504</v>
          </cell>
          <cell r="I231">
            <v>16.036999999999999</v>
          </cell>
          <cell r="J231">
            <v>1.9121677243867967</v>
          </cell>
          <cell r="K231">
            <v>102.78</v>
          </cell>
          <cell r="L231">
            <v>1.1246524128788751</v>
          </cell>
          <cell r="M231">
            <v>719.52958494770053</v>
          </cell>
          <cell r="N231">
            <v>5.0702299999999996</v>
          </cell>
          <cell r="O231">
            <v>16.272359767033301</v>
          </cell>
          <cell r="P231">
            <v>1.6938373839473702</v>
          </cell>
          <cell r="Q231">
            <v>7.4799431356586537</v>
          </cell>
          <cell r="R231">
            <v>61.651709671243964</v>
          </cell>
          <cell r="S231">
            <v>118.73422566463907</v>
          </cell>
          <cell r="T231">
            <v>9.7740099221102152</v>
          </cell>
          <cell r="U231">
            <v>0.19563799705801388</v>
          </cell>
        </row>
        <row r="232">
          <cell r="E232">
            <v>224</v>
          </cell>
          <cell r="F232" t="str">
            <v>Kab. Barito Selatan</v>
          </cell>
          <cell r="G232">
            <v>115.345</v>
          </cell>
          <cell r="H232">
            <v>8830</v>
          </cell>
          <cell r="I232">
            <v>13.85</v>
          </cell>
          <cell r="J232">
            <v>1.451210424859479</v>
          </cell>
          <cell r="K232">
            <v>107.15</v>
          </cell>
          <cell r="L232">
            <v>0.69477550883514771</v>
          </cell>
          <cell r="M232">
            <v>340.19451000000004</v>
          </cell>
          <cell r="N232">
            <v>4.92319</v>
          </cell>
          <cell r="O232">
            <v>12.084698941802369</v>
          </cell>
          <cell r="P232">
            <v>2.5457347239473704</v>
          </cell>
          <cell r="Q232">
            <v>21.222517959658656</v>
          </cell>
          <cell r="R232">
            <v>66.421350953147481</v>
          </cell>
          <cell r="S232">
            <v>125.58036993500075</v>
          </cell>
          <cell r="T232">
            <v>12.007455893189995</v>
          </cell>
          <cell r="U232">
            <v>0.12085910935409142</v>
          </cell>
        </row>
        <row r="233">
          <cell r="E233">
            <v>225</v>
          </cell>
          <cell r="F233" t="str">
            <v>Kab. Barito Utara</v>
          </cell>
          <cell r="G233">
            <v>109.05200000000001</v>
          </cell>
          <cell r="H233">
            <v>8300</v>
          </cell>
          <cell r="I233">
            <v>10.423999999999999</v>
          </cell>
          <cell r="J233">
            <v>1.2903770622711241</v>
          </cell>
          <cell r="K233">
            <v>106.04</v>
          </cell>
          <cell r="L233">
            <v>0.77603440900808296</v>
          </cell>
          <cell r="M233">
            <v>426.23802000000001</v>
          </cell>
          <cell r="N233">
            <v>9.0771299999999986</v>
          </cell>
          <cell r="O233">
            <v>13.03457428919028</v>
          </cell>
          <cell r="P233">
            <v>4.4065362839473705</v>
          </cell>
          <cell r="Q233">
            <v>16.806210717658654</v>
          </cell>
          <cell r="R233">
            <v>63.782031469150887</v>
          </cell>
          <cell r="S233">
            <v>121.1481465018648</v>
          </cell>
          <cell r="T233">
            <v>9.5587426182004904</v>
          </cell>
          <cell r="U233">
            <v>0.13499443533652211</v>
          </cell>
        </row>
        <row r="234">
          <cell r="E234">
            <v>226</v>
          </cell>
          <cell r="F234" t="str">
            <v>Kab. Kapuas</v>
          </cell>
          <cell r="G234">
            <v>328.83300000000003</v>
          </cell>
          <cell r="H234">
            <v>16855.344000000001</v>
          </cell>
          <cell r="I234">
            <v>34.78</v>
          </cell>
          <cell r="J234">
            <v>1.6406010041901642</v>
          </cell>
          <cell r="K234">
            <v>107.34</v>
          </cell>
          <cell r="L234">
            <v>0.89169001083651345</v>
          </cell>
          <cell r="M234">
            <v>658.27929000000006</v>
          </cell>
          <cell r="N234">
            <v>14.24287</v>
          </cell>
          <cell r="O234">
            <v>15.596188546321141</v>
          </cell>
          <cell r="P234">
            <v>3.1718349939473702</v>
          </cell>
          <cell r="Q234">
            <v>9.0408870696586536</v>
          </cell>
          <cell r="R234">
            <v>117.77208977599062</v>
          </cell>
          <cell r="S234">
            <v>200.2631902915839</v>
          </cell>
          <cell r="T234">
            <v>10.576797340899484</v>
          </cell>
          <cell r="U234">
            <v>0.15511321161899491</v>
          </cell>
        </row>
        <row r="235">
          <cell r="E235">
            <v>227</v>
          </cell>
          <cell r="F235" t="str">
            <v>Kab. Kotawaringin Barat</v>
          </cell>
          <cell r="G235">
            <v>197.00200000000001</v>
          </cell>
          <cell r="H235">
            <v>10759</v>
          </cell>
          <cell r="I235">
            <v>16.638000000000002</v>
          </cell>
          <cell r="J235">
            <v>1.6187812421660532</v>
          </cell>
          <cell r="K235">
            <v>107.58</v>
          </cell>
          <cell r="L235">
            <v>1.1018507967618909</v>
          </cell>
          <cell r="M235">
            <v>661.59315000000004</v>
          </cell>
          <cell r="N235">
            <v>17.780180000000001</v>
          </cell>
          <cell r="O235">
            <v>15.63277182748546</v>
          </cell>
          <cell r="P235">
            <v>2.9375385939473704</v>
          </cell>
          <cell r="Q235">
            <v>11.592446578658654</v>
          </cell>
          <cell r="R235">
            <v>65.698293899999996</v>
          </cell>
          <cell r="S235">
            <v>135.08911796976264</v>
          </cell>
          <cell r="T235">
            <v>8.4455995370605379</v>
          </cell>
          <cell r="U235">
            <v>0.19167156044548431</v>
          </cell>
        </row>
        <row r="236">
          <cell r="E236">
            <v>228</v>
          </cell>
          <cell r="F236" t="str">
            <v>Kab. Kotawaringin Timur</v>
          </cell>
          <cell r="G236">
            <v>286.99299999999999</v>
          </cell>
          <cell r="H236">
            <v>16796</v>
          </cell>
          <cell r="I236">
            <v>34.279000000000003</v>
          </cell>
          <cell r="J236">
            <v>3.0431291492320813</v>
          </cell>
          <cell r="K236">
            <v>108</v>
          </cell>
          <cell r="L236">
            <v>1.4646324618817734</v>
          </cell>
          <cell r="M236">
            <v>1045.98831</v>
          </cell>
          <cell r="N236">
            <v>29.016330000000004</v>
          </cell>
          <cell r="O236">
            <v>19.876293345136602</v>
          </cell>
          <cell r="P236">
            <v>5.2412541139473694</v>
          </cell>
          <cell r="Q236">
            <v>13.765548351658653</v>
          </cell>
          <cell r="R236">
            <v>96.358339409830776</v>
          </cell>
          <cell r="S236">
            <v>180.17633496014921</v>
          </cell>
          <cell r="T236">
            <v>11.944193760823437</v>
          </cell>
          <cell r="U236">
            <v>0.25477895035606712</v>
          </cell>
        </row>
        <row r="237">
          <cell r="E237">
            <v>229</v>
          </cell>
          <cell r="F237" t="str">
            <v>Kota Palangkaraya</v>
          </cell>
          <cell r="G237">
            <v>172.51</v>
          </cell>
          <cell r="H237">
            <v>2400</v>
          </cell>
          <cell r="I237">
            <v>11.025</v>
          </cell>
          <cell r="J237">
            <v>0.91500580027199252</v>
          </cell>
          <cell r="K237">
            <v>101.47</v>
          </cell>
          <cell r="L237">
            <v>0.82304699876029586</v>
          </cell>
          <cell r="M237">
            <v>838.64440999999999</v>
          </cell>
          <cell r="N237">
            <v>8.9816000000000003</v>
          </cell>
          <cell r="O237">
            <v>17.587325135433581</v>
          </cell>
          <cell r="P237">
            <v>2.2617373239473704</v>
          </cell>
          <cell r="Q237">
            <v>11.928222928658654</v>
          </cell>
          <cell r="R237">
            <v>106.28605574402432</v>
          </cell>
          <cell r="S237">
            <v>145.99938760668431</v>
          </cell>
          <cell r="T237">
            <v>6.3909338589067302</v>
          </cell>
          <cell r="U237">
            <v>0.14317247220401036</v>
          </cell>
        </row>
        <row r="238">
          <cell r="E238">
            <v>230</v>
          </cell>
          <cell r="F238" t="str">
            <v>Kab. Barito Timur</v>
          </cell>
          <cell r="G238">
            <v>77.325999999999993</v>
          </cell>
          <cell r="H238">
            <v>3834</v>
          </cell>
          <cell r="I238">
            <v>10.119999999999999</v>
          </cell>
          <cell r="J238">
            <v>1.5814186740487648</v>
          </cell>
          <cell r="K238">
            <v>105.33</v>
          </cell>
          <cell r="L238">
            <v>0.69463555173683944</v>
          </cell>
          <cell r="M238">
            <v>159.25758999999999</v>
          </cell>
          <cell r="N238">
            <v>0.97489999999999999</v>
          </cell>
          <cell r="O238">
            <v>10.087249979756324</v>
          </cell>
          <cell r="P238">
            <v>2.5027520139473705</v>
          </cell>
          <cell r="Q238">
            <v>12.988754760658654</v>
          </cell>
          <cell r="R238">
            <v>45.621030599999997</v>
          </cell>
          <cell r="S238">
            <v>93.427273374059538</v>
          </cell>
          <cell r="T238">
            <v>13.087447947650208</v>
          </cell>
          <cell r="U238">
            <v>0.12083476323072607</v>
          </cell>
        </row>
        <row r="239">
          <cell r="E239">
            <v>231</v>
          </cell>
          <cell r="F239" t="str">
            <v>Kab. Murung Raya</v>
          </cell>
          <cell r="G239">
            <v>83.435000000000002</v>
          </cell>
          <cell r="H239">
            <v>23700</v>
          </cell>
          <cell r="I239">
            <v>8.2189999999999994</v>
          </cell>
          <cell r="J239">
            <v>1.324730896048345</v>
          </cell>
          <cell r="K239">
            <v>105.93</v>
          </cell>
          <cell r="L239">
            <v>0.77307577871983868</v>
          </cell>
          <cell r="M239">
            <v>260.55751000000004</v>
          </cell>
          <cell r="N239">
            <v>2.1914899999999999</v>
          </cell>
          <cell r="O239">
            <v>11.205548114041729</v>
          </cell>
          <cell r="P239">
            <v>4.7888273539473705</v>
          </cell>
          <cell r="Q239">
            <v>13.277408190658653</v>
          </cell>
          <cell r="R239">
            <v>20.281625099999999</v>
          </cell>
          <cell r="S239">
            <v>124.62155035891863</v>
          </cell>
          <cell r="T239">
            <v>9.8507820459039959</v>
          </cell>
          <cell r="U239">
            <v>0.13447976920768182</v>
          </cell>
        </row>
        <row r="240">
          <cell r="E240">
            <v>232</v>
          </cell>
          <cell r="F240" t="str">
            <v>Kab. Pulang Pisau</v>
          </cell>
          <cell r="G240">
            <v>115.033</v>
          </cell>
          <cell r="H240">
            <v>8153.5309999999999</v>
          </cell>
          <cell r="I240">
            <v>11.526</v>
          </cell>
          <cell r="J240">
            <v>1.5521616039817403</v>
          </cell>
          <cell r="K240">
            <v>104.49</v>
          </cell>
          <cell r="L240">
            <v>0.89052451262673282</v>
          </cell>
          <cell r="M240">
            <v>205.04517000000001</v>
          </cell>
          <cell r="N240">
            <v>6.1800100000000002</v>
          </cell>
          <cell r="O240">
            <v>10.592720914851274</v>
          </cell>
          <cell r="P240">
            <v>2.6753423639473701</v>
          </cell>
          <cell r="Q240">
            <v>7.7325762416586539</v>
          </cell>
          <cell r="R240">
            <v>45.033577500000007</v>
          </cell>
          <cell r="S240">
            <v>110.31624762974843</v>
          </cell>
          <cell r="T240">
            <v>10.019733467787505</v>
          </cell>
          <cell r="U240">
            <v>0.15491046832451114</v>
          </cell>
        </row>
        <row r="241">
          <cell r="E241">
            <v>233</v>
          </cell>
          <cell r="F241" t="str">
            <v>Kab. Gunung Mas</v>
          </cell>
          <cell r="G241">
            <v>84.093000000000004</v>
          </cell>
          <cell r="H241">
            <v>9791.125</v>
          </cell>
          <cell r="I241">
            <v>8.52</v>
          </cell>
          <cell r="J241">
            <v>1.570863946893974</v>
          </cell>
          <cell r="K241">
            <v>104.87</v>
          </cell>
          <cell r="L241">
            <v>0.89130005863590778</v>
          </cell>
          <cell r="M241">
            <v>155.95913000000002</v>
          </cell>
          <cell r="N241">
            <v>2.0771999999999999</v>
          </cell>
          <cell r="O241">
            <v>10.050836706537401</v>
          </cell>
          <cell r="P241">
            <v>2.7546194839473701</v>
          </cell>
          <cell r="Q241">
            <v>7.7484704266586544</v>
          </cell>
          <cell r="R241">
            <v>41.828172600000002</v>
          </cell>
          <cell r="S241">
            <v>106.88512709996309</v>
          </cell>
          <cell r="T241">
            <v>10.131639970033177</v>
          </cell>
          <cell r="U241">
            <v>0.15504537780065136</v>
          </cell>
        </row>
        <row r="242">
          <cell r="E242">
            <v>234</v>
          </cell>
          <cell r="F242" t="str">
            <v>Kab. Lamandau</v>
          </cell>
          <cell r="G242">
            <v>48.66</v>
          </cell>
          <cell r="H242">
            <v>6414</v>
          </cell>
          <cell r="I242">
            <v>4.51</v>
          </cell>
          <cell r="J242">
            <v>1.7604147684854952</v>
          </cell>
          <cell r="K242">
            <v>106.46</v>
          </cell>
          <cell r="L242">
            <v>1.0918819268665199</v>
          </cell>
          <cell r="M242">
            <v>132.27291</v>
          </cell>
          <cell r="N242">
            <v>4.6135399999999995</v>
          </cell>
          <cell r="O242">
            <v>9.7893532262515954</v>
          </cell>
          <cell r="P242">
            <v>2.5931219939473702</v>
          </cell>
          <cell r="Q242">
            <v>5.4225778896586538</v>
          </cell>
          <cell r="R242">
            <v>21.283322999999999</v>
          </cell>
          <cell r="S242">
            <v>78.1209445052001</v>
          </cell>
          <cell r="T242">
            <v>9.2683929305384307</v>
          </cell>
          <cell r="U242">
            <v>0.18993743377938843</v>
          </cell>
        </row>
        <row r="243">
          <cell r="E243">
            <v>235</v>
          </cell>
          <cell r="F243" t="str">
            <v>Kab. Sukamara</v>
          </cell>
          <cell r="G243">
            <v>33.9</v>
          </cell>
          <cell r="H243">
            <v>3827</v>
          </cell>
          <cell r="I243">
            <v>3.508</v>
          </cell>
          <cell r="J243">
            <v>1.9668838129746804</v>
          </cell>
          <cell r="K243">
            <v>104.67</v>
          </cell>
          <cell r="L243">
            <v>1.0926571983208162</v>
          </cell>
          <cell r="M243">
            <v>112.73967</v>
          </cell>
          <cell r="N243">
            <v>1.150812929</v>
          </cell>
          <cell r="O243">
            <v>9.5737164730483464</v>
          </cell>
          <cell r="P243">
            <v>2.5932427239473701</v>
          </cell>
          <cell r="Q243">
            <v>4.445056562658654</v>
          </cell>
          <cell r="R243">
            <v>14.473800000000004</v>
          </cell>
          <cell r="S243">
            <v>68.389075054180239</v>
          </cell>
          <cell r="T243">
            <v>10.348082595870208</v>
          </cell>
          <cell r="U243">
            <v>0.19007229549555774</v>
          </cell>
        </row>
        <row r="244">
          <cell r="E244">
            <v>236</v>
          </cell>
          <cell r="F244" t="str">
            <v>Kab. Katingan</v>
          </cell>
          <cell r="G244">
            <v>126.72799999999999</v>
          </cell>
          <cell r="H244">
            <v>17500</v>
          </cell>
          <cell r="I244">
            <v>14.933999999999999</v>
          </cell>
          <cell r="J244">
            <v>2.9955784294749308</v>
          </cell>
          <cell r="K244">
            <v>105.68</v>
          </cell>
          <cell r="L244">
            <v>1.4613096091948592</v>
          </cell>
          <cell r="M244">
            <v>409.35833000000002</v>
          </cell>
          <cell r="N244">
            <v>6.6983413939999998</v>
          </cell>
          <cell r="O244">
            <v>12.848231340110793</v>
          </cell>
          <cell r="P244">
            <v>3.8112830339473702</v>
          </cell>
          <cell r="Q244">
            <v>7.3149433926586536</v>
          </cell>
          <cell r="R244">
            <v>48.382288499999994</v>
          </cell>
          <cell r="S244">
            <v>133.3385997316924</v>
          </cell>
          <cell r="T244">
            <v>11.78429392083833</v>
          </cell>
          <cell r="U244">
            <v>0.25420092621568169</v>
          </cell>
        </row>
        <row r="245">
          <cell r="E245">
            <v>237</v>
          </cell>
          <cell r="F245" t="str">
            <v>Kab. Seruyan</v>
          </cell>
          <cell r="G245">
            <v>91.674999999999997</v>
          </cell>
          <cell r="H245">
            <v>16404</v>
          </cell>
          <cell r="I245">
            <v>11.73</v>
          </cell>
          <cell r="J245">
            <v>3.25</v>
          </cell>
          <cell r="K245">
            <v>106.64</v>
          </cell>
          <cell r="L245">
            <v>1.4601631331193077</v>
          </cell>
          <cell r="M245">
            <v>282.11264</v>
          </cell>
          <cell r="N245">
            <v>2.80809</v>
          </cell>
          <cell r="O245">
            <v>11.443505475343487</v>
          </cell>
          <cell r="P245">
            <v>3.7629333739473703</v>
          </cell>
          <cell r="Q245">
            <v>8.5639234406586535</v>
          </cell>
          <cell r="R245">
            <v>19.997334540239038</v>
          </cell>
          <cell r="S245">
            <v>117.20700053336185</v>
          </cell>
          <cell r="T245">
            <v>12.795200436323972</v>
          </cell>
          <cell r="U245">
            <v>0.25400149190110827</v>
          </cell>
        </row>
        <row r="246">
          <cell r="E246">
            <v>238</v>
          </cell>
          <cell r="F246" t="str">
            <v xml:space="preserve">Kab. Banjar </v>
          </cell>
          <cell r="G246">
            <v>456.84199999999998</v>
          </cell>
          <cell r="H246">
            <v>4668</v>
          </cell>
          <cell r="I246">
            <v>31.372</v>
          </cell>
          <cell r="J246">
            <v>1.1696560325273933</v>
          </cell>
          <cell r="K246">
            <v>98.49</v>
          </cell>
          <cell r="L246">
            <v>0.97914518895192493</v>
          </cell>
          <cell r="M246">
            <v>937.73899600000004</v>
          </cell>
          <cell r="N246">
            <v>9.2560599999999997</v>
          </cell>
          <cell r="O246">
            <v>18.681277535806501</v>
          </cell>
          <cell r="P246">
            <v>13.273061053947369</v>
          </cell>
          <cell r="Q246">
            <v>16.172666953608655</v>
          </cell>
          <cell r="R246">
            <v>116.17834843379997</v>
          </cell>
          <cell r="S246">
            <v>174.96316377895496</v>
          </cell>
          <cell r="T246">
            <v>6.8671444394342025</v>
          </cell>
          <cell r="U246">
            <v>0.17032640609839328</v>
          </cell>
        </row>
        <row r="247">
          <cell r="E247">
            <v>239</v>
          </cell>
          <cell r="F247" t="str">
            <v>Kab. Barito Kuala</v>
          </cell>
          <cell r="G247">
            <v>262.79000000000002</v>
          </cell>
          <cell r="H247">
            <v>2996.96</v>
          </cell>
          <cell r="I247">
            <v>17.966000000000001</v>
          </cell>
          <cell r="J247">
            <v>0.98</v>
          </cell>
          <cell r="K247">
            <v>100.7</v>
          </cell>
          <cell r="L247">
            <v>0.82404063239411041</v>
          </cell>
          <cell r="M247">
            <v>492.76923299999999</v>
          </cell>
          <cell r="N247">
            <v>9.2979300000000009</v>
          </cell>
          <cell r="O247">
            <v>13.7690440831412</v>
          </cell>
          <cell r="P247">
            <v>9.9460826739473696</v>
          </cell>
          <cell r="Q247">
            <v>10.091235984028653</v>
          </cell>
          <cell r="R247">
            <v>74.551187361899991</v>
          </cell>
          <cell r="S247">
            <v>135.24613071884301</v>
          </cell>
          <cell r="T247">
            <v>6.8366376193919098</v>
          </cell>
          <cell r="U247">
            <v>0.14334531893576755</v>
          </cell>
        </row>
        <row r="248">
          <cell r="E248">
            <v>240</v>
          </cell>
          <cell r="F248" t="str">
            <v>Kab. Hulu Sungai Selatan</v>
          </cell>
          <cell r="G248">
            <v>200.196</v>
          </cell>
          <cell r="H248">
            <v>1703</v>
          </cell>
          <cell r="I248">
            <v>21.248999999999999</v>
          </cell>
          <cell r="J248">
            <v>1.6048051714684188</v>
          </cell>
          <cell r="K248">
            <v>104.79</v>
          </cell>
          <cell r="L248">
            <v>0.86916919557663652</v>
          </cell>
          <cell r="M248">
            <v>458.91672500000004</v>
          </cell>
          <cell r="N248">
            <v>10.15062</v>
          </cell>
          <cell r="O248">
            <v>13.395330100570616</v>
          </cell>
          <cell r="P248">
            <v>10.186460223947369</v>
          </cell>
          <cell r="Q248">
            <v>11.292495683808653</v>
          </cell>
          <cell r="R248">
            <v>98.387425883100008</v>
          </cell>
          <cell r="S248">
            <v>139.60812421170093</v>
          </cell>
          <cell r="T248">
            <v>10.614098183779895</v>
          </cell>
          <cell r="U248">
            <v>0.15119562149150154</v>
          </cell>
        </row>
        <row r="249">
          <cell r="E249">
            <v>241</v>
          </cell>
          <cell r="F249" t="str">
            <v>Kab. Hulu Sungai Tengah</v>
          </cell>
          <cell r="G249">
            <v>232.08799999999999</v>
          </cell>
          <cell r="H249">
            <v>1472</v>
          </cell>
          <cell r="I249">
            <v>23.053000000000001</v>
          </cell>
          <cell r="J249">
            <v>1.2467945464265551</v>
          </cell>
          <cell r="K249">
            <v>105.35</v>
          </cell>
          <cell r="L249">
            <v>0.7215812525058235</v>
          </cell>
          <cell r="M249">
            <v>433.67687999999998</v>
          </cell>
          <cell r="N249">
            <v>11.677760000000001</v>
          </cell>
          <cell r="O249">
            <v>13.116695412871426</v>
          </cell>
          <cell r="P249">
            <v>9.9540863039473688</v>
          </cell>
          <cell r="Q249">
            <v>11.168680848208654</v>
          </cell>
          <cell r="R249">
            <v>98.175494543699983</v>
          </cell>
          <cell r="S249">
            <v>139.26</v>
          </cell>
          <cell r="T249">
            <v>9.9328702905794355</v>
          </cell>
          <cell r="U249">
            <v>0.12552208072313639</v>
          </cell>
        </row>
        <row r="250">
          <cell r="E250">
            <v>242</v>
          </cell>
          <cell r="F250" t="str">
            <v>Kab. Hulu Sungai Utara</v>
          </cell>
          <cell r="G250">
            <v>303.50400000000002</v>
          </cell>
          <cell r="H250">
            <v>2711</v>
          </cell>
          <cell r="I250">
            <v>32.875</v>
          </cell>
          <cell r="J250">
            <v>1.4306277230716469</v>
          </cell>
          <cell r="K250">
            <v>102.51</v>
          </cell>
          <cell r="L250">
            <v>0.75925979935185095</v>
          </cell>
          <cell r="M250">
            <v>499.39490599999999</v>
          </cell>
          <cell r="N250">
            <v>7.3492499999999996</v>
          </cell>
          <cell r="O250">
            <v>13.842188047660475</v>
          </cell>
          <cell r="P250">
            <v>9.9460826739473696</v>
          </cell>
          <cell r="Q250">
            <v>10.503382134718652</v>
          </cell>
          <cell r="R250">
            <v>100.84211741776991</v>
          </cell>
          <cell r="S250">
            <v>136.56021030314537</v>
          </cell>
          <cell r="T250">
            <v>10.831817702567346</v>
          </cell>
          <cell r="U250">
            <v>0.1320764217378364</v>
          </cell>
        </row>
        <row r="251">
          <cell r="E251">
            <v>243</v>
          </cell>
          <cell r="F251" t="str">
            <v>Kab. Kota Baru</v>
          </cell>
          <cell r="G251">
            <v>470.76499999999999</v>
          </cell>
          <cell r="H251">
            <v>14428.96</v>
          </cell>
          <cell r="I251">
            <v>29.167000000000002</v>
          </cell>
          <cell r="J251">
            <v>0.90645957757856421</v>
          </cell>
          <cell r="K251">
            <v>101.52</v>
          </cell>
          <cell r="L251">
            <v>0.84105802445049127</v>
          </cell>
          <cell r="M251">
            <v>1764.941</v>
          </cell>
          <cell r="N251">
            <v>26.587575250999997</v>
          </cell>
          <cell r="O251">
            <v>27.813155011626296</v>
          </cell>
          <cell r="P251">
            <v>33.755657723947373</v>
          </cell>
          <cell r="Q251">
            <v>16.829379603958653</v>
          </cell>
          <cell r="R251">
            <v>105.73914708489741</v>
          </cell>
          <cell r="S251">
            <v>170.56830925236642</v>
          </cell>
          <cell r="T251">
            <v>6.195660255116672</v>
          </cell>
          <cell r="U251">
            <v>0.14630556554968724</v>
          </cell>
        </row>
        <row r="252">
          <cell r="E252">
            <v>244</v>
          </cell>
          <cell r="F252" t="str">
            <v>Kab. Tabalong</v>
          </cell>
          <cell r="G252">
            <v>183.63</v>
          </cell>
          <cell r="H252">
            <v>3947</v>
          </cell>
          <cell r="I252">
            <v>18.742999999999999</v>
          </cell>
          <cell r="J252">
            <v>1.6230467154679669</v>
          </cell>
          <cell r="K252">
            <v>104.51</v>
          </cell>
          <cell r="L252">
            <v>0.91411463198670573</v>
          </cell>
          <cell r="M252">
            <v>344.89309499999996</v>
          </cell>
          <cell r="N252">
            <v>14.05716</v>
          </cell>
          <cell r="O252">
            <v>12.136568862719201</v>
          </cell>
          <cell r="P252">
            <v>25.744376173947369</v>
          </cell>
          <cell r="Q252">
            <v>26.118797922958656</v>
          </cell>
          <cell r="R252">
            <v>77.734844693699998</v>
          </cell>
          <cell r="S252">
            <v>118.37306474947584</v>
          </cell>
          <cell r="T252">
            <v>10.206937864183411</v>
          </cell>
          <cell r="U252">
            <v>0.15901406837826537</v>
          </cell>
        </row>
        <row r="253">
          <cell r="E253">
            <v>245</v>
          </cell>
          <cell r="F253" t="str">
            <v>Kab. Tanah Laut</v>
          </cell>
          <cell r="G253">
            <v>253.39</v>
          </cell>
          <cell r="H253">
            <v>3631.35</v>
          </cell>
          <cell r="I253">
            <v>20.045999999999999</v>
          </cell>
          <cell r="J253">
            <v>1.4432444370656818</v>
          </cell>
          <cell r="K253">
            <v>97.88</v>
          </cell>
          <cell r="L253">
            <v>1.0487373833691445</v>
          </cell>
          <cell r="M253">
            <v>575.89971600000001</v>
          </cell>
          <cell r="N253">
            <v>8.5391499999999994</v>
          </cell>
          <cell r="O253">
            <v>14.686761136038623</v>
          </cell>
          <cell r="P253">
            <v>29.81747922394737</v>
          </cell>
          <cell r="Q253">
            <v>14.761796372648654</v>
          </cell>
          <cell r="R253">
            <v>72.595816597799995</v>
          </cell>
          <cell r="S253">
            <v>116.65343960114025</v>
          </cell>
          <cell r="T253">
            <v>7.9111251430601044</v>
          </cell>
          <cell r="U253">
            <v>0.18243225975659641</v>
          </cell>
        </row>
        <row r="254">
          <cell r="E254">
            <v>246</v>
          </cell>
          <cell r="F254" t="str">
            <v>Kab. Tapin</v>
          </cell>
          <cell r="G254">
            <v>146.88</v>
          </cell>
          <cell r="H254">
            <v>2700.82</v>
          </cell>
          <cell r="I254">
            <v>11.627000000000001</v>
          </cell>
          <cell r="J254">
            <v>1.0431906059018554</v>
          </cell>
          <cell r="K254">
            <v>99.15</v>
          </cell>
          <cell r="L254">
            <v>0.7575717482779406</v>
          </cell>
          <cell r="M254">
            <v>302.22592799999995</v>
          </cell>
          <cell r="N254">
            <v>8.3145100000000003</v>
          </cell>
          <cell r="O254">
            <v>11.665545655086422</v>
          </cell>
          <cell r="P254">
            <v>12.575302363947369</v>
          </cell>
          <cell r="Q254">
            <v>11.935817202958653</v>
          </cell>
          <cell r="R254">
            <v>69.758968632299968</v>
          </cell>
          <cell r="S254">
            <v>116.53105544329547</v>
          </cell>
          <cell r="T254">
            <v>7.9159858387799567</v>
          </cell>
          <cell r="U254">
            <v>0.13178277818428186</v>
          </cell>
        </row>
        <row r="255">
          <cell r="E255">
            <v>247</v>
          </cell>
          <cell r="F255" t="str">
            <v>Kota Banjar Baru</v>
          </cell>
          <cell r="G255">
            <v>145.40700000000001</v>
          </cell>
          <cell r="H255">
            <v>371.3</v>
          </cell>
          <cell r="I255">
            <v>6.6470000000000002</v>
          </cell>
          <cell r="J255">
            <v>0.95</v>
          </cell>
          <cell r="K255">
            <v>97.94</v>
          </cell>
          <cell r="L255">
            <v>1.1946710845050759</v>
          </cell>
          <cell r="M255">
            <v>390.9539838</v>
          </cell>
          <cell r="N255">
            <v>6.8313100000000002</v>
          </cell>
          <cell r="O255">
            <v>12.645056984018481</v>
          </cell>
          <cell r="P255">
            <v>10.03202923394737</v>
          </cell>
          <cell r="Q255">
            <v>8.3979406353886539</v>
          </cell>
          <cell r="R255">
            <v>54.927157796099983</v>
          </cell>
          <cell r="S255">
            <v>102.42427354463933</v>
          </cell>
          <cell r="T255">
            <v>4.5713067458925636</v>
          </cell>
          <cell r="U255">
            <v>0.20781803821272754</v>
          </cell>
        </row>
        <row r="256">
          <cell r="E256">
            <v>248</v>
          </cell>
          <cell r="F256" t="str">
            <v xml:space="preserve">Kota Banjarmasin </v>
          </cell>
          <cell r="G256">
            <v>571.44100000000003</v>
          </cell>
          <cell r="H256">
            <v>72</v>
          </cell>
          <cell r="I256">
            <v>18.259</v>
          </cell>
          <cell r="J256">
            <v>0.37</v>
          </cell>
          <cell r="K256">
            <v>96.84</v>
          </cell>
          <cell r="L256">
            <v>0.66567346276134232</v>
          </cell>
          <cell r="M256">
            <v>2347.4719580000001</v>
          </cell>
          <cell r="N256">
            <v>29.16601</v>
          </cell>
          <cell r="O256">
            <v>34.243992108979278</v>
          </cell>
          <cell r="P256">
            <v>9.9460826739473696</v>
          </cell>
          <cell r="Q256">
            <v>21.173394620988653</v>
          </cell>
          <cell r="R256">
            <v>152.17105545209998</v>
          </cell>
          <cell r="S256">
            <v>194.0806753717834</v>
          </cell>
          <cell r="T256">
            <v>3.1952555031928052</v>
          </cell>
          <cell r="U256">
            <v>0.11579668656552934</v>
          </cell>
        </row>
        <row r="257">
          <cell r="E257">
            <v>249</v>
          </cell>
          <cell r="F257" t="str">
            <v>Kab. Berau</v>
          </cell>
          <cell r="G257">
            <v>143.232</v>
          </cell>
          <cell r="H257">
            <v>24201</v>
          </cell>
          <cell r="I257">
            <v>11.85</v>
          </cell>
          <cell r="J257">
            <v>1.3310427303242793</v>
          </cell>
          <cell r="K257">
            <v>104.93</v>
          </cell>
          <cell r="L257">
            <v>0.92486600201383018</v>
          </cell>
          <cell r="M257">
            <v>811.10655000000008</v>
          </cell>
          <cell r="N257">
            <v>21.134130000000003</v>
          </cell>
          <cell r="O257">
            <v>17.2833215640565</v>
          </cell>
          <cell r="P257">
            <v>246.41346382394738</v>
          </cell>
          <cell r="Q257">
            <v>19.379150494764907</v>
          </cell>
          <cell r="R257">
            <v>61.697476161000012</v>
          </cell>
          <cell r="S257">
            <v>123.94879399999999</v>
          </cell>
          <cell r="T257">
            <v>8.2732908847184987</v>
          </cell>
          <cell r="U257">
            <v>0.16088431421924657</v>
          </cell>
        </row>
        <row r="258">
          <cell r="E258">
            <v>250</v>
          </cell>
          <cell r="F258" t="str">
            <v>Kab. Bulungan</v>
          </cell>
          <cell r="G258">
            <v>97.284000000000006</v>
          </cell>
          <cell r="H258">
            <v>18010.5</v>
          </cell>
          <cell r="I258">
            <v>21.26</v>
          </cell>
          <cell r="J258">
            <v>3.6052369562334299</v>
          </cell>
          <cell r="K258">
            <v>107.08</v>
          </cell>
          <cell r="L258">
            <v>0.94836842164128654</v>
          </cell>
          <cell r="M258">
            <v>548.33900000000006</v>
          </cell>
          <cell r="N258">
            <v>21.126740000000002</v>
          </cell>
          <cell r="O258">
            <v>14.382505246375828</v>
          </cell>
          <cell r="P258">
            <v>244.9361528239474</v>
          </cell>
          <cell r="Q258">
            <v>22.539492274395503</v>
          </cell>
          <cell r="R258">
            <v>50.843221499999999</v>
          </cell>
          <cell r="S258">
            <v>170.176815</v>
          </cell>
          <cell r="T258">
            <v>21.853542206323752</v>
          </cell>
          <cell r="U258">
            <v>0.16497265853725918</v>
          </cell>
        </row>
        <row r="259">
          <cell r="E259">
            <v>251</v>
          </cell>
          <cell r="F259" t="str">
            <v>Kab.  Kutai</v>
          </cell>
          <cell r="G259">
            <v>487</v>
          </cell>
          <cell r="H259">
            <v>28972.98</v>
          </cell>
          <cell r="I259">
            <v>73.25</v>
          </cell>
          <cell r="J259">
            <v>3.2786984138262536</v>
          </cell>
          <cell r="K259">
            <v>104.29</v>
          </cell>
          <cell r="L259">
            <v>1.2531063024088933</v>
          </cell>
          <cell r="M259">
            <v>1597.047</v>
          </cell>
          <cell r="N259">
            <v>34.10304</v>
          </cell>
          <cell r="O259">
            <v>25.959693064591061</v>
          </cell>
          <cell r="P259">
            <v>1809.0401292939473</v>
          </cell>
          <cell r="Q259">
            <v>99.926834093780343</v>
          </cell>
          <cell r="R259">
            <v>228.50650388484988</v>
          </cell>
          <cell r="S259">
            <v>297.814323</v>
          </cell>
          <cell r="T259">
            <v>15.041067761806982</v>
          </cell>
          <cell r="U259">
            <v>0.21798308908305603</v>
          </cell>
        </row>
        <row r="260">
          <cell r="E260">
            <v>252</v>
          </cell>
          <cell r="F260" t="str">
            <v>Kab. Kutai Barat</v>
          </cell>
          <cell r="G260">
            <v>148.75200000000001</v>
          </cell>
          <cell r="H260">
            <v>28875.1</v>
          </cell>
          <cell r="I260">
            <v>19.946000000000002</v>
          </cell>
          <cell r="J260">
            <v>1.9327931097797677</v>
          </cell>
          <cell r="K260">
            <v>105.62</v>
          </cell>
          <cell r="L260">
            <v>0.82862394505655956</v>
          </cell>
          <cell r="M260">
            <v>297.22712999999999</v>
          </cell>
          <cell r="N260">
            <v>36.164879999999997</v>
          </cell>
          <cell r="O260">
            <v>11.610361539668864</v>
          </cell>
          <cell r="P260">
            <v>247.85754688394741</v>
          </cell>
          <cell r="Q260">
            <v>27.768391427206279</v>
          </cell>
          <cell r="R260">
            <v>57.432322199999994</v>
          </cell>
          <cell r="S260">
            <v>116.623841</v>
          </cell>
          <cell r="T260">
            <v>13.40889534258363</v>
          </cell>
          <cell r="U260">
            <v>0.14414260536747217</v>
          </cell>
        </row>
        <row r="261">
          <cell r="E261">
            <v>253</v>
          </cell>
          <cell r="F261" t="str">
            <v>Kab. Kutai Timur</v>
          </cell>
          <cell r="G261">
            <v>169.928</v>
          </cell>
          <cell r="H261">
            <v>35747.5</v>
          </cell>
          <cell r="I261">
            <v>27.85</v>
          </cell>
          <cell r="J261">
            <v>3.4492711189085639</v>
          </cell>
          <cell r="K261">
            <v>105.12</v>
          </cell>
          <cell r="L261">
            <v>1.2098518417177286</v>
          </cell>
          <cell r="M261">
            <v>693.03314</v>
          </cell>
          <cell r="N261">
            <v>6.2963399999999998</v>
          </cell>
          <cell r="O261">
            <v>15.979852873146225</v>
          </cell>
          <cell r="P261">
            <v>245.77124044394736</v>
          </cell>
          <cell r="Q261">
            <v>56.545243787471605</v>
          </cell>
          <cell r="R261">
            <v>43.175474399999999</v>
          </cell>
          <cell r="S261">
            <v>103.059887</v>
          </cell>
          <cell r="T261">
            <v>16.389294289346076</v>
          </cell>
          <cell r="U261">
            <v>0.21045879450409136</v>
          </cell>
        </row>
        <row r="262">
          <cell r="E262">
            <v>254</v>
          </cell>
          <cell r="F262" t="str">
            <v>Kab. Malinau</v>
          </cell>
          <cell r="G262">
            <v>47.445999999999998</v>
          </cell>
          <cell r="H262">
            <v>41990.400000000001</v>
          </cell>
          <cell r="I262">
            <v>11.3</v>
          </cell>
          <cell r="J262">
            <v>5.511971821842403</v>
          </cell>
          <cell r="K262">
            <v>107.66</v>
          </cell>
          <cell r="L262">
            <v>1.3304337740082048</v>
          </cell>
          <cell r="M262">
            <v>123.28700000000001</v>
          </cell>
          <cell r="N262">
            <v>29.536660000000001</v>
          </cell>
          <cell r="O262">
            <v>9.6901534797181679</v>
          </cell>
          <cell r="P262">
            <v>244.84419233394738</v>
          </cell>
          <cell r="Q262">
            <v>20.511073480961485</v>
          </cell>
          <cell r="R262">
            <v>26.248726499999997</v>
          </cell>
          <cell r="S262">
            <v>104.03376252088844</v>
          </cell>
          <cell r="T262">
            <v>23.816549340302661</v>
          </cell>
          <cell r="U262">
            <v>0.23143452660100411</v>
          </cell>
        </row>
        <row r="263">
          <cell r="E263">
            <v>255</v>
          </cell>
          <cell r="F263" t="str">
            <v>Kab. Nunukan</v>
          </cell>
          <cell r="G263">
            <v>107.85599999999999</v>
          </cell>
          <cell r="H263">
            <v>14585.7</v>
          </cell>
          <cell r="I263">
            <v>22.67</v>
          </cell>
          <cell r="J263">
            <v>4.3167880491761501</v>
          </cell>
          <cell r="K263">
            <v>109.17</v>
          </cell>
          <cell r="L263">
            <v>1.1806430823056056</v>
          </cell>
          <cell r="M263">
            <v>118.873</v>
          </cell>
          <cell r="N263">
            <v>13.52219</v>
          </cell>
          <cell r="O263">
            <v>9.641425228355919</v>
          </cell>
          <cell r="P263">
            <v>243.58133624394736</v>
          </cell>
          <cell r="Q263">
            <v>18.828126926462428</v>
          </cell>
          <cell r="R263">
            <v>31.168655319900001</v>
          </cell>
          <cell r="S263">
            <v>81.628630999999999</v>
          </cell>
          <cell r="T263">
            <v>21.01876576175642</v>
          </cell>
          <cell r="U263">
            <v>0.20537780848343307</v>
          </cell>
        </row>
        <row r="264">
          <cell r="E264">
            <v>256</v>
          </cell>
          <cell r="F264" t="str">
            <v>Kab. Pasir</v>
          </cell>
          <cell r="G264">
            <v>172.44200000000001</v>
          </cell>
          <cell r="H264">
            <v>10437.164000000001</v>
          </cell>
          <cell r="I264">
            <v>27.161999999999999</v>
          </cell>
          <cell r="J264">
            <v>3.4973859942423964</v>
          </cell>
          <cell r="K264">
            <v>103.19</v>
          </cell>
          <cell r="L264">
            <v>1.27640937196612</v>
          </cell>
          <cell r="M264">
            <v>283.33419299999997</v>
          </cell>
          <cell r="N264">
            <v>34.6738</v>
          </cell>
          <cell r="O264">
            <v>11.456990781559234</v>
          </cell>
          <cell r="P264">
            <v>243.01243329394737</v>
          </cell>
          <cell r="Q264">
            <v>21.658438681215156</v>
          </cell>
          <cell r="R264">
            <v>72.170042925899992</v>
          </cell>
          <cell r="S264">
            <v>116.58355500000002</v>
          </cell>
          <cell r="T264">
            <v>15.751383073729135</v>
          </cell>
          <cell r="U264">
            <v>0.22203675562151071</v>
          </cell>
        </row>
        <row r="265">
          <cell r="E265">
            <v>257</v>
          </cell>
          <cell r="F265" t="str">
            <v>Kota Balikpapan</v>
          </cell>
          <cell r="G265">
            <v>431.875</v>
          </cell>
          <cell r="H265">
            <v>749</v>
          </cell>
          <cell r="I265">
            <v>17.138999999999999</v>
          </cell>
          <cell r="J265">
            <v>0.69307925810957505</v>
          </cell>
          <cell r="K265">
            <v>101.11</v>
          </cell>
          <cell r="L265">
            <v>1.003969684611868</v>
          </cell>
          <cell r="M265">
            <v>6718.9124199999997</v>
          </cell>
          <cell r="N265">
            <v>59.60548</v>
          </cell>
          <cell r="O265">
            <v>82.502408431463294</v>
          </cell>
          <cell r="P265">
            <v>242.95558529394737</v>
          </cell>
          <cell r="Q265">
            <v>134.6548349970754</v>
          </cell>
          <cell r="R265">
            <v>99.690623619825317</v>
          </cell>
          <cell r="S265">
            <v>135.09227300000001</v>
          </cell>
          <cell r="T265">
            <v>3.9685094066570183</v>
          </cell>
          <cell r="U265">
            <v>0.17464473107886852</v>
          </cell>
        </row>
        <row r="266">
          <cell r="E266">
            <v>258</v>
          </cell>
          <cell r="F266" t="str">
            <v>Kota Bontang</v>
          </cell>
          <cell r="G266">
            <v>117.321</v>
          </cell>
          <cell r="H266">
            <v>406.7</v>
          </cell>
          <cell r="I266">
            <v>7.9180000000000001</v>
          </cell>
          <cell r="J266">
            <v>1.2854644989104635</v>
          </cell>
          <cell r="K266">
            <v>108.3</v>
          </cell>
          <cell r="L266">
            <v>1.0949277361683758</v>
          </cell>
          <cell r="M266">
            <v>743.53417000000002</v>
          </cell>
          <cell r="N266">
            <v>18.76999</v>
          </cell>
          <cell r="O266">
            <v>16.537357830983222</v>
          </cell>
          <cell r="P266">
            <v>252.98490304394738</v>
          </cell>
          <cell r="Q266">
            <v>49.979222435427332</v>
          </cell>
          <cell r="R266">
            <v>25.794194999999998</v>
          </cell>
          <cell r="S266">
            <v>75.717919999999992</v>
          </cell>
          <cell r="T266">
            <v>6.7490048669888596</v>
          </cell>
          <cell r="U266">
            <v>0.19046726506273617</v>
          </cell>
        </row>
        <row r="267">
          <cell r="E267">
            <v>259</v>
          </cell>
          <cell r="F267" t="str">
            <v>Kota Samarinda</v>
          </cell>
          <cell r="G267">
            <v>570.20500000000004</v>
          </cell>
          <cell r="H267">
            <v>781.25</v>
          </cell>
          <cell r="I267">
            <v>44.902999999999999</v>
          </cell>
          <cell r="J267">
            <v>0.97638433006069025</v>
          </cell>
          <cell r="K267">
            <v>101.59</v>
          </cell>
          <cell r="L267">
            <v>0.71275713922416362</v>
          </cell>
          <cell r="M267">
            <v>5999.4059100000004</v>
          </cell>
          <cell r="N267">
            <v>55.188760000000002</v>
          </cell>
          <cell r="O267">
            <v>74.559432881835988</v>
          </cell>
          <cell r="P267">
            <v>252.03758529394736</v>
          </cell>
          <cell r="Q267">
            <v>32.871038321844622</v>
          </cell>
          <cell r="R267">
            <v>163.64831639999997</v>
          </cell>
          <cell r="S267">
            <v>194.48249000000001</v>
          </cell>
          <cell r="T267">
            <v>7.8748871020071718</v>
          </cell>
          <cell r="U267">
            <v>0.123987089264026</v>
          </cell>
        </row>
        <row r="268">
          <cell r="E268">
            <v>260</v>
          </cell>
          <cell r="F268" t="str">
            <v>Kota Tarakan</v>
          </cell>
          <cell r="G268">
            <v>153.637</v>
          </cell>
          <cell r="H268">
            <v>507.1</v>
          </cell>
          <cell r="I268">
            <v>13.88</v>
          </cell>
          <cell r="J268">
            <v>1.5442817657063541</v>
          </cell>
          <cell r="K268">
            <v>104.9</v>
          </cell>
          <cell r="L268">
            <v>0.98264807374556584</v>
          </cell>
          <cell r="M268">
            <v>1023.072</v>
          </cell>
          <cell r="N268">
            <v>16.320995859</v>
          </cell>
          <cell r="O268">
            <v>19.623309268567681</v>
          </cell>
          <cell r="P268">
            <v>243.99958529394738</v>
          </cell>
          <cell r="Q268">
            <v>22.316102819570013</v>
          </cell>
          <cell r="R268">
            <v>35.916321900000007</v>
          </cell>
          <cell r="S268">
            <v>72.990640999999997</v>
          </cell>
          <cell r="T268">
            <v>9.0342821065238201</v>
          </cell>
          <cell r="U268">
            <v>0.17093574757768523</v>
          </cell>
        </row>
        <row r="269">
          <cell r="E269">
            <v>261</v>
          </cell>
          <cell r="F269" t="str">
            <v>Kab. Penajam Paser Utara</v>
          </cell>
          <cell r="G269">
            <v>118.682</v>
          </cell>
          <cell r="H269">
            <v>4499.8360000000002</v>
          </cell>
          <cell r="I269">
            <v>19.044</v>
          </cell>
          <cell r="J269">
            <v>3.7251829336323388</v>
          </cell>
          <cell r="K269">
            <v>104.9</v>
          </cell>
          <cell r="L269">
            <v>1.3345639818790305</v>
          </cell>
          <cell r="M269">
            <v>297.25533300000001</v>
          </cell>
          <cell r="N269">
            <v>0.6466900000000001</v>
          </cell>
          <cell r="O269">
            <v>11.610672886037955</v>
          </cell>
          <cell r="P269">
            <v>256.08958529394738</v>
          </cell>
          <cell r="Q269">
            <v>23.200701219267419</v>
          </cell>
          <cell r="R269">
            <v>29.312594199599996</v>
          </cell>
          <cell r="S269">
            <v>31.97</v>
          </cell>
          <cell r="T269">
            <v>16.046241216022651</v>
          </cell>
          <cell r="U269">
            <v>0.2321529935566862</v>
          </cell>
        </row>
        <row r="270">
          <cell r="E270">
            <v>262</v>
          </cell>
          <cell r="F270" t="str">
            <v>Kab. Bolaang Mongondow</v>
          </cell>
          <cell r="G270">
            <v>465.57</v>
          </cell>
          <cell r="H270">
            <v>8358.0400000000009</v>
          </cell>
          <cell r="I270">
            <v>45.4</v>
          </cell>
          <cell r="J270">
            <v>1.95</v>
          </cell>
          <cell r="K270">
            <v>98.06</v>
          </cell>
          <cell r="L270">
            <v>1.1495526259086997</v>
          </cell>
          <cell r="M270">
            <v>744.26700000000005</v>
          </cell>
          <cell r="N270">
            <v>10.465879999999999</v>
          </cell>
          <cell r="O270">
            <v>16.545447890893918</v>
          </cell>
          <cell r="P270">
            <v>1.9036900769473701</v>
          </cell>
          <cell r="Q270">
            <v>11.561891673658653</v>
          </cell>
          <cell r="R270">
            <v>160.5004660617698</v>
          </cell>
          <cell r="S270">
            <v>219.31870501508544</v>
          </cell>
          <cell r="T270">
            <v>9.7514874240178706</v>
          </cell>
          <cell r="U270">
            <v>0.19996949339207049</v>
          </cell>
        </row>
        <row r="271">
          <cell r="E271">
            <v>263</v>
          </cell>
          <cell r="F271" t="str">
            <v xml:space="preserve">Kab. Minahasa </v>
          </cell>
          <cell r="G271">
            <v>837.12199999999996</v>
          </cell>
          <cell r="H271">
            <v>4204.7</v>
          </cell>
          <cell r="I271">
            <v>75.421999999999997</v>
          </cell>
          <cell r="J271">
            <v>2.9043701629517353</v>
          </cell>
          <cell r="K271">
            <v>98.73</v>
          </cell>
          <cell r="L271">
            <v>1.8531381163921035</v>
          </cell>
          <cell r="M271">
            <v>1470.3240700470922</v>
          </cell>
          <cell r="N271">
            <v>13.53448</v>
          </cell>
          <cell r="O271">
            <v>24.56073819732644</v>
          </cell>
          <cell r="P271">
            <v>1.3823588169473702</v>
          </cell>
          <cell r="Q271">
            <v>9.9489504126586539</v>
          </cell>
          <cell r="R271">
            <v>344.12331108978242</v>
          </cell>
          <cell r="S271">
            <v>365.66695546566808</v>
          </cell>
          <cell r="T271">
            <v>9.0096783981307382</v>
          </cell>
          <cell r="U271">
            <v>0.322361135948461</v>
          </cell>
        </row>
        <row r="272">
          <cell r="E272">
            <v>264</v>
          </cell>
          <cell r="F272" t="str">
            <v>Kab. Sangihe Talaud</v>
          </cell>
          <cell r="G272">
            <v>192.464</v>
          </cell>
          <cell r="H272">
            <v>1023.53</v>
          </cell>
          <cell r="I272">
            <v>24.85</v>
          </cell>
          <cell r="J272">
            <v>3.9083901141931894</v>
          </cell>
          <cell r="K272">
            <v>128.69999999999999</v>
          </cell>
          <cell r="L272">
            <v>1.7401477810841073</v>
          </cell>
          <cell r="M272">
            <v>305.01</v>
          </cell>
          <cell r="N272">
            <v>8.6270300000000013</v>
          </cell>
          <cell r="O272">
            <v>11.696280353823759</v>
          </cell>
          <cell r="P272">
            <v>1.31972621694737</v>
          </cell>
          <cell r="Q272">
            <v>5.7333796646586546</v>
          </cell>
          <cell r="R272">
            <v>106.40325489569999</v>
          </cell>
          <cell r="S272">
            <v>141.69913156694332</v>
          </cell>
          <cell r="T272">
            <v>12.911505528306593</v>
          </cell>
          <cell r="U272">
            <v>0.30270599393886438</v>
          </cell>
        </row>
        <row r="273">
          <cell r="E273">
            <v>265</v>
          </cell>
          <cell r="F273" t="str">
            <v>Kota Bitung</v>
          </cell>
          <cell r="G273">
            <v>168.05500000000001</v>
          </cell>
          <cell r="H273">
            <v>304</v>
          </cell>
          <cell r="I273">
            <v>14.67</v>
          </cell>
          <cell r="J273">
            <v>1.66</v>
          </cell>
          <cell r="K273">
            <v>97.15</v>
          </cell>
          <cell r="L273">
            <v>1.0931871645713533</v>
          </cell>
          <cell r="M273">
            <v>735.56200000000001</v>
          </cell>
          <cell r="N273">
            <v>13.361799999999999</v>
          </cell>
          <cell r="O273">
            <v>16.44934924383719</v>
          </cell>
          <cell r="P273">
            <v>1.3240458469473702</v>
          </cell>
          <cell r="Q273">
            <v>7.8500003116586541</v>
          </cell>
          <cell r="R273">
            <v>67.817648676999099</v>
          </cell>
          <cell r="S273">
            <v>119.75515774971618</v>
          </cell>
          <cell r="T273">
            <v>8.7292850554877859</v>
          </cell>
          <cell r="U273">
            <v>0.19016448534423996</v>
          </cell>
        </row>
        <row r="274">
          <cell r="E274">
            <v>266</v>
          </cell>
          <cell r="F274" t="str">
            <v>Kota Manado</v>
          </cell>
          <cell r="G274">
            <v>417.96300000000002</v>
          </cell>
          <cell r="H274">
            <v>157.25</v>
          </cell>
          <cell r="I274">
            <v>17.25</v>
          </cell>
          <cell r="J274">
            <v>0.75</v>
          </cell>
          <cell r="K274">
            <v>98.24</v>
          </cell>
          <cell r="L274">
            <v>1.0446603543120208</v>
          </cell>
          <cell r="M274">
            <v>2481.7020000000002</v>
          </cell>
          <cell r="N274">
            <v>30.392109999999999</v>
          </cell>
          <cell r="O274">
            <v>35.725821566827335</v>
          </cell>
          <cell r="P274">
            <v>1.3199030169473702</v>
          </cell>
          <cell r="Q274">
            <v>20.627972620658653</v>
          </cell>
          <cell r="R274">
            <v>156.55331953871851</v>
          </cell>
          <cell r="S274">
            <v>183.90284858631156</v>
          </cell>
          <cell r="T274">
            <v>4.127159581111246</v>
          </cell>
          <cell r="U274">
            <v>0.1817230434782609</v>
          </cell>
        </row>
        <row r="275">
          <cell r="E275">
            <v>267</v>
          </cell>
          <cell r="F275" t="str">
            <v>Kab. Kepulauan Talaud</v>
          </cell>
          <cell r="G275">
            <v>77.423000000000002</v>
          </cell>
          <cell r="H275">
            <v>1240.4000000000001</v>
          </cell>
          <cell r="I275">
            <v>10.86</v>
          </cell>
          <cell r="J275">
            <v>3.25</v>
          </cell>
          <cell r="K275">
            <v>130.38</v>
          </cell>
          <cell r="L275">
            <v>1.3319522095650471</v>
          </cell>
          <cell r="M275">
            <v>83.546000000000006</v>
          </cell>
          <cell r="N275">
            <v>1.8018099999999999</v>
          </cell>
          <cell r="O275">
            <v>9.2514336253033154</v>
          </cell>
          <cell r="P275">
            <v>1.31972621694737</v>
          </cell>
          <cell r="Q275">
            <v>4.3724026856586544</v>
          </cell>
          <cell r="R275">
            <v>41.253028829861385</v>
          </cell>
          <cell r="S275">
            <v>87.917505116895271</v>
          </cell>
          <cell r="T275">
            <v>14.026839569636929</v>
          </cell>
          <cell r="U275">
            <v>0.23169866482504606</v>
          </cell>
        </row>
        <row r="276">
          <cell r="E276">
            <v>268</v>
          </cell>
          <cell r="F276" t="str">
            <v>Kab. Bualemo</v>
          </cell>
          <cell r="G276">
            <v>211.90100000000001</v>
          </cell>
          <cell r="H276">
            <v>6761.67</v>
          </cell>
          <cell r="I276">
            <v>68.81</v>
          </cell>
          <cell r="J276">
            <v>8.2842697497621494</v>
          </cell>
          <cell r="K276">
            <v>103.52</v>
          </cell>
          <cell r="L276">
            <v>1.4665632286666106</v>
          </cell>
          <cell r="M276">
            <v>121.32299999999999</v>
          </cell>
          <cell r="N276">
            <v>11.336549999999999</v>
          </cell>
          <cell r="O276">
            <v>9.6684719469416702</v>
          </cell>
          <cell r="P276">
            <v>1.5696385039473701</v>
          </cell>
          <cell r="Q276">
            <v>5.8089851806586541</v>
          </cell>
          <cell r="R276">
            <v>45.583017038450315</v>
          </cell>
          <cell r="S276">
            <v>135.6971665213338</v>
          </cell>
          <cell r="T276">
            <v>32.472711313301964</v>
          </cell>
          <cell r="U276">
            <v>0.25511481532398622</v>
          </cell>
        </row>
        <row r="277">
          <cell r="E277">
            <v>269</v>
          </cell>
          <cell r="F277" t="str">
            <v xml:space="preserve">Kab. Gorontalo   </v>
          </cell>
          <cell r="G277">
            <v>537.96299999999997</v>
          </cell>
          <cell r="H277">
            <v>5338.98</v>
          </cell>
          <cell r="I277">
            <v>174.22200000000001</v>
          </cell>
          <cell r="J277">
            <v>7.4193350928516058</v>
          </cell>
          <cell r="K277">
            <v>101.23</v>
          </cell>
          <cell r="L277">
            <v>1.3169810006110594</v>
          </cell>
          <cell r="M277">
            <v>347.96</v>
          </cell>
          <cell r="N277">
            <v>18.21247</v>
          </cell>
          <cell r="O277">
            <v>12.170425889847461</v>
          </cell>
          <cell r="P277">
            <v>1.6268339539473702</v>
          </cell>
          <cell r="Q277">
            <v>6.1818389146586536</v>
          </cell>
          <cell r="R277">
            <v>168.81614961170612</v>
          </cell>
          <cell r="S277">
            <v>237.10237557357311</v>
          </cell>
          <cell r="T277">
            <v>32.385498630946742</v>
          </cell>
          <cell r="U277">
            <v>0.22909436033082664</v>
          </cell>
        </row>
        <row r="278">
          <cell r="E278">
            <v>270</v>
          </cell>
          <cell r="F278" t="str">
            <v>Kota Gorontalo</v>
          </cell>
          <cell r="G278">
            <v>147.43600000000001</v>
          </cell>
          <cell r="H278">
            <v>64.790000000000006</v>
          </cell>
          <cell r="I278">
            <v>16.036999999999999</v>
          </cell>
          <cell r="J278">
            <v>1.3964619477798721</v>
          </cell>
          <cell r="K278">
            <v>99.94</v>
          </cell>
          <cell r="L278">
            <v>0.73803104077080683</v>
          </cell>
          <cell r="M278">
            <v>408.19569999999999</v>
          </cell>
          <cell r="N278">
            <v>11.966569999999999</v>
          </cell>
          <cell r="O278">
            <v>12.835396512996772</v>
          </cell>
          <cell r="P278">
            <v>1.38275550394737</v>
          </cell>
          <cell r="Q278">
            <v>6.7074621636586542</v>
          </cell>
          <cell r="R278">
            <v>82.207209989745053</v>
          </cell>
          <cell r="S278">
            <v>134.87697613303897</v>
          </cell>
          <cell r="T278">
            <v>10.877261998426436</v>
          </cell>
          <cell r="U278">
            <v>0.12838359028052207</v>
          </cell>
        </row>
        <row r="279">
          <cell r="E279">
            <v>271</v>
          </cell>
          <cell r="F279" t="str">
            <v>Kab. Banggai</v>
          </cell>
          <cell r="G279">
            <v>284.66399999999999</v>
          </cell>
          <cell r="H279">
            <v>9672.7000000000007</v>
          </cell>
          <cell r="I279">
            <v>47.408999999999999</v>
          </cell>
          <cell r="J279">
            <v>2.7969976268528405</v>
          </cell>
          <cell r="K279">
            <v>99.43</v>
          </cell>
          <cell r="L279">
            <v>0.96544816662123034</v>
          </cell>
          <cell r="M279">
            <v>371.74</v>
          </cell>
          <cell r="N279">
            <v>8.4576200000000004</v>
          </cell>
          <cell r="O279">
            <v>12.432944652283867</v>
          </cell>
          <cell r="P279">
            <v>1.79217829394737</v>
          </cell>
          <cell r="Q279">
            <v>9.7816245241486541</v>
          </cell>
          <cell r="R279">
            <v>114.18882699008027</v>
          </cell>
          <cell r="S279">
            <v>184.17569844057772</v>
          </cell>
          <cell r="T279">
            <v>16.654371469521966</v>
          </cell>
          <cell r="U279">
            <v>0.16794375170335524</v>
          </cell>
        </row>
        <row r="280">
          <cell r="E280">
            <v>272</v>
          </cell>
          <cell r="F280" t="str">
            <v>Kab. Banggai Kepulauan</v>
          </cell>
          <cell r="G280">
            <v>153.35300000000001</v>
          </cell>
          <cell r="H280">
            <v>3214.46</v>
          </cell>
          <cell r="I280">
            <v>40.091999999999999</v>
          </cell>
          <cell r="J280">
            <v>3.8944401908742377</v>
          </cell>
          <cell r="K280">
            <v>104.89</v>
          </cell>
          <cell r="L280">
            <v>0.85633699127553975</v>
          </cell>
          <cell r="M280">
            <v>239.42</v>
          </cell>
          <cell r="N280">
            <v>4.1154899999999994</v>
          </cell>
          <cell r="O280">
            <v>10.972201059113758</v>
          </cell>
          <cell r="P280">
            <v>1.4249194639473701</v>
          </cell>
          <cell r="Q280">
            <v>7.0878436760786538</v>
          </cell>
          <cell r="R280">
            <v>36.346267290000007</v>
          </cell>
          <cell r="S280">
            <v>131.08010757367151</v>
          </cell>
          <cell r="T280">
            <v>26.143603320443681</v>
          </cell>
          <cell r="U280">
            <v>0.14896340581441112</v>
          </cell>
        </row>
        <row r="281">
          <cell r="E281">
            <v>273</v>
          </cell>
          <cell r="F281" t="str">
            <v xml:space="preserve">Kab. Buol </v>
          </cell>
          <cell r="G281">
            <v>110.90300000000001</v>
          </cell>
          <cell r="H281">
            <v>4043.57</v>
          </cell>
          <cell r="I281">
            <v>29.466999999999999</v>
          </cell>
          <cell r="J281">
            <v>4.9512551507618028</v>
          </cell>
          <cell r="K281">
            <v>99.81</v>
          </cell>
          <cell r="L281">
            <v>1.0712424888885641</v>
          </cell>
          <cell r="M281">
            <v>117.932</v>
          </cell>
          <cell r="N281">
            <v>4.9178800000000003</v>
          </cell>
          <cell r="O281">
            <v>9.6310370805235941</v>
          </cell>
          <cell r="P281">
            <v>1.4435482139473701</v>
          </cell>
          <cell r="Q281">
            <v>7.6185961950486538</v>
          </cell>
          <cell r="R281">
            <v>45.888546621335095</v>
          </cell>
          <cell r="S281">
            <v>112.58656276848258</v>
          </cell>
          <cell r="T281">
            <v>26.570065733118124</v>
          </cell>
          <cell r="U281">
            <v>0.18634711710894775</v>
          </cell>
        </row>
        <row r="282">
          <cell r="E282">
            <v>274</v>
          </cell>
          <cell r="F282" t="str">
            <v>Kab. Buol Toli Toli</v>
          </cell>
          <cell r="G282">
            <v>193.70500000000001</v>
          </cell>
          <cell r="H282">
            <v>4035.57</v>
          </cell>
          <cell r="I282">
            <v>42.597999999999999</v>
          </cell>
          <cell r="J282">
            <v>3.6163204294942641</v>
          </cell>
          <cell r="K282">
            <v>98.28</v>
          </cell>
          <cell r="L282">
            <v>0.94533043039666254</v>
          </cell>
          <cell r="M282">
            <v>283.72699999999998</v>
          </cell>
          <cell r="N282">
            <v>4.4986199999999998</v>
          </cell>
          <cell r="O282">
            <v>11.461327165390873</v>
          </cell>
          <cell r="P282">
            <v>1.59422730394737</v>
          </cell>
          <cell r="Q282">
            <v>7.4590941987886534</v>
          </cell>
          <cell r="R282">
            <v>68.603019356441109</v>
          </cell>
          <cell r="S282">
            <v>136.25563996549948</v>
          </cell>
          <cell r="T282">
            <v>21.991172143207454</v>
          </cell>
          <cell r="U282">
            <v>0.16444418723770751</v>
          </cell>
        </row>
        <row r="283">
          <cell r="E283">
            <v>275</v>
          </cell>
          <cell r="F283" t="str">
            <v>Kab. Donggala</v>
          </cell>
          <cell r="G283">
            <v>437.11399999999998</v>
          </cell>
          <cell r="H283">
            <v>9741.1</v>
          </cell>
          <cell r="I283">
            <v>97.122</v>
          </cell>
          <cell r="J283">
            <v>4.5817767945962427</v>
          </cell>
          <cell r="K283">
            <v>96.91</v>
          </cell>
          <cell r="L283">
            <v>1.1854306148432696</v>
          </cell>
          <cell r="M283">
            <v>750.38300000000004</v>
          </cell>
          <cell r="N283">
            <v>6.0974500000000003</v>
          </cell>
          <cell r="O283">
            <v>16.612965332065535</v>
          </cell>
          <cell r="P283">
            <v>1.7542691139473701</v>
          </cell>
          <cell r="Q283">
            <v>8.7522967091686539</v>
          </cell>
          <cell r="R283">
            <v>156.96699985676764</v>
          </cell>
          <cell r="S283">
            <v>212.31950454783669</v>
          </cell>
          <cell r="T283">
            <v>22.218917719405006</v>
          </cell>
          <cell r="U283">
            <v>0.20621061981766664</v>
          </cell>
        </row>
        <row r="284">
          <cell r="E284">
            <v>276</v>
          </cell>
          <cell r="F284" t="str">
            <v>Kab. Morowali</v>
          </cell>
          <cell r="G284">
            <v>167.19399999999999</v>
          </cell>
          <cell r="H284">
            <v>15489.98</v>
          </cell>
          <cell r="I284">
            <v>42.597999999999999</v>
          </cell>
          <cell r="J284">
            <v>4.1168094101230883</v>
          </cell>
          <cell r="K284">
            <v>98.51</v>
          </cell>
          <cell r="L284">
            <v>0.9288751660028205</v>
          </cell>
          <cell r="M284">
            <v>275.173</v>
          </cell>
          <cell r="N284">
            <v>15.541732274059999</v>
          </cell>
          <cell r="O284">
            <v>11.36689547935719</v>
          </cell>
          <cell r="P284">
            <v>1.7592330739473703</v>
          </cell>
          <cell r="Q284">
            <v>10.196438129138656</v>
          </cell>
          <cell r="R284">
            <v>64.118082659225692</v>
          </cell>
          <cell r="S284">
            <v>149.25702498385118</v>
          </cell>
          <cell r="T284">
            <v>25.47818701628049</v>
          </cell>
          <cell r="U284">
            <v>0.16158172508477384</v>
          </cell>
        </row>
        <row r="285">
          <cell r="E285">
            <v>277</v>
          </cell>
          <cell r="F285" t="str">
            <v>Kab. Poso</v>
          </cell>
          <cell r="G285">
            <v>275.57900000000001</v>
          </cell>
          <cell r="H285">
            <v>14433.76</v>
          </cell>
          <cell r="I285">
            <v>82.79</v>
          </cell>
          <cell r="J285">
            <v>6.5129655776139455</v>
          </cell>
          <cell r="K285">
            <v>98.04</v>
          </cell>
          <cell r="L285">
            <v>1.2462699733490326</v>
          </cell>
          <cell r="M285">
            <v>424.84136487849707</v>
          </cell>
          <cell r="N285">
            <v>6.4195099999999998</v>
          </cell>
          <cell r="O285">
            <v>13.019155947136142</v>
          </cell>
          <cell r="P285">
            <v>2.04626171394737</v>
          </cell>
          <cell r="Q285">
            <v>9.4343836257486533</v>
          </cell>
          <cell r="R285">
            <v>137.98204155905961</v>
          </cell>
          <cell r="S285">
            <v>206.87115022035138</v>
          </cell>
          <cell r="T285">
            <v>30.04220205458326</v>
          </cell>
          <cell r="U285">
            <v>0.21679388101380281</v>
          </cell>
        </row>
        <row r="286">
          <cell r="E286">
            <v>278</v>
          </cell>
          <cell r="F286" t="str">
            <v>Kota Palu</v>
          </cell>
          <cell r="G286">
            <v>283.56900000000002</v>
          </cell>
          <cell r="H286">
            <v>395.06</v>
          </cell>
          <cell r="I286">
            <v>23.855</v>
          </cell>
          <cell r="J286">
            <v>1.3464881789928147</v>
          </cell>
          <cell r="K286">
            <v>94.17</v>
          </cell>
          <cell r="L286">
            <v>0.92012533166787502</v>
          </cell>
          <cell r="M286">
            <v>1139.27</v>
          </cell>
          <cell r="N286">
            <v>15.638399999999999</v>
          </cell>
          <cell r="O286">
            <v>20.906074413966564</v>
          </cell>
          <cell r="P286">
            <v>1.44563281394737</v>
          </cell>
          <cell r="Q286">
            <v>11.390740987908654</v>
          </cell>
          <cell r="R286">
            <v>121.42296402427907</v>
          </cell>
          <cell r="S286">
            <v>163.83133536225154</v>
          </cell>
          <cell r="T286">
            <v>8.4124146151377612</v>
          </cell>
          <cell r="U286">
            <v>0.16005965475951101</v>
          </cell>
        </row>
        <row r="287">
          <cell r="E287">
            <v>279</v>
          </cell>
          <cell r="F287" t="str">
            <v>Kab. Parigi Moutong</v>
          </cell>
          <cell r="G287">
            <v>346.56</v>
          </cell>
          <cell r="H287">
            <v>6680.0039999999999</v>
          </cell>
          <cell r="I287">
            <v>80.384</v>
          </cell>
          <cell r="J287">
            <v>4.7829685035626088</v>
          </cell>
          <cell r="K287">
            <v>97.1</v>
          </cell>
          <cell r="L287">
            <v>1.1854178267598554</v>
          </cell>
          <cell r="M287">
            <v>625.54</v>
          </cell>
          <cell r="N287">
            <v>2.9851760020000002</v>
          </cell>
          <cell r="O287">
            <v>15.234763908228349</v>
          </cell>
          <cell r="P287">
            <v>1.7764130039473702</v>
          </cell>
          <cell r="Q287">
            <v>8.0777019724486543</v>
          </cell>
          <cell r="R287">
            <v>71.048346907836233</v>
          </cell>
          <cell r="S287">
            <v>139.15942491696418</v>
          </cell>
          <cell r="T287">
            <v>23.194829178208678</v>
          </cell>
          <cell r="U287">
            <v>0.2062083952770026</v>
          </cell>
        </row>
        <row r="288">
          <cell r="E288">
            <v>280</v>
          </cell>
          <cell r="F288" t="str">
            <v>Kab. Bantaeng</v>
          </cell>
          <cell r="G288">
            <v>167.34200000000001</v>
          </cell>
          <cell r="H288">
            <v>395.83</v>
          </cell>
          <cell r="I288">
            <v>17.039000000000001</v>
          </cell>
          <cell r="J288">
            <v>1.8335597130851684</v>
          </cell>
          <cell r="K288">
            <v>96.15</v>
          </cell>
          <cell r="L288">
            <v>1.0351922734858587</v>
          </cell>
          <cell r="M288">
            <v>182.48021512508757</v>
          </cell>
          <cell r="N288">
            <v>6.1877700000000004</v>
          </cell>
          <cell r="O288">
            <v>10.343615615095374</v>
          </cell>
          <cell r="P288">
            <v>2.0794572303473702</v>
          </cell>
          <cell r="Q288">
            <v>7.7031607718096513</v>
          </cell>
          <cell r="R288">
            <v>54.426570299401291</v>
          </cell>
          <cell r="S288">
            <v>109.64751608361438</v>
          </cell>
          <cell r="T288">
            <v>10.18214196077494</v>
          </cell>
          <cell r="U288">
            <v>0.18007603116796658</v>
          </cell>
        </row>
        <row r="289">
          <cell r="E289">
            <v>281</v>
          </cell>
          <cell r="F289" t="str">
            <v>Kab. Barru</v>
          </cell>
          <cell r="G289">
            <v>157.982</v>
          </cell>
          <cell r="H289">
            <v>1174.71</v>
          </cell>
          <cell r="I289">
            <v>17.940999999999999</v>
          </cell>
          <cell r="J289">
            <v>2.4070931189176217</v>
          </cell>
          <cell r="K289">
            <v>96.86</v>
          </cell>
          <cell r="L289">
            <v>1.2184815686081309</v>
          </cell>
          <cell r="M289">
            <v>155.99681000000001</v>
          </cell>
          <cell r="N289">
            <v>8.7393400000000003</v>
          </cell>
          <cell r="O289">
            <v>10.051252674029772</v>
          </cell>
          <cell r="P289">
            <v>2.09652987034737</v>
          </cell>
          <cell r="Q289">
            <v>9.2688692591736608</v>
          </cell>
          <cell r="R289">
            <v>72.75832237409999</v>
          </cell>
          <cell r="S289">
            <v>125.40908705241989</v>
          </cell>
          <cell r="T289">
            <v>11.35635705333519</v>
          </cell>
          <cell r="U289">
            <v>0.21195997163638799</v>
          </cell>
        </row>
        <row r="290">
          <cell r="E290">
            <v>282</v>
          </cell>
          <cell r="F290" t="str">
            <v xml:space="preserve">Kab. Bone </v>
          </cell>
          <cell r="G290">
            <v>688.08</v>
          </cell>
          <cell r="H290">
            <v>4559</v>
          </cell>
          <cell r="I290">
            <v>107.446</v>
          </cell>
          <cell r="J290">
            <v>2.5000606865638182</v>
          </cell>
          <cell r="K290">
            <v>96.94</v>
          </cell>
          <cell r="L290">
            <v>0.92037400675107572</v>
          </cell>
          <cell r="M290">
            <v>725.10396683984925</v>
          </cell>
          <cell r="N290">
            <v>15.952399999999999</v>
          </cell>
          <cell r="O290">
            <v>16.333898027574715</v>
          </cell>
          <cell r="P290">
            <v>2.1149370203473703</v>
          </cell>
          <cell r="Q290">
            <v>15.048060539359341</v>
          </cell>
          <cell r="R290">
            <v>204.88257801285459</v>
          </cell>
          <cell r="S290">
            <v>262.3186739616167</v>
          </cell>
          <cell r="T290">
            <v>15.615335426113241</v>
          </cell>
          <cell r="U290">
            <v>0.16010291283163935</v>
          </cell>
        </row>
        <row r="291">
          <cell r="E291">
            <v>283</v>
          </cell>
          <cell r="F291" t="str">
            <v xml:space="preserve">Kab. Bulukumba   </v>
          </cell>
          <cell r="G291">
            <v>375.983</v>
          </cell>
          <cell r="H291">
            <v>1154.67</v>
          </cell>
          <cell r="I291">
            <v>53.222000000000001</v>
          </cell>
          <cell r="J291">
            <v>2.3645887148757199</v>
          </cell>
          <cell r="K291">
            <v>96.18</v>
          </cell>
          <cell r="L291">
            <v>0.96027968699169253</v>
          </cell>
          <cell r="M291">
            <v>326.61035565999998</v>
          </cell>
          <cell r="N291">
            <v>12.687389999999999</v>
          </cell>
          <cell r="O291">
            <v>11.934736982757713</v>
          </cell>
          <cell r="P291">
            <v>2.0794572303473702</v>
          </cell>
          <cell r="Q291">
            <v>10.086156373474843</v>
          </cell>
          <cell r="R291">
            <v>129.0077368266</v>
          </cell>
          <cell r="S291">
            <v>179.2589981306798</v>
          </cell>
          <cell r="T291">
            <v>14.155427240061385</v>
          </cell>
          <cell r="U291">
            <v>0.16704467302715378</v>
          </cell>
        </row>
        <row r="292">
          <cell r="E292">
            <v>284</v>
          </cell>
          <cell r="F292" t="str">
            <v>Kab. Enrekang</v>
          </cell>
          <cell r="G292">
            <v>179.44300000000001</v>
          </cell>
          <cell r="H292">
            <v>1786.63</v>
          </cell>
          <cell r="I292">
            <v>38.087000000000003</v>
          </cell>
          <cell r="J292">
            <v>3.6792873729792825</v>
          </cell>
          <cell r="K292">
            <v>95.84</v>
          </cell>
          <cell r="L292">
            <v>0.9965029229004525</v>
          </cell>
          <cell r="M292">
            <v>172.05642</v>
          </cell>
          <cell r="N292">
            <v>10.430389999999999</v>
          </cell>
          <cell r="O292">
            <v>10.228542368832604</v>
          </cell>
          <cell r="P292">
            <v>2.0848983203473699</v>
          </cell>
          <cell r="Q292">
            <v>8.1307583785585802</v>
          </cell>
          <cell r="R292">
            <v>73.830393527999973</v>
          </cell>
          <cell r="S292">
            <v>131.06035669930614</v>
          </cell>
          <cell r="T292">
            <v>21.225124412766171</v>
          </cell>
          <cell r="U292">
            <v>0.17334585660974122</v>
          </cell>
        </row>
        <row r="293">
          <cell r="E293">
            <v>285</v>
          </cell>
          <cell r="F293" t="str">
            <v>Kab. G o w a</v>
          </cell>
          <cell r="G293">
            <v>567.59400000000005</v>
          </cell>
          <cell r="H293">
            <v>1883.32</v>
          </cell>
          <cell r="I293">
            <v>94.116</v>
          </cell>
          <cell r="J293">
            <v>2.5780545162142454</v>
          </cell>
          <cell r="K293">
            <v>96.14</v>
          </cell>
          <cell r="L293">
            <v>0.89378187457179292</v>
          </cell>
          <cell r="M293">
            <v>702.60960999999998</v>
          </cell>
          <cell r="N293">
            <v>22.217140000000001</v>
          </cell>
          <cell r="O293">
            <v>16.085572093201286</v>
          </cell>
          <cell r="P293">
            <v>2.08615367034737</v>
          </cell>
          <cell r="Q293">
            <v>9.7782894031778742</v>
          </cell>
          <cell r="R293">
            <v>152.06751765270002</v>
          </cell>
          <cell r="S293">
            <v>211.36829192014412</v>
          </cell>
          <cell r="T293">
            <v>16.581570629710672</v>
          </cell>
          <cell r="U293">
            <v>0.15547710007608787</v>
          </cell>
        </row>
        <row r="294">
          <cell r="E294">
            <v>286</v>
          </cell>
          <cell r="F294" t="str">
            <v>Kab. Jeneponto</v>
          </cell>
          <cell r="G294">
            <v>328.24099999999999</v>
          </cell>
          <cell r="H294">
            <v>706.52</v>
          </cell>
          <cell r="I294">
            <v>74.471000000000004</v>
          </cell>
          <cell r="J294">
            <v>3.6182035569742284</v>
          </cell>
          <cell r="K294">
            <v>95.56</v>
          </cell>
          <cell r="L294">
            <v>0.91677708430618365</v>
          </cell>
          <cell r="M294">
            <v>266.09540999999996</v>
          </cell>
          <cell r="N294">
            <v>4.5876899999999994</v>
          </cell>
          <cell r="O294">
            <v>11.266683633574804</v>
          </cell>
          <cell r="P294">
            <v>2.0851980303473701</v>
          </cell>
          <cell r="Q294">
            <v>8.153253190015489</v>
          </cell>
          <cell r="R294">
            <v>95.966883493186742</v>
          </cell>
          <cell r="S294">
            <v>146.60022503893055</v>
          </cell>
          <cell r="T294">
            <v>22.687903095591352</v>
          </cell>
          <cell r="U294">
            <v>0.15947721310909985</v>
          </cell>
        </row>
        <row r="295">
          <cell r="E295">
            <v>287</v>
          </cell>
          <cell r="F295" t="str">
            <v>Kab. Luwu</v>
          </cell>
          <cell r="G295">
            <v>310.10899999999998</v>
          </cell>
          <cell r="H295">
            <v>3000.25</v>
          </cell>
          <cell r="I295">
            <v>57.331000000000003</v>
          </cell>
          <cell r="J295">
            <v>3.1567137648812897</v>
          </cell>
          <cell r="K295">
            <v>96.73</v>
          </cell>
          <cell r="L295">
            <v>0.98157879770551371</v>
          </cell>
          <cell r="M295">
            <v>179.40970269475426</v>
          </cell>
          <cell r="N295">
            <v>10.629629999999999</v>
          </cell>
          <cell r="O295">
            <v>10.309718763823014</v>
          </cell>
          <cell r="P295">
            <v>2.3286722403473701</v>
          </cell>
          <cell r="Q295">
            <v>7.1139477870593177</v>
          </cell>
          <cell r="R295">
            <v>94.391845260299988</v>
          </cell>
          <cell r="S295">
            <v>152.79178984905266</v>
          </cell>
          <cell r="T295">
            <v>18.487370569702914</v>
          </cell>
          <cell r="U295">
            <v>0.17074974253258651</v>
          </cell>
        </row>
        <row r="296">
          <cell r="E296">
            <v>288</v>
          </cell>
          <cell r="F296" t="str">
            <v>Kab. Luwu Utara</v>
          </cell>
          <cell r="G296">
            <v>479.91899999999998</v>
          </cell>
          <cell r="H296">
            <v>14447.46</v>
          </cell>
          <cell r="I296">
            <v>66.753</v>
          </cell>
          <cell r="J296">
            <v>1.9972888293474529</v>
          </cell>
          <cell r="K296">
            <v>94.9</v>
          </cell>
          <cell r="L296">
            <v>0.82547350818850629</v>
          </cell>
          <cell r="M296">
            <v>346.90277451817866</v>
          </cell>
          <cell r="N296">
            <v>23.828810000000001</v>
          </cell>
          <cell r="O296">
            <v>12.158754673484804</v>
          </cell>
          <cell r="P296">
            <v>2.0869923703473701</v>
          </cell>
          <cell r="Q296">
            <v>9.8848522660187044</v>
          </cell>
          <cell r="R296">
            <v>94.849988360670082</v>
          </cell>
          <cell r="S296">
            <v>181.92371257031795</v>
          </cell>
          <cell r="T296">
            <v>13.909222181243086</v>
          </cell>
          <cell r="U296">
            <v>0.14359457368082335</v>
          </cell>
        </row>
        <row r="297">
          <cell r="E297">
            <v>289</v>
          </cell>
          <cell r="F297" t="str">
            <v xml:space="preserve">Kab. Majene    </v>
          </cell>
          <cell r="G297">
            <v>130.52699999999999</v>
          </cell>
          <cell r="H297">
            <v>947.84</v>
          </cell>
          <cell r="I297">
            <v>34.78</v>
          </cell>
          <cell r="J297">
            <v>4.0494692832885244</v>
          </cell>
          <cell r="K297">
            <v>93.5</v>
          </cell>
          <cell r="L297">
            <v>0.87364299546205115</v>
          </cell>
          <cell r="M297">
            <v>168.28336055294088</v>
          </cell>
          <cell r="N297">
            <v>2.99905</v>
          </cell>
          <cell r="O297">
            <v>10.186889765946106</v>
          </cell>
          <cell r="P297">
            <v>2.0794572303473702</v>
          </cell>
          <cell r="Q297">
            <v>9.1500352397961091</v>
          </cell>
          <cell r="R297">
            <v>66.312806524102399</v>
          </cell>
          <cell r="S297">
            <v>116.11363012971017</v>
          </cell>
          <cell r="T297">
            <v>26.645828066223849</v>
          </cell>
          <cell r="U297">
            <v>0.1519738577170216</v>
          </cell>
        </row>
        <row r="298">
          <cell r="E298">
            <v>290</v>
          </cell>
          <cell r="F298" t="str">
            <v>Kab. Mamuju</v>
          </cell>
          <cell r="G298">
            <v>360.52499999999998</v>
          </cell>
          <cell r="H298">
            <v>11057.82</v>
          </cell>
          <cell r="I298">
            <v>60.639000000000003</v>
          </cell>
          <cell r="J298">
            <v>2.4235685832950242</v>
          </cell>
          <cell r="K298">
            <v>99.29</v>
          </cell>
          <cell r="L298">
            <v>0.82833074328097145</v>
          </cell>
          <cell r="M298">
            <v>155.58785999999998</v>
          </cell>
          <cell r="N298">
            <v>7.9471099999999995</v>
          </cell>
          <cell r="O298">
            <v>10.046738079921347</v>
          </cell>
          <cell r="P298">
            <v>2.6843528803473702</v>
          </cell>
          <cell r="Q298">
            <v>10.597188790871799</v>
          </cell>
          <cell r="R298">
            <v>92.095088695073002</v>
          </cell>
          <cell r="S298">
            <v>168.07786039970455</v>
          </cell>
          <cell r="T298">
            <v>16.819638027876017</v>
          </cell>
          <cell r="U298">
            <v>0.14409160169073343</v>
          </cell>
        </row>
        <row r="299">
          <cell r="E299">
            <v>291</v>
          </cell>
          <cell r="F299" t="str">
            <v xml:space="preserve">Kab. M a r o s </v>
          </cell>
          <cell r="G299">
            <v>291.98599999999999</v>
          </cell>
          <cell r="H299">
            <v>1619.12</v>
          </cell>
          <cell r="I299">
            <v>59.936999999999998</v>
          </cell>
          <cell r="J299">
            <v>2.6349704196232437</v>
          </cell>
          <cell r="K299">
            <v>97.51</v>
          </cell>
          <cell r="L299">
            <v>0.73791762353820578</v>
          </cell>
          <cell r="M299">
            <v>342.22633649800002</v>
          </cell>
          <cell r="N299">
            <v>10.69455</v>
          </cell>
          <cell r="O299">
            <v>12.107129243641749</v>
          </cell>
          <cell r="P299">
            <v>2.0794572303473702</v>
          </cell>
          <cell r="Q299">
            <v>8.8902848314402227</v>
          </cell>
          <cell r="R299">
            <v>102.79451036204331</v>
          </cell>
          <cell r="S299">
            <v>151.90640584290031</v>
          </cell>
          <cell r="T299">
            <v>20.527354051221632</v>
          </cell>
          <cell r="U299">
            <v>0.12836386087794058</v>
          </cell>
        </row>
        <row r="300">
          <cell r="E300">
            <v>292</v>
          </cell>
          <cell r="F300" t="str">
            <v>Kab. Pangkajene Kepulauan</v>
          </cell>
          <cell r="G300">
            <v>277.68700000000001</v>
          </cell>
          <cell r="H300">
            <v>1132.08</v>
          </cell>
          <cell r="I300">
            <v>61.741</v>
          </cell>
          <cell r="J300">
            <v>4.0581586315232094</v>
          </cell>
          <cell r="K300">
            <v>98.38</v>
          </cell>
          <cell r="L300">
            <v>1.0492428541469498</v>
          </cell>
          <cell r="M300">
            <v>343.64166</v>
          </cell>
          <cell r="N300">
            <v>25.466799999999999</v>
          </cell>
          <cell r="O300">
            <v>12.122753674852524</v>
          </cell>
          <cell r="P300">
            <v>2.0794572303473702</v>
          </cell>
          <cell r="Q300">
            <v>8.5692593984071586</v>
          </cell>
          <cell r="R300">
            <v>97.691588036747561</v>
          </cell>
          <cell r="S300">
            <v>154.39212950647334</v>
          </cell>
          <cell r="T300">
            <v>22.234026079722852</v>
          </cell>
          <cell r="U300">
            <v>0.18252018851521445</v>
          </cell>
        </row>
        <row r="301">
          <cell r="E301">
            <v>293</v>
          </cell>
          <cell r="F301" t="str">
            <v>Kab. Pinrang</v>
          </cell>
          <cell r="G301">
            <v>333.85300000000001</v>
          </cell>
          <cell r="H301">
            <v>1961.77</v>
          </cell>
          <cell r="I301">
            <v>29.466999999999999</v>
          </cell>
          <cell r="J301">
            <v>0.88681731665677632</v>
          </cell>
          <cell r="K301">
            <v>96.98</v>
          </cell>
          <cell r="L301">
            <v>0.57758863130629012</v>
          </cell>
          <cell r="M301">
            <v>473.75335480000001</v>
          </cell>
          <cell r="N301">
            <v>13.56033</v>
          </cell>
          <cell r="O301">
            <v>13.559118733616163</v>
          </cell>
          <cell r="P301">
            <v>2.1286376703473699</v>
          </cell>
          <cell r="Q301">
            <v>12.034131721066199</v>
          </cell>
          <cell r="R301">
            <v>110.43223038685329</v>
          </cell>
          <cell r="S301">
            <v>157.24521500939062</v>
          </cell>
          <cell r="T301">
            <v>8.826339736351029</v>
          </cell>
          <cell r="U301">
            <v>0.10047396125082796</v>
          </cell>
        </row>
        <row r="302">
          <cell r="E302">
            <v>294</v>
          </cell>
          <cell r="F302" t="str">
            <v>Kab. Polewali Mamasa</v>
          </cell>
          <cell r="G302">
            <v>357.85199999999998</v>
          </cell>
          <cell r="H302">
            <v>1775.65</v>
          </cell>
          <cell r="I302">
            <v>109.651</v>
          </cell>
          <cell r="J302">
            <v>7.3582158488284186</v>
          </cell>
          <cell r="K302">
            <v>95.97</v>
          </cell>
          <cell r="L302">
            <v>1.3804748120874886</v>
          </cell>
          <cell r="M302">
            <v>355.84113658024137</v>
          </cell>
          <cell r="N302">
            <v>7.30124</v>
          </cell>
          <cell r="O302">
            <v>12.257429515652223</v>
          </cell>
          <cell r="P302">
            <v>2.1264069903473701</v>
          </cell>
          <cell r="Q302">
            <v>8.5400655139808741</v>
          </cell>
          <cell r="R302">
            <v>111.496377</v>
          </cell>
          <cell r="S302">
            <v>152.05138767876463</v>
          </cell>
          <cell r="T302">
            <v>30.641438359992399</v>
          </cell>
          <cell r="U302">
            <v>0.24013937473757169</v>
          </cell>
        </row>
        <row r="303">
          <cell r="E303">
            <v>295</v>
          </cell>
          <cell r="F303" t="str">
            <v>Kab. Selayar</v>
          </cell>
          <cell r="G303">
            <v>110.678</v>
          </cell>
          <cell r="H303">
            <v>903.35</v>
          </cell>
          <cell r="I303">
            <v>24.456</v>
          </cell>
          <cell r="J303">
            <v>3.7846965441828999</v>
          </cell>
          <cell r="K303">
            <v>101.23</v>
          </cell>
          <cell r="L303">
            <v>0.98462770602835381</v>
          </cell>
          <cell r="M303">
            <v>155.99681000000001</v>
          </cell>
          <cell r="N303">
            <v>2.43614</v>
          </cell>
          <cell r="O303">
            <v>10.051252674029772</v>
          </cell>
          <cell r="P303">
            <v>2.0794572303473702</v>
          </cell>
          <cell r="Q303">
            <v>7.3728602321778496</v>
          </cell>
          <cell r="R303">
            <v>51.216031035599983</v>
          </cell>
          <cell r="S303">
            <v>108.36848013640881</v>
          </cell>
          <cell r="T303">
            <v>22.096532282838506</v>
          </cell>
          <cell r="U303">
            <v>0.17128011290361259</v>
          </cell>
        </row>
        <row r="304">
          <cell r="E304">
            <v>296</v>
          </cell>
          <cell r="F304" t="str">
            <v xml:space="preserve">Kab. Sidenreng Rappang </v>
          </cell>
          <cell r="G304">
            <v>246.62299999999999</v>
          </cell>
          <cell r="H304">
            <v>1883.25</v>
          </cell>
          <cell r="I304">
            <v>19.946000000000002</v>
          </cell>
          <cell r="J304">
            <v>1.0563738684391584</v>
          </cell>
          <cell r="K304">
            <v>94.51</v>
          </cell>
          <cell r="L304">
            <v>0.75086268592405336</v>
          </cell>
          <cell r="M304">
            <v>373.82377121591469</v>
          </cell>
          <cell r="N304">
            <v>12.603159999999999</v>
          </cell>
          <cell r="O304">
            <v>12.455948396640576</v>
          </cell>
          <cell r="P304">
            <v>2.1011709903473701</v>
          </cell>
          <cell r="Q304">
            <v>11.917497716009926</v>
          </cell>
          <cell r="R304">
            <v>98.211199391882971</v>
          </cell>
          <cell r="S304">
            <v>147.83000000000001</v>
          </cell>
          <cell r="T304">
            <v>8.0876479484881791</v>
          </cell>
          <cell r="U304">
            <v>0.13061570869150232</v>
          </cell>
        </row>
        <row r="305">
          <cell r="E305">
            <v>297</v>
          </cell>
          <cell r="F305" t="str">
            <v>Kab. Sinjai</v>
          </cell>
          <cell r="G305">
            <v>218.72800000000001</v>
          </cell>
          <cell r="H305">
            <v>798.96</v>
          </cell>
          <cell r="I305">
            <v>30.169</v>
          </cell>
          <cell r="J305">
            <v>1.3596420611257658</v>
          </cell>
          <cell r="K305">
            <v>96.91</v>
          </cell>
          <cell r="L305">
            <v>0.56667384686678635</v>
          </cell>
          <cell r="M305">
            <v>227.89487</v>
          </cell>
          <cell r="N305">
            <v>8.9000599999999999</v>
          </cell>
          <cell r="O305">
            <v>10.844969651858976</v>
          </cell>
          <cell r="P305">
            <v>2.0794572303473702</v>
          </cell>
          <cell r="Q305">
            <v>7.5703620191869945</v>
          </cell>
          <cell r="R305">
            <v>88.467258596699992</v>
          </cell>
          <cell r="S305">
            <v>137.1178912931388</v>
          </cell>
          <cell r="T305">
            <v>13.792930031820344</v>
          </cell>
          <cell r="U305">
            <v>9.8575288788463819E-2</v>
          </cell>
        </row>
        <row r="306">
          <cell r="E306">
            <v>298</v>
          </cell>
          <cell r="F306" t="str">
            <v>Kab. Soppeng</v>
          </cell>
          <cell r="G306">
            <v>224.339</v>
          </cell>
          <cell r="H306">
            <v>1359.44</v>
          </cell>
          <cell r="I306">
            <v>10.324</v>
          </cell>
          <cell r="J306">
            <v>0.65423459766015735</v>
          </cell>
          <cell r="K306">
            <v>96.52</v>
          </cell>
          <cell r="L306">
            <v>0.81725089018069685</v>
          </cell>
          <cell r="M306">
            <v>318.44218000000001</v>
          </cell>
          <cell r="N306">
            <v>14.200379999999999</v>
          </cell>
          <cell r="O306">
            <v>11.844564595641382</v>
          </cell>
          <cell r="P306">
            <v>2.0794572303473702</v>
          </cell>
          <cell r="Q306">
            <v>10.735559884530302</v>
          </cell>
          <cell r="R306">
            <v>114.26480109520664</v>
          </cell>
          <cell r="S306">
            <v>151.0394902362128</v>
          </cell>
          <cell r="T306">
            <v>4.6019639919942588</v>
          </cell>
          <cell r="U306">
            <v>0.14216421484355099</v>
          </cell>
        </row>
        <row r="307">
          <cell r="E307">
            <v>299</v>
          </cell>
          <cell r="F307" t="str">
            <v xml:space="preserve">Kab. Takalar </v>
          </cell>
          <cell r="G307">
            <v>244.87299999999999</v>
          </cell>
          <cell r="H307">
            <v>556.51</v>
          </cell>
          <cell r="I307">
            <v>31.672999999999998</v>
          </cell>
          <cell r="J307">
            <v>1.4412900115112697</v>
          </cell>
          <cell r="K307">
            <v>96.77</v>
          </cell>
          <cell r="L307">
            <v>0.64057235128707679</v>
          </cell>
          <cell r="M307">
            <v>279.75306</v>
          </cell>
          <cell r="N307">
            <v>4.9586899999999998</v>
          </cell>
          <cell r="O307">
            <v>11.417456946265704</v>
          </cell>
          <cell r="P307">
            <v>2.0908633603473699</v>
          </cell>
          <cell r="Q307">
            <v>8.6271149236765883</v>
          </cell>
          <cell r="R307">
            <v>91.516372514699981</v>
          </cell>
          <cell r="S307">
            <v>138.35402442695988</v>
          </cell>
          <cell r="T307">
            <v>12.934459903705186</v>
          </cell>
          <cell r="U307">
            <v>0.11143024310573647</v>
          </cell>
        </row>
        <row r="308">
          <cell r="E308">
            <v>300</v>
          </cell>
          <cell r="F308" t="str">
            <v>Kab. Tana Toraja</v>
          </cell>
          <cell r="G308">
            <v>422.60399999999998</v>
          </cell>
          <cell r="H308">
            <v>3205.77</v>
          </cell>
          <cell r="I308">
            <v>78.078999999999994</v>
          </cell>
          <cell r="J308">
            <v>2.5954735630235035</v>
          </cell>
          <cell r="K308">
            <v>97.34</v>
          </cell>
          <cell r="L308">
            <v>0.80757168252288847</v>
          </cell>
          <cell r="M308">
            <v>425.61937999999998</v>
          </cell>
          <cell r="N308">
            <v>13.98935</v>
          </cell>
          <cell r="O308">
            <v>13.027744827155221</v>
          </cell>
          <cell r="P308">
            <v>2.0794572303473702</v>
          </cell>
          <cell r="Q308">
            <v>8.3126021554128275</v>
          </cell>
          <cell r="R308">
            <v>147.19016984939998</v>
          </cell>
          <cell r="S308">
            <v>201.81448866623742</v>
          </cell>
          <cell r="T308">
            <v>18.475688824526031</v>
          </cell>
          <cell r="U308">
            <v>0.14048047613673137</v>
          </cell>
        </row>
        <row r="309">
          <cell r="E309">
            <v>301</v>
          </cell>
          <cell r="F309" t="str">
            <v>Kab. Wajo</v>
          </cell>
          <cell r="G309">
            <v>363.92200000000003</v>
          </cell>
          <cell r="H309">
            <v>2506.19</v>
          </cell>
          <cell r="I309">
            <v>35.08</v>
          </cell>
          <cell r="J309">
            <v>1.1719387048667902</v>
          </cell>
          <cell r="K309">
            <v>94.38</v>
          </cell>
          <cell r="L309">
            <v>0.69890594556648711</v>
          </cell>
          <cell r="M309">
            <v>742.5006800000001</v>
          </cell>
          <cell r="N309">
            <v>14.788530000000002</v>
          </cell>
          <cell r="O309">
            <v>16.525948641925595</v>
          </cell>
          <cell r="P309">
            <v>2.08098233034737</v>
          </cell>
          <cell r="Q309">
            <v>25.363405870392572</v>
          </cell>
          <cell r="R309">
            <v>115.02597124414446</v>
          </cell>
          <cell r="S309">
            <v>166.13</v>
          </cell>
          <cell r="T309">
            <v>9.63942822912602</v>
          </cell>
          <cell r="U309">
            <v>0.12157761612101826</v>
          </cell>
        </row>
        <row r="310">
          <cell r="E310">
            <v>302</v>
          </cell>
          <cell r="F310" t="str">
            <v>Kota Pare-pare</v>
          </cell>
          <cell r="G310">
            <v>114.10299999999999</v>
          </cell>
          <cell r="H310">
            <v>99.33</v>
          </cell>
          <cell r="I310">
            <v>7.82</v>
          </cell>
          <cell r="J310">
            <v>1.2107673437855095</v>
          </cell>
          <cell r="K310">
            <v>94.7</v>
          </cell>
          <cell r="L310">
            <v>1.0155846317798103</v>
          </cell>
          <cell r="M310">
            <v>463.11081999999999</v>
          </cell>
          <cell r="N310">
            <v>12.78153</v>
          </cell>
          <cell r="O310">
            <v>13.441630715748946</v>
          </cell>
          <cell r="P310">
            <v>2.0794572303473702</v>
          </cell>
          <cell r="Q310">
            <v>8.2501447723885377</v>
          </cell>
          <cell r="R310">
            <v>66.073114816499995</v>
          </cell>
          <cell r="S310">
            <v>121.83694066676485</v>
          </cell>
          <cell r="T310">
            <v>6.8534569643217091</v>
          </cell>
          <cell r="U310">
            <v>0.17666519977999745</v>
          </cell>
        </row>
        <row r="311">
          <cell r="E311">
            <v>303</v>
          </cell>
          <cell r="F311" t="str">
            <v>Kota Makassar</v>
          </cell>
          <cell r="G311">
            <v>1169.9849999999999</v>
          </cell>
          <cell r="H311">
            <v>175.77</v>
          </cell>
          <cell r="I311">
            <v>71.563999999999993</v>
          </cell>
          <cell r="J311">
            <v>0.8509074434574686</v>
          </cell>
          <cell r="K311">
            <v>95.76</v>
          </cell>
          <cell r="L311">
            <v>0.79971109435745669</v>
          </cell>
          <cell r="M311">
            <v>6234.8790599999993</v>
          </cell>
          <cell r="N311">
            <v>78.684690000000003</v>
          </cell>
          <cell r="O311">
            <v>77.158933299203611</v>
          </cell>
          <cell r="P311">
            <v>2.0794572303473702</v>
          </cell>
          <cell r="Q311">
            <v>66.369844551989161</v>
          </cell>
          <cell r="R311">
            <v>281.86202053912643</v>
          </cell>
          <cell r="S311">
            <v>308.15755217613804</v>
          </cell>
          <cell r="T311">
            <v>6.1166596152942132</v>
          </cell>
          <cell r="U311">
            <v>0.13911309390665508</v>
          </cell>
        </row>
        <row r="312">
          <cell r="E312">
            <v>304</v>
          </cell>
          <cell r="F312" t="str">
            <v>Kota Palopo</v>
          </cell>
          <cell r="G312">
            <v>125.386</v>
          </cell>
          <cell r="H312">
            <v>247.52</v>
          </cell>
          <cell r="I312">
            <v>14.032</v>
          </cell>
          <cell r="J312">
            <v>2.9072826200714204</v>
          </cell>
          <cell r="K312">
            <v>93.99</v>
          </cell>
          <cell r="L312">
            <v>1.4934195609944017</v>
          </cell>
          <cell r="M312">
            <v>244.26026173828453</v>
          </cell>
          <cell r="N312">
            <v>6.7356400000000001</v>
          </cell>
          <cell r="O312">
            <v>11.025635017120601</v>
          </cell>
          <cell r="P312">
            <v>2.0794572303473702</v>
          </cell>
          <cell r="Q312">
            <v>4.3676590767336965</v>
          </cell>
          <cell r="R312">
            <v>48.078067051799991</v>
          </cell>
          <cell r="S312">
            <v>87.825522477388191</v>
          </cell>
          <cell r="T312">
            <v>11.191042062112198</v>
          </cell>
          <cell r="U312">
            <v>0.2597865868017924</v>
          </cell>
        </row>
        <row r="313">
          <cell r="E313">
            <v>305</v>
          </cell>
          <cell r="F313" t="str">
            <v>Kab. Mamasa</v>
          </cell>
          <cell r="G313">
            <v>120.745</v>
          </cell>
          <cell r="H313">
            <v>3005.88</v>
          </cell>
          <cell r="I313">
            <v>35.781999999999996</v>
          </cell>
          <cell r="J313">
            <v>7.1036507804634574</v>
          </cell>
          <cell r="K313">
            <v>95.71</v>
          </cell>
          <cell r="L313">
            <v>1.3780064776249843</v>
          </cell>
          <cell r="M313">
            <v>120.21605306709046</v>
          </cell>
          <cell r="N313">
            <v>2.1687600000000002</v>
          </cell>
          <cell r="O313">
            <v>9.6562518317646227</v>
          </cell>
          <cell r="P313">
            <v>2.0794572303473702</v>
          </cell>
          <cell r="Q313">
            <v>5.9373855340842825</v>
          </cell>
          <cell r="R313">
            <v>29.677843199999987</v>
          </cell>
          <cell r="S313">
            <v>93.320831643824206</v>
          </cell>
          <cell r="T313">
            <v>29.634353389374297</v>
          </cell>
          <cell r="U313">
            <v>0.23970999762088768</v>
          </cell>
        </row>
        <row r="314">
          <cell r="E314">
            <v>306</v>
          </cell>
          <cell r="F314" t="str">
            <v>Kab. Buton</v>
          </cell>
          <cell r="G314">
            <v>459.36599999999999</v>
          </cell>
          <cell r="H314">
            <v>5851.9</v>
          </cell>
          <cell r="I314">
            <v>102.334</v>
          </cell>
          <cell r="J314">
            <v>3.7394821074382585</v>
          </cell>
          <cell r="K314">
            <v>100.73</v>
          </cell>
          <cell r="L314">
            <v>0.96497368169650111</v>
          </cell>
          <cell r="M314">
            <v>429.21310427945622</v>
          </cell>
          <cell r="N314">
            <v>10.71796</v>
          </cell>
          <cell r="O314">
            <v>13.067417663588381</v>
          </cell>
          <cell r="P314">
            <v>1.5819838309473702</v>
          </cell>
          <cell r="Q314">
            <v>6.847107502608484</v>
          </cell>
          <cell r="R314">
            <v>152.19324659969999</v>
          </cell>
          <cell r="S314">
            <v>217.01119073930676</v>
          </cell>
          <cell r="T314">
            <v>22.277225567412479</v>
          </cell>
          <cell r="U314">
            <v>0.16786121306364288</v>
          </cell>
        </row>
        <row r="315">
          <cell r="E315">
            <v>307</v>
          </cell>
          <cell r="F315" t="str">
            <v>Kab. Kendari</v>
          </cell>
          <cell r="G315">
            <v>474.64100000000002</v>
          </cell>
          <cell r="H315">
            <v>15824.77</v>
          </cell>
          <cell r="I315">
            <v>112.959</v>
          </cell>
          <cell r="J315">
            <v>4.7113218194400437</v>
          </cell>
          <cell r="K315">
            <v>100.67</v>
          </cell>
          <cell r="L315">
            <v>1.138026286593947</v>
          </cell>
          <cell r="M315">
            <v>681.33831292242542</v>
          </cell>
          <cell r="N315">
            <v>6.7561</v>
          </cell>
          <cell r="O315">
            <v>15.850748098911041</v>
          </cell>
          <cell r="P315">
            <v>1.6719330209473702</v>
          </cell>
          <cell r="Q315">
            <v>8.3908888713323879</v>
          </cell>
          <cell r="R315">
            <v>203.9134377432556</v>
          </cell>
          <cell r="S315">
            <v>266.69706599843784</v>
          </cell>
          <cell r="T315">
            <v>23.798829009714712</v>
          </cell>
          <cell r="U315">
            <v>0.19796443839807731</v>
          </cell>
        </row>
        <row r="316">
          <cell r="E316">
            <v>308</v>
          </cell>
          <cell r="F316" t="str">
            <v>Kab. Kolaka</v>
          </cell>
          <cell r="G316">
            <v>354.37</v>
          </cell>
          <cell r="H316">
            <v>10200.790000000001</v>
          </cell>
          <cell r="I316">
            <v>88.503</v>
          </cell>
          <cell r="J316">
            <v>3.7660293256473141</v>
          </cell>
          <cell r="K316">
            <v>99.52</v>
          </cell>
          <cell r="L316">
            <v>0.86685760824729774</v>
          </cell>
          <cell r="M316">
            <v>724.79160999999999</v>
          </cell>
          <cell r="N316">
            <v>17.124747063970002</v>
          </cell>
          <cell r="O316">
            <v>16.330449771433599</v>
          </cell>
          <cell r="P316">
            <v>3.74463166394737</v>
          </cell>
          <cell r="Q316">
            <v>11.552792948355712</v>
          </cell>
          <cell r="R316">
            <v>117.73571419499994</v>
          </cell>
          <cell r="S316">
            <v>186.08323858778425</v>
          </cell>
          <cell r="T316">
            <v>24.974743911730677</v>
          </cell>
          <cell r="U316">
            <v>0.1507935111950599</v>
          </cell>
        </row>
        <row r="317">
          <cell r="E317">
            <v>309</v>
          </cell>
          <cell r="F317" t="str">
            <v>Kab. Muna</v>
          </cell>
          <cell r="G317">
            <v>294.01600000000002</v>
          </cell>
          <cell r="H317">
            <v>4887</v>
          </cell>
          <cell r="I317">
            <v>72.966999999999999</v>
          </cell>
          <cell r="J317">
            <v>3.5365804738781499</v>
          </cell>
          <cell r="K317">
            <v>102.71</v>
          </cell>
          <cell r="L317">
            <v>0.81920601090382406</v>
          </cell>
          <cell r="M317">
            <v>482.28445368096391</v>
          </cell>
          <cell r="N317">
            <v>20.980049999999999</v>
          </cell>
          <cell r="O317">
            <v>13.653297603273574</v>
          </cell>
          <cell r="P317">
            <v>1.6316061409473703</v>
          </cell>
          <cell r="Q317">
            <v>7.6778493396897947</v>
          </cell>
          <cell r="R317">
            <v>143.99870099999998</v>
          </cell>
          <cell r="S317">
            <v>191.45083189043743</v>
          </cell>
          <cell r="T317">
            <v>24.817356878537218</v>
          </cell>
          <cell r="U317">
            <v>0.14250431628102544</v>
          </cell>
        </row>
        <row r="318">
          <cell r="E318">
            <v>310</v>
          </cell>
          <cell r="F318" t="str">
            <v>Kota Kendari</v>
          </cell>
          <cell r="G318">
            <v>222.19800000000001</v>
          </cell>
          <cell r="H318">
            <v>295.89</v>
          </cell>
          <cell r="I318">
            <v>19.545000000000002</v>
          </cell>
          <cell r="J318">
            <v>1.4791709815674907</v>
          </cell>
          <cell r="K318">
            <v>97.01</v>
          </cell>
          <cell r="L318">
            <v>0.96669163482799314</v>
          </cell>
          <cell r="M318">
            <v>814.9313044555214</v>
          </cell>
          <cell r="N318">
            <v>13.893280000000001</v>
          </cell>
          <cell r="O318">
            <v>17.325544852798579</v>
          </cell>
          <cell r="P318">
            <v>1.5407138209473703</v>
          </cell>
          <cell r="Q318">
            <v>15.22419205527034</v>
          </cell>
          <cell r="R318">
            <v>99.725560439999981</v>
          </cell>
          <cell r="S318">
            <v>145.15027282767801</v>
          </cell>
          <cell r="T318">
            <v>8.7962087867577576</v>
          </cell>
          <cell r="U318">
            <v>0.16816005820533808</v>
          </cell>
        </row>
        <row r="319">
          <cell r="E319">
            <v>311</v>
          </cell>
          <cell r="F319" t="str">
            <v>Kota Bau-bau</v>
          </cell>
          <cell r="G319">
            <v>118.093</v>
          </cell>
          <cell r="H319">
            <v>611.1</v>
          </cell>
          <cell r="I319">
            <v>22.050999999999998</v>
          </cell>
          <cell r="J319">
            <v>3.1325231807096383</v>
          </cell>
          <cell r="K319">
            <v>99.43</v>
          </cell>
          <cell r="L319">
            <v>0.96439571292880533</v>
          </cell>
          <cell r="M319">
            <v>371.98392119317418</v>
          </cell>
          <cell r="N319">
            <v>6.1811999999999996</v>
          </cell>
          <cell r="O319">
            <v>12.435637414679331</v>
          </cell>
          <cell r="P319">
            <v>1.5407138209473703</v>
          </cell>
          <cell r="Q319">
            <v>5.0302551830552051</v>
          </cell>
          <cell r="R319">
            <v>63.184387811099988</v>
          </cell>
          <cell r="S319">
            <v>110.99666763867151</v>
          </cell>
          <cell r="T319">
            <v>18.672571617284682</v>
          </cell>
          <cell r="U319">
            <v>0.16776067297607516</v>
          </cell>
        </row>
        <row r="320">
          <cell r="E320">
            <v>312</v>
          </cell>
          <cell r="F320" t="str">
            <v>Kab. Badung</v>
          </cell>
          <cell r="G320">
            <v>413.87</v>
          </cell>
          <cell r="H320">
            <v>418.52</v>
          </cell>
          <cell r="I320">
            <v>20.547000000000001</v>
          </cell>
          <cell r="J320">
            <v>0.69967833548081337</v>
          </cell>
          <cell r="K320">
            <v>92.44</v>
          </cell>
          <cell r="L320">
            <v>0.81017542275102516</v>
          </cell>
          <cell r="M320">
            <v>4245.7431900000001</v>
          </cell>
          <cell r="N320">
            <v>221.43847</v>
          </cell>
          <cell r="O320">
            <v>55.199913664625676</v>
          </cell>
          <cell r="P320">
            <v>1.1611853539473702</v>
          </cell>
          <cell r="Q320">
            <v>45.216228795210654</v>
          </cell>
          <cell r="R320">
            <v>131.893430526</v>
          </cell>
          <cell r="S320">
            <v>155.84534445213473</v>
          </cell>
          <cell r="T320">
            <v>4.9646024113852176</v>
          </cell>
          <cell r="U320">
            <v>0.14093340765340159</v>
          </cell>
        </row>
        <row r="321">
          <cell r="E321">
            <v>313</v>
          </cell>
          <cell r="F321" t="str">
            <v>Kab. Bangli</v>
          </cell>
          <cell r="G321">
            <v>210.64699999999999</v>
          </cell>
          <cell r="H321">
            <v>520.80999999999995</v>
          </cell>
          <cell r="I321">
            <v>13.13</v>
          </cell>
          <cell r="J321">
            <v>0.56927908031542329</v>
          </cell>
          <cell r="K321">
            <v>91.05</v>
          </cell>
          <cell r="L321">
            <v>0.52502609398633082</v>
          </cell>
          <cell r="M321">
            <v>552.73282999999992</v>
          </cell>
          <cell r="N321">
            <v>7.96225</v>
          </cell>
          <cell r="O321">
            <v>14.431010831487516</v>
          </cell>
          <cell r="P321">
            <v>1.1538461539473701</v>
          </cell>
          <cell r="Q321">
            <v>8.9210746078570544</v>
          </cell>
          <cell r="R321">
            <v>73.922375438726036</v>
          </cell>
          <cell r="S321">
            <v>126.37438885355738</v>
          </cell>
          <cell r="T321">
            <v>6.2331768313814111</v>
          </cell>
          <cell r="U321">
            <v>9.1330487761769205E-2</v>
          </cell>
        </row>
        <row r="322">
          <cell r="E322">
            <v>314</v>
          </cell>
          <cell r="F322" t="str">
            <v>Kab. Buleleng</v>
          </cell>
          <cell r="G322">
            <v>610.428</v>
          </cell>
          <cell r="H322">
            <v>1365.88</v>
          </cell>
          <cell r="I322">
            <v>61.841999999999999</v>
          </cell>
          <cell r="J322">
            <v>1.2875453831188417</v>
          </cell>
          <cell r="K322">
            <v>92.86</v>
          </cell>
          <cell r="L322">
            <v>0.73059816519746257</v>
          </cell>
          <cell r="M322">
            <v>1690.0887499999999</v>
          </cell>
          <cell r="N322">
            <v>18.76925</v>
          </cell>
          <cell r="O322">
            <v>26.98682532131593</v>
          </cell>
          <cell r="P322">
            <v>1.1538461539473701</v>
          </cell>
          <cell r="Q322">
            <v>13.646055268401053</v>
          </cell>
          <cell r="R322">
            <v>209.89080408720002</v>
          </cell>
          <cell r="S322">
            <v>248.51542624669429</v>
          </cell>
          <cell r="T322">
            <v>10.130924531640096</v>
          </cell>
          <cell r="U322">
            <v>0.12709061044702116</v>
          </cell>
        </row>
        <row r="323">
          <cell r="E323">
            <v>315</v>
          </cell>
          <cell r="F323" t="str">
            <v xml:space="preserve">Kab. Gianyar </v>
          </cell>
          <cell r="G323">
            <v>424.00900000000001</v>
          </cell>
          <cell r="H323">
            <v>368</v>
          </cell>
          <cell r="I323">
            <v>30.47</v>
          </cell>
          <cell r="J323">
            <v>0.76438036227385897</v>
          </cell>
          <cell r="K323">
            <v>90.61</v>
          </cell>
          <cell r="L323">
            <v>0.61147295506075228</v>
          </cell>
          <cell r="M323">
            <v>1500.0667900000001</v>
          </cell>
          <cell r="N323">
            <v>37.131730000000005</v>
          </cell>
          <cell r="O323">
            <v>24.889082269384051</v>
          </cell>
          <cell r="P323">
            <v>1.1538461539473701</v>
          </cell>
          <cell r="Q323">
            <v>10.870627920484253</v>
          </cell>
          <cell r="R323">
            <v>149.56671786059999</v>
          </cell>
          <cell r="S323">
            <v>193.93347505841936</v>
          </cell>
          <cell r="T323">
            <v>7.1861682181274453</v>
          </cell>
          <cell r="U323">
            <v>0.10636828126924079</v>
          </cell>
        </row>
        <row r="324">
          <cell r="E324">
            <v>316</v>
          </cell>
          <cell r="F324" t="str">
            <v>Kab. Jembrana</v>
          </cell>
          <cell r="G324">
            <v>252.36099999999999</v>
          </cell>
          <cell r="H324">
            <v>841.8</v>
          </cell>
          <cell r="I324">
            <v>17.741</v>
          </cell>
          <cell r="J324">
            <v>1.3097937192013778</v>
          </cell>
          <cell r="K324">
            <v>93.61</v>
          </cell>
          <cell r="L324">
            <v>1.0710559515265632</v>
          </cell>
          <cell r="M324">
            <v>877.73656999999992</v>
          </cell>
          <cell r="N324">
            <v>11.055956008860001</v>
          </cell>
          <cell r="O324">
            <v>18.01888213560877</v>
          </cell>
          <cell r="P324">
            <v>1.1538461539473701</v>
          </cell>
          <cell r="Q324">
            <v>9.9179405712106536</v>
          </cell>
          <cell r="R324">
            <v>97.445765195225803</v>
          </cell>
          <cell r="S324">
            <v>144.66138751075815</v>
          </cell>
          <cell r="T324">
            <v>7.0300085987929988</v>
          </cell>
          <cell r="U324">
            <v>0.18631466815364348</v>
          </cell>
        </row>
        <row r="325">
          <cell r="E325">
            <v>317</v>
          </cell>
          <cell r="F325" t="str">
            <v xml:space="preserve">Kab. Karangasem   </v>
          </cell>
          <cell r="G325">
            <v>397.59199999999998</v>
          </cell>
          <cell r="H325">
            <v>839.54</v>
          </cell>
          <cell r="I325">
            <v>25.859000000000002</v>
          </cell>
          <cell r="J325">
            <v>1.0032779721392937</v>
          </cell>
          <cell r="K325">
            <v>90.76</v>
          </cell>
          <cell r="L325">
            <v>0.88677266961613432</v>
          </cell>
          <cell r="M325">
            <v>819.10950000000003</v>
          </cell>
          <cell r="N325">
            <v>19.513360000000002</v>
          </cell>
          <cell r="O325">
            <v>17.371669946303783</v>
          </cell>
          <cell r="P325">
            <v>1.1538461539473701</v>
          </cell>
          <cell r="Q325">
            <v>10.887229463229854</v>
          </cell>
          <cell r="R325">
            <v>117.73860959999999</v>
          </cell>
          <cell r="S325">
            <v>170.30193201810624</v>
          </cell>
          <cell r="T325">
            <v>6.5039034990643687</v>
          </cell>
          <cell r="U325">
            <v>0.15425781952078813</v>
          </cell>
        </row>
        <row r="326">
          <cell r="E326">
            <v>318</v>
          </cell>
          <cell r="F326" t="str">
            <v>Kab. Klungkung</v>
          </cell>
          <cell r="G326">
            <v>164.72200000000001</v>
          </cell>
          <cell r="H326">
            <v>315</v>
          </cell>
          <cell r="I326">
            <v>12.428000000000001</v>
          </cell>
          <cell r="J326">
            <v>1.1048126610617426</v>
          </cell>
          <cell r="K326">
            <v>92.35</v>
          </cell>
          <cell r="L326">
            <v>0.84179068598148488</v>
          </cell>
          <cell r="M326">
            <v>499.92617999999999</v>
          </cell>
          <cell r="N326">
            <v>12.23373</v>
          </cell>
          <cell r="O326">
            <v>13.84805303475024</v>
          </cell>
          <cell r="P326">
            <v>1.1538461539473701</v>
          </cell>
          <cell r="Q326">
            <v>8.173876271716253</v>
          </cell>
          <cell r="R326">
            <v>81.162414931210193</v>
          </cell>
          <cell r="S326">
            <v>124.21764604806656</v>
          </cell>
          <cell r="T326">
            <v>7.5448331127596804</v>
          </cell>
          <cell r="U326">
            <v>0.1464330150912555</v>
          </cell>
        </row>
        <row r="327">
          <cell r="E327">
            <v>319</v>
          </cell>
          <cell r="F327" t="str">
            <v>Kab. Tabanan</v>
          </cell>
          <cell r="G327">
            <v>405.642</v>
          </cell>
          <cell r="H327">
            <v>819.33</v>
          </cell>
          <cell r="I327">
            <v>34.78</v>
          </cell>
          <cell r="J327">
            <v>1.0476064670194905</v>
          </cell>
          <cell r="K327">
            <v>92.2</v>
          </cell>
          <cell r="L327">
            <v>0.70238725058187013</v>
          </cell>
          <cell r="M327">
            <v>1046.8231800000001</v>
          </cell>
          <cell r="N327">
            <v>34.584290000000003</v>
          </cell>
          <cell r="O327">
            <v>19.885509873277702</v>
          </cell>
          <cell r="P327">
            <v>1.1538461539473701</v>
          </cell>
          <cell r="Q327">
            <v>12.140998886807454</v>
          </cell>
          <cell r="R327">
            <v>169.11848000100005</v>
          </cell>
          <cell r="S327">
            <v>209.13150296809536</v>
          </cell>
          <cell r="T327">
            <v>8.5740628435911468</v>
          </cell>
          <cell r="U327">
            <v>0.12218320370751011</v>
          </cell>
        </row>
        <row r="328">
          <cell r="E328">
            <v>320</v>
          </cell>
          <cell r="F328" t="str">
            <v>Kota Denpasar</v>
          </cell>
          <cell r="G328">
            <v>517.99800000000005</v>
          </cell>
          <cell r="H328">
            <v>123.98</v>
          </cell>
          <cell r="I328">
            <v>15.138</v>
          </cell>
          <cell r="J328">
            <v>0.36</v>
          </cell>
          <cell r="K328">
            <v>90.17</v>
          </cell>
          <cell r="L328">
            <v>0.70815315482155816</v>
          </cell>
          <cell r="M328">
            <v>3281.7085499999998</v>
          </cell>
          <cell r="N328">
            <v>88.54822999999999</v>
          </cell>
          <cell r="O328">
            <v>44.557475454422729</v>
          </cell>
          <cell r="P328">
            <v>1.1538461539473701</v>
          </cell>
          <cell r="Q328">
            <v>36.818681867210657</v>
          </cell>
          <cell r="R328">
            <v>144.70046507958801</v>
          </cell>
          <cell r="S328">
            <v>176.99</v>
          </cell>
          <cell r="T328">
            <v>2.9224051058112188</v>
          </cell>
          <cell r="U328">
            <v>0.12318620689655174</v>
          </cell>
        </row>
        <row r="329">
          <cell r="E329">
            <v>321</v>
          </cell>
          <cell r="F329" t="str">
            <v>Kab. Bima</v>
          </cell>
          <cell r="G329">
            <v>407.13600000000002</v>
          </cell>
          <cell r="H329">
            <v>4374.7349999999997</v>
          </cell>
          <cell r="I329">
            <v>90.85</v>
          </cell>
          <cell r="J329">
            <v>2.9133638606322387</v>
          </cell>
          <cell r="K329">
            <v>96.38</v>
          </cell>
          <cell r="L329">
            <v>0.75054098690505033</v>
          </cell>
          <cell r="M329">
            <v>476.0261458579368</v>
          </cell>
          <cell r="N329">
            <v>16.938310000000001</v>
          </cell>
          <cell r="O329">
            <v>13.584209158166461</v>
          </cell>
          <cell r="P329">
            <v>1.3795408297373699</v>
          </cell>
          <cell r="Q329">
            <v>8.5544339151974533</v>
          </cell>
          <cell r="R329">
            <v>139.04797825469996</v>
          </cell>
          <cell r="S329">
            <v>176.67752273098836</v>
          </cell>
          <cell r="T329">
            <v>22.314410909376718</v>
          </cell>
          <cell r="U329">
            <v>0.13055974779993035</v>
          </cell>
        </row>
        <row r="330">
          <cell r="E330">
            <v>322</v>
          </cell>
          <cell r="F330" t="str">
            <v>Kab. Dompu</v>
          </cell>
          <cell r="G330">
            <v>199.357</v>
          </cell>
          <cell r="H330">
            <v>2325</v>
          </cell>
          <cell r="I330">
            <v>52.22</v>
          </cell>
          <cell r="J330">
            <v>3.6523040126119515</v>
          </cell>
          <cell r="K330">
            <v>97.98</v>
          </cell>
          <cell r="L330">
            <v>0.80154268312089794</v>
          </cell>
          <cell r="M330">
            <v>343.72104200000001</v>
          </cell>
          <cell r="N330">
            <v>8.4745400000000011</v>
          </cell>
          <cell r="O330">
            <v>12.123630010613656</v>
          </cell>
          <cell r="P330">
            <v>1.37937117693737</v>
          </cell>
          <cell r="Q330">
            <v>10.717565631843614</v>
          </cell>
          <cell r="R330">
            <v>74.294110937399992</v>
          </cell>
          <cell r="S330">
            <v>124.56714963341969</v>
          </cell>
          <cell r="T330">
            <v>26.194214399293731</v>
          </cell>
          <cell r="U330">
            <v>0.13943170644241301</v>
          </cell>
        </row>
        <row r="331">
          <cell r="E331">
            <v>323</v>
          </cell>
          <cell r="F331" t="str">
            <v>Kab. Lombok Barat</v>
          </cell>
          <cell r="G331">
            <v>728.34199999999998</v>
          </cell>
          <cell r="H331">
            <v>1671.97</v>
          </cell>
          <cell r="I331">
            <v>230.52799999999999</v>
          </cell>
          <cell r="J331">
            <v>6.123241075132599</v>
          </cell>
          <cell r="K331">
            <v>94.9</v>
          </cell>
          <cell r="L331">
            <v>1.1121366207084922</v>
          </cell>
          <cell r="M331">
            <v>1039.4494040000002</v>
          </cell>
          <cell r="N331">
            <v>21.084349999999997</v>
          </cell>
          <cell r="O331">
            <v>19.804107242915919</v>
          </cell>
          <cell r="P331">
            <v>1.21599854973737</v>
          </cell>
          <cell r="Q331">
            <v>14.193770588382215</v>
          </cell>
          <cell r="R331">
            <v>159.28596170009999</v>
          </cell>
          <cell r="S331">
            <v>224.42073667951232</v>
          </cell>
          <cell r="T331">
            <v>31.651065021651913</v>
          </cell>
          <cell r="U331">
            <v>0.19346082259613703</v>
          </cell>
        </row>
        <row r="332">
          <cell r="E332">
            <v>324</v>
          </cell>
          <cell r="F332" t="str">
            <v>Kab. Lombok Tengah</v>
          </cell>
          <cell r="G332">
            <v>785.98299999999995</v>
          </cell>
          <cell r="H332">
            <v>1428</v>
          </cell>
          <cell r="I332">
            <v>212.286</v>
          </cell>
          <cell r="J332">
            <v>4.1324644056788618</v>
          </cell>
          <cell r="K332">
            <v>95.36</v>
          </cell>
          <cell r="L332">
            <v>0.879561136743781</v>
          </cell>
          <cell r="M332">
            <v>821.4452070000001</v>
          </cell>
          <cell r="N332">
            <v>12.41567</v>
          </cell>
          <cell r="O332">
            <v>17.397454929947774</v>
          </cell>
          <cell r="P332">
            <v>1.2158539545373701</v>
          </cell>
          <cell r="Q332">
            <v>10.523429608474295</v>
          </cell>
          <cell r="R332">
            <v>178.1463060543</v>
          </cell>
          <cell r="S332">
            <v>243.03455065116626</v>
          </cell>
          <cell r="T332">
            <v>27.008981110278469</v>
          </cell>
          <cell r="U332">
            <v>0.15300334317706718</v>
          </cell>
        </row>
        <row r="333">
          <cell r="E333">
            <v>325</v>
          </cell>
          <cell r="F333" t="str">
            <v>Kab. Lombok Timur</v>
          </cell>
          <cell r="G333">
            <v>1024.8409999999999</v>
          </cell>
          <cell r="H333">
            <v>1606</v>
          </cell>
          <cell r="I333">
            <v>274.12799999999999</v>
          </cell>
          <cell r="J333">
            <v>4.6148500648341964</v>
          </cell>
          <cell r="K333">
            <v>94.9</v>
          </cell>
          <cell r="L333">
            <v>0.99180387551577698</v>
          </cell>
          <cell r="M333">
            <v>1129.2649980000001</v>
          </cell>
          <cell r="N333">
            <v>22.175080000000001</v>
          </cell>
          <cell r="O333">
            <v>20.795624424764977</v>
          </cell>
          <cell r="P333">
            <v>1.2158539545373701</v>
          </cell>
          <cell r="Q333">
            <v>12.343278499197453</v>
          </cell>
          <cell r="R333">
            <v>215.10308098889999</v>
          </cell>
          <cell r="S333">
            <v>291.01936188698659</v>
          </cell>
          <cell r="T333">
            <v>26.748344377322926</v>
          </cell>
          <cell r="U333">
            <v>0.17252843763842957</v>
          </cell>
        </row>
        <row r="334">
          <cell r="E334">
            <v>326</v>
          </cell>
          <cell r="F334" t="str">
            <v>Kab. Sumbawa</v>
          </cell>
          <cell r="G334">
            <v>471.25700000000001</v>
          </cell>
          <cell r="H334">
            <v>8493</v>
          </cell>
          <cell r="I334">
            <v>123.383</v>
          </cell>
          <cell r="J334">
            <v>5.1015414052376356</v>
          </cell>
          <cell r="K334">
            <v>101.19</v>
          </cell>
          <cell r="L334">
            <v>1.1201315137432719</v>
          </cell>
          <cell r="M334">
            <v>780.98567600000001</v>
          </cell>
          <cell r="N334">
            <v>20.084779999999999</v>
          </cell>
          <cell r="O334">
            <v>16.950802869103477</v>
          </cell>
          <cell r="P334">
            <v>1.2623244908573701</v>
          </cell>
          <cell r="Q334">
            <v>19.555269567212932</v>
          </cell>
          <cell r="R334">
            <v>136.70871750000003</v>
          </cell>
          <cell r="S334">
            <v>184.99193522361654</v>
          </cell>
          <cell r="T334">
            <v>26.18168005992484</v>
          </cell>
          <cell r="U334">
            <v>0.19485156772068052</v>
          </cell>
        </row>
        <row r="335">
          <cell r="E335">
            <v>327</v>
          </cell>
          <cell r="F335" t="str">
            <v>Kota Mataram</v>
          </cell>
          <cell r="G335">
            <v>349.28399999999999</v>
          </cell>
          <cell r="H335">
            <v>56</v>
          </cell>
          <cell r="I335">
            <v>32.473999999999997</v>
          </cell>
          <cell r="J335">
            <v>2.0769072394246972</v>
          </cell>
          <cell r="K335">
            <v>94.74</v>
          </cell>
          <cell r="L335">
            <v>1.2841776798128399</v>
          </cell>
          <cell r="M335">
            <v>1138.4717039999998</v>
          </cell>
          <cell r="N335">
            <v>18.086490000000001</v>
          </cell>
          <cell r="O335">
            <v>20.897261643656304</v>
          </cell>
          <cell r="P335">
            <v>1.2158539545373701</v>
          </cell>
          <cell r="Q335">
            <v>11.747056583705094</v>
          </cell>
          <cell r="R335">
            <v>100.2020313183</v>
          </cell>
          <cell r="S335">
            <v>152.6226354539595</v>
          </cell>
          <cell r="T335">
            <v>9.2973053446479081</v>
          </cell>
          <cell r="U335">
            <v>0.22338808530369403</v>
          </cell>
        </row>
        <row r="336">
          <cell r="E336">
            <v>328</v>
          </cell>
          <cell r="F336" t="str">
            <v>Kota Bima</v>
          </cell>
          <cell r="G336">
            <v>117.539</v>
          </cell>
          <cell r="H336">
            <v>222.26499999999999</v>
          </cell>
          <cell r="I336">
            <v>15.736000000000001</v>
          </cell>
          <cell r="J336">
            <v>1.7479200110446029</v>
          </cell>
          <cell r="K336">
            <v>94.81</v>
          </cell>
          <cell r="L336">
            <v>0.75054080804621881</v>
          </cell>
          <cell r="M336">
            <v>251.93578502807298</v>
          </cell>
          <cell r="N336">
            <v>1.92658</v>
          </cell>
          <cell r="O336">
            <v>11.110368779739906</v>
          </cell>
          <cell r="P336">
            <v>1.2158539545373701</v>
          </cell>
          <cell r="Q336">
            <v>6.7896795827973744</v>
          </cell>
          <cell r="R336">
            <v>69.534071748000002</v>
          </cell>
          <cell r="S336">
            <v>88.623699086788804</v>
          </cell>
          <cell r="T336">
            <v>13.387896783195366</v>
          </cell>
          <cell r="U336">
            <v>0.13055971668668759</v>
          </cell>
        </row>
        <row r="337">
          <cell r="E337">
            <v>329</v>
          </cell>
          <cell r="F337" t="str">
            <v>Kab. Alor</v>
          </cell>
          <cell r="G337">
            <v>168.34800000000001</v>
          </cell>
          <cell r="H337">
            <v>2864.6</v>
          </cell>
          <cell r="I337">
            <v>48.712000000000003</v>
          </cell>
          <cell r="J337">
            <v>7.0842891636399932</v>
          </cell>
          <cell r="K337">
            <v>106.05</v>
          </cell>
          <cell r="L337">
            <v>1.4074513483406526</v>
          </cell>
          <cell r="M337">
            <v>179.62169299999999</v>
          </cell>
          <cell r="N337">
            <v>9.3596699999999995</v>
          </cell>
          <cell r="O337">
            <v>10.312059025916437</v>
          </cell>
          <cell r="P337">
            <v>1.1571244239473701</v>
          </cell>
          <cell r="Q337">
            <v>7.3336273476586538</v>
          </cell>
          <cell r="R337">
            <v>34.60782764686217</v>
          </cell>
          <cell r="S337">
            <v>153.69999999999999</v>
          </cell>
          <cell r="T337">
            <v>28.935300686672843</v>
          </cell>
          <cell r="U337">
            <v>0.24483205619158843</v>
          </cell>
        </row>
        <row r="338">
          <cell r="E338">
            <v>330</v>
          </cell>
          <cell r="F338" t="str">
            <v>Kab. Belu</v>
          </cell>
          <cell r="G338">
            <v>345.959</v>
          </cell>
          <cell r="H338">
            <v>2445.6</v>
          </cell>
          <cell r="I338">
            <v>70.361000000000004</v>
          </cell>
          <cell r="J338">
            <v>3.8753109245172839</v>
          </cell>
          <cell r="K338">
            <v>104.24</v>
          </cell>
          <cell r="L338">
            <v>1.0953787058493007</v>
          </cell>
          <cell r="M338">
            <v>254.30743431577523</v>
          </cell>
          <cell r="N338">
            <v>10.00301</v>
          </cell>
          <cell r="O338">
            <v>11.136550547441368</v>
          </cell>
          <cell r="P338">
            <v>1.1571244239473701</v>
          </cell>
          <cell r="Q338">
            <v>8.0460886196586543</v>
          </cell>
          <cell r="R338">
            <v>119.19387529602049</v>
          </cell>
          <cell r="S338">
            <v>186.69671461230772</v>
          </cell>
          <cell r="T338">
            <v>20.337959122323745</v>
          </cell>
          <cell r="U338">
            <v>0.19054571312731128</v>
          </cell>
        </row>
        <row r="339">
          <cell r="E339">
            <v>331</v>
          </cell>
          <cell r="F339" t="str">
            <v>Kab. Ende</v>
          </cell>
          <cell r="G339">
            <v>238.39599999999999</v>
          </cell>
          <cell r="H339">
            <v>2046.5</v>
          </cell>
          <cell r="I339">
            <v>49.613999999999997</v>
          </cell>
          <cell r="J339">
            <v>2.6560246820575157</v>
          </cell>
          <cell r="K339">
            <v>106.25</v>
          </cell>
          <cell r="L339">
            <v>0.73365509834216469</v>
          </cell>
          <cell r="M339">
            <v>330.30805230615033</v>
          </cell>
          <cell r="N339">
            <v>8.3307900000000004</v>
          </cell>
          <cell r="O339">
            <v>11.9755576197389</v>
          </cell>
          <cell r="P339">
            <v>1.1571244239473701</v>
          </cell>
          <cell r="Q339">
            <v>7.3698063076586537</v>
          </cell>
          <cell r="R339">
            <v>97.811625307418765</v>
          </cell>
          <cell r="S339">
            <v>165.32301285634372</v>
          </cell>
          <cell r="T339">
            <v>20.811590798503328</v>
          </cell>
          <cell r="U339">
            <v>0.12762237676941662</v>
          </cell>
        </row>
        <row r="340">
          <cell r="E340">
            <v>332</v>
          </cell>
          <cell r="F340" t="str">
            <v>Kab. Flores Timur</v>
          </cell>
          <cell r="G340">
            <v>216.09800000000001</v>
          </cell>
          <cell r="H340">
            <v>1812.85</v>
          </cell>
          <cell r="I340">
            <v>33.076000000000001</v>
          </cell>
          <cell r="J340">
            <v>1.8072818313081553</v>
          </cell>
          <cell r="K340">
            <v>104.19</v>
          </cell>
          <cell r="L340">
            <v>0.67877956366046543</v>
          </cell>
          <cell r="M340">
            <v>238.54012536326337</v>
          </cell>
          <cell r="N340">
            <v>4.8103862873299992</v>
          </cell>
          <cell r="O340">
            <v>10.962487703321694</v>
          </cell>
          <cell r="P340">
            <v>1.1571244239473701</v>
          </cell>
          <cell r="Q340">
            <v>7.5871995596586537</v>
          </cell>
          <cell r="R340">
            <v>86.898277456200006</v>
          </cell>
          <cell r="S340">
            <v>150.22237202540427</v>
          </cell>
          <cell r="T340">
            <v>15.306018565650771</v>
          </cell>
          <cell r="U340">
            <v>0.11807654770287511</v>
          </cell>
        </row>
        <row r="341">
          <cell r="E341">
            <v>333</v>
          </cell>
          <cell r="F341" t="str">
            <v>Kab. Kupang</v>
          </cell>
          <cell r="G341">
            <v>335.17</v>
          </cell>
          <cell r="H341">
            <v>5898.18</v>
          </cell>
          <cell r="I341">
            <v>109.05</v>
          </cell>
          <cell r="J341">
            <v>6.8749665021213637</v>
          </cell>
          <cell r="K341">
            <v>104.76</v>
          </cell>
          <cell r="L341">
            <v>1.2147171618938679</v>
          </cell>
          <cell r="M341">
            <v>290.51243165859972</v>
          </cell>
          <cell r="N341">
            <v>20.671979999999998</v>
          </cell>
          <cell r="O341">
            <v>11.536234781943119</v>
          </cell>
          <cell r="P341">
            <v>1.1571244239473701</v>
          </cell>
          <cell r="Q341">
            <v>8.0838996436586541</v>
          </cell>
          <cell r="R341">
            <v>134.01269890945048</v>
          </cell>
          <cell r="S341">
            <v>200.75610032884228</v>
          </cell>
          <cell r="T341">
            <v>32.535728137959843</v>
          </cell>
          <cell r="U341">
            <v>0.21130513732379802</v>
          </cell>
        </row>
        <row r="342">
          <cell r="E342">
            <v>334</v>
          </cell>
          <cell r="F342" t="str">
            <v>Kab. Lembata</v>
          </cell>
          <cell r="G342">
            <v>97.195999999999998</v>
          </cell>
          <cell r="H342">
            <v>1266.48</v>
          </cell>
          <cell r="I342">
            <v>33.537999999999997</v>
          </cell>
          <cell r="J342">
            <v>9.35</v>
          </cell>
          <cell r="K342">
            <v>107.51</v>
          </cell>
          <cell r="L342">
            <v>1.5577148291244531</v>
          </cell>
          <cell r="M342">
            <v>48.636754672463724</v>
          </cell>
          <cell r="N342">
            <v>4.8768900000000004</v>
          </cell>
          <cell r="O342">
            <v>8.8660538153380628</v>
          </cell>
          <cell r="P342">
            <v>1.1688916239473701</v>
          </cell>
          <cell r="Q342">
            <v>6.5634546516586534</v>
          </cell>
          <cell r="R342">
            <v>43.945412189999999</v>
          </cell>
          <cell r="S342">
            <v>121.23435666867208</v>
          </cell>
          <cell r="T342">
            <v>34.505535207210173</v>
          </cell>
          <cell r="U342">
            <v>0.27097101794978828</v>
          </cell>
        </row>
        <row r="343">
          <cell r="E343">
            <v>335</v>
          </cell>
          <cell r="F343" t="str">
            <v>Kab. Manggarai</v>
          </cell>
          <cell r="G343">
            <v>670.73</v>
          </cell>
          <cell r="H343">
            <v>7136.4</v>
          </cell>
          <cell r="I343">
            <v>204.66900000000001</v>
          </cell>
          <cell r="J343">
            <v>3.9875826299034598</v>
          </cell>
          <cell r="K343">
            <v>107.07</v>
          </cell>
          <cell r="L343">
            <v>0.75122575871565522</v>
          </cell>
          <cell r="M343">
            <v>347.87569549718557</v>
          </cell>
          <cell r="N343">
            <v>12.966200000000001</v>
          </cell>
          <cell r="O343">
            <v>12.169495212229856</v>
          </cell>
          <cell r="P343">
            <v>1.15713042055737</v>
          </cell>
          <cell r="Q343">
            <v>6.6024820226586538</v>
          </cell>
          <cell r="R343">
            <v>187.16660310000003</v>
          </cell>
          <cell r="S343">
            <v>238.99264955238675</v>
          </cell>
          <cell r="T343">
            <v>30.514364945656226</v>
          </cell>
          <cell r="U343">
            <v>0.13067886672408363</v>
          </cell>
        </row>
        <row r="344">
          <cell r="E344">
            <v>336</v>
          </cell>
          <cell r="F344" t="str">
            <v>Kab. Ngada</v>
          </cell>
          <cell r="G344">
            <v>240.92</v>
          </cell>
          <cell r="H344">
            <v>3037.88</v>
          </cell>
          <cell r="I344">
            <v>37.293999999999997</v>
          </cell>
          <cell r="J344">
            <v>1.68</v>
          </cell>
          <cell r="K344">
            <v>106.8</v>
          </cell>
          <cell r="L344">
            <v>0.62389036862564695</v>
          </cell>
          <cell r="M344">
            <v>185.10526079020235</v>
          </cell>
          <cell r="N344">
            <v>8.4089200000000002</v>
          </cell>
          <cell r="O344">
            <v>10.372594746270519</v>
          </cell>
          <cell r="P344">
            <v>1.16799669394737</v>
          </cell>
          <cell r="Q344">
            <v>7.6242336516586544</v>
          </cell>
          <cell r="R344">
            <v>87.783480900000001</v>
          </cell>
          <cell r="S344">
            <v>158.23710256896675</v>
          </cell>
          <cell r="T344">
            <v>15.4798273285738</v>
          </cell>
          <cell r="U344">
            <v>0.10852834236070145</v>
          </cell>
        </row>
        <row r="345">
          <cell r="E345">
            <v>337</v>
          </cell>
          <cell r="F345" t="str">
            <v>Kab. Sikka</v>
          </cell>
          <cell r="G345">
            <v>276.66800000000001</v>
          </cell>
          <cell r="H345">
            <v>1731.9</v>
          </cell>
          <cell r="I345">
            <v>53.021000000000001</v>
          </cell>
          <cell r="J345">
            <v>2.8005574753688931</v>
          </cell>
          <cell r="K345">
            <v>105.42</v>
          </cell>
          <cell r="L345">
            <v>0.84007994627675286</v>
          </cell>
          <cell r="M345">
            <v>302.42104717453662</v>
          </cell>
          <cell r="N345">
            <v>8.8188200000000005</v>
          </cell>
          <cell r="O345">
            <v>11.667699668720863</v>
          </cell>
          <cell r="P345">
            <v>1.1803807739473702</v>
          </cell>
          <cell r="Q345">
            <v>7.8241156756586534</v>
          </cell>
          <cell r="R345">
            <v>86.461945160099987</v>
          </cell>
          <cell r="S345">
            <v>153.2900457555057</v>
          </cell>
          <cell r="T345">
            <v>19.164124510243326</v>
          </cell>
          <cell r="U345">
            <v>0.14613542475535371</v>
          </cell>
        </row>
        <row r="346">
          <cell r="E346">
            <v>338</v>
          </cell>
          <cell r="F346" t="str">
            <v>Kab. Sumba Barat</v>
          </cell>
          <cell r="G346">
            <v>393.07499999999999</v>
          </cell>
          <cell r="H346">
            <v>4051.92</v>
          </cell>
          <cell r="I346">
            <v>164.25</v>
          </cell>
          <cell r="J346">
            <v>10.315384084312711</v>
          </cell>
          <cell r="K346">
            <v>105.05</v>
          </cell>
          <cell r="L346">
            <v>1.4191247015432842</v>
          </cell>
          <cell r="M346">
            <v>198.63520335353184</v>
          </cell>
          <cell r="N346">
            <v>10.25168</v>
          </cell>
          <cell r="O346">
            <v>10.521958235654914</v>
          </cell>
          <cell r="P346">
            <v>1.1571297116273702</v>
          </cell>
          <cell r="Q346">
            <v>9.3603644676586537</v>
          </cell>
          <cell r="R346">
            <v>83.593865623799985</v>
          </cell>
          <cell r="S346">
            <v>182.59406132979541</v>
          </cell>
          <cell r="T346">
            <v>41.785918717801948</v>
          </cell>
          <cell r="U346">
            <v>0.2468626848670453</v>
          </cell>
        </row>
        <row r="347">
          <cell r="E347">
            <v>339</v>
          </cell>
          <cell r="F347" t="str">
            <v>Kab. Sumba Timur</v>
          </cell>
          <cell r="G347">
            <v>200.37799999999999</v>
          </cell>
          <cell r="H347">
            <v>7000.5</v>
          </cell>
          <cell r="I347">
            <v>80.284000000000006</v>
          </cell>
          <cell r="J347">
            <v>6.9623804247219452</v>
          </cell>
          <cell r="K347">
            <v>104.81</v>
          </cell>
          <cell r="L347">
            <v>0.99895033351040574</v>
          </cell>
          <cell r="M347">
            <v>227.86820569067623</v>
          </cell>
          <cell r="N347">
            <v>9.1661900000000003</v>
          </cell>
          <cell r="O347">
            <v>10.844675291830175</v>
          </cell>
          <cell r="P347">
            <v>1.1572254202673702</v>
          </cell>
          <cell r="Q347">
            <v>8.621982411658653</v>
          </cell>
          <cell r="R347">
            <v>76.051187767886304</v>
          </cell>
          <cell r="S347">
            <v>162.35761148579934</v>
          </cell>
          <cell r="T347">
            <v>40.066274740740013</v>
          </cell>
          <cell r="U347">
            <v>0.17377159393464869</v>
          </cell>
        </row>
        <row r="348">
          <cell r="E348">
            <v>340</v>
          </cell>
          <cell r="F348" t="str">
            <v>Kab. Timor Tengah Selatan</v>
          </cell>
          <cell r="G348">
            <v>401.36700000000002</v>
          </cell>
          <cell r="H348">
            <v>3947</v>
          </cell>
          <cell r="I348">
            <v>149.54300000000001</v>
          </cell>
          <cell r="J348">
            <v>6.8324035877653611</v>
          </cell>
          <cell r="K348">
            <v>104.32</v>
          </cell>
          <cell r="L348">
            <v>1.0541786032716829</v>
          </cell>
          <cell r="M348">
            <v>277.29209143375522</v>
          </cell>
          <cell r="N348">
            <v>19.569680000000002</v>
          </cell>
          <cell r="O348">
            <v>11.390289140445457</v>
          </cell>
          <cell r="P348">
            <v>1.1571244239473701</v>
          </cell>
          <cell r="Q348">
            <v>8.142815943658654</v>
          </cell>
          <cell r="R348">
            <v>131.4143849754</v>
          </cell>
          <cell r="S348">
            <v>204.90487407263319</v>
          </cell>
          <cell r="T348">
            <v>37.258419351865001</v>
          </cell>
          <cell r="U348">
            <v>0.18337878274547251</v>
          </cell>
        </row>
        <row r="349">
          <cell r="E349">
            <v>341</v>
          </cell>
          <cell r="F349" t="str">
            <v>Kab. Timor Tengah Utara</v>
          </cell>
          <cell r="G349">
            <v>205.80699999999999</v>
          </cell>
          <cell r="H349">
            <v>2669.7</v>
          </cell>
          <cell r="I349">
            <v>62.744</v>
          </cell>
          <cell r="J349">
            <v>5.3792869523849438</v>
          </cell>
          <cell r="K349">
            <v>104.96</v>
          </cell>
          <cell r="L349">
            <v>1.0143264803037</v>
          </cell>
          <cell r="M349">
            <v>147.2301619792733</v>
          </cell>
          <cell r="N349">
            <v>5.34633</v>
          </cell>
          <cell r="O349">
            <v>9.9544734650677569</v>
          </cell>
          <cell r="P349">
            <v>1.1571244239473701</v>
          </cell>
          <cell r="Q349">
            <v>8.5016796116586537</v>
          </cell>
          <cell r="R349">
            <v>81.717547801199999</v>
          </cell>
          <cell r="S349">
            <v>157.1631252870931</v>
          </cell>
          <cell r="T349">
            <v>30.486815317263261</v>
          </cell>
          <cell r="U349">
            <v>0.17644633906182075</v>
          </cell>
        </row>
        <row r="350">
          <cell r="E350">
            <v>342</v>
          </cell>
          <cell r="F350" t="str">
            <v>Kota Kupang</v>
          </cell>
          <cell r="G350">
            <v>262.69900000000001</v>
          </cell>
          <cell r="H350">
            <v>230</v>
          </cell>
          <cell r="I350">
            <v>27.763999999999999</v>
          </cell>
          <cell r="J350">
            <v>1.4164157522202705</v>
          </cell>
          <cell r="K350">
            <v>104.12</v>
          </cell>
          <cell r="L350">
            <v>0.77042832846859588</v>
          </cell>
          <cell r="M350">
            <v>1429.3642761207416</v>
          </cell>
          <cell r="N350">
            <v>15.71726</v>
          </cell>
          <cell r="O350">
            <v>24.108563495425862</v>
          </cell>
          <cell r="P350">
            <v>1.1571244239473701</v>
          </cell>
          <cell r="Q350">
            <v>7.3657129036586539</v>
          </cell>
          <cell r="R350">
            <v>100.51298348340001</v>
          </cell>
          <cell r="S350">
            <v>148.44</v>
          </cell>
          <cell r="T350">
            <v>10.56874978587661</v>
          </cell>
          <cell r="U350">
            <v>0.13401923414944275</v>
          </cell>
        </row>
        <row r="351">
          <cell r="E351">
            <v>343</v>
          </cell>
          <cell r="F351" t="str">
            <v>Kab. Rote Ndao</v>
          </cell>
          <cell r="G351">
            <v>103.054</v>
          </cell>
          <cell r="H351">
            <v>1075.8119999999999</v>
          </cell>
          <cell r="I351">
            <v>28.164999999999999</v>
          </cell>
          <cell r="J351">
            <v>5.7658739835951067</v>
          </cell>
          <cell r="K351">
            <v>103.61</v>
          </cell>
          <cell r="L351">
            <v>1.2127892973202397</v>
          </cell>
          <cell r="M351">
            <v>93.523320999999996</v>
          </cell>
          <cell r="N351">
            <v>0.62931700000000002</v>
          </cell>
          <cell r="O351">
            <v>9.3615780307427912</v>
          </cell>
          <cell r="P351">
            <v>1.1571244239473701</v>
          </cell>
          <cell r="Q351">
            <v>4.7961931316586535</v>
          </cell>
          <cell r="R351">
            <v>31.093120208399995</v>
          </cell>
          <cell r="S351">
            <v>88.907556642841229</v>
          </cell>
          <cell r="T351">
            <v>27.330331670774545</v>
          </cell>
          <cell r="U351">
            <v>0.21096977720767268</v>
          </cell>
        </row>
        <row r="352">
          <cell r="E352">
            <v>344</v>
          </cell>
          <cell r="F352" t="str">
            <v>Kab. Maluku Tenggara Barat</v>
          </cell>
          <cell r="G352">
            <v>145.744</v>
          </cell>
          <cell r="H352">
            <v>14584</v>
          </cell>
          <cell r="I352">
            <v>62.54</v>
          </cell>
          <cell r="J352">
            <v>8.1077473577086074</v>
          </cell>
          <cell r="K352">
            <v>122.45</v>
          </cell>
          <cell r="L352">
            <v>1.086170808425071</v>
          </cell>
          <cell r="M352">
            <v>199.20447000000001</v>
          </cell>
          <cell r="N352">
            <v>3.4731999999999998</v>
          </cell>
          <cell r="O352">
            <v>10.528242641690538</v>
          </cell>
          <cell r="P352">
            <v>2.17483673394737</v>
          </cell>
          <cell r="Q352">
            <v>10.595356981658654</v>
          </cell>
          <cell r="R352">
            <v>78.019627867200001</v>
          </cell>
          <cell r="S352">
            <v>170.48374717220568</v>
          </cell>
          <cell r="T352">
            <v>42.910857393786365</v>
          </cell>
          <cell r="U352">
            <v>0.18894396080938333</v>
          </cell>
        </row>
        <row r="353">
          <cell r="E353">
            <v>345</v>
          </cell>
          <cell r="F353" t="str">
            <v>Kab. Maluku Tengah</v>
          </cell>
          <cell r="G353">
            <v>553.899</v>
          </cell>
          <cell r="H353">
            <v>17821</v>
          </cell>
          <cell r="I353">
            <v>210.38</v>
          </cell>
          <cell r="J353">
            <v>7.5108233850583836</v>
          </cell>
          <cell r="K353">
            <v>122.21</v>
          </cell>
          <cell r="L353">
            <v>1.1367861966710333</v>
          </cell>
          <cell r="M353">
            <v>463.51029</v>
          </cell>
          <cell r="N353">
            <v>7.9423300000000001</v>
          </cell>
          <cell r="O353">
            <v>13.446040655615661</v>
          </cell>
          <cell r="P353">
            <v>4.9542716339473705</v>
          </cell>
          <cell r="Q353">
            <v>18.998422077658653</v>
          </cell>
          <cell r="R353">
            <v>209.15642230635572</v>
          </cell>
          <cell r="S353">
            <v>310.57949751383296</v>
          </cell>
          <cell r="T353">
            <v>37.981653694987713</v>
          </cell>
          <cell r="U353">
            <v>0.19774871956271764</v>
          </cell>
        </row>
        <row r="354">
          <cell r="E354">
            <v>346</v>
          </cell>
          <cell r="F354" t="str">
            <v>Kab. Maluku Tenggara</v>
          </cell>
          <cell r="G354">
            <v>193.47900000000001</v>
          </cell>
          <cell r="H354">
            <v>9934</v>
          </cell>
          <cell r="I354">
            <v>72.25</v>
          </cell>
          <cell r="J354">
            <v>7.8914572240938616</v>
          </cell>
          <cell r="K354">
            <v>123.08</v>
          </cell>
          <cell r="L354">
            <v>1.2148378118006358</v>
          </cell>
          <cell r="M354">
            <v>258.47910999999999</v>
          </cell>
          <cell r="N354">
            <v>8.9435699999999994</v>
          </cell>
          <cell r="O354">
            <v>11.182603665099432</v>
          </cell>
          <cell r="P354">
            <v>2.6705988893473704</v>
          </cell>
          <cell r="Q354">
            <v>9.2278826966586536</v>
          </cell>
          <cell r="R354">
            <v>88.168469480400006</v>
          </cell>
          <cell r="S354">
            <v>174.85495369850739</v>
          </cell>
          <cell r="T354">
            <v>37.342553972265726</v>
          </cell>
          <cell r="U354">
            <v>0.21132612488033994</v>
          </cell>
        </row>
        <row r="355">
          <cell r="E355">
            <v>347</v>
          </cell>
          <cell r="F355" t="str">
            <v>Kab. Pulau Buru</v>
          </cell>
          <cell r="G355">
            <v>122.346</v>
          </cell>
          <cell r="H355">
            <v>11020</v>
          </cell>
          <cell r="I355">
            <v>38.25</v>
          </cell>
          <cell r="J355">
            <v>6.5308524063475284</v>
          </cell>
          <cell r="K355">
            <v>121.43</v>
          </cell>
          <cell r="L355">
            <v>1.2008625912152477</v>
          </cell>
          <cell r="M355">
            <v>86.71347999999999</v>
          </cell>
          <cell r="N355">
            <v>3.0140599999999997</v>
          </cell>
          <cell r="O355">
            <v>9.2864009478282128</v>
          </cell>
          <cell r="P355">
            <v>2.3903294139473701</v>
          </cell>
          <cell r="Q355">
            <v>9.4632437526586521</v>
          </cell>
          <cell r="R355">
            <v>39.240333260555957</v>
          </cell>
          <cell r="S355">
            <v>142.27722973885835</v>
          </cell>
          <cell r="T355">
            <v>31.263792849786672</v>
          </cell>
          <cell r="U355">
            <v>0.20889507673385482</v>
          </cell>
        </row>
        <row r="356">
          <cell r="E356">
            <v>348</v>
          </cell>
          <cell r="F356" t="str">
            <v>Kota Ambon</v>
          </cell>
          <cell r="G356">
            <v>228.47499999999999</v>
          </cell>
          <cell r="H356">
            <v>359.45</v>
          </cell>
          <cell r="I356">
            <v>14.135999999999999</v>
          </cell>
          <cell r="J356">
            <v>0.41</v>
          </cell>
          <cell r="K356">
            <v>111.92</v>
          </cell>
          <cell r="L356">
            <v>0.38094398247680622</v>
          </cell>
          <cell r="M356">
            <v>1013.25202</v>
          </cell>
          <cell r="N356">
            <v>8.1782299999999992</v>
          </cell>
          <cell r="O356">
            <v>19.514901825474734</v>
          </cell>
          <cell r="P356">
            <v>2.17483673394737</v>
          </cell>
          <cell r="Q356">
            <v>11.992533073658652</v>
          </cell>
          <cell r="R356">
            <v>136.24531991872018</v>
          </cell>
          <cell r="S356">
            <v>177.82990746105304</v>
          </cell>
          <cell r="T356">
            <v>6.1871101871101866</v>
          </cell>
          <cell r="U356">
            <v>6.6266801075268819E-2</v>
          </cell>
        </row>
        <row r="357">
          <cell r="E357">
            <v>349</v>
          </cell>
          <cell r="F357" t="str">
            <v>Kab. Halmahera Tengah</v>
          </cell>
          <cell r="G357">
            <v>164.60699999999997</v>
          </cell>
          <cell r="H357">
            <v>10027.601000000001</v>
          </cell>
          <cell r="I357">
            <v>29.876999999999999</v>
          </cell>
          <cell r="J357">
            <v>3.8824669103663676</v>
          </cell>
          <cell r="K357">
            <v>118.85</v>
          </cell>
          <cell r="L357">
            <v>1.2296575686565643</v>
          </cell>
          <cell r="M357">
            <v>151.0831</v>
          </cell>
          <cell r="N357">
            <v>6.3050500000000005</v>
          </cell>
          <cell r="O357">
            <v>9.9970078856289568</v>
          </cell>
          <cell r="P357">
            <v>1.7419297985873701</v>
          </cell>
          <cell r="Q357">
            <v>7.7557995746586545</v>
          </cell>
          <cell r="R357">
            <v>90.237716240884936</v>
          </cell>
          <cell r="S357">
            <v>171.49733599999999</v>
          </cell>
          <cell r="T357">
            <v>18.150503927536498</v>
          </cell>
          <cell r="U357">
            <v>0.21390408364784838</v>
          </cell>
        </row>
        <row r="358">
          <cell r="E358">
            <v>350</v>
          </cell>
          <cell r="F358" t="str">
            <v>Kab. Halmahera Barat</v>
          </cell>
          <cell r="G358">
            <v>555.26199999999994</v>
          </cell>
          <cell r="H358">
            <v>24842.421999999999</v>
          </cell>
          <cell r="I358">
            <v>71.864999999999995</v>
          </cell>
          <cell r="J358">
            <v>2.2198231452875552</v>
          </cell>
          <cell r="K358">
            <v>113.62</v>
          </cell>
          <cell r="L358">
            <v>0.9859707015317839</v>
          </cell>
          <cell r="M358">
            <v>71.785921939642307</v>
          </cell>
          <cell r="N358">
            <v>7.7676999999999996</v>
          </cell>
          <cell r="O358">
            <v>9.1216085143461818</v>
          </cell>
          <cell r="P358">
            <v>1.7633150340973702</v>
          </cell>
          <cell r="Q358">
            <v>5.7683872776586531</v>
          </cell>
          <cell r="R358">
            <v>159.03319528463416</v>
          </cell>
          <cell r="S358">
            <v>274.16780680764435</v>
          </cell>
          <cell r="T358">
            <v>12.942538837521747</v>
          </cell>
          <cell r="U358">
            <v>0.17151373259565275</v>
          </cell>
        </row>
        <row r="359">
          <cell r="E359">
            <v>351</v>
          </cell>
          <cell r="F359" t="str">
            <v>Kota Ternate</v>
          </cell>
          <cell r="G359">
            <v>152.899</v>
          </cell>
          <cell r="H359">
            <v>114.37</v>
          </cell>
          <cell r="I359">
            <v>6.0140000000000002</v>
          </cell>
          <cell r="J359">
            <v>0.48980021277651575</v>
          </cell>
          <cell r="K359">
            <v>112.48</v>
          </cell>
          <cell r="L359">
            <v>0.7158553947443751</v>
          </cell>
          <cell r="M359">
            <v>291.5706595239364</v>
          </cell>
          <cell r="N359">
            <v>7.8535000000000004</v>
          </cell>
          <cell r="O359">
            <v>11.547917064095513</v>
          </cell>
          <cell r="P359">
            <v>1.5060415180973701</v>
          </cell>
          <cell r="Q359">
            <v>13.858154337658654</v>
          </cell>
          <cell r="R359">
            <v>77.387296583099982</v>
          </cell>
          <cell r="S359">
            <v>126.04186899999999</v>
          </cell>
          <cell r="T359">
            <v>3.9333154566086113</v>
          </cell>
          <cell r="U359">
            <v>0.12452604378669184</v>
          </cell>
        </row>
        <row r="360">
          <cell r="E360">
            <v>352</v>
          </cell>
          <cell r="F360" t="str">
            <v>Kab. Biak Numfor</v>
          </cell>
          <cell r="G360">
            <v>112.41200000000001</v>
          </cell>
          <cell r="H360">
            <v>3131</v>
          </cell>
          <cell r="I360">
            <v>51.83</v>
          </cell>
          <cell r="J360">
            <v>14.14</v>
          </cell>
          <cell r="K360">
            <v>154.44</v>
          </cell>
          <cell r="L360">
            <v>1.7629743221551517</v>
          </cell>
          <cell r="M360">
            <v>380.37695264422945</v>
          </cell>
          <cell r="N360">
            <v>3.9393231360000001</v>
          </cell>
          <cell r="O360">
            <v>12.528292092123436</v>
          </cell>
          <cell r="P360">
            <v>1.7787763639473702</v>
          </cell>
          <cell r="Q360">
            <v>10.493678409138653</v>
          </cell>
          <cell r="R360">
            <v>102.40353799926797</v>
          </cell>
          <cell r="S360">
            <v>191.24290101097435</v>
          </cell>
          <cell r="T360">
            <v>46.107177169697181</v>
          </cell>
          <cell r="U360">
            <v>0.3066767663515339</v>
          </cell>
        </row>
        <row r="361">
          <cell r="E361">
            <v>353</v>
          </cell>
          <cell r="F361" t="str">
            <v>Kab. Jayapura</v>
          </cell>
          <cell r="G361">
            <v>161.37400000000002</v>
          </cell>
          <cell r="H361">
            <v>61493</v>
          </cell>
          <cell r="I361">
            <v>44.502000000000002</v>
          </cell>
          <cell r="J361">
            <v>5.9255011870425358</v>
          </cell>
          <cell r="K361">
            <v>154.01</v>
          </cell>
          <cell r="L361">
            <v>1.2352197744283275</v>
          </cell>
          <cell r="M361">
            <v>305.36255225370002</v>
          </cell>
          <cell r="N361">
            <v>3.7875199999999998</v>
          </cell>
          <cell r="O361">
            <v>11.700172346310534</v>
          </cell>
          <cell r="P361">
            <v>3.46000379954737</v>
          </cell>
          <cell r="Q361">
            <v>22.870879736258654</v>
          </cell>
          <cell r="R361">
            <v>154.47298362867804</v>
          </cell>
          <cell r="S361">
            <v>333.36634643309026</v>
          </cell>
          <cell r="T361">
            <v>27.576933087114401</v>
          </cell>
          <cell r="U361">
            <v>0.21487165263534275</v>
          </cell>
        </row>
        <row r="362">
          <cell r="E362">
            <v>354</v>
          </cell>
          <cell r="F362" t="str">
            <v>Kab. Jayawijaya</v>
          </cell>
          <cell r="G362">
            <v>480.21799999999996</v>
          </cell>
          <cell r="H362">
            <v>52880</v>
          </cell>
          <cell r="I362">
            <v>214.96600000000001</v>
          </cell>
          <cell r="J362">
            <v>13.966406742682929</v>
          </cell>
          <cell r="K362">
            <v>220.43</v>
          </cell>
          <cell r="L362">
            <v>1.7935705182626602</v>
          </cell>
          <cell r="M362">
            <v>401.15021300000001</v>
          </cell>
          <cell r="N362">
            <v>2.85162</v>
          </cell>
          <cell r="O362">
            <v>12.757618021491229</v>
          </cell>
          <cell r="P362">
            <v>1.7789090591473702</v>
          </cell>
          <cell r="Q362">
            <v>24.528349912698655</v>
          </cell>
          <cell r="R362">
            <v>127.0497546582162</v>
          </cell>
          <cell r="S362">
            <v>362.27708907889098</v>
          </cell>
          <cell r="T362">
            <v>44.764252901807097</v>
          </cell>
          <cell r="U362">
            <v>0.31199910279568449</v>
          </cell>
        </row>
        <row r="363">
          <cell r="E363">
            <v>355</v>
          </cell>
          <cell r="F363" t="str">
            <v>Kab. Merauke</v>
          </cell>
          <cell r="G363">
            <v>315.19200000000001</v>
          </cell>
          <cell r="H363">
            <v>119749</v>
          </cell>
          <cell r="I363">
            <v>90.484999999999999</v>
          </cell>
          <cell r="J363">
            <v>7.3133273891043791</v>
          </cell>
          <cell r="K363">
            <v>176.55</v>
          </cell>
          <cell r="L363">
            <v>1.4644640744928876</v>
          </cell>
          <cell r="M363">
            <v>483.05257</v>
          </cell>
          <cell r="N363">
            <v>14.45942</v>
          </cell>
          <cell r="O363">
            <v>13.661777205690754</v>
          </cell>
          <cell r="P363">
            <v>2.5378654839473702</v>
          </cell>
          <cell r="Q363">
            <v>34.759884148938653</v>
          </cell>
          <cell r="R363">
            <v>175.41186071592404</v>
          </cell>
          <cell r="S363">
            <v>500.52330748455313</v>
          </cell>
          <cell r="T363">
            <v>28.707898677631409</v>
          </cell>
          <cell r="U363">
            <v>0.25474965866459498</v>
          </cell>
        </row>
        <row r="364">
          <cell r="E364">
            <v>356</v>
          </cell>
          <cell r="F364" t="str">
            <v>Kab. Mimika</v>
          </cell>
          <cell r="G364">
            <v>126.324</v>
          </cell>
          <cell r="H364">
            <v>19952</v>
          </cell>
          <cell r="I364">
            <v>38.619999999999997</v>
          </cell>
          <cell r="J364">
            <v>12.88</v>
          </cell>
          <cell r="K364">
            <v>174.11</v>
          </cell>
          <cell r="L364">
            <v>2.4218908924718887</v>
          </cell>
          <cell r="M364">
            <v>219.44592542679482</v>
          </cell>
          <cell r="N364">
            <v>15.646990097001721</v>
          </cell>
          <cell r="O364">
            <v>10.751697722790363</v>
          </cell>
          <cell r="P364">
            <v>1.7787763639473702</v>
          </cell>
          <cell r="Q364">
            <v>46.162483954258654</v>
          </cell>
          <cell r="R364">
            <v>37.944834000000007</v>
          </cell>
          <cell r="S364">
            <v>155.15619007009965</v>
          </cell>
          <cell r="T364">
            <v>30.572179475000787</v>
          </cell>
          <cell r="U364">
            <v>0.4212980631796997</v>
          </cell>
        </row>
        <row r="365">
          <cell r="E365">
            <v>357</v>
          </cell>
          <cell r="F365" t="str">
            <v>Kab. Nabire</v>
          </cell>
          <cell r="G365">
            <v>161.38399999999999</v>
          </cell>
          <cell r="H365">
            <v>10247</v>
          </cell>
          <cell r="I365">
            <v>70.957999999999998</v>
          </cell>
          <cell r="J365">
            <v>10.678945014960167</v>
          </cell>
          <cell r="K365">
            <v>155.82</v>
          </cell>
          <cell r="L365">
            <v>1.3962158737765797</v>
          </cell>
          <cell r="M365">
            <v>174.43863000000002</v>
          </cell>
          <cell r="N365">
            <v>3.5430999999999999</v>
          </cell>
          <cell r="O365">
            <v>10.254840721274304</v>
          </cell>
          <cell r="P365">
            <v>3.6742282956273704</v>
          </cell>
          <cell r="Q365">
            <v>13.261759947018653</v>
          </cell>
          <cell r="R365">
            <v>99.564173699999998</v>
          </cell>
          <cell r="S365">
            <v>225.31277269865666</v>
          </cell>
          <cell r="T365">
            <v>43.968423139840382</v>
          </cell>
          <cell r="U365">
            <v>0.24287759833906417</v>
          </cell>
        </row>
        <row r="366">
          <cell r="E366">
            <v>358</v>
          </cell>
          <cell r="F366" t="str">
            <v>Kab. Paniai</v>
          </cell>
          <cell r="G366">
            <v>112.786</v>
          </cell>
          <cell r="H366">
            <v>15563</v>
          </cell>
          <cell r="I366">
            <v>54.636457447665414</v>
          </cell>
          <cell r="J366">
            <v>17.66</v>
          </cell>
          <cell r="K366">
            <v>220.43</v>
          </cell>
          <cell r="L366">
            <v>2.0956969082758072</v>
          </cell>
          <cell r="M366">
            <v>62.474740252338336</v>
          </cell>
          <cell r="N366">
            <v>6.2228300000000001</v>
          </cell>
          <cell r="O366">
            <v>9.0188179385105407</v>
          </cell>
          <cell r="P366">
            <v>1.77879934794737</v>
          </cell>
          <cell r="Q366">
            <v>14.057333778698656</v>
          </cell>
          <cell r="R366">
            <v>41.790665099148207</v>
          </cell>
          <cell r="S366">
            <v>209.65611497831762</v>
          </cell>
          <cell r="T366">
            <v>48.442588129435762</v>
          </cell>
          <cell r="U366">
            <v>0.36455525358829949</v>
          </cell>
        </row>
        <row r="367">
          <cell r="E367">
            <v>359</v>
          </cell>
          <cell r="F367" t="str">
            <v>Kab. Puncak Jaya</v>
          </cell>
          <cell r="G367">
            <v>111.617</v>
          </cell>
          <cell r="H367">
            <v>14532</v>
          </cell>
          <cell r="I367">
            <v>55.81</v>
          </cell>
          <cell r="J367">
            <v>15.536297129417134</v>
          </cell>
          <cell r="K367">
            <v>220.43</v>
          </cell>
          <cell r="L367">
            <v>1.7862035696729772</v>
          </cell>
          <cell r="M367">
            <v>55.836163116782487</v>
          </cell>
          <cell r="N367">
            <v>3.5367642275999998E-2</v>
          </cell>
          <cell r="O367">
            <v>8.9455315190839322</v>
          </cell>
          <cell r="P367">
            <v>1.7790664459673702</v>
          </cell>
          <cell r="Q367">
            <v>8.5873551646586535</v>
          </cell>
          <cell r="R367">
            <v>21.776103012900002</v>
          </cell>
          <cell r="S367">
            <v>195.57042883560931</v>
          </cell>
          <cell r="T367">
            <v>50.001343881308401</v>
          </cell>
          <cell r="U367">
            <v>0.31071759123708159</v>
          </cell>
        </row>
        <row r="368">
          <cell r="E368">
            <v>360</v>
          </cell>
          <cell r="F368" t="str">
            <v>Kab. Yapen Waropen</v>
          </cell>
          <cell r="G368">
            <v>92.313000000000002</v>
          </cell>
          <cell r="H368">
            <v>18994</v>
          </cell>
          <cell r="I368">
            <v>39.58</v>
          </cell>
          <cell r="J368">
            <v>12.687923728891784</v>
          </cell>
          <cell r="K368">
            <v>150.84</v>
          </cell>
          <cell r="L368">
            <v>1.7011505341494311</v>
          </cell>
          <cell r="M368">
            <v>215.56981999999999</v>
          </cell>
          <cell r="N368">
            <v>2.6326025100000003</v>
          </cell>
          <cell r="O368">
            <v>10.708907546183331</v>
          </cell>
          <cell r="P368">
            <v>5.0703360080273701</v>
          </cell>
          <cell r="Q368">
            <v>9.7300049256586529</v>
          </cell>
          <cell r="R368">
            <v>83.135265900868632</v>
          </cell>
          <cell r="S368">
            <v>212.74758802107453</v>
          </cell>
          <cell r="T368">
            <v>42.875867970925</v>
          </cell>
          <cell r="U368">
            <v>0.29592225952127016</v>
          </cell>
        </row>
        <row r="369">
          <cell r="E369">
            <v>361</v>
          </cell>
          <cell r="F369" t="str">
            <v>Kota Jayapura</v>
          </cell>
          <cell r="G369">
            <v>200.19200000000001</v>
          </cell>
          <cell r="H369">
            <v>940</v>
          </cell>
          <cell r="I369">
            <v>45.75</v>
          </cell>
          <cell r="J369">
            <v>5.27</v>
          </cell>
          <cell r="K369">
            <v>150.63</v>
          </cell>
          <cell r="L369">
            <v>1.3256575410406808</v>
          </cell>
          <cell r="M369">
            <v>1064.217757395204</v>
          </cell>
          <cell r="N369">
            <v>14.623557881</v>
          </cell>
          <cell r="O369">
            <v>20.07753690990063</v>
          </cell>
          <cell r="P369">
            <v>1.7787763639473702</v>
          </cell>
          <cell r="Q369">
            <v>19.092288327898654</v>
          </cell>
          <cell r="R369">
            <v>104.27832187669989</v>
          </cell>
          <cell r="S369">
            <v>170.38895227390333</v>
          </cell>
          <cell r="T369">
            <v>22.853061061381073</v>
          </cell>
          <cell r="U369">
            <v>0.23060368087431693</v>
          </cell>
        </row>
        <row r="370">
          <cell r="E370">
            <v>362</v>
          </cell>
          <cell r="F370" t="str">
            <v>Kab. Kepulauan Riau</v>
          </cell>
          <cell r="G370">
            <v>197.215</v>
          </cell>
          <cell r="H370">
            <v>4814.9799999999996</v>
          </cell>
          <cell r="I370">
            <v>24.556000000000001</v>
          </cell>
          <cell r="J370">
            <v>2.2612293986870231</v>
          </cell>
          <cell r="K370">
            <v>106.12</v>
          </cell>
          <cell r="L370">
            <v>1.0439796997388842</v>
          </cell>
          <cell r="M370">
            <v>331.20620000000002</v>
          </cell>
          <cell r="N370">
            <v>52.960250000000002</v>
          </cell>
          <cell r="O370">
            <v>11.985472700524205</v>
          </cell>
          <cell r="P370">
            <v>11.96239574474737</v>
          </cell>
          <cell r="Q370">
            <v>23.227113083530654</v>
          </cell>
          <cell r="R370">
            <v>64.19571361832061</v>
          </cell>
          <cell r="S370">
            <v>95.510323999999997</v>
          </cell>
          <cell r="T370">
            <v>12.451385543695967</v>
          </cell>
          <cell r="U370">
            <v>0.18160464076480748</v>
          </cell>
        </row>
        <row r="371">
          <cell r="E371">
            <v>363</v>
          </cell>
          <cell r="F371" t="str">
            <v>Kab. Natuna</v>
          </cell>
          <cell r="G371">
            <v>87.451999999999998</v>
          </cell>
          <cell r="H371">
            <v>3404.4</v>
          </cell>
          <cell r="I371">
            <v>4.51</v>
          </cell>
          <cell r="J371">
            <v>0.76047762541969699</v>
          </cell>
          <cell r="K371">
            <v>107.81</v>
          </cell>
          <cell r="L371">
            <v>0.84770502308561857</v>
          </cell>
          <cell r="M371">
            <v>162.90648000000002</v>
          </cell>
          <cell r="N371">
            <v>7.9038300000000001</v>
          </cell>
          <cell r="O371">
            <v>10.127531816891167</v>
          </cell>
          <cell r="P371">
            <v>44.380369748347363</v>
          </cell>
          <cell r="Q371">
            <v>34.543495692230657</v>
          </cell>
          <cell r="R371">
            <v>32.214886199999995</v>
          </cell>
          <cell r="S371">
            <v>147.583877</v>
          </cell>
          <cell r="T371">
            <v>5.1571147600969676</v>
          </cell>
          <cell r="U371">
            <v>0.14746183879867703</v>
          </cell>
        </row>
        <row r="372">
          <cell r="E372">
            <v>364</v>
          </cell>
          <cell r="F372" t="str">
            <v>Kab. Karimun</v>
          </cell>
          <cell r="G372">
            <v>188.227</v>
          </cell>
          <cell r="H372">
            <v>4257</v>
          </cell>
          <cell r="I372">
            <v>11.526</v>
          </cell>
          <cell r="J372">
            <v>0.97382990419132809</v>
          </cell>
          <cell r="K372">
            <v>107.16</v>
          </cell>
          <cell r="L372">
            <v>0.9142216953612301</v>
          </cell>
          <cell r="M372">
            <v>556.19033999999999</v>
          </cell>
          <cell r="N372">
            <v>30.552798128999999</v>
          </cell>
          <cell r="O372">
            <v>14.469179933519118</v>
          </cell>
          <cell r="P372">
            <v>11.965388409647371</v>
          </cell>
          <cell r="Q372">
            <v>17.626514743690652</v>
          </cell>
          <cell r="R372">
            <v>40.847442295500002</v>
          </cell>
          <cell r="S372">
            <v>117.648838</v>
          </cell>
          <cell r="T372">
            <v>6.1234573148379354</v>
          </cell>
          <cell r="U372">
            <v>0.15903269250062563</v>
          </cell>
        </row>
        <row r="373">
          <cell r="E373">
            <v>365</v>
          </cell>
          <cell r="F373" t="str">
            <v>Kota  Batam</v>
          </cell>
          <cell r="G373">
            <v>554.29499999999996</v>
          </cell>
          <cell r="H373">
            <v>612.53</v>
          </cell>
          <cell r="I373">
            <v>28.064</v>
          </cell>
          <cell r="J373">
            <v>1.1088956961317404</v>
          </cell>
          <cell r="K373">
            <v>105.64</v>
          </cell>
          <cell r="L373">
            <v>1.2590622381504022</v>
          </cell>
          <cell r="M373">
            <v>2062.7938300000001</v>
          </cell>
          <cell r="N373">
            <v>56.379182848999996</v>
          </cell>
          <cell r="O373">
            <v>31.101294469985472</v>
          </cell>
          <cell r="P373">
            <v>11.961369748347369</v>
          </cell>
          <cell r="Q373">
            <v>73.071338719690658</v>
          </cell>
          <cell r="R373">
            <v>49.084345199999987</v>
          </cell>
          <cell r="S373">
            <v>104.200777</v>
          </cell>
          <cell r="T373">
            <v>5.0630079650727504</v>
          </cell>
          <cell r="U373">
            <v>0.21901914904765643</v>
          </cell>
        </row>
        <row r="374">
          <cell r="E374">
            <v>366</v>
          </cell>
          <cell r="F374" t="str">
            <v>Kota Tanjung Pinang</v>
          </cell>
          <cell r="G374">
            <v>164.85599999999999</v>
          </cell>
          <cell r="H374">
            <v>239.5</v>
          </cell>
          <cell r="I374">
            <v>17.039000000000001</v>
          </cell>
          <cell r="J374">
            <v>1.8769992204041539</v>
          </cell>
          <cell r="K374">
            <v>105.67</v>
          </cell>
          <cell r="L374">
            <v>1.0439744233645394</v>
          </cell>
          <cell r="M374">
            <v>756.42692</v>
          </cell>
          <cell r="N374">
            <v>11.59897</v>
          </cell>
          <cell r="O374">
            <v>16.679687047736877</v>
          </cell>
          <cell r="P374">
            <v>11.961369748347369</v>
          </cell>
          <cell r="Q374">
            <v>25.976087151270654</v>
          </cell>
          <cell r="R374">
            <v>45.804798764574379</v>
          </cell>
          <cell r="S374">
            <v>59.818082323484063</v>
          </cell>
          <cell r="T374">
            <v>10.335686902508858</v>
          </cell>
          <cell r="U374">
            <v>0.18160372291739371</v>
          </cell>
        </row>
        <row r="375">
          <cell r="E375">
            <v>367</v>
          </cell>
          <cell r="F375" t="str">
            <v>Kab. Sorong</v>
          </cell>
          <cell r="G375">
            <v>143.179</v>
          </cell>
          <cell r="H375">
            <v>41336.9</v>
          </cell>
          <cell r="I375">
            <v>45.8</v>
          </cell>
          <cell r="J375">
            <v>10.939608867790735</v>
          </cell>
          <cell r="K375">
            <v>138.4</v>
          </cell>
          <cell r="L375">
            <v>1.9659875033737384</v>
          </cell>
          <cell r="M375">
            <v>280.26432</v>
          </cell>
          <cell r="N375">
            <v>6.7217399999999996</v>
          </cell>
          <cell r="O375">
            <v>11.423100989263318</v>
          </cell>
          <cell r="P375">
            <v>2.1929401389073697</v>
          </cell>
          <cell r="Q375">
            <v>28.226971656378655</v>
          </cell>
          <cell r="R375">
            <v>173.49366715158541</v>
          </cell>
          <cell r="S375">
            <v>255.18796122272963</v>
          </cell>
          <cell r="T375">
            <v>31.987931191026615</v>
          </cell>
          <cell r="U375">
            <v>0.34199175940642135</v>
          </cell>
        </row>
        <row r="376">
          <cell r="E376">
            <v>368</v>
          </cell>
          <cell r="F376" t="str">
            <v>Kab. Manokwari</v>
          </cell>
          <cell r="G376">
            <v>219.95</v>
          </cell>
          <cell r="H376">
            <v>37901</v>
          </cell>
          <cell r="I376">
            <v>112.242</v>
          </cell>
          <cell r="J376">
            <v>17.451524628700231</v>
          </cell>
          <cell r="K376">
            <v>142.29</v>
          </cell>
          <cell r="L376">
            <v>1.9659254987345212</v>
          </cell>
          <cell r="M376">
            <v>331.20936</v>
          </cell>
          <cell r="N376">
            <v>11.57801406107</v>
          </cell>
          <cell r="O376">
            <v>11.985507585271442</v>
          </cell>
          <cell r="P376">
            <v>2.4731330839473697</v>
          </cell>
          <cell r="Q376">
            <v>22.497906124698652</v>
          </cell>
          <cell r="R376">
            <v>165.04098027534067</v>
          </cell>
          <cell r="S376">
            <v>273.16866373119183</v>
          </cell>
          <cell r="T376">
            <v>51.030688792907483</v>
          </cell>
          <cell r="U376">
            <v>0.34198097343976547</v>
          </cell>
        </row>
        <row r="377">
          <cell r="E377">
            <v>369</v>
          </cell>
          <cell r="F377" t="str">
            <v>Kab. Fak Fak</v>
          </cell>
          <cell r="G377">
            <v>95.903999999999996</v>
          </cell>
          <cell r="H377">
            <v>22600.6</v>
          </cell>
          <cell r="I377">
            <v>34.799999999999997</v>
          </cell>
          <cell r="J377">
            <v>8.4433478164954572</v>
          </cell>
          <cell r="K377">
            <v>152.47</v>
          </cell>
          <cell r="L377">
            <v>1.3376339066428091</v>
          </cell>
          <cell r="M377">
            <v>195.85291000000001</v>
          </cell>
          <cell r="N377">
            <v>12.596819999999999</v>
          </cell>
          <cell r="O377">
            <v>10.491243172244307</v>
          </cell>
          <cell r="P377">
            <v>2.5735581935473704</v>
          </cell>
          <cell r="Q377">
            <v>13.715502795218654</v>
          </cell>
          <cell r="R377">
            <v>140.00747030192167</v>
          </cell>
          <cell r="S377">
            <v>219.79822288739052</v>
          </cell>
          <cell r="T377">
            <v>36.286286286286284</v>
          </cell>
          <cell r="U377">
            <v>0.23268701982562653</v>
          </cell>
        </row>
        <row r="378">
          <cell r="E378">
            <v>370</v>
          </cell>
          <cell r="F378" t="str">
            <v>Kota Sorong</v>
          </cell>
          <cell r="G378">
            <v>183.43899999999999</v>
          </cell>
          <cell r="H378">
            <v>1105</v>
          </cell>
          <cell r="I378">
            <v>66.84</v>
          </cell>
          <cell r="J378">
            <v>8.576809449673787</v>
          </cell>
          <cell r="K378">
            <v>123.48</v>
          </cell>
          <cell r="L378">
            <v>1.3531505112660938</v>
          </cell>
          <cell r="M378">
            <v>405.06059999999997</v>
          </cell>
          <cell r="N378">
            <v>9.9030400000000007</v>
          </cell>
          <cell r="O378">
            <v>12.800786648736285</v>
          </cell>
          <cell r="P378">
            <v>1.8147567039473702</v>
          </cell>
          <cell r="Q378">
            <v>19.313324552298653</v>
          </cell>
          <cell r="R378">
            <v>67.349996999999988</v>
          </cell>
          <cell r="S378">
            <v>152.40113875108307</v>
          </cell>
          <cell r="T378">
            <v>36.437180752184659</v>
          </cell>
          <cell r="U378">
            <v>0.23538619818053702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AK"/>
      <sheetName val="Sheet1"/>
      <sheetName val="DAU"/>
      <sheetName val="susunan benar"/>
      <sheetName val="Keppres DAU"/>
      <sheetName val="KMK DP Murni"/>
      <sheetName val="KMK DP PNSD"/>
      <sheetName val="KMK DP ST"/>
    </sheetNames>
    <sheetDataSet>
      <sheetData sheetId="0" refreshError="1">
        <row r="6">
          <cell r="B6" t="str">
            <v>Prop. Nanggroe Aceh Darussalam</v>
          </cell>
        </row>
        <row r="7">
          <cell r="B7" t="str">
            <v>Kab. Aceh Barat</v>
          </cell>
          <cell r="C7">
            <v>13.14</v>
          </cell>
        </row>
        <row r="8">
          <cell r="B8" t="str">
            <v>Kab. Aceh Besar</v>
          </cell>
          <cell r="C8">
            <v>11.35</v>
          </cell>
        </row>
        <row r="9">
          <cell r="B9" t="str">
            <v>Kab. Aceh Selatan</v>
          </cell>
          <cell r="C9">
            <v>14.5</v>
          </cell>
        </row>
        <row r="10">
          <cell r="B10" t="str">
            <v>Kab. Aceh Singkil</v>
          </cell>
          <cell r="C10">
            <v>11.19</v>
          </cell>
        </row>
        <row r="11">
          <cell r="B11" t="str">
            <v>Kab. Aceh Tengah</v>
          </cell>
          <cell r="C11">
            <v>11.8</v>
          </cell>
        </row>
        <row r="12">
          <cell r="B12" t="str">
            <v>Kab. Aceh Tenggara</v>
          </cell>
          <cell r="C12">
            <v>11.67</v>
          </cell>
        </row>
        <row r="13">
          <cell r="B13" t="str">
            <v>Kab. Aceh Timur</v>
          </cell>
          <cell r="C13">
            <v>15.99</v>
          </cell>
        </row>
        <row r="14">
          <cell r="B14" t="str">
            <v>Kab. Aceh Utara</v>
          </cell>
          <cell r="C14">
            <v>11.58</v>
          </cell>
        </row>
        <row r="15">
          <cell r="B15" t="str">
            <v>Kab. Bireuen</v>
          </cell>
          <cell r="C15">
            <v>10.49</v>
          </cell>
        </row>
        <row r="16">
          <cell r="B16" t="str">
            <v>Kab. Aceh Pidie</v>
          </cell>
          <cell r="C16">
            <v>14.7</v>
          </cell>
        </row>
        <row r="17">
          <cell r="B17" t="str">
            <v>Kab. Simeuleu</v>
          </cell>
          <cell r="C17">
            <v>11.18</v>
          </cell>
        </row>
        <row r="18">
          <cell r="B18" t="str">
            <v>Kota Banda Aceh</v>
          </cell>
          <cell r="C18">
            <v>7.73</v>
          </cell>
        </row>
        <row r="19">
          <cell r="B19" t="str">
            <v>Kota Sabang</v>
          </cell>
          <cell r="C19">
            <v>7.65</v>
          </cell>
        </row>
        <row r="20">
          <cell r="B20" t="str">
            <v>Kota Langsa</v>
          </cell>
          <cell r="C20">
            <v>8.31</v>
          </cell>
        </row>
        <row r="21">
          <cell r="B21" t="str">
            <v>Kota Lhokseumawe</v>
          </cell>
          <cell r="C21">
            <v>7.11</v>
          </cell>
        </row>
        <row r="22">
          <cell r="B22" t="str">
            <v>Kab. Gayo Lues</v>
          </cell>
          <cell r="C22">
            <v>10.36</v>
          </cell>
        </row>
        <row r="23">
          <cell r="B23" t="str">
            <v>Kab. Aceh Barat Daya</v>
          </cell>
          <cell r="C23">
            <v>12.21</v>
          </cell>
        </row>
        <row r="24">
          <cell r="B24" t="str">
            <v>Kab. Aceh Jaya</v>
          </cell>
          <cell r="C24">
            <v>11.55</v>
          </cell>
        </row>
        <row r="25">
          <cell r="B25" t="str">
            <v>Kab. Nagan Raya</v>
          </cell>
          <cell r="C25">
            <v>11.71</v>
          </cell>
        </row>
        <row r="26">
          <cell r="B26" t="str">
            <v>Kab. Aceh Tamiang</v>
          </cell>
          <cell r="C26">
            <v>11.33</v>
          </cell>
        </row>
        <row r="27">
          <cell r="B27" t="str">
            <v>Kab. Bener Meriah</v>
          </cell>
          <cell r="C27">
            <v>4</v>
          </cell>
        </row>
        <row r="28">
          <cell r="B28" t="str">
            <v>Prop. Sumatra Utara</v>
          </cell>
        </row>
        <row r="29">
          <cell r="B29" t="str">
            <v>Kab. Asahan</v>
          </cell>
          <cell r="C29">
            <v>4</v>
          </cell>
        </row>
        <row r="30">
          <cell r="B30" t="str">
            <v>Kab. Dairi</v>
          </cell>
          <cell r="C30">
            <v>10.68</v>
          </cell>
        </row>
        <row r="31">
          <cell r="B31" t="str">
            <v>Kab. Deli Serdang</v>
          </cell>
          <cell r="C31">
            <v>4</v>
          </cell>
        </row>
        <row r="32">
          <cell r="B32" t="str">
            <v>Kab. Tanah Karo</v>
          </cell>
          <cell r="C32">
            <v>12.36</v>
          </cell>
        </row>
        <row r="33">
          <cell r="B33" t="str">
            <v>Kab. Labuhan Batu</v>
          </cell>
          <cell r="C33">
            <v>4</v>
          </cell>
        </row>
        <row r="34">
          <cell r="B34" t="str">
            <v>Kab. Langkat</v>
          </cell>
          <cell r="C34">
            <v>12.73</v>
          </cell>
        </row>
        <row r="35">
          <cell r="B35" t="str">
            <v>Kab. Mandailing Natal</v>
          </cell>
          <cell r="C35">
            <v>11.63</v>
          </cell>
        </row>
        <row r="36">
          <cell r="B36" t="str">
            <v>Kab. Nias</v>
          </cell>
          <cell r="C36">
            <v>14.71</v>
          </cell>
        </row>
        <row r="37">
          <cell r="B37" t="str">
            <v>Kab. Simalungun</v>
          </cell>
          <cell r="C37">
            <v>4</v>
          </cell>
        </row>
        <row r="38">
          <cell r="B38" t="str">
            <v>Kab. Tapanuli Selatan</v>
          </cell>
          <cell r="C38">
            <v>13.72</v>
          </cell>
        </row>
        <row r="39">
          <cell r="B39" t="str">
            <v>Kab. Tapanuli Tengah</v>
          </cell>
          <cell r="C39">
            <v>12.39</v>
          </cell>
        </row>
        <row r="40">
          <cell r="B40" t="str">
            <v>Kab. Tapanuli Utara</v>
          </cell>
          <cell r="C40">
            <v>13.65</v>
          </cell>
        </row>
        <row r="41">
          <cell r="B41" t="str">
            <v>Kab. Toba Samosir</v>
          </cell>
          <cell r="C41">
            <v>11.61</v>
          </cell>
        </row>
        <row r="42">
          <cell r="B42" t="str">
            <v>Kota Binjai</v>
          </cell>
          <cell r="C42">
            <v>7.46</v>
          </cell>
        </row>
        <row r="43">
          <cell r="B43" t="str">
            <v>Kota Medan</v>
          </cell>
          <cell r="C43">
            <v>4</v>
          </cell>
        </row>
        <row r="44">
          <cell r="B44" t="str">
            <v>Kota Pematang Siantar</v>
          </cell>
          <cell r="C44">
            <v>8.5</v>
          </cell>
        </row>
        <row r="45">
          <cell r="B45" t="str">
            <v>Kota Sibolga</v>
          </cell>
          <cell r="C45">
            <v>7.23</v>
          </cell>
        </row>
        <row r="46">
          <cell r="B46" t="str">
            <v>Kota Tanjung Balai</v>
          </cell>
          <cell r="C46">
            <v>6.88</v>
          </cell>
        </row>
        <row r="47">
          <cell r="B47" t="str">
            <v>Kota Tebing Tinggi</v>
          </cell>
          <cell r="C47">
            <v>7.42</v>
          </cell>
        </row>
        <row r="48">
          <cell r="B48" t="str">
            <v>Kota Padang Sidempuan</v>
          </cell>
          <cell r="C48">
            <v>7.27</v>
          </cell>
        </row>
        <row r="49">
          <cell r="B49" t="str">
            <v>Kab. Pakpak Bharat</v>
          </cell>
          <cell r="C49">
            <v>8.52</v>
          </cell>
        </row>
        <row r="50">
          <cell r="B50" t="str">
            <v>Kab. Nias Selatan</v>
          </cell>
          <cell r="C50">
            <v>13.85</v>
          </cell>
        </row>
        <row r="51">
          <cell r="B51" t="str">
            <v>Kab. Humbang Hasundutan</v>
          </cell>
          <cell r="C51">
            <v>9.2799999999999994</v>
          </cell>
        </row>
        <row r="52">
          <cell r="B52" t="str">
            <v>Kab. Samosir</v>
          </cell>
          <cell r="C52">
            <v>4</v>
          </cell>
        </row>
        <row r="53">
          <cell r="B53" t="str">
            <v>Kab. Serdang Berdagai</v>
          </cell>
          <cell r="C53">
            <v>8</v>
          </cell>
        </row>
        <row r="54">
          <cell r="B54" t="str">
            <v>Prop. Sumatera Barat</v>
          </cell>
        </row>
        <row r="55">
          <cell r="B55" t="str">
            <v>Kab. Limapuluh Koto</v>
          </cell>
          <cell r="C55">
            <v>15.35</v>
          </cell>
        </row>
        <row r="56">
          <cell r="B56" t="str">
            <v xml:space="preserve">Kab. Agam         </v>
          </cell>
          <cell r="C56">
            <v>12.8</v>
          </cell>
        </row>
        <row r="57">
          <cell r="B57" t="str">
            <v>Kab. Kepulauan Mentawai</v>
          </cell>
          <cell r="C57">
            <v>11.03</v>
          </cell>
        </row>
        <row r="58">
          <cell r="B58" t="str">
            <v>Kab. Padang Pariaman</v>
          </cell>
          <cell r="C58">
            <v>13.28</v>
          </cell>
        </row>
        <row r="59">
          <cell r="B59" t="str">
            <v xml:space="preserve">Kab. Pasaman    </v>
          </cell>
          <cell r="C59">
            <v>11.65</v>
          </cell>
        </row>
        <row r="60">
          <cell r="B60" t="str">
            <v>Kab. Pesisir Selatan</v>
          </cell>
          <cell r="C60">
            <v>13.99</v>
          </cell>
        </row>
        <row r="61">
          <cell r="B61" t="str">
            <v>Kab. Sawahlunto Sijunjung</v>
          </cell>
          <cell r="C61">
            <v>10.57</v>
          </cell>
        </row>
        <row r="62">
          <cell r="B62" t="str">
            <v>Kab. Solok</v>
          </cell>
          <cell r="C62">
            <v>13</v>
          </cell>
        </row>
        <row r="63">
          <cell r="B63" t="str">
            <v>Kab. Tanah Datar</v>
          </cell>
          <cell r="C63">
            <v>11.91</v>
          </cell>
        </row>
        <row r="64">
          <cell r="B64" t="str">
            <v>Kota Bukit Tinggi</v>
          </cell>
          <cell r="C64">
            <v>9.3800000000000008</v>
          </cell>
        </row>
        <row r="65">
          <cell r="B65" t="str">
            <v>Kota Padang Panjang</v>
          </cell>
          <cell r="C65">
            <v>7.7</v>
          </cell>
        </row>
        <row r="66">
          <cell r="B66" t="str">
            <v>Kota Padang</v>
          </cell>
          <cell r="C66">
            <v>11.88</v>
          </cell>
        </row>
        <row r="67">
          <cell r="B67" t="str">
            <v>Kota Payakumbuh</v>
          </cell>
          <cell r="C67">
            <v>7.89</v>
          </cell>
        </row>
        <row r="68">
          <cell r="B68" t="str">
            <v>Kota Sawahlunto</v>
          </cell>
          <cell r="C68">
            <v>7.89</v>
          </cell>
        </row>
        <row r="69">
          <cell r="B69" t="str">
            <v>Kota Solok</v>
          </cell>
          <cell r="C69">
            <v>7.23</v>
          </cell>
        </row>
        <row r="70">
          <cell r="B70" t="str">
            <v>Kota Pariaman</v>
          </cell>
          <cell r="C70">
            <v>13.69</v>
          </cell>
        </row>
        <row r="71">
          <cell r="B71" t="str">
            <v>Kab. Dharmasraya</v>
          </cell>
          <cell r="C71">
            <v>4</v>
          </cell>
        </row>
        <row r="72">
          <cell r="B72" t="str">
            <v>Kab. Solok Selatan</v>
          </cell>
          <cell r="C72">
            <v>4</v>
          </cell>
        </row>
        <row r="73">
          <cell r="B73" t="str">
            <v>Kab. Pasaman Barat</v>
          </cell>
          <cell r="C73">
            <v>4</v>
          </cell>
        </row>
        <row r="74">
          <cell r="B74" t="str">
            <v>Prop. Riau</v>
          </cell>
        </row>
        <row r="75">
          <cell r="B75" t="str">
            <v>Kab. Bengkalis</v>
          </cell>
          <cell r="C75">
            <v>0</v>
          </cell>
        </row>
        <row r="76">
          <cell r="B76" t="str">
            <v>Kab. Indragiri Hilir</v>
          </cell>
          <cell r="C76">
            <v>0</v>
          </cell>
        </row>
        <row r="77">
          <cell r="B77" t="str">
            <v>Kab. Indragiri Hulu</v>
          </cell>
          <cell r="C77">
            <v>0</v>
          </cell>
        </row>
        <row r="78">
          <cell r="B78" t="str">
            <v>Kab. Kampar</v>
          </cell>
          <cell r="C78">
            <v>0</v>
          </cell>
        </row>
        <row r="79">
          <cell r="B79" t="str">
            <v>Kab. Kuantan Singingi</v>
          </cell>
          <cell r="C79">
            <v>0</v>
          </cell>
        </row>
        <row r="80">
          <cell r="B80" t="str">
            <v>Kab. Pelalawan</v>
          </cell>
          <cell r="C80">
            <v>8.33</v>
          </cell>
        </row>
        <row r="81">
          <cell r="B81" t="str">
            <v>Kab. Rokan Hilir</v>
          </cell>
          <cell r="C81">
            <v>0</v>
          </cell>
        </row>
        <row r="82">
          <cell r="B82" t="str">
            <v>Kab. Rokan Hulu</v>
          </cell>
          <cell r="C82">
            <v>0</v>
          </cell>
        </row>
        <row r="83">
          <cell r="B83" t="str">
            <v>Kab. Siak</v>
          </cell>
          <cell r="C83">
            <v>0</v>
          </cell>
        </row>
        <row r="84">
          <cell r="B84" t="str">
            <v>Kota Dumai</v>
          </cell>
          <cell r="C84">
            <v>0</v>
          </cell>
        </row>
        <row r="85">
          <cell r="B85" t="str">
            <v>Kota Pekanbaru</v>
          </cell>
          <cell r="C85">
            <v>0</v>
          </cell>
        </row>
        <row r="86">
          <cell r="B86" t="str">
            <v>Prop. Jambi</v>
          </cell>
        </row>
        <row r="87">
          <cell r="B87" t="str">
            <v>Kab. Batanghari</v>
          </cell>
          <cell r="C87">
            <v>10.89</v>
          </cell>
        </row>
        <row r="88">
          <cell r="B88" t="str">
            <v xml:space="preserve">Kab. Bungo     </v>
          </cell>
          <cell r="C88">
            <v>11.95</v>
          </cell>
        </row>
        <row r="89">
          <cell r="B89" t="str">
            <v>Kab. Kerinci</v>
          </cell>
          <cell r="C89">
            <v>12.72</v>
          </cell>
        </row>
        <row r="90">
          <cell r="B90" t="str">
            <v>Kab. Merangin</v>
          </cell>
          <cell r="C90">
            <v>10.98</v>
          </cell>
        </row>
        <row r="91">
          <cell r="B91" t="str">
            <v>Kab. Muaro Jambi</v>
          </cell>
          <cell r="C91">
            <v>12.43</v>
          </cell>
        </row>
        <row r="92">
          <cell r="B92" t="str">
            <v>Kab. Sarolangun</v>
          </cell>
          <cell r="C92">
            <v>11.19</v>
          </cell>
        </row>
        <row r="93">
          <cell r="B93" t="str">
            <v>Kab. Tanjung Jabung Barat</v>
          </cell>
          <cell r="C93">
            <v>11.06</v>
          </cell>
        </row>
        <row r="94">
          <cell r="B94" t="str">
            <v>Kab. Tanjung Jabung Timur</v>
          </cell>
          <cell r="C94">
            <v>11.47</v>
          </cell>
        </row>
        <row r="95">
          <cell r="B95" t="str">
            <v>Kab. Tebo</v>
          </cell>
          <cell r="C95">
            <v>10.09</v>
          </cell>
        </row>
        <row r="96">
          <cell r="B96" t="str">
            <v>Kota Jambi</v>
          </cell>
          <cell r="C96">
            <v>7.76</v>
          </cell>
        </row>
        <row r="97">
          <cell r="B97" t="str">
            <v>Prop. Sumatera Selatan</v>
          </cell>
        </row>
        <row r="98">
          <cell r="B98" t="str">
            <v xml:space="preserve">Kab. Lahat     </v>
          </cell>
          <cell r="C98">
            <v>15.32</v>
          </cell>
        </row>
        <row r="99">
          <cell r="B99" t="str">
            <v>Kab. Musi Banyuasin</v>
          </cell>
          <cell r="C99">
            <v>0</v>
          </cell>
        </row>
        <row r="100">
          <cell r="B100" t="str">
            <v xml:space="preserve">Kab. Musi Rawas   </v>
          </cell>
          <cell r="C100">
            <v>0</v>
          </cell>
        </row>
        <row r="101">
          <cell r="B101" t="str">
            <v xml:space="preserve">Kab. Muara Enim </v>
          </cell>
          <cell r="C101">
            <v>4</v>
          </cell>
        </row>
        <row r="102">
          <cell r="B102" t="str">
            <v>Kab. Ogan Komering Ilir</v>
          </cell>
          <cell r="C102">
            <v>0</v>
          </cell>
        </row>
        <row r="103">
          <cell r="B103" t="str">
            <v>Kab. Ogan Komering Ulu</v>
          </cell>
          <cell r="C103">
            <v>0</v>
          </cell>
        </row>
        <row r="104">
          <cell r="B104" t="str">
            <v xml:space="preserve">Kota Palembang </v>
          </cell>
          <cell r="C104">
            <v>0</v>
          </cell>
        </row>
        <row r="105">
          <cell r="B105" t="str">
            <v>Kota Prabumulih</v>
          </cell>
          <cell r="C105">
            <v>6.88</v>
          </cell>
        </row>
        <row r="106">
          <cell r="B106" t="str">
            <v>Kota Pagar Alam</v>
          </cell>
          <cell r="C106">
            <v>6.88</v>
          </cell>
        </row>
        <row r="107">
          <cell r="B107" t="str">
            <v>Kota Lubuk Linggau</v>
          </cell>
          <cell r="C107">
            <v>7.4</v>
          </cell>
        </row>
        <row r="108">
          <cell r="B108" t="str">
            <v>Kab. Banyuasin</v>
          </cell>
          <cell r="C108">
            <v>14.09</v>
          </cell>
        </row>
        <row r="109">
          <cell r="B109" t="str">
            <v>Kab. Ogan Ilir</v>
          </cell>
          <cell r="C109">
            <v>4</v>
          </cell>
        </row>
        <row r="110">
          <cell r="B110" t="str">
            <v>Kab. OKU Timur</v>
          </cell>
          <cell r="C110">
            <v>4</v>
          </cell>
        </row>
        <row r="111">
          <cell r="B111" t="str">
            <v>Kab. OKU Selatan</v>
          </cell>
          <cell r="C111">
            <v>4</v>
          </cell>
        </row>
        <row r="112">
          <cell r="B112" t="str">
            <v>Prop. Bengkulu</v>
          </cell>
        </row>
        <row r="113">
          <cell r="B113" t="str">
            <v>Kab. Bengkulu Selatan</v>
          </cell>
          <cell r="C113">
            <v>12.64</v>
          </cell>
        </row>
        <row r="114">
          <cell r="B114" t="str">
            <v>Kab. Bengkulu Utara</v>
          </cell>
          <cell r="C114">
            <v>12.76</v>
          </cell>
        </row>
        <row r="115">
          <cell r="B115" t="str">
            <v>Kab. Rejang Lebong</v>
          </cell>
          <cell r="C115">
            <v>12.77</v>
          </cell>
        </row>
        <row r="116">
          <cell r="B116" t="str">
            <v>Kota Bengkulu</v>
          </cell>
          <cell r="C116">
            <v>8.41</v>
          </cell>
        </row>
        <row r="117">
          <cell r="B117" t="str">
            <v>Kab. Kaur</v>
          </cell>
          <cell r="C117">
            <v>10.72</v>
          </cell>
        </row>
        <row r="118">
          <cell r="B118" t="str">
            <v>Kab. Seluma</v>
          </cell>
          <cell r="C118">
            <v>9.33</v>
          </cell>
        </row>
        <row r="119">
          <cell r="B119" t="str">
            <v>Kab. Mukomuko</v>
          </cell>
          <cell r="C119">
            <v>10.59</v>
          </cell>
        </row>
        <row r="120">
          <cell r="B120" t="str">
            <v>Kab. Lebong</v>
          </cell>
          <cell r="C120">
            <v>4</v>
          </cell>
        </row>
        <row r="121">
          <cell r="B121" t="str">
            <v>Kab. Kepahiang</v>
          </cell>
          <cell r="C121">
            <v>4</v>
          </cell>
        </row>
        <row r="122">
          <cell r="B122" t="str">
            <v>Prop. Lampung</v>
          </cell>
        </row>
        <row r="123">
          <cell r="B123" t="str">
            <v>Kab. Lampung Barat</v>
          </cell>
          <cell r="C123">
            <v>10.93</v>
          </cell>
        </row>
        <row r="124">
          <cell r="B124" t="str">
            <v>Kab. Lampung Selatan</v>
          </cell>
          <cell r="C124">
            <v>13.89</v>
          </cell>
        </row>
        <row r="125">
          <cell r="B125" t="str">
            <v>Kab. Lampung Tengah</v>
          </cell>
          <cell r="C125">
            <v>4</v>
          </cell>
        </row>
        <row r="126">
          <cell r="B126" t="str">
            <v>Kab. Lampung Utara</v>
          </cell>
          <cell r="C126">
            <v>10.86</v>
          </cell>
        </row>
        <row r="127">
          <cell r="B127" t="str">
            <v>Kab. Lampung Timur</v>
          </cell>
          <cell r="C127">
            <v>14.28</v>
          </cell>
        </row>
        <row r="128">
          <cell r="B128" t="str">
            <v>Kab. Tanggamus</v>
          </cell>
          <cell r="C128">
            <v>12.39</v>
          </cell>
        </row>
        <row r="129">
          <cell r="B129" t="str">
            <v>Kab. Tulang Bawang</v>
          </cell>
          <cell r="C129">
            <v>11.14</v>
          </cell>
        </row>
        <row r="130">
          <cell r="B130" t="str">
            <v>Kab. Way Kanan</v>
          </cell>
          <cell r="C130">
            <v>10.72</v>
          </cell>
        </row>
        <row r="131">
          <cell r="B131" t="str">
            <v xml:space="preserve">Kota Bandar Lampung </v>
          </cell>
          <cell r="C131">
            <v>4</v>
          </cell>
        </row>
        <row r="132">
          <cell r="B132" t="str">
            <v>Kota Metro</v>
          </cell>
          <cell r="C132">
            <v>6.8</v>
          </cell>
        </row>
        <row r="133">
          <cell r="B133" t="str">
            <v>Prop. Jawa Barat</v>
          </cell>
        </row>
        <row r="134">
          <cell r="B134" t="str">
            <v>Kab. Bandung</v>
          </cell>
          <cell r="C134">
            <v>4</v>
          </cell>
        </row>
        <row r="135">
          <cell r="B135" t="str">
            <v>Kab. Bekasi</v>
          </cell>
          <cell r="C135">
            <v>0</v>
          </cell>
        </row>
        <row r="136">
          <cell r="B136" t="str">
            <v>Kab. Bogor</v>
          </cell>
          <cell r="C136">
            <v>0</v>
          </cell>
        </row>
        <row r="137">
          <cell r="B137" t="str">
            <v>Kab. Ciamis</v>
          </cell>
          <cell r="C137">
            <v>0</v>
          </cell>
        </row>
        <row r="138">
          <cell r="B138" t="str">
            <v>Kab. Cianjur</v>
          </cell>
          <cell r="C138">
            <v>0</v>
          </cell>
        </row>
        <row r="139">
          <cell r="B139" t="str">
            <v>Kab. Cirebon</v>
          </cell>
          <cell r="C139">
            <v>0</v>
          </cell>
        </row>
        <row r="140">
          <cell r="B140" t="str">
            <v>Kab. Garut</v>
          </cell>
          <cell r="C140">
            <v>16.989999999999998</v>
          </cell>
        </row>
        <row r="141">
          <cell r="B141" t="str">
            <v>Kab. Indramayu</v>
          </cell>
          <cell r="C141">
            <v>16.46</v>
          </cell>
        </row>
        <row r="142">
          <cell r="B142" t="str">
            <v xml:space="preserve">Kab. Karawang    </v>
          </cell>
          <cell r="C142">
            <v>0</v>
          </cell>
        </row>
        <row r="143">
          <cell r="B143" t="str">
            <v>Kab. Kuningan</v>
          </cell>
          <cell r="C143">
            <v>13.53</v>
          </cell>
        </row>
        <row r="144">
          <cell r="B144" t="str">
            <v xml:space="preserve">Kab. Majalengka  </v>
          </cell>
          <cell r="C144">
            <v>13.31</v>
          </cell>
        </row>
        <row r="145">
          <cell r="B145" t="str">
            <v>Kab. Purwakarta</v>
          </cell>
          <cell r="C145">
            <v>0</v>
          </cell>
        </row>
        <row r="146">
          <cell r="B146" t="str">
            <v xml:space="preserve">Kab. Subang          </v>
          </cell>
          <cell r="C146">
            <v>0</v>
          </cell>
        </row>
        <row r="147">
          <cell r="B147" t="str">
            <v>Kab. Sukabumi</v>
          </cell>
          <cell r="C147">
            <v>0</v>
          </cell>
        </row>
        <row r="148">
          <cell r="B148" t="str">
            <v>Kab. Sumedang</v>
          </cell>
          <cell r="C148">
            <v>13.24</v>
          </cell>
        </row>
        <row r="149">
          <cell r="B149" t="str">
            <v>Kab. Tasikmalaya</v>
          </cell>
          <cell r="C149">
            <v>0</v>
          </cell>
        </row>
        <row r="150">
          <cell r="B150" t="str">
            <v>Kota Bandung</v>
          </cell>
          <cell r="C150">
            <v>0</v>
          </cell>
        </row>
        <row r="151">
          <cell r="B151" t="str">
            <v>Kota Bekasi</v>
          </cell>
          <cell r="C151">
            <v>4</v>
          </cell>
        </row>
        <row r="152">
          <cell r="B152" t="str">
            <v>Kota Bogor</v>
          </cell>
          <cell r="C152">
            <v>4</v>
          </cell>
        </row>
        <row r="153">
          <cell r="B153" t="str">
            <v>Kota Cirebon</v>
          </cell>
          <cell r="C153">
            <v>7.21</v>
          </cell>
        </row>
        <row r="154">
          <cell r="B154" t="str">
            <v>Kota Depok</v>
          </cell>
          <cell r="C154">
            <v>0</v>
          </cell>
        </row>
        <row r="155">
          <cell r="B155" t="str">
            <v>Kota Sukabumi</v>
          </cell>
          <cell r="C155">
            <v>7.29</v>
          </cell>
        </row>
        <row r="156">
          <cell r="B156" t="str">
            <v>Kota Tasikmalaya</v>
          </cell>
          <cell r="C156">
            <v>7.5</v>
          </cell>
        </row>
        <row r="157">
          <cell r="B157" t="str">
            <v>Kota Cimahi</v>
          </cell>
          <cell r="C157">
            <v>6.38</v>
          </cell>
        </row>
        <row r="158">
          <cell r="B158" t="str">
            <v>Kota Banjar</v>
          </cell>
          <cell r="C158">
            <v>4</v>
          </cell>
        </row>
        <row r="159">
          <cell r="B159" t="str">
            <v>Prop. Jawa Tengah</v>
          </cell>
        </row>
        <row r="160">
          <cell r="B160" t="str">
            <v>Kab. Banjarnegara</v>
          </cell>
          <cell r="C160">
            <v>13.14</v>
          </cell>
        </row>
        <row r="161">
          <cell r="B161" t="str">
            <v>Kab. Banyumas</v>
          </cell>
          <cell r="C161">
            <v>12.86</v>
          </cell>
        </row>
        <row r="162">
          <cell r="B162" t="str">
            <v>Kab. Batang</v>
          </cell>
          <cell r="C162">
            <v>12.51</v>
          </cell>
        </row>
        <row r="163">
          <cell r="B163" t="str">
            <v>Kab. Blora</v>
          </cell>
          <cell r="C163">
            <v>0</v>
          </cell>
        </row>
        <row r="164">
          <cell r="B164" t="str">
            <v>Kab. Boyolali</v>
          </cell>
          <cell r="C164">
            <v>11.71</v>
          </cell>
        </row>
        <row r="165">
          <cell r="B165" t="str">
            <v>Kab. Brebes</v>
          </cell>
          <cell r="C165">
            <v>0</v>
          </cell>
        </row>
        <row r="166">
          <cell r="B166" t="str">
            <v xml:space="preserve">Kab. Cilacap    </v>
          </cell>
          <cell r="C166">
            <v>4</v>
          </cell>
        </row>
        <row r="167">
          <cell r="B167" t="str">
            <v xml:space="preserve">Kab. Demak  </v>
          </cell>
          <cell r="C167">
            <v>13.59</v>
          </cell>
        </row>
        <row r="168">
          <cell r="B168" t="str">
            <v>Kab. Grobogan</v>
          </cell>
          <cell r="C168">
            <v>4</v>
          </cell>
        </row>
        <row r="169">
          <cell r="B169" t="str">
            <v>Kab. Jepara</v>
          </cell>
          <cell r="C169">
            <v>14.08</v>
          </cell>
        </row>
        <row r="170">
          <cell r="B170" t="str">
            <v>Kab. Karanganyar</v>
          </cell>
          <cell r="C170">
            <v>10.18</v>
          </cell>
        </row>
        <row r="171">
          <cell r="B171" t="str">
            <v>Kab. Kebumen</v>
          </cell>
          <cell r="C171">
            <v>13.48</v>
          </cell>
        </row>
        <row r="172">
          <cell r="B172" t="str">
            <v xml:space="preserve">Kab. Kendal </v>
          </cell>
          <cell r="C172">
            <v>0</v>
          </cell>
        </row>
        <row r="173">
          <cell r="B173" t="str">
            <v>Kab. Klaten</v>
          </cell>
          <cell r="C173">
            <v>11.9</v>
          </cell>
        </row>
        <row r="174">
          <cell r="B174" t="str">
            <v>Kab. Kudus</v>
          </cell>
          <cell r="C174">
            <v>10.96</v>
          </cell>
        </row>
        <row r="175">
          <cell r="B175" t="str">
            <v>Kab. Magelang</v>
          </cell>
          <cell r="C175">
            <v>11.95</v>
          </cell>
        </row>
        <row r="176">
          <cell r="B176" t="str">
            <v>Kab. Pati</v>
          </cell>
          <cell r="C176">
            <v>13.06</v>
          </cell>
        </row>
        <row r="177">
          <cell r="B177" t="str">
            <v>Kab. Pekalongan</v>
          </cell>
          <cell r="C177">
            <v>11.26</v>
          </cell>
        </row>
        <row r="178">
          <cell r="B178" t="str">
            <v>Kab. Pemalang</v>
          </cell>
          <cell r="C178">
            <v>4</v>
          </cell>
        </row>
        <row r="179">
          <cell r="B179" t="str">
            <v xml:space="preserve">Kab. Purbalingga       </v>
          </cell>
          <cell r="C179">
            <v>13</v>
          </cell>
        </row>
        <row r="180">
          <cell r="B180" t="str">
            <v>Kab. Purworejo</v>
          </cell>
          <cell r="C180">
            <v>14.97</v>
          </cell>
        </row>
        <row r="181">
          <cell r="B181" t="str">
            <v>Kab. Rembang</v>
          </cell>
          <cell r="C181">
            <v>11.28</v>
          </cell>
        </row>
        <row r="182">
          <cell r="B182" t="str">
            <v>Kab. Semarang</v>
          </cell>
          <cell r="C182">
            <v>11</v>
          </cell>
        </row>
        <row r="183">
          <cell r="B183" t="str">
            <v>Kab. Sragen</v>
          </cell>
          <cell r="C183">
            <v>0</v>
          </cell>
        </row>
        <row r="184">
          <cell r="B184" t="str">
            <v>Kab. Sukoharjo</v>
          </cell>
          <cell r="C184">
            <v>10.55</v>
          </cell>
        </row>
        <row r="185">
          <cell r="B185" t="str">
            <v>Kab. Tegal</v>
          </cell>
          <cell r="C185">
            <v>4</v>
          </cell>
        </row>
        <row r="186">
          <cell r="B186" t="str">
            <v>Kab. Temanggung</v>
          </cell>
          <cell r="C186">
            <v>11.32</v>
          </cell>
        </row>
        <row r="187">
          <cell r="B187" t="str">
            <v>Kab. Wonogiri</v>
          </cell>
          <cell r="C187">
            <v>13.03</v>
          </cell>
        </row>
        <row r="188">
          <cell r="B188" t="str">
            <v xml:space="preserve">Kab. Wonosobo       </v>
          </cell>
          <cell r="C188">
            <v>11.98</v>
          </cell>
        </row>
        <row r="189">
          <cell r="B189" t="str">
            <v>Kota Magelang</v>
          </cell>
          <cell r="C189">
            <v>7.9</v>
          </cell>
        </row>
        <row r="190">
          <cell r="B190" t="str">
            <v>Kota Pekalongan</v>
          </cell>
          <cell r="C190">
            <v>7.22</v>
          </cell>
        </row>
        <row r="191">
          <cell r="B191" t="str">
            <v>Kota Salatiga</v>
          </cell>
          <cell r="C191">
            <v>7.06</v>
          </cell>
        </row>
        <row r="192">
          <cell r="B192" t="str">
            <v>Kota Semarang</v>
          </cell>
          <cell r="C192">
            <v>0</v>
          </cell>
        </row>
        <row r="193">
          <cell r="B193" t="str">
            <v>Kota Surakarta</v>
          </cell>
          <cell r="C193">
            <v>0</v>
          </cell>
        </row>
        <row r="194">
          <cell r="B194" t="str">
            <v xml:space="preserve">Kota Tegal </v>
          </cell>
          <cell r="C194">
            <v>0</v>
          </cell>
        </row>
        <row r="195">
          <cell r="B195" t="str">
            <v>DI. Yogyakarta</v>
          </cell>
        </row>
        <row r="196">
          <cell r="B196" t="str">
            <v>Kab. Bantul</v>
          </cell>
          <cell r="C196">
            <v>12.06</v>
          </cell>
        </row>
        <row r="197">
          <cell r="B197" t="str">
            <v>Kab. Gunung Kidul</v>
          </cell>
          <cell r="C197">
            <v>10.79</v>
          </cell>
        </row>
        <row r="198">
          <cell r="B198" t="str">
            <v>Kab. Kulon Progo</v>
          </cell>
          <cell r="C198">
            <v>11.36</v>
          </cell>
        </row>
        <row r="199">
          <cell r="B199" t="str">
            <v>Kab. Sleman</v>
          </cell>
          <cell r="C199">
            <v>10.6</v>
          </cell>
        </row>
        <row r="200">
          <cell r="B200" t="str">
            <v>Kota Yogyakarta</v>
          </cell>
          <cell r="C200">
            <v>6.6</v>
          </cell>
        </row>
        <row r="201">
          <cell r="B201" t="str">
            <v>Prop. Jawa Timur</v>
          </cell>
        </row>
        <row r="202">
          <cell r="B202" t="str">
            <v>Kab. Bangkalan</v>
          </cell>
          <cell r="C202">
            <v>12.1</v>
          </cell>
        </row>
        <row r="203">
          <cell r="B203" t="str">
            <v>Kab. Banyuwangi</v>
          </cell>
          <cell r="C203">
            <v>0</v>
          </cell>
        </row>
        <row r="204">
          <cell r="B204" t="str">
            <v>Kab. Blitar</v>
          </cell>
          <cell r="C204">
            <v>12.31</v>
          </cell>
        </row>
        <row r="205">
          <cell r="B205" t="str">
            <v>Kab. Bojonegoro</v>
          </cell>
          <cell r="C205">
            <v>4</v>
          </cell>
        </row>
        <row r="206">
          <cell r="B206" t="str">
            <v>Kab. Bondowoso</v>
          </cell>
          <cell r="C206">
            <v>4</v>
          </cell>
        </row>
        <row r="207">
          <cell r="B207" t="str">
            <v>Kab. Gresik</v>
          </cell>
          <cell r="C207">
            <v>0</v>
          </cell>
        </row>
        <row r="208">
          <cell r="B208" t="str">
            <v>Kab. Jember</v>
          </cell>
          <cell r="C208">
            <v>0</v>
          </cell>
        </row>
        <row r="209">
          <cell r="B209" t="str">
            <v>Kab. Jombang</v>
          </cell>
          <cell r="C209">
            <v>4</v>
          </cell>
        </row>
        <row r="210">
          <cell r="B210" t="str">
            <v>Kab. Kediri</v>
          </cell>
          <cell r="C210">
            <v>14.29</v>
          </cell>
        </row>
        <row r="211">
          <cell r="B211" t="str">
            <v>Kab. Lamongan</v>
          </cell>
          <cell r="C211">
            <v>0</v>
          </cell>
        </row>
        <row r="212">
          <cell r="B212" t="str">
            <v>Kab. Lumajang</v>
          </cell>
          <cell r="C212">
            <v>12.62</v>
          </cell>
        </row>
        <row r="213">
          <cell r="B213" t="str">
            <v>Kab. Madiun</v>
          </cell>
          <cell r="C213">
            <v>11.07</v>
          </cell>
        </row>
        <row r="214">
          <cell r="B214" t="str">
            <v>Kab. Magetan</v>
          </cell>
          <cell r="C214">
            <v>10.7</v>
          </cell>
        </row>
        <row r="215">
          <cell r="B215" t="str">
            <v>Kab. Malang</v>
          </cell>
          <cell r="C215">
            <v>4</v>
          </cell>
        </row>
        <row r="216">
          <cell r="B216" t="str">
            <v>Kab. Mojokerto</v>
          </cell>
          <cell r="C216">
            <v>4</v>
          </cell>
        </row>
        <row r="217">
          <cell r="B217" t="str">
            <v>Kab. Nganjuk</v>
          </cell>
          <cell r="C217">
            <v>4</v>
          </cell>
        </row>
        <row r="218">
          <cell r="B218" t="str">
            <v>Kab. Ngawi</v>
          </cell>
          <cell r="C218">
            <v>11.51</v>
          </cell>
        </row>
        <row r="219">
          <cell r="B219" t="str">
            <v>Kab. Pacitan</v>
          </cell>
          <cell r="C219">
            <v>11.32</v>
          </cell>
        </row>
        <row r="220">
          <cell r="B220" t="str">
            <v>Kab. Pamekasan</v>
          </cell>
          <cell r="C220">
            <v>12.61</v>
          </cell>
        </row>
        <row r="221">
          <cell r="B221" t="str">
            <v>Kab. Pasuruan</v>
          </cell>
          <cell r="C221">
            <v>4</v>
          </cell>
        </row>
        <row r="222">
          <cell r="B222" t="str">
            <v>Kab. Ponorogo</v>
          </cell>
          <cell r="C222">
            <v>0</v>
          </cell>
        </row>
        <row r="223">
          <cell r="B223" t="str">
            <v xml:space="preserve">Kab. Probolinggo    </v>
          </cell>
          <cell r="C223">
            <v>12.58</v>
          </cell>
        </row>
        <row r="224">
          <cell r="B224" t="str">
            <v>Kab. Sampang</v>
          </cell>
          <cell r="C224">
            <v>11.84</v>
          </cell>
        </row>
        <row r="225">
          <cell r="B225" t="str">
            <v>Kab. Sidoarjo</v>
          </cell>
          <cell r="C225">
            <v>0</v>
          </cell>
        </row>
        <row r="226">
          <cell r="B226" t="str">
            <v>Kab. Situbondo</v>
          </cell>
          <cell r="C226">
            <v>13.73</v>
          </cell>
        </row>
        <row r="227">
          <cell r="B227" t="str">
            <v>Kab. Sumenep</v>
          </cell>
          <cell r="C227">
            <v>0</v>
          </cell>
        </row>
        <row r="228">
          <cell r="B228" t="str">
            <v>Kab. Trenggalek</v>
          </cell>
          <cell r="C228">
            <v>11.86</v>
          </cell>
        </row>
        <row r="229">
          <cell r="B229" t="str">
            <v>Kab. Tuban</v>
          </cell>
          <cell r="C229">
            <v>0</v>
          </cell>
        </row>
        <row r="230">
          <cell r="B230" t="str">
            <v>Kab. Tulungagung</v>
          </cell>
          <cell r="C230">
            <v>0</v>
          </cell>
        </row>
        <row r="231">
          <cell r="B231" t="str">
            <v>Kota Blitar</v>
          </cell>
          <cell r="C231">
            <v>7.03</v>
          </cell>
        </row>
        <row r="232">
          <cell r="B232" t="str">
            <v>Kota Kediri</v>
          </cell>
          <cell r="C232">
            <v>6.81</v>
          </cell>
        </row>
        <row r="233">
          <cell r="B233" t="str">
            <v>Kota Madiun</v>
          </cell>
          <cell r="C233">
            <v>6.84</v>
          </cell>
        </row>
        <row r="234">
          <cell r="B234" t="str">
            <v>Kota Malang</v>
          </cell>
          <cell r="C234">
            <v>7.78</v>
          </cell>
        </row>
        <row r="235">
          <cell r="B235" t="str">
            <v>Kota Mojokerto</v>
          </cell>
          <cell r="C235">
            <v>9.98</v>
          </cell>
        </row>
        <row r="236">
          <cell r="B236" t="str">
            <v xml:space="preserve">Kota Pasuruan </v>
          </cell>
          <cell r="C236">
            <v>11.06</v>
          </cell>
        </row>
        <row r="237">
          <cell r="B237" t="str">
            <v>Kota Probollinggo</v>
          </cell>
          <cell r="C237">
            <v>10.94</v>
          </cell>
        </row>
        <row r="238">
          <cell r="B238" t="str">
            <v>Kota Surabaya</v>
          </cell>
          <cell r="C238">
            <v>0</v>
          </cell>
        </row>
        <row r="239">
          <cell r="B239" t="str">
            <v>Kota Batu</v>
          </cell>
          <cell r="C239">
            <v>10.65</v>
          </cell>
        </row>
        <row r="240">
          <cell r="B240" t="str">
            <v>Prop. Kalimantan Barat</v>
          </cell>
        </row>
        <row r="241">
          <cell r="B241" t="str">
            <v>Kab. Bengkayang</v>
          </cell>
          <cell r="C241">
            <v>13.3</v>
          </cell>
        </row>
        <row r="242">
          <cell r="B242" t="str">
            <v>Kab. Landak</v>
          </cell>
          <cell r="C242">
            <v>17.760000000000002</v>
          </cell>
        </row>
        <row r="243">
          <cell r="B243" t="str">
            <v>Kab. Kapuas Hulu</v>
          </cell>
          <cell r="C243">
            <v>11.63</v>
          </cell>
        </row>
        <row r="244">
          <cell r="B244" t="str">
            <v>Kab. Ketapang</v>
          </cell>
          <cell r="C244">
            <v>14.61</v>
          </cell>
        </row>
        <row r="245">
          <cell r="B245" t="str">
            <v>Kab. Pontianak</v>
          </cell>
          <cell r="C245">
            <v>15.84</v>
          </cell>
        </row>
        <row r="246">
          <cell r="B246" t="str">
            <v>Kab. Sambas</v>
          </cell>
          <cell r="C246">
            <v>17.98</v>
          </cell>
        </row>
        <row r="247">
          <cell r="B247" t="str">
            <v>Kab. Sanggau</v>
          </cell>
          <cell r="C247">
            <v>14.81</v>
          </cell>
        </row>
        <row r="248">
          <cell r="B248" t="str">
            <v>Kab. Sintang</v>
          </cell>
          <cell r="C248">
            <v>13.16</v>
          </cell>
        </row>
        <row r="249">
          <cell r="B249" t="str">
            <v>Kota Pontianak</v>
          </cell>
          <cell r="C249">
            <v>9.15</v>
          </cell>
        </row>
        <row r="250">
          <cell r="B250" t="str">
            <v>Kota Singkawang</v>
          </cell>
          <cell r="C250">
            <v>9.67</v>
          </cell>
        </row>
        <row r="251">
          <cell r="B251" t="str">
            <v>Kab. Sekadau</v>
          </cell>
          <cell r="C251">
            <v>4</v>
          </cell>
        </row>
        <row r="252">
          <cell r="B252" t="str">
            <v>Kab. Melawi</v>
          </cell>
          <cell r="C252">
            <v>4</v>
          </cell>
        </row>
        <row r="253">
          <cell r="B253" t="str">
            <v>Prop. KalimantanTengah</v>
          </cell>
        </row>
        <row r="254">
          <cell r="B254" t="str">
            <v>Kab. Barito Selatan</v>
          </cell>
          <cell r="C254">
            <v>13.78</v>
          </cell>
        </row>
        <row r="255">
          <cell r="B255" t="str">
            <v>Kab. Barito Utara</v>
          </cell>
          <cell r="C255">
            <v>12.24</v>
          </cell>
        </row>
        <row r="256">
          <cell r="B256" t="str">
            <v>Kab. Kapuas</v>
          </cell>
          <cell r="C256">
            <v>16.329999999999998</v>
          </cell>
        </row>
        <row r="257">
          <cell r="B257" t="str">
            <v>Kab. Kotawaringin Barat</v>
          </cell>
          <cell r="C257">
            <v>14.83</v>
          </cell>
        </row>
        <row r="258">
          <cell r="B258" t="str">
            <v>Kab. Kotawaringin Timur</v>
          </cell>
          <cell r="C258">
            <v>14.66</v>
          </cell>
        </row>
        <row r="259">
          <cell r="B259" t="str">
            <v>Kota Palangkaraya</v>
          </cell>
          <cell r="C259">
            <v>9.58</v>
          </cell>
        </row>
        <row r="260">
          <cell r="B260" t="str">
            <v>Kab. Katingan</v>
          </cell>
          <cell r="C260">
            <v>9.92</v>
          </cell>
        </row>
        <row r="261">
          <cell r="B261" t="str">
            <v>Kab. Seruyan</v>
          </cell>
          <cell r="C261">
            <v>10.4</v>
          </cell>
        </row>
        <row r="262">
          <cell r="B262" t="str">
            <v>Kab. Sukamara</v>
          </cell>
          <cell r="C262">
            <v>13.75</v>
          </cell>
        </row>
        <row r="263">
          <cell r="B263" t="str">
            <v>Kab. Lamandau</v>
          </cell>
          <cell r="C263">
            <v>12.54</v>
          </cell>
        </row>
        <row r="264">
          <cell r="B264" t="str">
            <v>Kab. Gunung Mas</v>
          </cell>
          <cell r="C264">
            <v>13.44</v>
          </cell>
        </row>
        <row r="265">
          <cell r="B265" t="str">
            <v>Kab. Pulang Pisau</v>
          </cell>
          <cell r="C265">
            <v>12.48</v>
          </cell>
        </row>
        <row r="266">
          <cell r="B266" t="str">
            <v>Kab. Murung Raya</v>
          </cell>
          <cell r="C266">
            <v>8.73</v>
          </cell>
        </row>
        <row r="267">
          <cell r="B267" t="str">
            <v>Kab. Barito Timur</v>
          </cell>
          <cell r="C267">
            <v>12.13</v>
          </cell>
        </row>
        <row r="268">
          <cell r="B268" t="str">
            <v>Prop. Kalimantan Selatan</v>
          </cell>
        </row>
        <row r="269">
          <cell r="B269" t="str">
            <v xml:space="preserve">Kab. Banjar </v>
          </cell>
          <cell r="C269">
            <v>13.92</v>
          </cell>
        </row>
        <row r="270">
          <cell r="B270" t="str">
            <v>Kab. Barito Kuala</v>
          </cell>
          <cell r="C270">
            <v>15.43</v>
          </cell>
        </row>
        <row r="271">
          <cell r="B271" t="str">
            <v>Kab. Hulu Sungai Selatan</v>
          </cell>
          <cell r="C271">
            <v>13.63</v>
          </cell>
        </row>
        <row r="272">
          <cell r="B272" t="str">
            <v>Kab. Hulu Sungai Tengah</v>
          </cell>
          <cell r="C272">
            <v>18.59</v>
          </cell>
        </row>
        <row r="273">
          <cell r="B273" t="str">
            <v>Kab. Hulu Sungai Utara</v>
          </cell>
          <cell r="C273">
            <v>12</v>
          </cell>
        </row>
        <row r="274">
          <cell r="B274" t="str">
            <v>Kab. Kota Baru</v>
          </cell>
          <cell r="C274">
            <v>11.23</v>
          </cell>
        </row>
        <row r="275">
          <cell r="B275" t="str">
            <v>Kab. Tabalong</v>
          </cell>
          <cell r="C275">
            <v>13.14</v>
          </cell>
        </row>
        <row r="276">
          <cell r="B276" t="str">
            <v>Kab. Tanah Laut</v>
          </cell>
          <cell r="C276">
            <v>13.71</v>
          </cell>
        </row>
        <row r="277">
          <cell r="B277" t="str">
            <v>Kab. Tapin</v>
          </cell>
          <cell r="C277">
            <v>14.53</v>
          </cell>
        </row>
        <row r="278">
          <cell r="B278" t="str">
            <v>Kota Banjar Baru</v>
          </cell>
          <cell r="C278">
            <v>7.37</v>
          </cell>
        </row>
        <row r="279">
          <cell r="B279" t="str">
            <v xml:space="preserve">Kota Banjarmasin </v>
          </cell>
          <cell r="C279">
            <v>8.2799999999999994</v>
          </cell>
        </row>
        <row r="280">
          <cell r="B280" t="str">
            <v>Kab. Balangan</v>
          </cell>
          <cell r="C280">
            <v>9.65</v>
          </cell>
        </row>
        <row r="281">
          <cell r="B281" t="str">
            <v>Kab. Tanah Bumbu</v>
          </cell>
          <cell r="C281">
            <v>8.01</v>
          </cell>
        </row>
        <row r="282">
          <cell r="B282" t="str">
            <v>Prop. Kalimantan Timur</v>
          </cell>
        </row>
        <row r="283">
          <cell r="B283" t="str">
            <v>Kab. Berau</v>
          </cell>
          <cell r="C283">
            <v>4</v>
          </cell>
        </row>
        <row r="284">
          <cell r="B284" t="str">
            <v>Kab. Bulungan</v>
          </cell>
          <cell r="C284">
            <v>0</v>
          </cell>
        </row>
        <row r="285">
          <cell r="B285" t="str">
            <v>Kab.  Kutai</v>
          </cell>
          <cell r="C285">
            <v>0</v>
          </cell>
        </row>
        <row r="286">
          <cell r="B286" t="str">
            <v>Kab. Kutai Barat</v>
          </cell>
          <cell r="C286">
            <v>4</v>
          </cell>
        </row>
        <row r="287">
          <cell r="B287" t="str">
            <v>Kab. Kutai Timur</v>
          </cell>
          <cell r="C287">
            <v>4</v>
          </cell>
        </row>
        <row r="288">
          <cell r="B288" t="str">
            <v>Kab. Malinau</v>
          </cell>
          <cell r="C288">
            <v>4</v>
          </cell>
        </row>
        <row r="289">
          <cell r="B289" t="str">
            <v>Kab. Nunukan</v>
          </cell>
          <cell r="C289">
            <v>14.37</v>
          </cell>
        </row>
        <row r="290">
          <cell r="B290" t="str">
            <v>Kab. Pasir</v>
          </cell>
          <cell r="C290">
            <v>9.77</v>
          </cell>
        </row>
        <row r="291">
          <cell r="B291" t="str">
            <v>Kota Balikpapan</v>
          </cell>
          <cell r="C291">
            <v>0</v>
          </cell>
        </row>
        <row r="292">
          <cell r="B292" t="str">
            <v>Kota Bontang</v>
          </cell>
          <cell r="C292">
            <v>4</v>
          </cell>
        </row>
        <row r="293">
          <cell r="B293" t="str">
            <v>Kota Samarinda</v>
          </cell>
          <cell r="C293">
            <v>4</v>
          </cell>
        </row>
        <row r="294">
          <cell r="B294" t="str">
            <v>Kota Tarakan</v>
          </cell>
          <cell r="C294">
            <v>4</v>
          </cell>
        </row>
        <row r="295">
          <cell r="B295" t="str">
            <v>Kab. Penajam Paser Utara</v>
          </cell>
          <cell r="C295">
            <v>4</v>
          </cell>
        </row>
        <row r="296">
          <cell r="B296" t="str">
            <v>Prop. Sulawesi Utara</v>
          </cell>
        </row>
        <row r="297">
          <cell r="B297" t="str">
            <v>Kab. Bolaang Mongondow</v>
          </cell>
          <cell r="C297">
            <v>15.49</v>
          </cell>
        </row>
        <row r="298">
          <cell r="B298" t="str">
            <v xml:space="preserve">Kab. Minahasa </v>
          </cell>
          <cell r="C298">
            <v>18.510000000000002</v>
          </cell>
        </row>
        <row r="299">
          <cell r="B299" t="str">
            <v xml:space="preserve">Kab. Sangihe </v>
          </cell>
          <cell r="C299">
            <v>18.260000000000002</v>
          </cell>
        </row>
        <row r="300">
          <cell r="B300" t="str">
            <v>Kota Bitung</v>
          </cell>
          <cell r="C300">
            <v>8.7899999999999991</v>
          </cell>
        </row>
        <row r="301">
          <cell r="B301" t="str">
            <v>Kota Manado</v>
          </cell>
          <cell r="C301">
            <v>8.26</v>
          </cell>
        </row>
        <row r="302">
          <cell r="B302" t="str">
            <v>Kab. Kepulauan Talaud</v>
          </cell>
          <cell r="C302">
            <v>15.83</v>
          </cell>
        </row>
        <row r="303">
          <cell r="B303" t="str">
            <v>Kab. Minahasa Selatan</v>
          </cell>
          <cell r="C303">
            <v>9.77</v>
          </cell>
        </row>
        <row r="304">
          <cell r="B304" t="str">
            <v>Kota Tomohon</v>
          </cell>
          <cell r="C304">
            <v>7.29</v>
          </cell>
        </row>
        <row r="305">
          <cell r="B305" t="str">
            <v>Kab. Minahasa Utara</v>
          </cell>
          <cell r="C305">
            <v>8</v>
          </cell>
        </row>
        <row r="306">
          <cell r="B306" t="str">
            <v>Prop. Sulawesi Tengah</v>
          </cell>
        </row>
        <row r="307">
          <cell r="B307" t="str">
            <v>Kab. Banggai</v>
          </cell>
          <cell r="C307">
            <v>12.86</v>
          </cell>
        </row>
        <row r="308">
          <cell r="B308" t="str">
            <v>Kab. Banggai Kepulauan</v>
          </cell>
          <cell r="C308">
            <v>12.85</v>
          </cell>
        </row>
        <row r="309">
          <cell r="B309" t="str">
            <v xml:space="preserve">Kab. Buol </v>
          </cell>
          <cell r="C309">
            <v>9.7899999999999991</v>
          </cell>
        </row>
        <row r="310">
          <cell r="B310" t="str">
            <v>Kab. Toli-Toli</v>
          </cell>
          <cell r="C310">
            <v>12.73</v>
          </cell>
        </row>
        <row r="311">
          <cell r="B311" t="str">
            <v>Kab. Donggala</v>
          </cell>
          <cell r="C311">
            <v>19.61</v>
          </cell>
        </row>
        <row r="312">
          <cell r="B312" t="str">
            <v>Kab. Morowali</v>
          </cell>
          <cell r="C312">
            <v>12.37</v>
          </cell>
        </row>
        <row r="313">
          <cell r="B313" t="str">
            <v>Kab. Poso</v>
          </cell>
          <cell r="C313">
            <v>13.9</v>
          </cell>
        </row>
        <row r="314">
          <cell r="B314" t="str">
            <v>Kota Palu</v>
          </cell>
          <cell r="C314">
            <v>9.65</v>
          </cell>
        </row>
        <row r="315">
          <cell r="B315" t="str">
            <v>Kab. Parigi Moutong</v>
          </cell>
          <cell r="C315">
            <v>11.95</v>
          </cell>
        </row>
        <row r="316">
          <cell r="B316" t="str">
            <v>Kab. Tojo Una Una</v>
          </cell>
          <cell r="C316">
            <v>4</v>
          </cell>
        </row>
        <row r="317">
          <cell r="B317" t="str">
            <v>Prop. Sulawesi Selatan</v>
          </cell>
        </row>
        <row r="318">
          <cell r="B318" t="str">
            <v>Kab. Bantaeng</v>
          </cell>
          <cell r="C318">
            <v>11.63</v>
          </cell>
        </row>
        <row r="319">
          <cell r="B319" t="str">
            <v>Kab. Barru</v>
          </cell>
          <cell r="C319">
            <v>11.66</v>
          </cell>
        </row>
        <row r="320">
          <cell r="B320" t="str">
            <v xml:space="preserve">Kab. Bone </v>
          </cell>
          <cell r="C320">
            <v>14.29</v>
          </cell>
        </row>
        <row r="321">
          <cell r="B321" t="str">
            <v xml:space="preserve">Kab. Bulukumba   </v>
          </cell>
          <cell r="C321">
            <v>12.77</v>
          </cell>
        </row>
        <row r="322">
          <cell r="B322" t="str">
            <v>Kab. Enrekang</v>
          </cell>
          <cell r="C322">
            <v>9.86</v>
          </cell>
        </row>
        <row r="323">
          <cell r="B323" t="str">
            <v>Kab. G o w a</v>
          </cell>
          <cell r="C323">
            <v>13.66</v>
          </cell>
        </row>
        <row r="324">
          <cell r="B324" t="str">
            <v>Kab. Jeneponto</v>
          </cell>
          <cell r="C324">
            <v>12.78</v>
          </cell>
        </row>
        <row r="325">
          <cell r="B325" t="str">
            <v>Kab. Luwu</v>
          </cell>
          <cell r="C325">
            <v>16.18</v>
          </cell>
        </row>
        <row r="326">
          <cell r="B326" t="str">
            <v>Kab. Luwu Utara</v>
          </cell>
          <cell r="C326">
            <v>10.14</v>
          </cell>
        </row>
        <row r="327">
          <cell r="B327" t="str">
            <v xml:space="preserve">Kab. Majene    </v>
          </cell>
          <cell r="C327">
            <v>11.94</v>
          </cell>
        </row>
        <row r="328">
          <cell r="B328" t="str">
            <v>Kab. Mamuju</v>
          </cell>
          <cell r="C328">
            <v>12.61</v>
          </cell>
        </row>
        <row r="329">
          <cell r="B329" t="str">
            <v xml:space="preserve">Kab. M a r o s </v>
          </cell>
          <cell r="C329">
            <v>13.44</v>
          </cell>
        </row>
        <row r="330">
          <cell r="B330" t="str">
            <v>Kab. Pangkajene Kepulauan</v>
          </cell>
          <cell r="C330">
            <v>12.8</v>
          </cell>
        </row>
        <row r="331">
          <cell r="B331" t="str">
            <v>Kab. Pinrang</v>
          </cell>
          <cell r="C331">
            <v>14.52</v>
          </cell>
        </row>
        <row r="332">
          <cell r="B332" t="str">
            <v>Kab. Polewali Mamasa</v>
          </cell>
          <cell r="C332">
            <v>13.47</v>
          </cell>
        </row>
        <row r="333">
          <cell r="B333" t="str">
            <v>Kab. Selayar</v>
          </cell>
          <cell r="C333">
            <v>10.45</v>
          </cell>
        </row>
        <row r="334">
          <cell r="B334" t="str">
            <v xml:space="preserve">Kab. Sidenreng Rappang </v>
          </cell>
          <cell r="C334">
            <v>13.86</v>
          </cell>
        </row>
        <row r="335">
          <cell r="B335" t="str">
            <v>Kab. Sinjai</v>
          </cell>
          <cell r="C335">
            <v>12.38</v>
          </cell>
        </row>
        <row r="336">
          <cell r="B336" t="str">
            <v>Kab. Soppeng</v>
          </cell>
          <cell r="C336">
            <v>12.74</v>
          </cell>
        </row>
        <row r="337">
          <cell r="B337" t="str">
            <v xml:space="preserve">Kab. Takalar </v>
          </cell>
          <cell r="C337">
            <v>13.34</v>
          </cell>
        </row>
        <row r="338">
          <cell r="B338" t="str">
            <v>Kab. Tana Toraja</v>
          </cell>
          <cell r="C338">
            <v>12.67</v>
          </cell>
        </row>
        <row r="339">
          <cell r="B339" t="str">
            <v>Kab. Wajo</v>
          </cell>
          <cell r="C339">
            <v>14.12</v>
          </cell>
        </row>
        <row r="340">
          <cell r="B340" t="str">
            <v>Kota Pare-Pare</v>
          </cell>
          <cell r="C340">
            <v>7.9</v>
          </cell>
        </row>
        <row r="341">
          <cell r="B341" t="str">
            <v>Kota Makassar</v>
          </cell>
          <cell r="C341">
            <v>0</v>
          </cell>
        </row>
        <row r="342">
          <cell r="B342" t="str">
            <v>Kab. Mamasa</v>
          </cell>
          <cell r="C342">
            <v>10.86</v>
          </cell>
        </row>
        <row r="343">
          <cell r="B343" t="str">
            <v>Kota Palopo</v>
          </cell>
          <cell r="C343">
            <v>11.92</v>
          </cell>
        </row>
        <row r="344">
          <cell r="B344" t="str">
            <v>Kab. Luwu Timur</v>
          </cell>
          <cell r="C344">
            <v>11.89</v>
          </cell>
        </row>
        <row r="345">
          <cell r="B345" t="str">
            <v>Kab. Mamuju Utara</v>
          </cell>
          <cell r="C345">
            <v>7.52</v>
          </cell>
        </row>
        <row r="346">
          <cell r="B346" t="str">
            <v>Prop. Sulawesi Tenggara</v>
          </cell>
        </row>
        <row r="347">
          <cell r="B347" t="str">
            <v>Kab. Buton</v>
          </cell>
          <cell r="C347">
            <v>17.39</v>
          </cell>
        </row>
        <row r="348">
          <cell r="B348" t="str">
            <v>Kab. Kendari</v>
          </cell>
          <cell r="C348">
            <v>14.87</v>
          </cell>
        </row>
        <row r="349">
          <cell r="B349" t="str">
            <v>Kab. Kolaka</v>
          </cell>
          <cell r="C349">
            <v>14.29</v>
          </cell>
        </row>
        <row r="350">
          <cell r="B350" t="str">
            <v>Kab. Muna</v>
          </cell>
          <cell r="C350">
            <v>14.5</v>
          </cell>
        </row>
        <row r="351">
          <cell r="B351" t="str">
            <v>Kota Kendari</v>
          </cell>
          <cell r="C351">
            <v>8.15</v>
          </cell>
        </row>
        <row r="352">
          <cell r="B352" t="str">
            <v>Kota Bau-bau</v>
          </cell>
          <cell r="C352">
            <v>8.1999999999999993</v>
          </cell>
        </row>
        <row r="353">
          <cell r="B353" t="str">
            <v>Kab. Konawe Selatan</v>
          </cell>
          <cell r="C353">
            <v>12.29</v>
          </cell>
        </row>
        <row r="354">
          <cell r="B354" t="str">
            <v>Kab. Bombana</v>
          </cell>
          <cell r="C354">
            <v>4</v>
          </cell>
        </row>
        <row r="355">
          <cell r="B355" t="str">
            <v>Kab. Wakatobi</v>
          </cell>
          <cell r="C355">
            <v>4</v>
          </cell>
        </row>
        <row r="356">
          <cell r="B356" t="str">
            <v>Kab. Kolaka Utara</v>
          </cell>
          <cell r="C356">
            <v>4</v>
          </cell>
        </row>
        <row r="357">
          <cell r="B357" t="str">
            <v>Prop. Bali</v>
          </cell>
        </row>
        <row r="358">
          <cell r="B358" t="str">
            <v>Kab. Badung</v>
          </cell>
        </row>
        <row r="359">
          <cell r="B359" t="str">
            <v>Kab. Bangli</v>
          </cell>
          <cell r="C359">
            <v>9.92</v>
          </cell>
        </row>
        <row r="360">
          <cell r="B360" t="str">
            <v>Kab. Buleleng</v>
          </cell>
          <cell r="C360">
            <v>13.35</v>
          </cell>
        </row>
        <row r="361">
          <cell r="B361" t="str">
            <v xml:space="preserve">Kab. Gianyar </v>
          </cell>
          <cell r="C361">
            <v>12.62</v>
          </cell>
        </row>
        <row r="362">
          <cell r="B362" t="str">
            <v>Kab. Jembrana</v>
          </cell>
          <cell r="C362">
            <v>12.73</v>
          </cell>
        </row>
        <row r="363">
          <cell r="B363" t="str">
            <v xml:space="preserve">Kab. Karangasem   </v>
          </cell>
          <cell r="C363">
            <v>11.38</v>
          </cell>
        </row>
        <row r="364">
          <cell r="B364" t="str">
            <v>Kab. Klungkung</v>
          </cell>
          <cell r="C364">
            <v>9.75</v>
          </cell>
        </row>
        <row r="365">
          <cell r="B365" t="str">
            <v>Kab. Tabanan</v>
          </cell>
          <cell r="C365">
            <v>13.04</v>
          </cell>
        </row>
        <row r="366">
          <cell r="B366" t="str">
            <v>Kota Denpasar</v>
          </cell>
          <cell r="C366">
            <v>7.42</v>
          </cell>
        </row>
        <row r="367">
          <cell r="B367" t="str">
            <v>Prop. NTB</v>
          </cell>
        </row>
        <row r="368">
          <cell r="B368" t="str">
            <v>Kab. Bima</v>
          </cell>
          <cell r="C368">
            <v>13.27</v>
          </cell>
        </row>
        <row r="369">
          <cell r="B369" t="str">
            <v>Kab. Dompu</v>
          </cell>
          <cell r="C369">
            <v>12.11</v>
          </cell>
        </row>
        <row r="370">
          <cell r="B370" t="str">
            <v>Kab. Lombok Barat</v>
          </cell>
          <cell r="C370">
            <v>12.59</v>
          </cell>
        </row>
        <row r="371">
          <cell r="B371" t="str">
            <v>Kab. Lombok Tengah</v>
          </cell>
          <cell r="C371">
            <v>14.47</v>
          </cell>
        </row>
        <row r="372">
          <cell r="B372" t="str">
            <v>Kab. Lombok Timur</v>
          </cell>
          <cell r="C372">
            <v>14.13</v>
          </cell>
        </row>
        <row r="373">
          <cell r="B373" t="str">
            <v>Kab. Sumbawa</v>
          </cell>
          <cell r="C373">
            <v>12.98</v>
          </cell>
        </row>
        <row r="374">
          <cell r="B374" t="str">
            <v>Kota Mataram</v>
          </cell>
          <cell r="C374">
            <v>7.91</v>
          </cell>
        </row>
        <row r="375">
          <cell r="B375" t="str">
            <v>Kota Bima</v>
          </cell>
          <cell r="C375">
            <v>11.82</v>
          </cell>
        </row>
        <row r="376">
          <cell r="B376" t="str">
            <v>Kab. Sumbawa Barat</v>
          </cell>
          <cell r="C376">
            <v>4</v>
          </cell>
        </row>
        <row r="377">
          <cell r="B377" t="str">
            <v>Prop. NTT</v>
          </cell>
        </row>
        <row r="378">
          <cell r="B378" t="str">
            <v>Kab. Alor</v>
          </cell>
          <cell r="C378">
            <v>11.91</v>
          </cell>
        </row>
        <row r="379">
          <cell r="B379" t="str">
            <v>Kab. Belu</v>
          </cell>
          <cell r="C379">
            <v>13.96</v>
          </cell>
        </row>
        <row r="380">
          <cell r="B380" t="str">
            <v>Kab. Ende</v>
          </cell>
          <cell r="C380">
            <v>13.74</v>
          </cell>
        </row>
        <row r="381">
          <cell r="B381" t="str">
            <v>Kab. Flores Timur</v>
          </cell>
          <cell r="C381">
            <v>13.23</v>
          </cell>
        </row>
        <row r="382">
          <cell r="B382" t="str">
            <v>Kab. Kupang</v>
          </cell>
          <cell r="C382">
            <v>18.66</v>
          </cell>
        </row>
        <row r="383">
          <cell r="B383" t="str">
            <v>Kab. Lembata</v>
          </cell>
          <cell r="C383">
            <v>12.7</v>
          </cell>
        </row>
        <row r="384">
          <cell r="B384" t="str">
            <v>Kab. Manggarai</v>
          </cell>
          <cell r="C384">
            <v>14.42</v>
          </cell>
        </row>
        <row r="385">
          <cell r="B385" t="str">
            <v>Kab. Ngada</v>
          </cell>
          <cell r="C385">
            <v>13.87</v>
          </cell>
        </row>
        <row r="386">
          <cell r="B386" t="str">
            <v>Kab. Sikka</v>
          </cell>
          <cell r="C386">
            <v>11.64</v>
          </cell>
        </row>
        <row r="387">
          <cell r="B387" t="str">
            <v>Kab. Sumba Barat</v>
          </cell>
          <cell r="C387">
            <v>14.27</v>
          </cell>
        </row>
        <row r="388">
          <cell r="B388" t="str">
            <v>Kab. Sumba Timur</v>
          </cell>
          <cell r="C388">
            <v>11.63</v>
          </cell>
        </row>
        <row r="389">
          <cell r="B389" t="str">
            <v>Kab. Timor Tengah Selatan</v>
          </cell>
          <cell r="C389">
            <v>14.3</v>
          </cell>
        </row>
        <row r="390">
          <cell r="B390" t="str">
            <v>Kab. Timor Tengah Utara</v>
          </cell>
          <cell r="C390">
            <v>13.89</v>
          </cell>
        </row>
        <row r="391">
          <cell r="B391" t="str">
            <v>Kota Kupang</v>
          </cell>
          <cell r="C391">
            <v>9.0399999999999991</v>
          </cell>
        </row>
        <row r="392">
          <cell r="B392" t="str">
            <v>Kab. Rote Ndao</v>
          </cell>
          <cell r="C392">
            <v>15.52</v>
          </cell>
        </row>
        <row r="393">
          <cell r="B393" t="str">
            <v>Kab. Manggarai Barat</v>
          </cell>
          <cell r="C393">
            <v>10.14</v>
          </cell>
        </row>
        <row r="394">
          <cell r="B394" t="str">
            <v>Prop. Maluku</v>
          </cell>
        </row>
        <row r="395">
          <cell r="B395" t="str">
            <v>Kab. Maluku Tenggara Barat</v>
          </cell>
          <cell r="C395">
            <v>11.36</v>
          </cell>
        </row>
        <row r="396">
          <cell r="B396" t="str">
            <v>Kab. Maluku Tengah</v>
          </cell>
          <cell r="C396">
            <v>16.2</v>
          </cell>
        </row>
        <row r="397">
          <cell r="B397" t="str">
            <v>Kab. Maluku Tenggara</v>
          </cell>
          <cell r="C397">
            <v>12.69</v>
          </cell>
        </row>
        <row r="398">
          <cell r="B398" t="str">
            <v>Kab. Pulau Buru</v>
          </cell>
          <cell r="C398">
            <v>13.06</v>
          </cell>
        </row>
        <row r="399">
          <cell r="B399" t="str">
            <v>Kab. Kepulauan Aru</v>
          </cell>
          <cell r="C399">
            <v>8</v>
          </cell>
        </row>
        <row r="400">
          <cell r="B400" t="str">
            <v>Kab. Seram Bagian Barat</v>
          </cell>
          <cell r="C400">
            <v>8</v>
          </cell>
        </row>
        <row r="401">
          <cell r="B401" t="str">
            <v>Kab. Seram Bagian Timur</v>
          </cell>
          <cell r="C401">
            <v>8</v>
          </cell>
        </row>
        <row r="402">
          <cell r="B402" t="str">
            <v>Kota Ambon</v>
          </cell>
          <cell r="C402">
            <v>9.16</v>
          </cell>
        </row>
        <row r="403">
          <cell r="B403" t="str">
            <v>Prop. Papua</v>
          </cell>
        </row>
        <row r="404">
          <cell r="B404" t="str">
            <v>Kab. Biak Numfor</v>
          </cell>
          <cell r="C404">
            <v>11.31</v>
          </cell>
        </row>
        <row r="405">
          <cell r="B405" t="str">
            <v>Kab. Jayapura</v>
          </cell>
          <cell r="C405">
            <v>13.42</v>
          </cell>
        </row>
        <row r="406">
          <cell r="B406" t="str">
            <v>Kab. Jayawijaya</v>
          </cell>
          <cell r="C406">
            <v>14.97</v>
          </cell>
        </row>
        <row r="407">
          <cell r="B407" t="str">
            <v>Kab. Merauke</v>
          </cell>
          <cell r="C407">
            <v>16.45</v>
          </cell>
        </row>
        <row r="408">
          <cell r="B408" t="str">
            <v>Kab. Mimika</v>
          </cell>
          <cell r="C408">
            <v>14</v>
          </cell>
        </row>
        <row r="409">
          <cell r="B409" t="str">
            <v>Kab. Nabire</v>
          </cell>
          <cell r="C409">
            <v>16.71</v>
          </cell>
        </row>
        <row r="410">
          <cell r="B410" t="str">
            <v>Kab. Paniai</v>
          </cell>
          <cell r="C410">
            <v>12.62</v>
          </cell>
        </row>
        <row r="411">
          <cell r="B411" t="str">
            <v>Kab. Puncak Jaya</v>
          </cell>
          <cell r="C411">
            <v>8.66</v>
          </cell>
        </row>
        <row r="412">
          <cell r="B412" t="str">
            <v>Kab. Yapen Waropen</v>
          </cell>
          <cell r="C412">
            <v>10</v>
          </cell>
        </row>
        <row r="413">
          <cell r="B413" t="str">
            <v>Kota Jayapura</v>
          </cell>
          <cell r="C413">
            <v>8.59</v>
          </cell>
        </row>
        <row r="414">
          <cell r="B414" t="str">
            <v>Kab. Sarmi</v>
          </cell>
          <cell r="C414">
            <v>8.65</v>
          </cell>
        </row>
        <row r="415">
          <cell r="B415" t="str">
            <v>Kab. Keerom</v>
          </cell>
          <cell r="C415">
            <v>8.23</v>
          </cell>
        </row>
        <row r="416">
          <cell r="B416" t="str">
            <v>Kab. Yahukimo</v>
          </cell>
          <cell r="C416">
            <v>9.15</v>
          </cell>
        </row>
        <row r="417">
          <cell r="B417" t="str">
            <v>Kab. Pegunungan Bintang</v>
          </cell>
          <cell r="C417">
            <v>9.77</v>
          </cell>
        </row>
        <row r="418">
          <cell r="B418" t="str">
            <v>Kab. Tolikara</v>
          </cell>
          <cell r="C418">
            <v>9.7100000000000009</v>
          </cell>
        </row>
        <row r="419">
          <cell r="B419" t="str">
            <v>Kab. Boven Digoel</v>
          </cell>
          <cell r="C419">
            <v>9.2200000000000006</v>
          </cell>
        </row>
        <row r="420">
          <cell r="B420" t="str">
            <v>Kab. Mappi</v>
          </cell>
          <cell r="C420">
            <v>10.55</v>
          </cell>
        </row>
        <row r="421">
          <cell r="B421" t="str">
            <v>Kab. Asmat</v>
          </cell>
          <cell r="C421">
            <v>9.65</v>
          </cell>
        </row>
        <row r="422">
          <cell r="B422" t="str">
            <v>Kab. Waropen</v>
          </cell>
          <cell r="C422">
            <v>8.58</v>
          </cell>
        </row>
        <row r="423">
          <cell r="B423" t="str">
            <v>Kab. Supiori</v>
          </cell>
          <cell r="C423">
            <v>8</v>
          </cell>
        </row>
        <row r="424">
          <cell r="B424" t="str">
            <v>Prop. Maluku Utara</v>
          </cell>
        </row>
        <row r="425">
          <cell r="B425" t="str">
            <v>Kab. Halmahera Tengah</v>
          </cell>
          <cell r="C425">
            <v>12.42</v>
          </cell>
        </row>
        <row r="426">
          <cell r="B426" t="str">
            <v>Kab. Halmahera Barat</v>
          </cell>
          <cell r="C426">
            <v>12.32</v>
          </cell>
        </row>
        <row r="427">
          <cell r="B427" t="str">
            <v>Kota Ternate</v>
          </cell>
          <cell r="C427">
            <v>13.16</v>
          </cell>
        </row>
        <row r="428">
          <cell r="B428" t="str">
            <v>Kab. Halmahera Timur</v>
          </cell>
          <cell r="C428">
            <v>9.76</v>
          </cell>
        </row>
        <row r="429">
          <cell r="B429" t="str">
            <v>Kota Tidore Kepulauan</v>
          </cell>
          <cell r="C429">
            <v>8.51</v>
          </cell>
        </row>
        <row r="430">
          <cell r="B430" t="str">
            <v>Kab. Kepulauan Sula</v>
          </cell>
          <cell r="C430">
            <v>10.54</v>
          </cell>
        </row>
        <row r="431">
          <cell r="B431" t="str">
            <v>Kab. Halmahera Selatan</v>
          </cell>
          <cell r="C431">
            <v>10.7</v>
          </cell>
        </row>
        <row r="432">
          <cell r="B432" t="str">
            <v>Kab. Halmahera Utara</v>
          </cell>
          <cell r="C432">
            <v>10.7</v>
          </cell>
        </row>
        <row r="433">
          <cell r="B433" t="str">
            <v>Prop. Banten</v>
          </cell>
        </row>
        <row r="434">
          <cell r="B434" t="str">
            <v>Kab. Lebak</v>
          </cell>
          <cell r="C434">
            <v>20.12</v>
          </cell>
        </row>
        <row r="435">
          <cell r="B435" t="str">
            <v>Kab. Pandeglang</v>
          </cell>
          <cell r="C435">
            <v>18.11</v>
          </cell>
        </row>
        <row r="436">
          <cell r="B436" t="str">
            <v>Kab. Serang</v>
          </cell>
          <cell r="C436">
            <v>4</v>
          </cell>
        </row>
        <row r="437">
          <cell r="B437" t="str">
            <v>Kab. Tangerang</v>
          </cell>
          <cell r="C437">
            <v>4</v>
          </cell>
        </row>
        <row r="438">
          <cell r="B438" t="str">
            <v>Kota Cilegon</v>
          </cell>
          <cell r="C438">
            <v>4</v>
          </cell>
        </row>
        <row r="439">
          <cell r="B439" t="str">
            <v>Kota Tangerang</v>
          </cell>
          <cell r="C439">
            <v>0</v>
          </cell>
        </row>
        <row r="440">
          <cell r="B440" t="str">
            <v>Prop. Bangka Belitung</v>
          </cell>
        </row>
        <row r="441">
          <cell r="B441" t="str">
            <v>Kab. Bangka</v>
          </cell>
          <cell r="C441">
            <v>11.58</v>
          </cell>
        </row>
        <row r="442">
          <cell r="B442" t="str">
            <v>Kab. Belitung</v>
          </cell>
          <cell r="C442">
            <v>12.63</v>
          </cell>
        </row>
        <row r="443">
          <cell r="B443" t="str">
            <v xml:space="preserve">Kota Pangkal Pinang </v>
          </cell>
          <cell r="C443">
            <v>8.2899999999999991</v>
          </cell>
        </row>
        <row r="444">
          <cell r="B444" t="str">
            <v>Kab. Bangka Selatan</v>
          </cell>
          <cell r="C444">
            <v>0</v>
          </cell>
        </row>
        <row r="445">
          <cell r="B445" t="str">
            <v>Kab. Bangka Tengah</v>
          </cell>
          <cell r="C445">
            <v>0</v>
          </cell>
        </row>
        <row r="446">
          <cell r="B446" t="str">
            <v>Kab. Bangka Barat</v>
          </cell>
          <cell r="C446">
            <v>0</v>
          </cell>
        </row>
        <row r="447">
          <cell r="B447" t="str">
            <v>Kab. Belitung Timur</v>
          </cell>
          <cell r="C447">
            <v>9.2799999999999994</v>
          </cell>
        </row>
        <row r="448">
          <cell r="B448" t="str">
            <v>Prop. Gorontalo</v>
          </cell>
        </row>
        <row r="449">
          <cell r="B449" t="str">
            <v>Kab. Boalemo</v>
          </cell>
          <cell r="C449">
            <v>11.77</v>
          </cell>
        </row>
        <row r="450">
          <cell r="B450" t="str">
            <v xml:space="preserve">Kab. Gorontalo   </v>
          </cell>
          <cell r="C450">
            <v>14.22</v>
          </cell>
        </row>
        <row r="451">
          <cell r="B451" t="str">
            <v>Kota Gorontalo</v>
          </cell>
          <cell r="C451">
            <v>8.08</v>
          </cell>
        </row>
        <row r="452">
          <cell r="B452" t="str">
            <v>Kab. Pohuwato</v>
          </cell>
          <cell r="C452">
            <v>11.2</v>
          </cell>
        </row>
        <row r="453">
          <cell r="B453" t="str">
            <v>Kab. Bone Bolango</v>
          </cell>
          <cell r="C453">
            <v>11.23</v>
          </cell>
        </row>
        <row r="454">
          <cell r="B454" t="str">
            <v>Prop. Kepulauan Riau</v>
          </cell>
          <cell r="C454">
            <v>10</v>
          </cell>
        </row>
        <row r="455">
          <cell r="B455" t="str">
            <v>Kab. Kepulauan Riau</v>
          </cell>
          <cell r="C455">
            <v>0</v>
          </cell>
        </row>
        <row r="456">
          <cell r="B456" t="str">
            <v>Kab. Natuna</v>
          </cell>
          <cell r="C456">
            <v>0</v>
          </cell>
        </row>
        <row r="457">
          <cell r="B457" t="str">
            <v>Kab. Karimun</v>
          </cell>
          <cell r="C457">
            <v>8.56</v>
          </cell>
        </row>
        <row r="458">
          <cell r="B458" t="str">
            <v>Kota  Batam</v>
          </cell>
          <cell r="C458">
            <v>0</v>
          </cell>
        </row>
        <row r="459">
          <cell r="B459" t="str">
            <v>Kota Tanjung Pinang</v>
          </cell>
          <cell r="C459">
            <v>0</v>
          </cell>
        </row>
        <row r="460">
          <cell r="B460" t="str">
            <v>Kab. Lingga</v>
          </cell>
          <cell r="C460">
            <v>4</v>
          </cell>
        </row>
        <row r="461">
          <cell r="B461" t="str">
            <v>Prop. Irian Jaya Barat</v>
          </cell>
          <cell r="C461">
            <v>10</v>
          </cell>
        </row>
        <row r="462">
          <cell r="B462" t="str">
            <v>Kab. Sorong</v>
          </cell>
          <cell r="C462">
            <v>17.329999999999998</v>
          </cell>
        </row>
        <row r="463">
          <cell r="B463" t="str">
            <v>Kab. Manokwari</v>
          </cell>
          <cell r="C463">
            <v>14.74</v>
          </cell>
        </row>
        <row r="464">
          <cell r="B464" t="str">
            <v>Kab. Fak Fak</v>
          </cell>
          <cell r="C464">
            <v>10.52</v>
          </cell>
        </row>
        <row r="465">
          <cell r="B465" t="str">
            <v>Kab. Raja Ampat</v>
          </cell>
          <cell r="C465">
            <v>10.62</v>
          </cell>
        </row>
        <row r="466">
          <cell r="B466" t="str">
            <v>Kab. Teluk Bintuni</v>
          </cell>
          <cell r="C466">
            <v>9.6199999999999992</v>
          </cell>
        </row>
        <row r="467">
          <cell r="B467" t="str">
            <v>Kab. Teluk Wondama</v>
          </cell>
          <cell r="C467">
            <v>10.17</v>
          </cell>
        </row>
        <row r="468">
          <cell r="B468" t="str">
            <v>Kab. Kaimana</v>
          </cell>
          <cell r="C468">
            <v>9.1300000000000008</v>
          </cell>
        </row>
        <row r="469">
          <cell r="B469" t="str">
            <v>Kab. Sorong Selatan</v>
          </cell>
          <cell r="C469">
            <v>8.48</v>
          </cell>
        </row>
        <row r="470">
          <cell r="B470" t="str">
            <v>Kota Sorong</v>
          </cell>
          <cell r="C470">
            <v>8.4499999999999993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Belpegawai input"/>
      <sheetName val="total pph-sda"/>
      <sheetName val="DATA Input"/>
      <sheetName val="2001-2004"/>
      <sheetName val="DATA LW - DDN"/>
      <sheetName val="Banding All"/>
      <sheetName val="BP"/>
    </sheetNames>
    <sheetDataSet>
      <sheetData sheetId="0"/>
      <sheetData sheetId="1"/>
      <sheetData sheetId="2">
        <row r="11">
          <cell r="G11" t="str">
            <v>Provinsi Nanggroe Aceh Darussalam</v>
          </cell>
        </row>
        <row r="12">
          <cell r="G12" t="str">
            <v>Kab. Aceh Barat</v>
          </cell>
        </row>
        <row r="13">
          <cell r="G13" t="str">
            <v>Kab. Aceh Besar</v>
          </cell>
        </row>
        <row r="14">
          <cell r="G14" t="str">
            <v>Kab. Aceh Selatan</v>
          </cell>
        </row>
        <row r="15">
          <cell r="G15" t="str">
            <v>Kab. Aceh Singkil</v>
          </cell>
        </row>
        <row r="16">
          <cell r="G16" t="str">
            <v>Kab. Aceh Tengah</v>
          </cell>
          <cell r="H16">
            <v>4318.3900000000003</v>
          </cell>
          <cell r="I16">
            <v>165.33199999999999</v>
          </cell>
          <cell r="M16">
            <v>0.9</v>
          </cell>
          <cell r="N16">
            <v>6.9822600000000001</v>
          </cell>
          <cell r="O16">
            <v>0.6</v>
          </cell>
          <cell r="P16">
            <v>0.06</v>
          </cell>
          <cell r="Q16">
            <v>8.0615489159999996</v>
          </cell>
          <cell r="R16">
            <v>0.3</v>
          </cell>
          <cell r="S16">
            <v>0.5</v>
          </cell>
          <cell r="T16">
            <v>5.3635006599999997</v>
          </cell>
          <cell r="V16">
            <v>3823</v>
          </cell>
          <cell r="X16">
            <v>6.0029562839999997</v>
          </cell>
        </row>
        <row r="17">
          <cell r="G17" t="str">
            <v>Kab. Aceh Tenggara</v>
          </cell>
        </row>
        <row r="18">
          <cell r="G18" t="str">
            <v>Kab. Aceh Timur</v>
          </cell>
        </row>
        <row r="19">
          <cell r="G19" t="str">
            <v>Kab. Aceh Utara</v>
          </cell>
        </row>
        <row r="20">
          <cell r="G20" t="str">
            <v>Kab. Bireuen</v>
          </cell>
        </row>
        <row r="21">
          <cell r="G21" t="str">
            <v>Kab. Aceh Pidie</v>
          </cell>
        </row>
        <row r="22">
          <cell r="G22" t="str">
            <v>Kab. Simeuleu</v>
          </cell>
        </row>
        <row r="23">
          <cell r="G23" t="str">
            <v>Kota Banda Aceh</v>
          </cell>
        </row>
        <row r="24">
          <cell r="G24" t="str">
            <v>Kota Sabang</v>
          </cell>
        </row>
        <row r="25">
          <cell r="G25" t="str">
            <v>Kota Langsa</v>
          </cell>
        </row>
        <row r="26">
          <cell r="G26" t="str">
            <v>Kota Lhokseumawe</v>
          </cell>
        </row>
        <row r="27">
          <cell r="G27" t="str">
            <v>Kab. Nagan Raya</v>
          </cell>
          <cell r="H27">
            <v>3463.72</v>
          </cell>
          <cell r="I27">
            <v>152</v>
          </cell>
          <cell r="J27">
            <v>83</v>
          </cell>
          <cell r="K27">
            <v>94</v>
          </cell>
          <cell r="L27">
            <v>25.86</v>
          </cell>
          <cell r="M27">
            <v>1.3495999999999999</v>
          </cell>
          <cell r="N27">
            <v>3.2</v>
          </cell>
          <cell r="O27">
            <v>1.3358000000000001</v>
          </cell>
          <cell r="P27">
            <v>0.91479900000000003</v>
          </cell>
          <cell r="Q27">
            <v>29</v>
          </cell>
          <cell r="R27">
            <v>0.84</v>
          </cell>
          <cell r="S27">
            <v>1.63</v>
          </cell>
          <cell r="T27">
            <v>2.862314</v>
          </cell>
          <cell r="U27">
            <v>6.78</v>
          </cell>
          <cell r="V27">
            <v>2623</v>
          </cell>
          <cell r="X27">
            <v>3.6926605829999999</v>
          </cell>
          <cell r="Y27" t="str">
            <v>KU,900/197/2005, Bupati Nagan Raya</v>
          </cell>
        </row>
        <row r="28">
          <cell r="G28" t="str">
            <v>Kab. Aceh Jaya</v>
          </cell>
        </row>
        <row r="29">
          <cell r="G29" t="str">
            <v>Kab. Aceh Barat Daya</v>
          </cell>
        </row>
        <row r="30">
          <cell r="G30" t="str">
            <v>Kab. Gayo Lues</v>
          </cell>
        </row>
        <row r="31">
          <cell r="G31" t="str">
            <v>Kab. Aceh Tamiang</v>
          </cell>
          <cell r="H31">
            <v>1960</v>
          </cell>
          <cell r="I31">
            <v>238.82499999999999</v>
          </cell>
          <cell r="J31">
            <v>57.7</v>
          </cell>
          <cell r="L31">
            <v>94.71</v>
          </cell>
          <cell r="M31">
            <v>1.044322159</v>
          </cell>
          <cell r="N31">
            <v>8.8349204930000003</v>
          </cell>
          <cell r="O31">
            <v>0.72696332799999996</v>
          </cell>
          <cell r="P31" t="str">
            <v>-</v>
          </cell>
          <cell r="Q31">
            <v>33.855285354000003</v>
          </cell>
          <cell r="R31">
            <v>0.25536220199999998</v>
          </cell>
          <cell r="S31">
            <v>7.4957714999999994E-2</v>
          </cell>
          <cell r="T31">
            <v>6.4792023849999998</v>
          </cell>
          <cell r="V31">
            <v>2604</v>
          </cell>
          <cell r="X31">
            <v>3.9794083709999999</v>
          </cell>
        </row>
        <row r="32">
          <cell r="G32" t="str">
            <v>Provinsi  Sumatera Utara</v>
          </cell>
        </row>
        <row r="33">
          <cell r="G33" t="str">
            <v>Kab. Asahan</v>
          </cell>
        </row>
        <row r="34">
          <cell r="G34" t="str">
            <v>Kab. Dairi</v>
          </cell>
        </row>
        <row r="35">
          <cell r="G35" t="str">
            <v>Kab. Deli Serdang</v>
          </cell>
          <cell r="H35">
            <v>2497.62</v>
          </cell>
          <cell r="I35">
            <v>1572.768</v>
          </cell>
          <cell r="J35">
            <v>180.05</v>
          </cell>
          <cell r="K35">
            <v>69.02</v>
          </cell>
          <cell r="L35">
            <v>90.48</v>
          </cell>
          <cell r="M35">
            <v>7.2</v>
          </cell>
          <cell r="N35">
            <v>33</v>
          </cell>
          <cell r="O35">
            <v>12.5</v>
          </cell>
          <cell r="Q35">
            <v>2.7</v>
          </cell>
          <cell r="R35">
            <v>0.4</v>
          </cell>
          <cell r="S35">
            <v>0.17499999999999999</v>
          </cell>
          <cell r="T35">
            <v>59.045800999999997</v>
          </cell>
          <cell r="U35">
            <v>8.9825245200000001</v>
          </cell>
          <cell r="V35">
            <v>15153</v>
          </cell>
          <cell r="W35">
            <v>273</v>
          </cell>
          <cell r="X35">
            <v>24.132561271</v>
          </cell>
          <cell r="Y35" t="str">
            <v>900/2765 dan 903/1948; Sekda Kab Deli Serdang</v>
          </cell>
        </row>
        <row r="36">
          <cell r="G36" t="str">
            <v>Kab. Tanah Karo</v>
          </cell>
        </row>
        <row r="37">
          <cell r="G37" t="str">
            <v>Kab. Labuhan Batu</v>
          </cell>
        </row>
        <row r="38">
          <cell r="G38" t="str">
            <v>Kab. Langkat</v>
          </cell>
          <cell r="H38">
            <v>6263.29</v>
          </cell>
          <cell r="I38">
            <v>955.34799999999996</v>
          </cell>
          <cell r="J38">
            <v>189.2</v>
          </cell>
          <cell r="L38">
            <v>88.65</v>
          </cell>
          <cell r="M38">
            <v>9.2043526999999994</v>
          </cell>
          <cell r="N38">
            <v>41.585414999999998</v>
          </cell>
          <cell r="O38">
            <v>6.0000000000000001E-3</v>
          </cell>
          <cell r="P38">
            <v>14.181492</v>
          </cell>
          <cell r="R38">
            <v>0.27400000000000002</v>
          </cell>
          <cell r="S38">
            <v>0.3</v>
          </cell>
          <cell r="T38">
            <v>16.834743</v>
          </cell>
          <cell r="U38">
            <v>6.9020089699999999E-3</v>
          </cell>
          <cell r="V38">
            <v>11220</v>
          </cell>
          <cell r="X38">
            <v>17.284263354</v>
          </cell>
          <cell r="Y38" t="str">
            <v>900-1068/KEU/VII/2005; Stabat, 210705; Bupati</v>
          </cell>
        </row>
        <row r="39">
          <cell r="G39" t="str">
            <v>Kab. Mandailing Natal</v>
          </cell>
          <cell r="H39">
            <v>662070</v>
          </cell>
          <cell r="I39">
            <v>385.63499999999999</v>
          </cell>
          <cell r="J39">
            <v>97.578999999999994</v>
          </cell>
          <cell r="K39">
            <v>63.97</v>
          </cell>
          <cell r="L39">
            <v>105.4</v>
          </cell>
          <cell r="M39">
            <v>2</v>
          </cell>
          <cell r="N39">
            <v>8</v>
          </cell>
          <cell r="O39">
            <v>1.3613</v>
          </cell>
          <cell r="P39">
            <v>0.25</v>
          </cell>
          <cell r="Q39">
            <v>0.5</v>
          </cell>
          <cell r="R39">
            <v>1.2</v>
          </cell>
          <cell r="T39">
            <v>5.8014999999999999</v>
          </cell>
          <cell r="U39">
            <v>773.60379999999998</v>
          </cell>
          <cell r="V39">
            <v>5010</v>
          </cell>
          <cell r="X39">
            <v>7.6902214610000001</v>
          </cell>
        </row>
        <row r="40">
          <cell r="G40" t="str">
            <v>Kab. Nias</v>
          </cell>
          <cell r="H40">
            <v>3799</v>
          </cell>
          <cell r="I40">
            <v>442.70499999999998</v>
          </cell>
          <cell r="J40">
            <v>138.74600000000001</v>
          </cell>
          <cell r="K40">
            <v>65.81</v>
          </cell>
          <cell r="L40">
            <v>110.85</v>
          </cell>
          <cell r="M40">
            <v>1.8</v>
          </cell>
          <cell r="N40">
            <v>6.2009624639999998</v>
          </cell>
          <cell r="O40">
            <v>1.3</v>
          </cell>
          <cell r="Q40">
            <v>0.84799999999999998</v>
          </cell>
          <cell r="R40">
            <v>0.52500000000000002</v>
          </cell>
          <cell r="S40">
            <v>0.32400000000000001</v>
          </cell>
          <cell r="T40">
            <v>7.9592818870000004</v>
          </cell>
          <cell r="U40">
            <v>2021.58</v>
          </cell>
          <cell r="V40">
            <v>5465</v>
          </cell>
          <cell r="W40">
            <v>246</v>
          </cell>
          <cell r="X40">
            <v>8.5387879120000001</v>
          </cell>
          <cell r="Y40" t="str">
            <v>050/4490-1009/Bappeda dan 900/4857/Keu ; Bupati Nias</v>
          </cell>
        </row>
        <row r="41">
          <cell r="G41" t="str">
            <v>Kab. Simalungun</v>
          </cell>
        </row>
        <row r="42">
          <cell r="G42" t="str">
            <v>Kab. Tapanuli Selatan</v>
          </cell>
        </row>
        <row r="43">
          <cell r="G43" t="str">
            <v>Kab. Tapanuli Tengah</v>
          </cell>
        </row>
        <row r="44">
          <cell r="G44" t="str">
            <v>Kab. Tapanuli Utara</v>
          </cell>
        </row>
        <row r="45">
          <cell r="G45" t="str">
            <v>Kab. Samosir</v>
          </cell>
        </row>
        <row r="46">
          <cell r="G46" t="str">
            <v>Kota Binjai</v>
          </cell>
        </row>
        <row r="47">
          <cell r="G47" t="str">
            <v>Kota Medan</v>
          </cell>
          <cell r="H47">
            <v>237.1</v>
          </cell>
          <cell r="I47">
            <v>2554.3580000000002</v>
          </cell>
          <cell r="J47">
            <v>181.35900000000001</v>
          </cell>
          <cell r="K47">
            <v>74.5</v>
          </cell>
          <cell r="M47">
            <v>40.606000000000002</v>
          </cell>
          <cell r="N47">
            <v>71.28</v>
          </cell>
          <cell r="O47">
            <v>64</v>
          </cell>
          <cell r="Q47">
            <v>0.77700000000000002</v>
          </cell>
          <cell r="R47">
            <v>0.18595200000000001</v>
          </cell>
          <cell r="S47">
            <v>0.157520782</v>
          </cell>
          <cell r="T47">
            <v>282.22879210000002</v>
          </cell>
          <cell r="U47">
            <v>6442.8</v>
          </cell>
          <cell r="V47">
            <v>22854</v>
          </cell>
          <cell r="X47">
            <v>29.959163</v>
          </cell>
        </row>
        <row r="48">
          <cell r="G48" t="str">
            <v>Kota Pematang Siantar</v>
          </cell>
        </row>
        <row r="49">
          <cell r="G49" t="str">
            <v>Kota Sibolga</v>
          </cell>
          <cell r="H49">
            <v>2171.6</v>
          </cell>
          <cell r="I49">
            <v>95.632000000000005</v>
          </cell>
          <cell r="J49">
            <v>11.811</v>
          </cell>
          <cell r="K49">
            <v>71.7</v>
          </cell>
          <cell r="L49">
            <v>88.6</v>
          </cell>
          <cell r="M49">
            <v>1.1633404249999999</v>
          </cell>
          <cell r="N49">
            <v>9.7554376099999995</v>
          </cell>
          <cell r="O49">
            <v>1.508517074</v>
          </cell>
          <cell r="Q49">
            <v>0.42206656300000001</v>
          </cell>
          <cell r="R49">
            <v>9.1465535000000001E-2</v>
          </cell>
          <cell r="S49">
            <v>0.42235571500000002</v>
          </cell>
          <cell r="T49">
            <v>5.194049249009999</v>
          </cell>
          <cell r="U49">
            <v>643.20640000000003</v>
          </cell>
          <cell r="V49">
            <v>2211</v>
          </cell>
          <cell r="X49">
            <v>3.2885542939999999</v>
          </cell>
        </row>
        <row r="50">
          <cell r="G50" t="str">
            <v>Kota Tanjung Balai</v>
          </cell>
        </row>
        <row r="51">
          <cell r="G51" t="str">
            <v>Kota Tebing Tinggi</v>
          </cell>
        </row>
        <row r="52">
          <cell r="G52" t="str">
            <v>Kota Padang Sidempuan</v>
          </cell>
        </row>
        <row r="53">
          <cell r="G53" t="str">
            <v>Kab. Pakpak Bharat</v>
          </cell>
        </row>
        <row r="54">
          <cell r="G54" t="str">
            <v>Kab. Nias Selatan</v>
          </cell>
        </row>
        <row r="55">
          <cell r="G55" t="str">
            <v>Kab. Humbang Hasundutan</v>
          </cell>
        </row>
        <row r="56">
          <cell r="G56" t="str">
            <v>Provinsi  Sumatera Barat</v>
          </cell>
        </row>
        <row r="57">
          <cell r="G57" t="str">
            <v>Kab. Limapuluh Koto</v>
          </cell>
          <cell r="W57">
            <v>274</v>
          </cell>
          <cell r="Y57" t="str">
            <v>900/981/BPKD/2005, 900/980/BPKD/2005, Bupati Lima Puluh Kota</v>
          </cell>
          <cell r="AA57">
            <v>9.7291963359999993</v>
          </cell>
          <cell r="AB57">
            <v>1.259196336</v>
          </cell>
        </row>
        <row r="58">
          <cell r="G58" t="str">
            <v xml:space="preserve">Kab. Agam         </v>
          </cell>
        </row>
        <row r="59">
          <cell r="G59" t="str">
            <v>Kab. Kepulauan Mentawai</v>
          </cell>
        </row>
        <row r="60">
          <cell r="G60" t="str">
            <v>Kab. Padang Pariaman</v>
          </cell>
          <cell r="H60">
            <v>2828.79</v>
          </cell>
          <cell r="I60">
            <v>430.58100000000002</v>
          </cell>
          <cell r="J60">
            <v>102.571</v>
          </cell>
          <cell r="K60">
            <v>0</v>
          </cell>
          <cell r="L60">
            <v>267.35000000000002</v>
          </cell>
          <cell r="M60">
            <v>1.3238461499999998</v>
          </cell>
          <cell r="N60">
            <v>1.665288981</v>
          </cell>
          <cell r="O60">
            <v>7</v>
          </cell>
          <cell r="S60">
            <v>0.17</v>
          </cell>
          <cell r="T60">
            <v>9.9637121129999997</v>
          </cell>
          <cell r="U60">
            <v>10.270200000000001</v>
          </cell>
          <cell r="V60">
            <v>7261</v>
          </cell>
          <cell r="X60">
            <v>11.199989046000001</v>
          </cell>
          <cell r="Y60" t="str">
            <v xml:space="preserve">903/161/BPKD/Dal-2005, Bupati Padang Pariaman </v>
          </cell>
          <cell r="AA60">
            <v>11.199989046000001</v>
          </cell>
          <cell r="AB60">
            <v>1.366989046</v>
          </cell>
        </row>
        <row r="61">
          <cell r="G61" t="str">
            <v xml:space="preserve">Kab. Pasaman    </v>
          </cell>
          <cell r="H61">
            <v>4011.08</v>
          </cell>
          <cell r="I61">
            <v>247.102</v>
          </cell>
          <cell r="J61">
            <v>0</v>
          </cell>
          <cell r="K61">
            <v>67.25</v>
          </cell>
          <cell r="L61">
            <v>90.15</v>
          </cell>
          <cell r="M61">
            <v>1.389420308</v>
          </cell>
          <cell r="N61">
            <v>8.5151289519999995</v>
          </cell>
          <cell r="O61">
            <v>1.0055556640000001</v>
          </cell>
          <cell r="P61">
            <v>2.5000000000000001E-2</v>
          </cell>
          <cell r="Q61">
            <v>0</v>
          </cell>
          <cell r="R61">
            <v>0.25</v>
          </cell>
          <cell r="S61">
            <v>0.05</v>
          </cell>
          <cell r="T61">
            <v>8.3914092700000005</v>
          </cell>
          <cell r="U61">
            <v>1.4025049999999999</v>
          </cell>
          <cell r="V61">
            <v>3914</v>
          </cell>
          <cell r="X61">
            <v>5.8903732780000002</v>
          </cell>
          <cell r="Y61" t="str">
            <v>900/1467/Keu-2005, 900/1465/Keu-2005, Bupati Pasaman</v>
          </cell>
          <cell r="AA61">
            <v>5.5607008640000002</v>
          </cell>
          <cell r="AB61">
            <v>0.57870086399999998</v>
          </cell>
        </row>
        <row r="62">
          <cell r="G62" t="str">
            <v>Kab. Pesisir Selatan</v>
          </cell>
        </row>
        <row r="63">
          <cell r="G63" t="str">
            <v>Kab. Sawahlunto Sijunjung</v>
          </cell>
          <cell r="H63">
            <v>3130.41</v>
          </cell>
          <cell r="I63">
            <v>184.93700000000001</v>
          </cell>
          <cell r="M63">
            <v>1.75</v>
          </cell>
          <cell r="N63">
            <v>1</v>
          </cell>
          <cell r="O63">
            <v>6.5</v>
          </cell>
          <cell r="P63">
            <v>1.19126</v>
          </cell>
          <cell r="Q63">
            <v>0.95</v>
          </cell>
          <cell r="R63">
            <v>0</v>
          </cell>
          <cell r="S63">
            <v>0.3</v>
          </cell>
          <cell r="T63">
            <v>8.1999999999999993</v>
          </cell>
          <cell r="U63">
            <v>10.439959972</v>
          </cell>
          <cell r="V63">
            <v>3557</v>
          </cell>
          <cell r="X63">
            <v>5.2663193389999998</v>
          </cell>
          <cell r="Y63" t="str">
            <v>900/33/BPKD-2005, Bupati Sawahlunto</v>
          </cell>
          <cell r="AA63">
            <v>5.2444355720000004</v>
          </cell>
          <cell r="AB63">
            <v>0.31243557200000005</v>
          </cell>
        </row>
        <row r="64">
          <cell r="G64" t="str">
            <v>Kab. Solok</v>
          </cell>
          <cell r="Y64" t="str">
            <v>970/2257/BPKD-2005, Sekda Kab. Solok</v>
          </cell>
          <cell r="AA64">
            <v>8.3357369600000002</v>
          </cell>
          <cell r="AB64">
            <v>0.79373696000000005</v>
          </cell>
        </row>
        <row r="65">
          <cell r="G65" t="str">
            <v>Kab. Tanah Datar</v>
          </cell>
        </row>
        <row r="66">
          <cell r="G66" t="str">
            <v>Kota Bukit Tinggi</v>
          </cell>
        </row>
        <row r="67">
          <cell r="G67" t="str">
            <v>Kota Padang Panjang</v>
          </cell>
        </row>
        <row r="68">
          <cell r="G68" t="str">
            <v>Kota Padang</v>
          </cell>
        </row>
        <row r="69">
          <cell r="G69" t="str">
            <v>Kota Payakumbuh</v>
          </cell>
        </row>
        <row r="70">
          <cell r="G70" t="str">
            <v>Kota Sawahlunto</v>
          </cell>
          <cell r="V70">
            <v>1663</v>
          </cell>
          <cell r="X70">
            <v>2.6037279880000002</v>
          </cell>
        </row>
        <row r="71">
          <cell r="G71" t="str">
            <v>Kota Solok</v>
          </cell>
          <cell r="I71">
            <v>333.18799999999999</v>
          </cell>
          <cell r="J71">
            <v>65.900000000000006</v>
          </cell>
          <cell r="K71">
            <v>68.75</v>
          </cell>
          <cell r="L71">
            <v>88.51</v>
          </cell>
          <cell r="M71">
            <v>1.6</v>
          </cell>
          <cell r="N71">
            <v>10</v>
          </cell>
          <cell r="O71">
            <v>1</v>
          </cell>
          <cell r="P71">
            <v>5.0000000000000001E-3</v>
          </cell>
          <cell r="Q71">
            <v>2.5000000000000001E-2</v>
          </cell>
          <cell r="R71">
            <v>0.45</v>
          </cell>
          <cell r="S71">
            <v>0.2</v>
          </cell>
          <cell r="T71">
            <v>10.785335805000001</v>
          </cell>
          <cell r="U71">
            <v>1.5817721300000001E-3</v>
          </cell>
          <cell r="V71">
            <v>5763</v>
          </cell>
          <cell r="X71">
            <v>9.0543034309999992</v>
          </cell>
        </row>
        <row r="72">
          <cell r="G72" t="str">
            <v>Kota Pariaman</v>
          </cell>
          <cell r="H72">
            <v>200.685</v>
          </cell>
          <cell r="I72">
            <v>74.61</v>
          </cell>
          <cell r="J72">
            <v>12.435</v>
          </cell>
          <cell r="K72">
            <v>65.7</v>
          </cell>
          <cell r="L72">
            <v>97.86</v>
          </cell>
          <cell r="M72">
            <v>0.81749032200000005</v>
          </cell>
          <cell r="N72">
            <v>3.85</v>
          </cell>
          <cell r="O72">
            <v>1.3</v>
          </cell>
          <cell r="P72">
            <v>1E-3</v>
          </cell>
          <cell r="Q72">
            <v>2.2000000000000002</v>
          </cell>
          <cell r="R72">
            <v>0.5</v>
          </cell>
          <cell r="S72">
            <v>1.1538461499999999</v>
          </cell>
          <cell r="T72">
            <v>3.2294999999999998</v>
          </cell>
          <cell r="U72">
            <v>8.4129363900000005</v>
          </cell>
          <cell r="V72">
            <v>2035</v>
          </cell>
          <cell r="X72">
            <v>64146514</v>
          </cell>
          <cell r="Y72" t="str">
            <v>900/3916/Keu-2005, 900/3923/Keu-2005, Walikota dan Sekda Kota Pariaman</v>
          </cell>
          <cell r="AA72">
            <v>2.905321582</v>
          </cell>
          <cell r="AB72">
            <v>0.47732158200000008</v>
          </cell>
        </row>
        <row r="73">
          <cell r="G73" t="str">
            <v>Kab. Dharmasraya</v>
          </cell>
          <cell r="H73">
            <v>296.113</v>
          </cell>
          <cell r="I73">
            <v>165.07599999999999</v>
          </cell>
          <cell r="J73">
            <v>50.194000000000003</v>
          </cell>
          <cell r="K73">
            <v>0</v>
          </cell>
          <cell r="L73">
            <v>96.13</v>
          </cell>
          <cell r="M73">
            <v>1.6</v>
          </cell>
          <cell r="N73">
            <v>1.2</v>
          </cell>
          <cell r="O73">
            <v>6</v>
          </cell>
          <cell r="P73">
            <v>5.0355545099999999E-3</v>
          </cell>
          <cell r="Q73">
            <v>0.6</v>
          </cell>
          <cell r="R73">
            <v>0</v>
          </cell>
          <cell r="S73">
            <v>0.5</v>
          </cell>
          <cell r="T73">
            <v>7.4863825999999998</v>
          </cell>
          <cell r="U73">
            <v>7.7327810000000001</v>
          </cell>
          <cell r="V73">
            <v>2418</v>
          </cell>
          <cell r="X73">
            <v>3.3460817</v>
          </cell>
          <cell r="Y73" t="str">
            <v>900/025/Keu/2005, Pjs Bupati Dharmasraya</v>
          </cell>
        </row>
        <row r="74">
          <cell r="G74" t="str">
            <v>Kab. Pasaman Barat</v>
          </cell>
          <cell r="H74">
            <v>3887.77</v>
          </cell>
          <cell r="I74">
            <v>322.94099999999997</v>
          </cell>
          <cell r="J74">
            <v>26.414000000000001</v>
          </cell>
          <cell r="K74">
            <v>0</v>
          </cell>
          <cell r="L74">
            <v>143</v>
          </cell>
          <cell r="M74">
            <v>2.8</v>
          </cell>
          <cell r="N74">
            <v>10.5</v>
          </cell>
          <cell r="O74">
            <v>4.5</v>
          </cell>
          <cell r="T74">
            <v>12.444338</v>
          </cell>
          <cell r="U74">
            <v>2.0402015900000001</v>
          </cell>
          <cell r="V74">
            <v>3376</v>
          </cell>
          <cell r="W74">
            <v>400</v>
          </cell>
          <cell r="X74">
            <v>5.0849967669999998</v>
          </cell>
          <cell r="Y74" t="str">
            <v>900/317/Keu-2005, 900/525/Keu-2005, Bupati Pasaman Barat</v>
          </cell>
          <cell r="AA74">
            <v>4.750610376</v>
          </cell>
          <cell r="AB74">
            <v>0.34261037599999999</v>
          </cell>
        </row>
        <row r="75">
          <cell r="G75" t="str">
            <v>Provinsi  Riau</v>
          </cell>
        </row>
        <row r="76">
          <cell r="G76" t="str">
            <v>Kab. Bengkalis</v>
          </cell>
          <cell r="H76">
            <v>11481.77</v>
          </cell>
          <cell r="I76">
            <v>653.92499999999995</v>
          </cell>
          <cell r="J76">
            <v>30.553999999999998</v>
          </cell>
          <cell r="K76">
            <v>69</v>
          </cell>
          <cell r="L76">
            <v>103.12</v>
          </cell>
          <cell r="M76">
            <v>823.42476640341999</v>
          </cell>
          <cell r="N76">
            <v>11</v>
          </cell>
          <cell r="O76">
            <v>6</v>
          </cell>
          <cell r="P76">
            <v>21.394491110000001</v>
          </cell>
          <cell r="Q76">
            <v>0</v>
          </cell>
          <cell r="R76">
            <v>816.42476640341999</v>
          </cell>
          <cell r="S76">
            <v>7</v>
          </cell>
          <cell r="T76">
            <v>21</v>
          </cell>
          <cell r="U76">
            <v>24.140499999999999</v>
          </cell>
          <cell r="V76">
            <v>6583</v>
          </cell>
          <cell r="X76">
            <v>8.9569635000000005</v>
          </cell>
        </row>
        <row r="77">
          <cell r="G77" t="str">
            <v>Kab. Indragiri Hilir</v>
          </cell>
        </row>
        <row r="78">
          <cell r="G78" t="str">
            <v>Kab. Indragiri Hulu</v>
          </cell>
        </row>
        <row r="79">
          <cell r="G79" t="str">
            <v>Kab. Kampar</v>
          </cell>
          <cell r="H79">
            <v>11707.64</v>
          </cell>
          <cell r="I79">
            <v>558.71600000000001</v>
          </cell>
          <cell r="J79">
            <v>109.58499999999999</v>
          </cell>
          <cell r="K79">
            <v>0</v>
          </cell>
          <cell r="L79">
            <v>98.65</v>
          </cell>
          <cell r="M79">
            <v>249.08119637999999</v>
          </cell>
          <cell r="N79">
            <v>4.9224708210000001</v>
          </cell>
          <cell r="O79">
            <v>55.133024130999999</v>
          </cell>
          <cell r="P79">
            <v>0.57865900000000003</v>
          </cell>
          <cell r="Q79">
            <v>0.32534400000000002</v>
          </cell>
          <cell r="R79">
            <v>246</v>
          </cell>
          <cell r="S79">
            <v>1.7984055699999999</v>
          </cell>
          <cell r="T79">
            <v>61.055494951999997</v>
          </cell>
          <cell r="U79">
            <v>26.265942638999999</v>
          </cell>
          <cell r="V79">
            <v>7759</v>
          </cell>
          <cell r="X79">
            <v>11.899090368</v>
          </cell>
        </row>
        <row r="80">
          <cell r="G80" t="str">
            <v>Kab. Kuantan Singingi</v>
          </cell>
        </row>
        <row r="81">
          <cell r="G81" t="str">
            <v>Kab. Pelalawan</v>
          </cell>
        </row>
        <row r="82">
          <cell r="G82" t="str">
            <v>Kab. Rokan Hilir</v>
          </cell>
        </row>
        <row r="83">
          <cell r="G83" t="str">
            <v>Kab. Rokan Hulu</v>
          </cell>
        </row>
        <row r="84">
          <cell r="G84" t="str">
            <v>Kab. Siak</v>
          </cell>
          <cell r="V84">
            <v>2942</v>
          </cell>
          <cell r="X84">
            <v>3.7753728400000002</v>
          </cell>
          <cell r="Y84" t="str">
            <v>72/900/Keu/VII/2005, Sekda Kab. Siak</v>
          </cell>
          <cell r="AA84">
            <v>3.7753728400000002</v>
          </cell>
          <cell r="AB84">
            <v>0.36737283999999998</v>
          </cell>
        </row>
        <row r="85">
          <cell r="G85" t="str">
            <v>Kota Dumai</v>
          </cell>
        </row>
        <row r="86">
          <cell r="G86" t="str">
            <v>Kota Pekanbaru</v>
          </cell>
        </row>
        <row r="87">
          <cell r="G87" t="str">
            <v>Provinsi  Jambi</v>
          </cell>
          <cell r="V87">
            <v>5460</v>
          </cell>
          <cell r="X87">
            <v>7.7513983829999997</v>
          </cell>
        </row>
        <row r="88">
          <cell r="G88" t="str">
            <v>Kab. Batanghari</v>
          </cell>
        </row>
        <row r="89">
          <cell r="G89" t="str">
            <v xml:space="preserve">Kab. Bungo     </v>
          </cell>
        </row>
        <row r="90">
          <cell r="G90" t="str">
            <v>Kab. Kerinci</v>
          </cell>
        </row>
        <row r="91">
          <cell r="G91" t="str">
            <v>Kab. Merangin</v>
          </cell>
        </row>
        <row r="92">
          <cell r="G92" t="str">
            <v>Kab. Muaro Jambi</v>
          </cell>
        </row>
        <row r="93">
          <cell r="G93" t="str">
            <v>Kab. Sarolangun</v>
          </cell>
        </row>
        <row r="94">
          <cell r="G94" t="str">
            <v>Kab. Tanjung Jabung Barat</v>
          </cell>
        </row>
        <row r="95">
          <cell r="G95" t="str">
            <v>Kab. Tanjung Jabung Timur</v>
          </cell>
          <cell r="Y95" t="str">
            <v>900/996/BPKD;Muara Sabak, 140705; Bupati</v>
          </cell>
          <cell r="AA95">
            <v>4.0766216709999998</v>
          </cell>
          <cell r="AB95">
            <v>0.34962167100000002</v>
          </cell>
        </row>
        <row r="96">
          <cell r="G96" t="str">
            <v>Kab. Tebo</v>
          </cell>
        </row>
        <row r="97">
          <cell r="G97" t="str">
            <v>Kota Jambi</v>
          </cell>
        </row>
        <row r="98">
          <cell r="G98" t="str">
            <v>Provinsi  Sumatera Selatan</v>
          </cell>
        </row>
        <row r="99">
          <cell r="G99" t="str">
            <v xml:space="preserve">Kab. Lahat     </v>
          </cell>
          <cell r="AA99">
            <v>10.701084358999999</v>
          </cell>
          <cell r="AB99">
            <v>0.23008435899999999</v>
          </cell>
        </row>
        <row r="100">
          <cell r="G100" t="str">
            <v>Kab. Musi Banyuasin</v>
          </cell>
        </row>
        <row r="101">
          <cell r="G101" t="str">
            <v xml:space="preserve">Kab. Musi Rawas   </v>
          </cell>
        </row>
        <row r="102">
          <cell r="G102" t="str">
            <v xml:space="preserve">Kab. Muara Enim </v>
          </cell>
          <cell r="Y102" t="str">
            <v>900/133/VIII/2005; Muara Enim, 110705; Bupati</v>
          </cell>
          <cell r="AA102">
            <v>10.178225589</v>
          </cell>
          <cell r="AB102">
            <v>0.52822558900000005</v>
          </cell>
        </row>
        <row r="103">
          <cell r="G103" t="str">
            <v>Kab. Ogan Komering Ilir</v>
          </cell>
        </row>
        <row r="104">
          <cell r="G104" t="str">
            <v>Kab. Ogan Komering Ulu</v>
          </cell>
        </row>
        <row r="105">
          <cell r="G105" t="str">
            <v xml:space="preserve">Kota Palembang </v>
          </cell>
          <cell r="V105">
            <v>15593</v>
          </cell>
          <cell r="X105">
            <v>24.644219251999999</v>
          </cell>
          <cell r="AB105">
            <v>1.8922192520000001</v>
          </cell>
        </row>
        <row r="106">
          <cell r="G106" t="str">
            <v>Kota Pagar Alam</v>
          </cell>
          <cell r="H106">
            <v>633.66</v>
          </cell>
          <cell r="I106">
            <v>126.886</v>
          </cell>
          <cell r="J106">
            <v>30.68</v>
          </cell>
          <cell r="K106">
            <v>54.2</v>
          </cell>
          <cell r="L106">
            <v>97.13</v>
          </cell>
          <cell r="T106">
            <v>2.6530691559999999</v>
          </cell>
          <cell r="V106">
            <v>1962</v>
          </cell>
          <cell r="W106">
            <v>338</v>
          </cell>
          <cell r="X106">
            <v>50.863812328000002</v>
          </cell>
          <cell r="Y106" t="str">
            <v>050/388/Bappeda/2005; Pagar Alam, 010805; Walikota</v>
          </cell>
        </row>
        <row r="107">
          <cell r="G107" t="str">
            <v>Kota Lubuk Linggau</v>
          </cell>
        </row>
        <row r="108">
          <cell r="G108" t="str">
            <v>Kota Prabumulih</v>
          </cell>
          <cell r="H108">
            <v>471.28</v>
          </cell>
          <cell r="I108">
            <v>153.72</v>
          </cell>
          <cell r="J108">
            <v>23.687000000000001</v>
          </cell>
          <cell r="K108">
            <v>65.67</v>
          </cell>
          <cell r="L108">
            <v>101.1</v>
          </cell>
          <cell r="M108">
            <v>3.4</v>
          </cell>
          <cell r="N108">
            <v>19.020374</v>
          </cell>
          <cell r="O108">
            <v>1.3</v>
          </cell>
          <cell r="P108">
            <v>2</v>
          </cell>
          <cell r="Q108">
            <v>32.494999999999997</v>
          </cell>
          <cell r="R108">
            <v>0.25</v>
          </cell>
          <cell r="S108">
            <v>0.4</v>
          </cell>
          <cell r="T108">
            <v>7.2619290999999997</v>
          </cell>
          <cell r="U108">
            <v>878.36300000000006</v>
          </cell>
          <cell r="V108">
            <v>2281</v>
          </cell>
          <cell r="X108">
            <v>3.6888620479999998</v>
          </cell>
          <cell r="AB108">
            <v>0.23113964200000001</v>
          </cell>
        </row>
        <row r="109">
          <cell r="G109" t="str">
            <v>Kab. Banyuasin</v>
          </cell>
        </row>
        <row r="110">
          <cell r="G110" t="str">
            <v>Kab. OKU Selatan</v>
          </cell>
          <cell r="H110">
            <v>5493.94</v>
          </cell>
          <cell r="I110">
            <v>374.327</v>
          </cell>
          <cell r="J110">
            <v>29.596</v>
          </cell>
          <cell r="L110">
            <v>1.5</v>
          </cell>
          <cell r="M110">
            <v>2.4512689999999999</v>
          </cell>
          <cell r="N110">
            <v>0.34778917799999998</v>
          </cell>
          <cell r="O110">
            <v>1</v>
          </cell>
          <cell r="P110">
            <v>44.409598058</v>
          </cell>
          <cell r="Q110">
            <v>30.060989868</v>
          </cell>
          <cell r="R110">
            <v>0.29978737599999999</v>
          </cell>
          <cell r="S110">
            <v>0.43391204799999999</v>
          </cell>
          <cell r="T110">
            <v>0.97893195</v>
          </cell>
          <cell r="V110">
            <v>1166</v>
          </cell>
          <cell r="X110">
            <v>4.1887169359999996</v>
          </cell>
        </row>
        <row r="111">
          <cell r="G111" t="str">
            <v>Provinsi  Bangka Belitung</v>
          </cell>
        </row>
        <row r="112">
          <cell r="G112" t="str">
            <v>Kab. Bangka</v>
          </cell>
          <cell r="H112">
            <v>2950.68</v>
          </cell>
          <cell r="I112">
            <v>231.57599999999999</v>
          </cell>
          <cell r="J112">
            <v>96.781999999999996</v>
          </cell>
          <cell r="L112">
            <v>102.52</v>
          </cell>
          <cell r="M112">
            <v>1.05</v>
          </cell>
          <cell r="N112">
            <v>10</v>
          </cell>
          <cell r="O112">
            <v>1.6</v>
          </cell>
          <cell r="P112">
            <v>9.8629999999999995</v>
          </cell>
          <cell r="Q112">
            <v>3.9</v>
          </cell>
          <cell r="R112">
            <v>0.312</v>
          </cell>
          <cell r="S112">
            <v>0.26400000000000001</v>
          </cell>
          <cell r="T112">
            <v>16.981231999999999</v>
          </cell>
          <cell r="U112">
            <v>1.2519689999999999E-3</v>
          </cell>
          <cell r="V112">
            <v>3433</v>
          </cell>
          <cell r="X112">
            <v>5.0060592159999997</v>
          </cell>
        </row>
        <row r="113">
          <cell r="G113" t="str">
            <v>Kab. Belitung</v>
          </cell>
          <cell r="V113">
            <v>2863</v>
          </cell>
          <cell r="X113">
            <v>3.9550980249999999</v>
          </cell>
        </row>
        <row r="114">
          <cell r="G114" t="str">
            <v xml:space="preserve">Kota Pangkal Pinang </v>
          </cell>
        </row>
        <row r="115">
          <cell r="G115" t="str">
            <v>Kab. Bangka Selatan</v>
          </cell>
        </row>
        <row r="116">
          <cell r="G116" t="str">
            <v>Kab. Bangka Tengah</v>
          </cell>
        </row>
        <row r="117">
          <cell r="G117" t="str">
            <v>Kab. Bangka Barat</v>
          </cell>
        </row>
        <row r="118">
          <cell r="G118" t="str">
            <v>Kab. Belitung Timur</v>
          </cell>
          <cell r="H118">
            <v>2506.91</v>
          </cell>
          <cell r="I118">
            <v>89.272000000000006</v>
          </cell>
          <cell r="J118">
            <v>11</v>
          </cell>
          <cell r="K118">
            <v>66.66</v>
          </cell>
          <cell r="L118">
            <v>101.3</v>
          </cell>
          <cell r="M118">
            <v>0.95271053400000005</v>
          </cell>
          <cell r="N118">
            <v>1.601569759</v>
          </cell>
          <cell r="O118">
            <v>1.2984231319999999</v>
          </cell>
          <cell r="P118">
            <v>4.1372933989999998</v>
          </cell>
          <cell r="Q118">
            <v>0.94806753300000002</v>
          </cell>
          <cell r="R118">
            <v>9.2792480000000004E-3</v>
          </cell>
          <cell r="S118">
            <v>0.211177858</v>
          </cell>
          <cell r="T118">
            <v>12.116001299999999</v>
          </cell>
          <cell r="U118">
            <v>837.62400000000002</v>
          </cell>
          <cell r="V118">
            <v>1528</v>
          </cell>
          <cell r="X118">
            <v>2.0841637159999999</v>
          </cell>
          <cell r="Y118" t="str">
            <v>900/1143/VI/2005; manggar juni 2005; Pj Bupati</v>
          </cell>
        </row>
        <row r="119">
          <cell r="G119" t="str">
            <v>Provinsi  Bengkulu</v>
          </cell>
        </row>
        <row r="120">
          <cell r="G120" t="str">
            <v>Kab. Bengkulu Selatan</v>
          </cell>
          <cell r="H120">
            <v>1185.7</v>
          </cell>
          <cell r="I120">
            <v>137.56800000000001</v>
          </cell>
          <cell r="J120">
            <v>45.2</v>
          </cell>
          <cell r="L120">
            <v>96.73</v>
          </cell>
          <cell r="M120">
            <v>4.0999999999999996</v>
          </cell>
          <cell r="N120">
            <v>0.7</v>
          </cell>
          <cell r="O120">
            <v>0.46700000000000003</v>
          </cell>
          <cell r="P120">
            <v>0.25952993800000002</v>
          </cell>
          <cell r="Q120">
            <v>0</v>
          </cell>
          <cell r="R120">
            <v>1.0853331000000001E-2</v>
          </cell>
          <cell r="S120">
            <v>0.42235571599999999</v>
          </cell>
          <cell r="T120">
            <v>5.4628224650000003</v>
          </cell>
          <cell r="X120">
            <v>6.6408213439999999</v>
          </cell>
          <cell r="AB120">
            <v>0.27054380099999997</v>
          </cell>
        </row>
        <row r="121">
          <cell r="G121" t="str">
            <v>Kab. Bengkulu Utara</v>
          </cell>
        </row>
        <row r="122">
          <cell r="G122" t="str">
            <v>Kab. Rejang Lebong</v>
          </cell>
        </row>
        <row r="123">
          <cell r="G123" t="str">
            <v>Kota Bengkulu</v>
          </cell>
          <cell r="H123">
            <v>65252</v>
          </cell>
          <cell r="I123">
            <v>385.26</v>
          </cell>
          <cell r="J123">
            <v>60</v>
          </cell>
          <cell r="L123">
            <v>94.92</v>
          </cell>
          <cell r="T123">
            <v>6.8074933949999998</v>
          </cell>
          <cell r="U123">
            <v>1.5166750000000001E-3</v>
          </cell>
        </row>
        <row r="124">
          <cell r="G124" t="str">
            <v>Kab. Kaur</v>
          </cell>
          <cell r="H124">
            <v>2369.0500000000002</v>
          </cell>
          <cell r="I124">
            <v>125</v>
          </cell>
          <cell r="J124">
            <v>45.462000000000003</v>
          </cell>
          <cell r="M124">
            <v>0.65</v>
          </cell>
          <cell r="N124">
            <v>5</v>
          </cell>
          <cell r="O124">
            <v>1.5</v>
          </cell>
          <cell r="P124">
            <v>0</v>
          </cell>
          <cell r="Q124">
            <v>0</v>
          </cell>
          <cell r="R124">
            <v>0.05</v>
          </cell>
          <cell r="S124">
            <v>1E-4</v>
          </cell>
          <cell r="T124">
            <v>1.067655</v>
          </cell>
          <cell r="U124">
            <v>2.9893200000000002E-4</v>
          </cell>
          <cell r="V124">
            <v>3507</v>
          </cell>
          <cell r="X124">
            <v>2.6591423330000001</v>
          </cell>
        </row>
        <row r="125">
          <cell r="G125" t="str">
            <v>Kab. Seluma</v>
          </cell>
          <cell r="H125">
            <v>240000.4</v>
          </cell>
          <cell r="I125">
            <v>172.018</v>
          </cell>
          <cell r="J125">
            <v>59.795000000000002</v>
          </cell>
          <cell r="K125">
            <v>59.76</v>
          </cell>
          <cell r="L125">
            <v>103.14</v>
          </cell>
          <cell r="M125">
            <v>0.92</v>
          </cell>
          <cell r="N125">
            <v>5.2359999999999998</v>
          </cell>
          <cell r="O125">
            <v>0.17743574500000001</v>
          </cell>
          <cell r="P125">
            <v>0</v>
          </cell>
          <cell r="Q125">
            <v>0</v>
          </cell>
          <cell r="R125">
            <v>1.8853999999999999E-2</v>
          </cell>
          <cell r="S125">
            <v>0.26483493200000002</v>
          </cell>
          <cell r="T125">
            <v>3.0335367209999999</v>
          </cell>
          <cell r="U125">
            <v>115.283</v>
          </cell>
          <cell r="V125">
            <v>2928</v>
          </cell>
          <cell r="X125">
            <v>4.2614140259999997</v>
          </cell>
          <cell r="Y125" t="str">
            <v>900/244/Bp.03/2005; Tais, 230705; Kepala Bappeda</v>
          </cell>
        </row>
        <row r="126">
          <cell r="G126" t="str">
            <v>Kab. Mukomuko</v>
          </cell>
        </row>
        <row r="127">
          <cell r="G127" t="str">
            <v>Kab. Kepahiang</v>
          </cell>
          <cell r="H127">
            <v>665</v>
          </cell>
          <cell r="I127">
            <v>138.90299999999999</v>
          </cell>
          <cell r="J127">
            <v>33.4</v>
          </cell>
          <cell r="L127">
            <v>0.68</v>
          </cell>
          <cell r="M127">
            <v>0.44397500000000001</v>
          </cell>
          <cell r="N127">
            <v>0.20955299999999999</v>
          </cell>
          <cell r="O127">
            <v>0.05</v>
          </cell>
          <cell r="P127">
            <v>0</v>
          </cell>
          <cell r="Q127">
            <v>0</v>
          </cell>
          <cell r="R127">
            <v>8.5999999999999993E-2</v>
          </cell>
          <cell r="S127">
            <v>8.0000000000000002E-3</v>
          </cell>
          <cell r="T127">
            <v>15.652555</v>
          </cell>
          <cell r="X127">
            <v>2.4180488740000001</v>
          </cell>
        </row>
        <row r="128">
          <cell r="G128" t="str">
            <v>Provinsi  Lampung</v>
          </cell>
        </row>
        <row r="129">
          <cell r="G129" t="str">
            <v>Kab. Lampung Barat</v>
          </cell>
          <cell r="H129">
            <v>4950.3999999999996</v>
          </cell>
          <cell r="I129">
            <v>399.08800000000002</v>
          </cell>
          <cell r="J129">
            <v>29.190999999999999</v>
          </cell>
          <cell r="K129">
            <v>63.2</v>
          </cell>
          <cell r="L129">
            <v>96.61</v>
          </cell>
          <cell r="M129">
            <v>0.762957</v>
          </cell>
          <cell r="N129">
            <v>8.9651655360000007</v>
          </cell>
          <cell r="O129">
            <v>1.2800000000000001E-2</v>
          </cell>
          <cell r="P129">
            <v>3.3300000000000003E-2</v>
          </cell>
          <cell r="Q129">
            <v>9.17</v>
          </cell>
          <cell r="S129">
            <v>0.52900000000000003</v>
          </cell>
          <cell r="T129">
            <v>4.6877278000000002</v>
          </cell>
          <cell r="V129">
            <v>14204</v>
          </cell>
          <cell r="X129">
            <v>6.7851184330000001</v>
          </cell>
          <cell r="Y129" t="str">
            <v>900/22/B-07/2005, Liwa 060705, Sekda;   900/132/B-07/LB/2005; Liwa, 130705; Sekda</v>
          </cell>
          <cell r="Z129">
            <v>1</v>
          </cell>
        </row>
        <row r="130">
          <cell r="G130" t="str">
            <v>Kab. Lampung Selatan</v>
          </cell>
        </row>
        <row r="131">
          <cell r="G131" t="str">
            <v>Kab. Lampung Tengah</v>
          </cell>
        </row>
        <row r="132">
          <cell r="G132" t="str">
            <v>Kab. Lampung Utara</v>
          </cell>
          <cell r="AA132">
            <v>11.812833743000001</v>
          </cell>
          <cell r="AB132">
            <v>0.65483374299999997</v>
          </cell>
        </row>
        <row r="133">
          <cell r="G133" t="str">
            <v>Kab. Lampung Timur</v>
          </cell>
        </row>
        <row r="134">
          <cell r="G134" t="str">
            <v>Kab. Tanggamus</v>
          </cell>
          <cell r="H134">
            <v>3356.61</v>
          </cell>
          <cell r="I134">
            <v>833.74699999999996</v>
          </cell>
          <cell r="J134">
            <v>174.83699999999999</v>
          </cell>
          <cell r="L134">
            <v>95.12</v>
          </cell>
          <cell r="M134">
            <v>1</v>
          </cell>
          <cell r="N134">
            <v>1.65</v>
          </cell>
          <cell r="O134">
            <v>1.2857349389999999</v>
          </cell>
          <cell r="P134">
            <v>0.36499999999999999</v>
          </cell>
          <cell r="Q134">
            <v>14</v>
          </cell>
          <cell r="R134">
            <v>0</v>
          </cell>
          <cell r="S134">
            <v>0.34</v>
          </cell>
          <cell r="T134">
            <v>1.1783174839999999</v>
          </cell>
          <cell r="U134">
            <v>2.6819919999999998E-3</v>
          </cell>
          <cell r="V134">
            <v>10107</v>
          </cell>
          <cell r="X134">
            <v>16.003571475000001</v>
          </cell>
        </row>
        <row r="135">
          <cell r="G135" t="str">
            <v>Kab. Tulang Bawang</v>
          </cell>
          <cell r="V135">
            <v>5875</v>
          </cell>
          <cell r="X135">
            <v>8.1657941439999995</v>
          </cell>
          <cell r="Y135" t="str">
            <v>900/88/KEU-TB/2005; Menggala, 060705; Bupati</v>
          </cell>
          <cell r="AA135">
            <v>8.1657941439999995</v>
          </cell>
          <cell r="AB135">
            <v>0.51179414400000001</v>
          </cell>
        </row>
        <row r="136">
          <cell r="G136" t="str">
            <v>Kab. Way Kanan</v>
          </cell>
        </row>
        <row r="137">
          <cell r="G137" t="str">
            <v xml:space="preserve">Kota Bandar Lampung </v>
          </cell>
          <cell r="AA137">
            <v>15.62559911</v>
          </cell>
        </row>
        <row r="138">
          <cell r="G138" t="str">
            <v>Kota Metro</v>
          </cell>
        </row>
        <row r="139">
          <cell r="G139" t="str">
            <v>Provinsi  DKI Jakarta</v>
          </cell>
          <cell r="H139">
            <v>661.52</v>
          </cell>
          <cell r="I139">
            <v>8749.7800000000007</v>
          </cell>
          <cell r="J139">
            <v>277.10000000000002</v>
          </cell>
          <cell r="L139">
            <v>96.78</v>
          </cell>
          <cell r="M139">
            <v>2442.54</v>
          </cell>
          <cell r="N139">
            <v>1025</v>
          </cell>
          <cell r="O139">
            <v>925.7</v>
          </cell>
          <cell r="P139">
            <v>0</v>
          </cell>
          <cell r="Q139">
            <v>90</v>
          </cell>
          <cell r="R139">
            <v>0</v>
          </cell>
          <cell r="S139">
            <v>0</v>
          </cell>
          <cell r="T139">
            <v>13825.2</v>
          </cell>
          <cell r="V139">
            <v>89329</v>
          </cell>
          <cell r="X139">
            <v>136.83683550800001</v>
          </cell>
        </row>
        <row r="140">
          <cell r="G140" t="str">
            <v>Provinsi  Jawa Barat</v>
          </cell>
        </row>
        <row r="141">
          <cell r="G141" t="str">
            <v>Kab. Bandung</v>
          </cell>
          <cell r="H141">
            <v>3073.7</v>
          </cell>
          <cell r="I141">
            <v>4067.2280000000001</v>
          </cell>
          <cell r="J141">
            <v>890.9</v>
          </cell>
          <cell r="L141">
            <v>251.03</v>
          </cell>
          <cell r="M141">
            <v>9</v>
          </cell>
          <cell r="N141">
            <v>48.5</v>
          </cell>
          <cell r="O141">
            <v>14.26</v>
          </cell>
          <cell r="P141">
            <v>0.23100000000000001</v>
          </cell>
          <cell r="Q141">
            <v>10</v>
          </cell>
          <cell r="R141">
            <v>6.6000000000000003E-2</v>
          </cell>
          <cell r="S141">
            <v>0.5</v>
          </cell>
          <cell r="T141">
            <v>134.78399999999999</v>
          </cell>
          <cell r="U141">
            <v>26957</v>
          </cell>
          <cell r="V141">
            <v>28975</v>
          </cell>
          <cell r="X141">
            <v>46.359985715000001</v>
          </cell>
        </row>
        <row r="142">
          <cell r="G142" t="str">
            <v>Kab. Bekasi</v>
          </cell>
          <cell r="H142">
            <v>1273.8800000000001</v>
          </cell>
          <cell r="I142">
            <v>1934.0039999999999</v>
          </cell>
          <cell r="J142">
            <v>171.7</v>
          </cell>
          <cell r="K142">
            <v>72.53</v>
          </cell>
          <cell r="M142">
            <v>55.639615308000003</v>
          </cell>
          <cell r="N142">
            <v>61.2</v>
          </cell>
          <cell r="O142">
            <v>42</v>
          </cell>
          <cell r="P142">
            <v>0.1</v>
          </cell>
          <cell r="Q142">
            <v>13.5</v>
          </cell>
          <cell r="R142">
            <v>0.1</v>
          </cell>
          <cell r="S142">
            <v>0.15</v>
          </cell>
          <cell r="T142">
            <v>128.81465714800001</v>
          </cell>
          <cell r="U142">
            <v>4.0892555630000001E-2</v>
          </cell>
          <cell r="V142">
            <v>9162</v>
          </cell>
          <cell r="X142">
            <v>14.187714683999999</v>
          </cell>
        </row>
        <row r="143">
          <cell r="G143" t="str">
            <v>Kab. Bogor</v>
          </cell>
        </row>
        <row r="144">
          <cell r="G144" t="str">
            <v>Kab. Ciamis</v>
          </cell>
          <cell r="AB144">
            <v>0.71838000000000002</v>
          </cell>
        </row>
        <row r="145">
          <cell r="G145" t="str">
            <v>Kab. Cianjur</v>
          </cell>
        </row>
        <row r="146">
          <cell r="G146" t="str">
            <v>Kab. Cirebon</v>
          </cell>
        </row>
        <row r="147">
          <cell r="G147" t="str">
            <v>Kab. Garut</v>
          </cell>
        </row>
        <row r="148">
          <cell r="G148" t="str">
            <v>Kab. Indramayu</v>
          </cell>
          <cell r="H148">
            <v>2552</v>
          </cell>
          <cell r="I148">
            <v>1697</v>
          </cell>
          <cell r="J148">
            <v>680.07500000000005</v>
          </cell>
          <cell r="L148">
            <v>98.58</v>
          </cell>
          <cell r="M148">
            <v>6.5</v>
          </cell>
          <cell r="N148">
            <v>70.771518999999998</v>
          </cell>
          <cell r="O148">
            <v>2.5</v>
          </cell>
          <cell r="P148">
            <v>0.1</v>
          </cell>
          <cell r="Q148">
            <v>18.3</v>
          </cell>
          <cell r="R148">
            <v>0.25624000000000002</v>
          </cell>
          <cell r="S148">
            <v>0.2</v>
          </cell>
          <cell r="T148">
            <v>38.172432999999998</v>
          </cell>
          <cell r="U148">
            <v>5.40596771E-3</v>
          </cell>
          <cell r="V148">
            <v>12025</v>
          </cell>
          <cell r="X148">
            <v>19.249146026999998</v>
          </cell>
          <cell r="AA148">
            <v>17.616795206999999</v>
          </cell>
          <cell r="AB148">
            <v>0.44779520699999997</v>
          </cell>
        </row>
        <row r="149">
          <cell r="G149" t="str">
            <v xml:space="preserve">Kab. Karawang    </v>
          </cell>
        </row>
        <row r="150">
          <cell r="G150" t="str">
            <v>Kab. Kuningan</v>
          </cell>
        </row>
        <row r="151">
          <cell r="G151" t="str">
            <v xml:space="preserve">Kab. Majalengka  </v>
          </cell>
          <cell r="V151">
            <v>12071</v>
          </cell>
          <cell r="X151">
            <v>17.996103446999999</v>
          </cell>
          <cell r="Y151" t="str">
            <v>910/2009/Keu; Majalengka, 140705; Bupati</v>
          </cell>
          <cell r="AA151">
            <v>17.996103446999999</v>
          </cell>
          <cell r="AB151">
            <v>0.79410344700000002</v>
          </cell>
        </row>
        <row r="152">
          <cell r="G152" t="str">
            <v>Kab. Purwakarta</v>
          </cell>
        </row>
        <row r="153">
          <cell r="G153" t="str">
            <v xml:space="preserve">Kab. Subang          </v>
          </cell>
          <cell r="H153">
            <v>4896.58</v>
          </cell>
          <cell r="I153">
            <v>1379.5340000000001</v>
          </cell>
          <cell r="K153">
            <v>67.42</v>
          </cell>
          <cell r="L153">
            <v>87.37</v>
          </cell>
          <cell r="M153">
            <v>3.6222326919999999</v>
          </cell>
          <cell r="N153">
            <v>23.227499999999999</v>
          </cell>
          <cell r="O153">
            <v>1.4645558080000001</v>
          </cell>
          <cell r="P153">
            <v>0.15</v>
          </cell>
          <cell r="Q153">
            <v>21.5</v>
          </cell>
          <cell r="R153">
            <v>0.25219999999999998</v>
          </cell>
          <cell r="S153">
            <v>0.295649</v>
          </cell>
          <cell r="T153">
            <v>39.835090827999998</v>
          </cell>
          <cell r="U153">
            <v>4.3357359999999998E-3</v>
          </cell>
          <cell r="V153">
            <v>11747</v>
          </cell>
          <cell r="X153">
            <v>18.320701664000001</v>
          </cell>
          <cell r="Y153" t="str">
            <v>924/1289-Keu/2005; Subang, 29 Juni 2005; Bupati</v>
          </cell>
        </row>
        <row r="154">
          <cell r="G154" t="str">
            <v>Kab. Sukabumi</v>
          </cell>
        </row>
        <row r="155">
          <cell r="G155" t="str">
            <v>Kab. Sumedang</v>
          </cell>
          <cell r="AA155">
            <v>18.297413989999999</v>
          </cell>
          <cell r="AB155">
            <v>0.48941399000000002</v>
          </cell>
        </row>
        <row r="156">
          <cell r="G156" t="str">
            <v>Kab. Tasikmalaya</v>
          </cell>
          <cell r="AA156">
            <v>23.129049722000001</v>
          </cell>
          <cell r="AB156">
            <v>2.0990497220000002</v>
          </cell>
        </row>
        <row r="157">
          <cell r="G157" t="str">
            <v>Kota Bandung</v>
          </cell>
        </row>
        <row r="158">
          <cell r="G158" t="str">
            <v>Kota Bekasi</v>
          </cell>
        </row>
        <row r="159">
          <cell r="G159" t="str">
            <v>Kota Bogor</v>
          </cell>
        </row>
        <row r="160">
          <cell r="G160" t="str">
            <v>Kota Cirebon</v>
          </cell>
        </row>
        <row r="161">
          <cell r="G161" t="str">
            <v>Kota Depok</v>
          </cell>
          <cell r="AA161">
            <v>8.7273616789999995</v>
          </cell>
          <cell r="AB161">
            <v>0.63036167899999995</v>
          </cell>
        </row>
        <row r="162">
          <cell r="G162" t="str">
            <v>Kota Sukabumi</v>
          </cell>
        </row>
        <row r="163">
          <cell r="G163" t="str">
            <v>Kota Cimahi</v>
          </cell>
          <cell r="H163">
            <v>40.25</v>
          </cell>
          <cell r="I163">
            <v>496.06</v>
          </cell>
          <cell r="J163">
            <v>9.6</v>
          </cell>
          <cell r="K163">
            <v>1555000</v>
          </cell>
          <cell r="L163">
            <v>73.709999999999994</v>
          </cell>
          <cell r="M163">
            <v>3.725838414</v>
          </cell>
          <cell r="N163">
            <v>10.34</v>
          </cell>
          <cell r="O163">
            <v>3.6749999999999998</v>
          </cell>
          <cell r="P163">
            <v>0.1764</v>
          </cell>
          <cell r="Q163">
            <v>7.473134495</v>
          </cell>
          <cell r="R163">
            <v>5.9565504999999998E-2</v>
          </cell>
          <cell r="S163">
            <v>0.16589999999999999</v>
          </cell>
          <cell r="T163">
            <v>38.332851722000001</v>
          </cell>
          <cell r="U163">
            <v>1.21</v>
          </cell>
          <cell r="V163">
            <v>4544</v>
          </cell>
          <cell r="X163">
            <v>7.424052616</v>
          </cell>
        </row>
        <row r="164">
          <cell r="G164" t="str">
            <v>Kota Tasikmalaya</v>
          </cell>
        </row>
        <row r="165">
          <cell r="G165" t="str">
            <v>Kota Banjar</v>
          </cell>
        </row>
        <row r="166">
          <cell r="G166" t="str">
            <v>Provinsi  Banten</v>
          </cell>
        </row>
        <row r="167">
          <cell r="G167" t="str">
            <v>Kab. Lebak</v>
          </cell>
        </row>
        <row r="168">
          <cell r="G168" t="str">
            <v>Kab. Pandeglang</v>
          </cell>
        </row>
        <row r="169">
          <cell r="G169" t="str">
            <v>Kab. Serang</v>
          </cell>
          <cell r="V169">
            <v>11835</v>
          </cell>
          <cell r="X169">
            <v>18.678661125000001</v>
          </cell>
        </row>
        <row r="170">
          <cell r="G170" t="str">
            <v>Kab. Tangerang</v>
          </cell>
        </row>
        <row r="171">
          <cell r="G171" t="str">
            <v>Kota Cilegon</v>
          </cell>
        </row>
        <row r="172">
          <cell r="G172" t="str">
            <v>Kota Tangerang</v>
          </cell>
          <cell r="Y172" t="str">
            <v>900/1080/BKKD; Tangerang, 300605; Walikota</v>
          </cell>
          <cell r="AA172">
            <v>10.027140051</v>
          </cell>
          <cell r="AB172">
            <v>0.67414005099999996</v>
          </cell>
        </row>
        <row r="173">
          <cell r="G173" t="str">
            <v>Provinsi  Jawa Tengah</v>
          </cell>
          <cell r="Y173" t="str">
            <v>974/10887,Semarang280705,Gubernur Mardiyanto</v>
          </cell>
          <cell r="AA173">
            <v>24.478103762</v>
          </cell>
          <cell r="AB173">
            <v>0.26210376200000002</v>
          </cell>
        </row>
        <row r="174">
          <cell r="G174" t="str">
            <v>Kab. Banjarnegara</v>
          </cell>
        </row>
        <row r="175">
          <cell r="G175" t="str">
            <v>Kab. Banyumas</v>
          </cell>
        </row>
        <row r="176">
          <cell r="G176" t="str">
            <v>Kab. Batang</v>
          </cell>
        </row>
        <row r="177">
          <cell r="G177" t="str">
            <v>Kab. Blora</v>
          </cell>
          <cell r="H177">
            <v>1820.59</v>
          </cell>
          <cell r="I177">
            <v>853.47299999999996</v>
          </cell>
          <cell r="J177">
            <v>349.62900000000002</v>
          </cell>
          <cell r="L177">
            <v>89.95</v>
          </cell>
          <cell r="M177">
            <v>19.730579595999998</v>
          </cell>
          <cell r="N177">
            <v>0.40625507500000002</v>
          </cell>
          <cell r="O177">
            <v>23.14909574</v>
          </cell>
          <cell r="P177">
            <v>0.45919116799999998</v>
          </cell>
          <cell r="Q177">
            <v>3.2406901889999999</v>
          </cell>
          <cell r="R177">
            <v>0.157520782</v>
          </cell>
          <cell r="S177">
            <v>3.857402139</v>
          </cell>
          <cell r="V177">
            <v>9838</v>
          </cell>
          <cell r="X177">
            <v>15.230755847999999</v>
          </cell>
        </row>
        <row r="178">
          <cell r="G178" t="str">
            <v>Kab. Boyolali</v>
          </cell>
        </row>
        <row r="179">
          <cell r="G179" t="str">
            <v>Kab. Brebes</v>
          </cell>
          <cell r="H179">
            <v>1661.17</v>
          </cell>
          <cell r="I179">
            <v>1769.905</v>
          </cell>
          <cell r="J179">
            <v>634.649</v>
          </cell>
          <cell r="K179">
            <v>7250000</v>
          </cell>
          <cell r="L179">
            <v>88.85</v>
          </cell>
          <cell r="M179">
            <v>19.084499999999998</v>
          </cell>
          <cell r="N179">
            <v>1.3</v>
          </cell>
          <cell r="O179">
            <v>22.6845</v>
          </cell>
          <cell r="P179">
            <v>1.4E-2</v>
          </cell>
          <cell r="Q179">
            <v>0.45</v>
          </cell>
          <cell r="R179">
            <v>0.25</v>
          </cell>
          <cell r="S179">
            <v>0.71399999999999997</v>
          </cell>
          <cell r="V179">
            <v>12489</v>
          </cell>
          <cell r="X179">
            <v>19.697206000000001</v>
          </cell>
        </row>
        <row r="180">
          <cell r="G180" t="str">
            <v xml:space="preserve">Kab. Cilacap    </v>
          </cell>
        </row>
        <row r="181">
          <cell r="G181" t="str">
            <v xml:space="preserve">Kab. Demak  </v>
          </cell>
          <cell r="V181">
            <v>8226</v>
          </cell>
          <cell r="X181">
            <v>12.841033473</v>
          </cell>
        </row>
        <row r="182">
          <cell r="G182" t="str">
            <v>Kab. Grobogan</v>
          </cell>
        </row>
        <row r="183">
          <cell r="G183" t="str">
            <v>Kab. Jepara</v>
          </cell>
        </row>
        <row r="184">
          <cell r="G184" t="str">
            <v>Kab. Karanganyar</v>
          </cell>
        </row>
        <row r="185">
          <cell r="G185" t="str">
            <v>Kab. Kebumen</v>
          </cell>
        </row>
        <row r="186">
          <cell r="G186" t="str">
            <v xml:space="preserve">Kab. Kendal </v>
          </cell>
        </row>
        <row r="187">
          <cell r="G187" t="str">
            <v>Kab. Klaten</v>
          </cell>
        </row>
        <row r="188">
          <cell r="G188" t="str">
            <v>Kab. Kudus</v>
          </cell>
        </row>
        <row r="189">
          <cell r="G189" t="str">
            <v>Kab. Magelang</v>
          </cell>
        </row>
        <row r="190">
          <cell r="G190" t="str">
            <v>Kab. Pati</v>
          </cell>
        </row>
        <row r="191">
          <cell r="G191" t="str">
            <v>Kab. Pekalongan</v>
          </cell>
          <cell r="H191">
            <v>836.13</v>
          </cell>
          <cell r="I191">
            <v>858.42700000000002</v>
          </cell>
          <cell r="J191">
            <v>185.38800000000001</v>
          </cell>
          <cell r="K191">
            <v>0</v>
          </cell>
          <cell r="L191">
            <v>93.64</v>
          </cell>
          <cell r="M191">
            <v>9.6999999999999993</v>
          </cell>
          <cell r="N191">
            <v>1.1499999999999999</v>
          </cell>
          <cell r="O191">
            <v>12.3</v>
          </cell>
          <cell r="P191">
            <v>3.3870499999999998E-2</v>
          </cell>
          <cell r="Q191">
            <v>0.3</v>
          </cell>
          <cell r="R191">
            <v>0.20730000000000001</v>
          </cell>
          <cell r="S191">
            <v>0.5411705</v>
          </cell>
          <cell r="V191">
            <v>8284</v>
          </cell>
          <cell r="X191">
            <v>14.26449453</v>
          </cell>
        </row>
        <row r="192">
          <cell r="G192" t="str">
            <v>Kab. Pemalang</v>
          </cell>
        </row>
        <row r="193">
          <cell r="G193" t="str">
            <v xml:space="preserve">Kab. Purbalingga       </v>
          </cell>
          <cell r="Y193" t="str">
            <v>900/1905,Purbalingga060705,Sekda Risnadi wahyono</v>
          </cell>
          <cell r="AA193">
            <v>12.345361786</v>
          </cell>
          <cell r="AB193">
            <v>0.20936178599999999</v>
          </cell>
        </row>
        <row r="194">
          <cell r="G194" t="str">
            <v>Kab. Purworejo</v>
          </cell>
        </row>
        <row r="195">
          <cell r="G195" t="str">
            <v>Kab. Rembang</v>
          </cell>
          <cell r="Y195" t="str">
            <v>900/124/2005,Rembang210705, Sekda Maskuri</v>
          </cell>
          <cell r="AA195">
            <v>10.848579448000001</v>
          </cell>
          <cell r="AB195">
            <v>0.51457944799999999</v>
          </cell>
        </row>
        <row r="196">
          <cell r="G196" t="str">
            <v>Kab. Semarang</v>
          </cell>
          <cell r="Y196" t="str">
            <v>903/02543,Ungaran190705,Sekda Soetrisno</v>
          </cell>
          <cell r="AA196">
            <v>15.340424856</v>
          </cell>
          <cell r="AB196">
            <v>1.332424856</v>
          </cell>
        </row>
        <row r="197">
          <cell r="G197" t="str">
            <v>Kab. Sragen</v>
          </cell>
        </row>
        <row r="198">
          <cell r="G198" t="str">
            <v>Kab. Sukoharjo</v>
          </cell>
        </row>
        <row r="199">
          <cell r="G199" t="str">
            <v>Kab. Tegal</v>
          </cell>
          <cell r="H199">
            <v>87879</v>
          </cell>
          <cell r="I199">
            <v>1435.9190000000001</v>
          </cell>
          <cell r="J199">
            <v>444.387</v>
          </cell>
          <cell r="K199">
            <v>0</v>
          </cell>
          <cell r="M199">
            <v>12.623053000000001</v>
          </cell>
          <cell r="N199">
            <v>0.61746800000000002</v>
          </cell>
          <cell r="O199">
            <v>16.572787999999999</v>
          </cell>
          <cell r="P199">
            <v>0</v>
          </cell>
          <cell r="Q199">
            <v>5.9872210000000002E-2</v>
          </cell>
          <cell r="R199">
            <v>0.85943499999999995</v>
          </cell>
          <cell r="S199">
            <v>0.91930721000000004</v>
          </cell>
          <cell r="V199">
            <v>11084</v>
          </cell>
          <cell r="X199">
            <v>17.299321549999998</v>
          </cell>
          <cell r="Y199" t="str">
            <v>900/02402,slawi,50705,Bup agus riyanto</v>
          </cell>
          <cell r="AA199">
            <v>16.294188774999999</v>
          </cell>
          <cell r="AB199">
            <v>0.87018877500000003</v>
          </cell>
        </row>
        <row r="200">
          <cell r="G200" t="str">
            <v>Kab. Temanggung</v>
          </cell>
        </row>
        <row r="201">
          <cell r="G201" t="str">
            <v>Kab. Wonogiri</v>
          </cell>
        </row>
        <row r="202">
          <cell r="G202" t="str">
            <v xml:space="preserve">Kab. Wonosobo       </v>
          </cell>
        </row>
        <row r="203">
          <cell r="G203" t="str">
            <v>Kota Magelang</v>
          </cell>
          <cell r="Y203" t="str">
            <v>900/994/290, Magelang080705, Pj.Bup Sulaiman Hasan</v>
          </cell>
          <cell r="AA203">
            <v>0.56848915010000001</v>
          </cell>
          <cell r="AB203">
            <v>0.31989150100000002</v>
          </cell>
        </row>
        <row r="204">
          <cell r="G204" t="str">
            <v>Kota Pekalongan</v>
          </cell>
        </row>
        <row r="205">
          <cell r="G205" t="str">
            <v>Kota Salatiga</v>
          </cell>
          <cell r="Y205" t="str">
            <v>840/970,Salatiga090605,walikota totok Mintarto</v>
          </cell>
          <cell r="AA205">
            <v>5.7695600000000002</v>
          </cell>
          <cell r="AB205">
            <v>0.89056000000000002</v>
          </cell>
        </row>
        <row r="206">
          <cell r="G206" t="str">
            <v>Kota Semarang</v>
          </cell>
        </row>
        <row r="207">
          <cell r="G207" t="str">
            <v>Kota Surakarta</v>
          </cell>
        </row>
        <row r="208">
          <cell r="G208" t="str">
            <v xml:space="preserve">Kota Tegal </v>
          </cell>
        </row>
        <row r="209">
          <cell r="G209" t="str">
            <v>Provinsi DI Yogyakarta</v>
          </cell>
        </row>
        <row r="210">
          <cell r="G210" t="str">
            <v>Kab. Bantul</v>
          </cell>
          <cell r="H210">
            <v>506.85</v>
          </cell>
          <cell r="I210">
            <v>816.25599999999997</v>
          </cell>
          <cell r="J210">
            <v>132.12299999999999</v>
          </cell>
          <cell r="K210">
            <v>0</v>
          </cell>
          <cell r="L210">
            <v>92.28</v>
          </cell>
          <cell r="M210">
            <v>11.081466167</v>
          </cell>
          <cell r="N210">
            <v>3.6</v>
          </cell>
          <cell r="O210">
            <v>16.907501166999999</v>
          </cell>
          <cell r="P210">
            <v>0</v>
          </cell>
          <cell r="Q210">
            <v>5.5915840000000001E-2</v>
          </cell>
          <cell r="R210">
            <v>0.33912425499999999</v>
          </cell>
          <cell r="S210">
            <v>0.34471583900000002</v>
          </cell>
          <cell r="V210">
            <v>11975</v>
          </cell>
          <cell r="X210">
            <v>18.606250703000001</v>
          </cell>
          <cell r="Y210" t="str">
            <v>910/3764,Bantul210705,Pejabat Bupati Soetaryo</v>
          </cell>
          <cell r="AA210">
            <v>0.54237448799999999</v>
          </cell>
          <cell r="AB210">
            <v>18.339374488000001</v>
          </cell>
        </row>
        <row r="211">
          <cell r="G211" t="str">
            <v>Kab. Gunung Kidul</v>
          </cell>
          <cell r="H211">
            <v>1485.36</v>
          </cell>
          <cell r="I211">
            <v>630.34299999999996</v>
          </cell>
          <cell r="J211">
            <v>1.7330000000000001</v>
          </cell>
          <cell r="K211">
            <v>0</v>
          </cell>
          <cell r="L211">
            <v>147.12</v>
          </cell>
          <cell r="M211">
            <v>5.6749999999999998</v>
          </cell>
          <cell r="N211">
            <v>1.1000000000000001</v>
          </cell>
          <cell r="O211">
            <v>8.6750000000000007</v>
          </cell>
          <cell r="P211">
            <v>0</v>
          </cell>
          <cell r="Q211">
            <v>0.26483493299999999</v>
          </cell>
          <cell r="R211">
            <v>0.157520782</v>
          </cell>
          <cell r="S211">
            <v>0.42235571500000002</v>
          </cell>
          <cell r="V211">
            <v>9826</v>
          </cell>
          <cell r="X211">
            <v>16.994070346000001</v>
          </cell>
        </row>
        <row r="212">
          <cell r="G212" t="str">
            <v>Kab. Kulon Progo</v>
          </cell>
        </row>
        <row r="213">
          <cell r="G213" t="str">
            <v>Kab. Sleman</v>
          </cell>
        </row>
        <row r="214">
          <cell r="G214" t="str">
            <v>Kota Yogyakarta</v>
          </cell>
          <cell r="H214">
            <v>32.5</v>
          </cell>
          <cell r="I214">
            <v>398.00400000000002</v>
          </cell>
          <cell r="J214">
            <v>70.667000000000002</v>
          </cell>
          <cell r="K214">
            <v>0</v>
          </cell>
          <cell r="L214">
            <v>86.08</v>
          </cell>
          <cell r="M214">
            <v>13.167999999999999</v>
          </cell>
          <cell r="N214">
            <v>7.0664999999999996</v>
          </cell>
          <cell r="O214">
            <v>28.234500000000001</v>
          </cell>
          <cell r="P214">
            <v>0</v>
          </cell>
          <cell r="Q214">
            <v>9.8515000000000005E-2</v>
          </cell>
          <cell r="R214">
            <v>0.14319000000000001</v>
          </cell>
          <cell r="S214">
            <v>0.241705</v>
          </cell>
          <cell r="V214">
            <v>8239</v>
          </cell>
          <cell r="X214">
            <v>13.136635382</v>
          </cell>
        </row>
        <row r="215">
          <cell r="G215" t="str">
            <v>Provinsi  Jawa Timur</v>
          </cell>
        </row>
        <row r="216">
          <cell r="G216" t="str">
            <v>Kab. Bangkalan</v>
          </cell>
        </row>
        <row r="217">
          <cell r="G217" t="str">
            <v>Kab. Banyuwangi</v>
          </cell>
        </row>
        <row r="218">
          <cell r="G218" t="str">
            <v>Kab. Blitar</v>
          </cell>
          <cell r="H218">
            <v>1588.79</v>
          </cell>
          <cell r="I218">
            <v>1131.222</v>
          </cell>
          <cell r="J218">
            <v>195366</v>
          </cell>
          <cell r="K218">
            <v>75000000</v>
          </cell>
          <cell r="L218">
            <v>89.09</v>
          </cell>
          <cell r="M218">
            <v>12.522057787</v>
          </cell>
          <cell r="N218">
            <v>1.5</v>
          </cell>
          <cell r="O218">
            <v>15.729647765999999</v>
          </cell>
          <cell r="P218">
            <v>0.58323228699999996</v>
          </cell>
          <cell r="Q218">
            <v>0.12776200600000001</v>
          </cell>
          <cell r="R218">
            <v>0.19</v>
          </cell>
          <cell r="S218">
            <v>0.97599429299999996</v>
          </cell>
          <cell r="V218">
            <v>12862</v>
          </cell>
          <cell r="X218">
            <v>20.143591076</v>
          </cell>
        </row>
        <row r="219">
          <cell r="G219" t="str">
            <v>Kab. Bojonegoro</v>
          </cell>
        </row>
        <row r="220">
          <cell r="G220" t="str">
            <v>Kab. Bondowoso</v>
          </cell>
        </row>
        <row r="221">
          <cell r="G221" t="str">
            <v>Kab. Gresik</v>
          </cell>
        </row>
        <row r="222">
          <cell r="G222" t="str">
            <v>Kab. Jember</v>
          </cell>
        </row>
        <row r="223">
          <cell r="G223" t="str">
            <v>Kab. Jombang</v>
          </cell>
          <cell r="Y223" t="str">
            <v>900/1761/415.19/05,jombang020705,Bup suyanto</v>
          </cell>
          <cell r="AA223">
            <v>16.781851307</v>
          </cell>
          <cell r="AB223">
            <v>0.81734053699999998</v>
          </cell>
        </row>
        <row r="224">
          <cell r="G224" t="str">
            <v>Kab. Kediri</v>
          </cell>
        </row>
        <row r="225">
          <cell r="G225" t="str">
            <v>Kab. Lamongan</v>
          </cell>
          <cell r="H225">
            <v>1812.8</v>
          </cell>
          <cell r="I225">
            <v>1224.8119999999999</v>
          </cell>
          <cell r="J225">
            <v>286.64299999999997</v>
          </cell>
          <cell r="K225">
            <v>5707000</v>
          </cell>
          <cell r="L225">
            <v>109.59</v>
          </cell>
          <cell r="M225">
            <v>16.724256</v>
          </cell>
          <cell r="N225">
            <v>1.2857350000000001</v>
          </cell>
          <cell r="O225">
            <v>20.372354999999999</v>
          </cell>
          <cell r="P225">
            <v>0.316</v>
          </cell>
          <cell r="Q225">
            <v>0.103937</v>
          </cell>
          <cell r="R225">
            <v>0.95744600000000002</v>
          </cell>
          <cell r="S225">
            <v>1.3830899999999999</v>
          </cell>
          <cell r="V225">
            <v>10875</v>
          </cell>
          <cell r="X225">
            <v>17.432057149999999</v>
          </cell>
        </row>
        <row r="226">
          <cell r="G226" t="str">
            <v>Kab. Lumajang</v>
          </cell>
          <cell r="V226">
            <v>9452</v>
          </cell>
          <cell r="X226">
            <v>14.807324581</v>
          </cell>
        </row>
        <row r="227">
          <cell r="G227" t="str">
            <v>Kab. Madiun</v>
          </cell>
          <cell r="H227">
            <v>1010.86</v>
          </cell>
          <cell r="I227">
            <v>679.84100000000001</v>
          </cell>
          <cell r="J227">
            <v>220.745</v>
          </cell>
          <cell r="K227">
            <v>7149590</v>
          </cell>
          <cell r="L227">
            <v>91.4</v>
          </cell>
          <cell r="M227">
            <v>11.081777894</v>
          </cell>
          <cell r="N227">
            <v>1.2091453990000001</v>
          </cell>
          <cell r="O227">
            <v>15.063313958</v>
          </cell>
          <cell r="P227">
            <v>0.316</v>
          </cell>
          <cell r="Q227">
            <v>0.50929000000000002</v>
          </cell>
          <cell r="R227">
            <v>0.95744680999999998</v>
          </cell>
          <cell r="S227">
            <v>1.7898864000000001</v>
          </cell>
          <cell r="V227">
            <v>9368</v>
          </cell>
          <cell r="X227">
            <v>15.4068424</v>
          </cell>
        </row>
        <row r="228">
          <cell r="G228" t="str">
            <v>Kab. Magetan</v>
          </cell>
          <cell r="H228">
            <v>688.85</v>
          </cell>
          <cell r="I228">
            <v>624.98599999999999</v>
          </cell>
          <cell r="J228">
            <v>138.203</v>
          </cell>
          <cell r="K228">
            <v>2300000</v>
          </cell>
          <cell r="L228">
            <v>94.89</v>
          </cell>
          <cell r="M228">
            <v>15.122999999999999</v>
          </cell>
          <cell r="N228">
            <v>1.3859999999999999</v>
          </cell>
          <cell r="O228">
            <v>19.402999999999999</v>
          </cell>
          <cell r="P228">
            <v>0.13020000000000001</v>
          </cell>
          <cell r="Q228">
            <v>7.9000000000000008E-3</v>
          </cell>
          <cell r="R228">
            <v>0.37159999999999999</v>
          </cell>
          <cell r="S228">
            <v>0.51200000000000001</v>
          </cell>
          <cell r="V228">
            <v>10213</v>
          </cell>
          <cell r="X228">
            <v>15.572171666999999</v>
          </cell>
          <cell r="Y228" t="str">
            <v>900/321/403.033/2005,magetan300605,Bup saleh Muljono</v>
          </cell>
          <cell r="AA228">
            <v>15.964897003999999</v>
          </cell>
          <cell r="AB228">
            <v>1.547897004</v>
          </cell>
        </row>
        <row r="229">
          <cell r="G229" t="str">
            <v>Kab. Malang</v>
          </cell>
          <cell r="H229">
            <v>3347.8</v>
          </cell>
          <cell r="I229">
            <v>2284.3519999999999</v>
          </cell>
          <cell r="J229">
            <v>1371.56</v>
          </cell>
          <cell r="K229">
            <v>5900000</v>
          </cell>
          <cell r="L229">
            <v>90.52</v>
          </cell>
          <cell r="M229">
            <v>26.85</v>
          </cell>
          <cell r="N229">
            <v>3.6150000000000002</v>
          </cell>
          <cell r="O229">
            <v>34.803600000000003</v>
          </cell>
          <cell r="P229">
            <v>0.36568200000000001</v>
          </cell>
          <cell r="Q229">
            <v>0.56815000000000004</v>
          </cell>
          <cell r="R229">
            <v>0.26857999999999999</v>
          </cell>
          <cell r="S229">
            <v>1.2083120000000001</v>
          </cell>
          <cell r="V229">
            <v>17214</v>
          </cell>
          <cell r="X229">
            <v>27.492905338</v>
          </cell>
        </row>
        <row r="230">
          <cell r="G230" t="str">
            <v>Kab. Mojokerto</v>
          </cell>
          <cell r="H230">
            <v>969.36</v>
          </cell>
          <cell r="I230">
            <v>1009.3920000000001</v>
          </cell>
          <cell r="J230">
            <v>199.33</v>
          </cell>
          <cell r="K230">
            <v>3000000</v>
          </cell>
          <cell r="L230">
            <v>90.78</v>
          </cell>
          <cell r="M230">
            <v>14</v>
          </cell>
          <cell r="N230">
            <v>2</v>
          </cell>
          <cell r="O230">
            <v>20.8</v>
          </cell>
          <cell r="P230">
            <v>0.19500000000000001</v>
          </cell>
          <cell r="Q230">
            <v>0.10390000000000001</v>
          </cell>
          <cell r="R230">
            <v>0.3</v>
          </cell>
          <cell r="S230">
            <v>0.60189999999999999</v>
          </cell>
          <cell r="V230">
            <v>9160</v>
          </cell>
          <cell r="X230">
            <v>13.892405204999999</v>
          </cell>
        </row>
        <row r="231">
          <cell r="G231" t="str">
            <v>Kab. Nganjuk</v>
          </cell>
        </row>
        <row r="232">
          <cell r="G232" t="str">
            <v>Kab. Ngawi</v>
          </cell>
        </row>
        <row r="233">
          <cell r="G233" t="str">
            <v>Kab. Pacitan</v>
          </cell>
        </row>
        <row r="234">
          <cell r="G234" t="str">
            <v>Kab. Pamekasan</v>
          </cell>
        </row>
        <row r="235">
          <cell r="G235" t="str">
            <v>Kab. Pasuruan</v>
          </cell>
        </row>
        <row r="236">
          <cell r="G236" t="str">
            <v>Kab. Ponorogo</v>
          </cell>
          <cell r="H236">
            <v>1371.78</v>
          </cell>
          <cell r="I236">
            <v>911.93299999999999</v>
          </cell>
          <cell r="J236">
            <v>236.691</v>
          </cell>
          <cell r="K236" t="str">
            <v>-</v>
          </cell>
          <cell r="L236">
            <v>88.79</v>
          </cell>
          <cell r="M236">
            <v>14.640008999999999</v>
          </cell>
          <cell r="N236">
            <v>1.2857339999999999</v>
          </cell>
          <cell r="O236">
            <v>18.218920000000001</v>
          </cell>
          <cell r="P236" t="str">
            <v>-</v>
          </cell>
          <cell r="Q236">
            <v>5.0299000000000003E-2</v>
          </cell>
          <cell r="R236">
            <v>0.37150899999999998</v>
          </cell>
          <cell r="S236">
            <v>0.42180800000000002</v>
          </cell>
          <cell r="V236">
            <v>10816</v>
          </cell>
          <cell r="X236">
            <v>16.888112901</v>
          </cell>
        </row>
        <row r="237">
          <cell r="G237" t="str">
            <v xml:space="preserve">Kab. Probolinggo    </v>
          </cell>
        </row>
        <row r="238">
          <cell r="G238" t="str">
            <v>Kab. Sampang</v>
          </cell>
        </row>
        <row r="239">
          <cell r="G239" t="str">
            <v>Kab. Sidoarjo</v>
          </cell>
        </row>
        <row r="240">
          <cell r="G240" t="str">
            <v>Kab. Situbondo</v>
          </cell>
        </row>
        <row r="241">
          <cell r="G241" t="str">
            <v>Kab. Sumenep</v>
          </cell>
        </row>
        <row r="242">
          <cell r="G242" t="str">
            <v>Kab. Trenggalek</v>
          </cell>
        </row>
        <row r="243">
          <cell r="G243" t="str">
            <v>Kab. Tuban</v>
          </cell>
          <cell r="Y243" t="str">
            <v>900/2107/414.050/2005.Tuban290605,Sekda Soekarman</v>
          </cell>
          <cell r="AA243">
            <v>15.282102489</v>
          </cell>
          <cell r="AB243">
            <v>1.648102489</v>
          </cell>
        </row>
        <row r="244">
          <cell r="G244" t="str">
            <v>Kab. Tulungagung</v>
          </cell>
        </row>
        <row r="245">
          <cell r="G245" t="str">
            <v>Kota Blitar</v>
          </cell>
        </row>
        <row r="246">
          <cell r="G246" t="str">
            <v>Kota Kediri</v>
          </cell>
        </row>
        <row r="247">
          <cell r="G247" t="str">
            <v>Kota Madiun</v>
          </cell>
        </row>
        <row r="248">
          <cell r="G248" t="str">
            <v>Kota Malang</v>
          </cell>
        </row>
        <row r="249">
          <cell r="G249" t="str">
            <v>Kota Mojokerto</v>
          </cell>
        </row>
        <row r="250">
          <cell r="G250" t="str">
            <v xml:space="preserve">Kota Pasuruan </v>
          </cell>
        </row>
        <row r="251">
          <cell r="G251" t="str">
            <v>Kota Probollinggo</v>
          </cell>
        </row>
        <row r="252">
          <cell r="G252" t="str">
            <v>Kota Surabaya</v>
          </cell>
        </row>
        <row r="253">
          <cell r="G253" t="str">
            <v>Kota Batu</v>
          </cell>
        </row>
        <row r="254">
          <cell r="G254" t="str">
            <v>Provinsi  Kalimantan Barat</v>
          </cell>
        </row>
        <row r="255">
          <cell r="G255" t="str">
            <v>Kab. Bengkayang</v>
          </cell>
        </row>
        <row r="256">
          <cell r="G256" t="str">
            <v>Kab. Landak</v>
          </cell>
        </row>
        <row r="257">
          <cell r="G257" t="str">
            <v>Kab. Kapuas Hulu</v>
          </cell>
          <cell r="V257">
            <v>4710</v>
          </cell>
          <cell r="X257">
            <v>6.8731210190000001</v>
          </cell>
          <cell r="Z257">
            <v>1</v>
          </cell>
        </row>
        <row r="258">
          <cell r="G258" t="str">
            <v>Kab. Ketapang</v>
          </cell>
        </row>
        <row r="259">
          <cell r="G259" t="str">
            <v>Kab. Pontianak</v>
          </cell>
          <cell r="V259">
            <v>8848</v>
          </cell>
          <cell r="X259">
            <v>13.220145901</v>
          </cell>
          <cell r="Y259" t="str">
            <v>991/286/BPKKD-C,Mempawah 071204</v>
          </cell>
          <cell r="Z259">
            <v>1</v>
          </cell>
        </row>
        <row r="260">
          <cell r="G260" t="str">
            <v>Kab. Sambas</v>
          </cell>
          <cell r="V260">
            <v>13</v>
          </cell>
          <cell r="X260">
            <v>10.103666004999999</v>
          </cell>
          <cell r="Y260" t="str">
            <v>900/289/Keu,10/05/05,Sek Suyadi Widjaja</v>
          </cell>
          <cell r="Z260">
            <v>1</v>
          </cell>
        </row>
        <row r="261">
          <cell r="G261" t="str">
            <v>Kab. Sanggau</v>
          </cell>
          <cell r="H261">
            <v>12857.8</v>
          </cell>
          <cell r="I261">
            <v>379.40300000000002</v>
          </cell>
          <cell r="J261">
            <v>68.38</v>
          </cell>
          <cell r="K261">
            <v>63.5</v>
          </cell>
          <cell r="L261">
            <v>102.67</v>
          </cell>
          <cell r="M261">
            <v>2.5259955000000001</v>
          </cell>
          <cell r="N261">
            <v>9.3689381100000002</v>
          </cell>
          <cell r="O261">
            <v>0.2898752</v>
          </cell>
          <cell r="P261">
            <v>0</v>
          </cell>
          <cell r="Q261">
            <v>0</v>
          </cell>
          <cell r="R261">
            <v>0.301390414</v>
          </cell>
          <cell r="S261">
            <v>0</v>
          </cell>
          <cell r="T261">
            <v>8.1136110430000006</v>
          </cell>
          <cell r="Y261" t="str">
            <v>903/37/BPKKD-PY,Sanggau 160505.</v>
          </cell>
          <cell r="Z261">
            <v>1</v>
          </cell>
        </row>
        <row r="262">
          <cell r="G262" t="str">
            <v>Kab. Sintang</v>
          </cell>
        </row>
        <row r="263">
          <cell r="G263" t="str">
            <v>Kota Pontianak</v>
          </cell>
        </row>
        <row r="264">
          <cell r="G264" t="str">
            <v>Kota Singkawang</v>
          </cell>
          <cell r="H264">
            <v>504</v>
          </cell>
          <cell r="I264">
            <v>177.54300000000001</v>
          </cell>
          <cell r="K264">
            <v>68.7</v>
          </cell>
          <cell r="M264">
            <v>1.345919407</v>
          </cell>
          <cell r="N264">
            <v>6.2431712079999997</v>
          </cell>
          <cell r="O264">
            <v>1.8906080000000001</v>
          </cell>
          <cell r="P264">
            <v>0.29129287100000001</v>
          </cell>
          <cell r="Q264">
            <v>0</v>
          </cell>
          <cell r="R264">
            <v>0.50055745799999996</v>
          </cell>
          <cell r="S264">
            <v>339.124256</v>
          </cell>
          <cell r="T264">
            <v>6.1555308999999996</v>
          </cell>
          <cell r="U264">
            <v>188.56899999999999</v>
          </cell>
          <cell r="V264">
            <v>3114</v>
          </cell>
          <cell r="X264">
            <v>4.6660336520000003</v>
          </cell>
          <cell r="Y264" t="str">
            <v>050/152/Renc-Bappeda,17/05/05,Wali Awang Ishak</v>
          </cell>
          <cell r="Z264">
            <v>1</v>
          </cell>
        </row>
        <row r="265">
          <cell r="G265" t="str">
            <v>Provinsi  Kalimantan Tengah</v>
          </cell>
          <cell r="H265">
            <v>153564</v>
          </cell>
          <cell r="I265">
            <v>1912.7470000000001</v>
          </cell>
          <cell r="J265">
            <v>185.45</v>
          </cell>
          <cell r="M265">
            <v>37.5</v>
          </cell>
          <cell r="N265">
            <v>28.5</v>
          </cell>
          <cell r="O265">
            <v>1</v>
          </cell>
          <cell r="P265">
            <v>0</v>
          </cell>
          <cell r="Q265">
            <v>0</v>
          </cell>
          <cell r="R265">
            <v>18.5</v>
          </cell>
          <cell r="S265">
            <v>0</v>
          </cell>
          <cell r="T265">
            <v>117.157</v>
          </cell>
          <cell r="V265">
            <v>4316</v>
          </cell>
          <cell r="X265">
            <v>6.3777352599999997</v>
          </cell>
          <cell r="Z265">
            <v>1</v>
          </cell>
        </row>
        <row r="266">
          <cell r="G266" t="str">
            <v>Kab. Barito Selatan</v>
          </cell>
        </row>
        <row r="267">
          <cell r="G267" t="str">
            <v>Kab. Barito Utara</v>
          </cell>
        </row>
        <row r="268">
          <cell r="G268" t="str">
            <v>Kab. Kapuas</v>
          </cell>
          <cell r="H268">
            <v>14999</v>
          </cell>
          <cell r="I268">
            <v>330.63900000000001</v>
          </cell>
          <cell r="J268">
            <v>120.93600000000001</v>
          </cell>
          <cell r="L268">
            <v>136.72999999999999</v>
          </cell>
          <cell r="M268">
            <v>3.5</v>
          </cell>
          <cell r="N268">
            <v>11.5</v>
          </cell>
          <cell r="O268">
            <v>0.6</v>
          </cell>
          <cell r="P268">
            <v>0</v>
          </cell>
          <cell r="Q268">
            <v>0</v>
          </cell>
          <cell r="R268">
            <v>5</v>
          </cell>
          <cell r="S268">
            <v>0.25</v>
          </cell>
          <cell r="T268">
            <v>10.250163000000001</v>
          </cell>
          <cell r="V268">
            <v>7025</v>
          </cell>
          <cell r="X268">
            <v>12.9376</v>
          </cell>
          <cell r="Y268" t="str">
            <v>903/956/Keu.2005,Kuala Kapuas,21/05/05,Bup Burhanudin Ali</v>
          </cell>
          <cell r="Z268">
            <v>1</v>
          </cell>
        </row>
        <row r="269">
          <cell r="G269" t="str">
            <v>Kab. Kotawaringin Barat</v>
          </cell>
        </row>
        <row r="270">
          <cell r="G270" t="str">
            <v>Kab. Kotawaringin Timur</v>
          </cell>
        </row>
        <row r="271">
          <cell r="G271" t="str">
            <v>Kota Palangkaraya</v>
          </cell>
        </row>
        <row r="272">
          <cell r="G272" t="str">
            <v>Kab. Barito Timur</v>
          </cell>
        </row>
        <row r="273">
          <cell r="G273" t="str">
            <v>Kab. Murung Raya</v>
          </cell>
        </row>
        <row r="274">
          <cell r="G274" t="str">
            <v>Kab. Pulang Pisau</v>
          </cell>
        </row>
        <row r="275">
          <cell r="G275" t="str">
            <v>Kab. Gunung Mas</v>
          </cell>
          <cell r="H275">
            <v>10804</v>
          </cell>
          <cell r="I275">
            <v>80.561999999999998</v>
          </cell>
          <cell r="J275">
            <v>12.385</v>
          </cell>
          <cell r="M275">
            <v>0.3</v>
          </cell>
          <cell r="N275">
            <v>7</v>
          </cell>
          <cell r="O275">
            <v>0.5</v>
          </cell>
          <cell r="P275">
            <v>7.9000000000000001E-2</v>
          </cell>
          <cell r="R275">
            <v>1.62</v>
          </cell>
          <cell r="S275">
            <v>1.153</v>
          </cell>
          <cell r="T275">
            <v>5.1252500000000003</v>
          </cell>
          <cell r="U275">
            <v>15.068</v>
          </cell>
          <cell r="Z275">
            <v>1</v>
          </cell>
        </row>
        <row r="276">
          <cell r="G276" t="str">
            <v>Kab. Lamandau</v>
          </cell>
          <cell r="H276">
            <v>6414</v>
          </cell>
          <cell r="I276">
            <v>52.15</v>
          </cell>
          <cell r="J276">
            <v>17.817</v>
          </cell>
          <cell r="K276">
            <v>64.3</v>
          </cell>
          <cell r="M276">
            <v>0.5</v>
          </cell>
          <cell r="N276">
            <v>9</v>
          </cell>
          <cell r="O276">
            <v>1.5</v>
          </cell>
          <cell r="P276">
            <v>2.5000000000000001E-2</v>
          </cell>
          <cell r="Q276">
            <v>0</v>
          </cell>
          <cell r="R276">
            <v>3</v>
          </cell>
          <cell r="S276">
            <v>0.5</v>
          </cell>
          <cell r="T276">
            <v>2.488</v>
          </cell>
          <cell r="V276">
            <v>1046</v>
          </cell>
          <cell r="X276">
            <v>1.5348593530000001</v>
          </cell>
          <cell r="Y276" t="str">
            <v>900/44/KEU/2005,18/05/05,Bup Bustani mamud</v>
          </cell>
          <cell r="Z276">
            <v>1</v>
          </cell>
        </row>
        <row r="277">
          <cell r="G277" t="str">
            <v>Kab. Sukamara</v>
          </cell>
        </row>
        <row r="278">
          <cell r="G278" t="str">
            <v>Kab. Katingan</v>
          </cell>
        </row>
        <row r="279">
          <cell r="G279" t="str">
            <v>Kab. Seruyan</v>
          </cell>
          <cell r="H279">
            <v>15064.7</v>
          </cell>
          <cell r="I279">
            <v>111.417</v>
          </cell>
          <cell r="J279">
            <v>27.937000000000001</v>
          </cell>
          <cell r="L279">
            <v>110.34</v>
          </cell>
          <cell r="M279">
            <v>0.46</v>
          </cell>
          <cell r="N279">
            <v>11</v>
          </cell>
          <cell r="O279">
            <v>1.25</v>
          </cell>
          <cell r="P279">
            <v>0</v>
          </cell>
          <cell r="Q279">
            <v>0</v>
          </cell>
          <cell r="R279">
            <v>6</v>
          </cell>
          <cell r="S279">
            <v>0.15</v>
          </cell>
          <cell r="T279">
            <v>4.3143989999999999</v>
          </cell>
          <cell r="V279">
            <v>1254</v>
          </cell>
          <cell r="X279">
            <v>2.2057054730000001</v>
          </cell>
          <cell r="Y279" t="str">
            <v>900/66/Keu/V/2005,11/05/05,Sek Djoni Ardi</v>
          </cell>
          <cell r="Z279">
            <v>1</v>
          </cell>
        </row>
        <row r="280">
          <cell r="G280" t="str">
            <v>Provinsi  Kalimantan Selatan</v>
          </cell>
        </row>
        <row r="281">
          <cell r="G281" t="str">
            <v xml:space="preserve">Kab. Banjar </v>
          </cell>
          <cell r="H281">
            <v>4668.5</v>
          </cell>
          <cell r="I281">
            <v>448.68700000000001</v>
          </cell>
          <cell r="J281">
            <v>31.95</v>
          </cell>
          <cell r="M281">
            <v>3</v>
          </cell>
          <cell r="N281">
            <v>14.5</v>
          </cell>
          <cell r="O281">
            <v>1.2</v>
          </cell>
          <cell r="P281">
            <v>6.5</v>
          </cell>
          <cell r="Q281">
            <v>0.5</v>
          </cell>
          <cell r="R281">
            <v>0.5</v>
          </cell>
          <cell r="S281">
            <v>0.1</v>
          </cell>
          <cell r="T281">
            <v>11.110667000000001</v>
          </cell>
          <cell r="V281">
            <v>6104</v>
          </cell>
          <cell r="W281">
            <v>255</v>
          </cell>
          <cell r="X281">
            <v>9.2530733509999994</v>
          </cell>
          <cell r="Y281" t="str">
            <v>900/00374/Keu/2005,Martapura,20/04/05,Pj Bup Muchlis gafuri</v>
          </cell>
          <cell r="Z281" t="str">
            <v>1</v>
          </cell>
        </row>
        <row r="282">
          <cell r="G282" t="str">
            <v>Kab. Barito Kuala</v>
          </cell>
        </row>
        <row r="283">
          <cell r="G283" t="str">
            <v>Kab. Hulu Sungai Selatan</v>
          </cell>
        </row>
        <row r="284">
          <cell r="G284" t="str">
            <v>Kab. Hulu Sungai Tengah</v>
          </cell>
          <cell r="H284">
            <v>1472</v>
          </cell>
          <cell r="I284">
            <v>232.501</v>
          </cell>
          <cell r="J284">
            <v>47.103999999999999</v>
          </cell>
          <cell r="K284">
            <v>66.14</v>
          </cell>
          <cell r="M284">
            <v>1.5</v>
          </cell>
          <cell r="N284">
            <v>8.8482552959999996</v>
          </cell>
          <cell r="O284">
            <v>1.2857320000000001</v>
          </cell>
          <cell r="P284">
            <v>2.4839787489999998</v>
          </cell>
          <cell r="Q284">
            <v>0</v>
          </cell>
          <cell r="R284">
            <v>0</v>
          </cell>
          <cell r="S284">
            <v>0.190919913</v>
          </cell>
          <cell r="T284">
            <v>8.2891880699999998</v>
          </cell>
          <cell r="V284">
            <v>4789</v>
          </cell>
          <cell r="X284">
            <v>7.3772234750000001</v>
          </cell>
          <cell r="Z284">
            <v>1</v>
          </cell>
        </row>
        <row r="285">
          <cell r="G285" t="str">
            <v>Kab. Hulu Sungai Utara</v>
          </cell>
        </row>
        <row r="286">
          <cell r="G286" t="str">
            <v>Kab. Kota Baru</v>
          </cell>
        </row>
        <row r="287">
          <cell r="G287" t="str">
            <v>Kab. Tabalong</v>
          </cell>
        </row>
        <row r="288">
          <cell r="G288" t="str">
            <v>Kab. Tanah Laut</v>
          </cell>
        </row>
        <row r="289">
          <cell r="G289" t="str">
            <v>Kab. Tapin</v>
          </cell>
        </row>
        <row r="290">
          <cell r="G290" t="str">
            <v>Kota Banjar Baru</v>
          </cell>
        </row>
        <row r="291">
          <cell r="G291" t="str">
            <v xml:space="preserve">Kota Banjarmasin </v>
          </cell>
        </row>
        <row r="292">
          <cell r="G292" t="str">
            <v>Kab. Balangan</v>
          </cell>
          <cell r="H292">
            <v>1878</v>
          </cell>
          <cell r="I292">
            <v>98.97</v>
          </cell>
          <cell r="J292">
            <v>85.054817999999997</v>
          </cell>
          <cell r="L292">
            <v>98.3</v>
          </cell>
          <cell r="M292">
            <v>0.64497105300000002</v>
          </cell>
          <cell r="N292">
            <v>12.6965</v>
          </cell>
          <cell r="O292">
            <v>1.2857349389999999</v>
          </cell>
          <cell r="P292">
            <v>7.9</v>
          </cell>
          <cell r="Q292">
            <v>0</v>
          </cell>
          <cell r="R292">
            <v>0.53149999999999997</v>
          </cell>
          <cell r="S292">
            <v>0.52966986599999999</v>
          </cell>
          <cell r="T292">
            <v>1.2795127319999999</v>
          </cell>
          <cell r="V292">
            <v>1668</v>
          </cell>
          <cell r="X292">
            <v>3.6651644999999999</v>
          </cell>
          <cell r="Y292" t="str">
            <v>900/290/Keu/2005,Paringin,010605,Pj Bup Sriyono</v>
          </cell>
          <cell r="Z292">
            <v>1</v>
          </cell>
        </row>
        <row r="293">
          <cell r="G293" t="str">
            <v>Kab. Tanah Bumbu</v>
          </cell>
        </row>
        <row r="294">
          <cell r="G294" t="str">
            <v>Provinsi  Kalimantan Timur</v>
          </cell>
        </row>
        <row r="295">
          <cell r="G295" t="str">
            <v>Kab. Berau</v>
          </cell>
        </row>
        <row r="296">
          <cell r="G296" t="str">
            <v>Kab. Bulungan</v>
          </cell>
        </row>
        <row r="297">
          <cell r="G297" t="str">
            <v>Kab.  Kutai</v>
          </cell>
        </row>
        <row r="298">
          <cell r="G298" t="str">
            <v>Kab. Kutai Barat</v>
          </cell>
        </row>
        <row r="299">
          <cell r="G299" t="str">
            <v>Kab. Kutai Timur</v>
          </cell>
        </row>
        <row r="300">
          <cell r="G300" t="str">
            <v>Kab. Malinau</v>
          </cell>
        </row>
        <row r="301">
          <cell r="G301" t="str">
            <v>Kab. Nunukan</v>
          </cell>
        </row>
        <row r="302">
          <cell r="G302" t="str">
            <v>Kab. Pasir</v>
          </cell>
        </row>
        <row r="303">
          <cell r="G303" t="str">
            <v>Kota Balikpapan</v>
          </cell>
        </row>
        <row r="304">
          <cell r="G304" t="str">
            <v>Kota Bontang</v>
          </cell>
        </row>
        <row r="305">
          <cell r="G305" t="str">
            <v>Kota Samarinda</v>
          </cell>
        </row>
        <row r="306">
          <cell r="G306" t="str">
            <v>Kota Tarakan</v>
          </cell>
        </row>
        <row r="307">
          <cell r="G307" t="str">
            <v>Kab. Penajam Paser Utara</v>
          </cell>
          <cell r="Y307" t="str">
            <v>820/10/I/2005,Penajam,030105,</v>
          </cell>
        </row>
        <row r="308">
          <cell r="G308" t="str">
            <v>Provinsi  Sulawesi Utara</v>
          </cell>
        </row>
        <row r="309">
          <cell r="G309" t="str">
            <v>Kab. Bolaang Mongondow</v>
          </cell>
          <cell r="H309">
            <v>8358.0400000000009</v>
          </cell>
          <cell r="I309">
            <v>452.887</v>
          </cell>
          <cell r="J309">
            <v>50.753999999999998</v>
          </cell>
          <cell r="V309">
            <v>8476</v>
          </cell>
          <cell r="X309">
            <v>14.382639891333334</v>
          </cell>
          <cell r="Y309" t="str">
            <v>050/Bapeda-IV/309,11/04/05,Bup Marlina M.S</v>
          </cell>
          <cell r="Z309">
            <v>1</v>
          </cell>
        </row>
        <row r="310">
          <cell r="G310" t="str">
            <v xml:space="preserve">Kab. Minahasa </v>
          </cell>
        </row>
        <row r="311">
          <cell r="G311" t="str">
            <v>Kab. Sangihe</v>
          </cell>
        </row>
        <row r="312">
          <cell r="G312" t="str">
            <v>Kota Bitung</v>
          </cell>
          <cell r="H312">
            <v>304</v>
          </cell>
          <cell r="I312">
            <v>169.167</v>
          </cell>
          <cell r="J312">
            <v>14.348000000000001</v>
          </cell>
          <cell r="K312">
            <v>70.7</v>
          </cell>
          <cell r="L312">
            <v>162.35</v>
          </cell>
          <cell r="M312">
            <v>1.1000000000000001</v>
          </cell>
          <cell r="N312">
            <v>4.5999999999999996</v>
          </cell>
          <cell r="O312">
            <v>2</v>
          </cell>
          <cell r="P312">
            <v>0.40505000000000002</v>
          </cell>
          <cell r="R312">
            <v>0.33</v>
          </cell>
          <cell r="S312">
            <v>0.35</v>
          </cell>
          <cell r="T312">
            <v>7.7932367950000003</v>
          </cell>
          <cell r="V312">
            <v>4990</v>
          </cell>
          <cell r="X312">
            <v>7.4423469280000001</v>
          </cell>
          <cell r="Y312" t="str">
            <v>900/BPKAD/261/05,Bitung 310505,Wali Milton kansil</v>
          </cell>
          <cell r="Z312">
            <v>1</v>
          </cell>
        </row>
        <row r="313">
          <cell r="G313" t="str">
            <v>Kota Manado</v>
          </cell>
        </row>
        <row r="314">
          <cell r="G314" t="str">
            <v>Kab. Kepulauan Talaud</v>
          </cell>
        </row>
        <row r="315">
          <cell r="G315" t="str">
            <v>Kab. Minahasa Selatan</v>
          </cell>
        </row>
        <row r="316">
          <cell r="G316" t="str">
            <v>Kota Tomohon</v>
          </cell>
        </row>
        <row r="317">
          <cell r="G317" t="str">
            <v>Provinsi  Gorontalo</v>
          </cell>
        </row>
        <row r="318">
          <cell r="G318" t="str">
            <v>Kab. Boalemo</v>
          </cell>
        </row>
        <row r="319">
          <cell r="G319" t="str">
            <v xml:space="preserve">Kab. Gorontalo   </v>
          </cell>
          <cell r="Y319" t="str">
            <v>Limboto,</v>
          </cell>
        </row>
        <row r="320">
          <cell r="G320" t="str">
            <v>Kota Gorontalo</v>
          </cell>
        </row>
        <row r="321">
          <cell r="G321" t="str">
            <v>Kab. Pohuwato</v>
          </cell>
        </row>
        <row r="322">
          <cell r="G322" t="str">
            <v>Kab. Bone Bolango</v>
          </cell>
        </row>
        <row r="323">
          <cell r="G323" t="str">
            <v>Provinsi  Sulawesi Tengah</v>
          </cell>
        </row>
        <row r="324">
          <cell r="G324" t="str">
            <v>Kab. Banggai</v>
          </cell>
        </row>
        <row r="325">
          <cell r="G325" t="str">
            <v>Kab. Banggai Kepulauan</v>
          </cell>
        </row>
        <row r="326">
          <cell r="G326" t="str">
            <v xml:space="preserve">Kab. Buol </v>
          </cell>
        </row>
        <row r="327">
          <cell r="G327" t="str">
            <v>Kab. Toli-Toli</v>
          </cell>
        </row>
        <row r="328">
          <cell r="G328" t="str">
            <v>Kab. Donggala</v>
          </cell>
          <cell r="H328">
            <v>10471.709999999999</v>
          </cell>
          <cell r="I328">
            <v>423.464</v>
          </cell>
          <cell r="J328">
            <v>91.6</v>
          </cell>
          <cell r="M328">
            <v>1.9531639999999999</v>
          </cell>
          <cell r="N328">
            <v>10.096174</v>
          </cell>
          <cell r="O328">
            <v>1</v>
          </cell>
          <cell r="P328">
            <v>0</v>
          </cell>
          <cell r="Q328">
            <v>6.2444E-2</v>
          </cell>
          <cell r="R328">
            <v>1.290419</v>
          </cell>
          <cell r="S328">
            <v>0.92</v>
          </cell>
          <cell r="T328">
            <v>9.9150960000000001</v>
          </cell>
          <cell r="V328">
            <v>8282</v>
          </cell>
          <cell r="X328">
            <v>12.224059307999999</v>
          </cell>
          <cell r="Y328" t="str">
            <v>900/101/Bag;Keu,19/05/05,Bup Adam AL</v>
          </cell>
          <cell r="Z328">
            <v>1</v>
          </cell>
        </row>
        <row r="329">
          <cell r="G329" t="str">
            <v>Kab. Morowali</v>
          </cell>
        </row>
        <row r="330">
          <cell r="G330" t="str">
            <v>Kab. Poso</v>
          </cell>
        </row>
        <row r="331">
          <cell r="G331" t="str">
            <v>Kota Palu</v>
          </cell>
        </row>
        <row r="332">
          <cell r="G332" t="str">
            <v>Kab. Parigi Moutong</v>
          </cell>
          <cell r="H332">
            <v>2841</v>
          </cell>
          <cell r="I332">
            <v>344.80200000000002</v>
          </cell>
          <cell r="J332">
            <v>19.456</v>
          </cell>
          <cell r="K332">
            <v>62.4</v>
          </cell>
          <cell r="L332">
            <v>94.54</v>
          </cell>
          <cell r="Q332">
            <v>0</v>
          </cell>
          <cell r="R332">
            <v>0.17462539999999999</v>
          </cell>
          <cell r="S332">
            <v>5.4347500000000003E-3</v>
          </cell>
          <cell r="T332">
            <v>3.7161254819999998</v>
          </cell>
          <cell r="V332">
            <v>4025</v>
          </cell>
          <cell r="X332">
            <v>4.5851703859999997</v>
          </cell>
          <cell r="Y332" t="str">
            <v>903/63.25/EKBANG,Parigi,250505,Bup Longki Djanggola</v>
          </cell>
          <cell r="Z332">
            <v>1</v>
          </cell>
        </row>
        <row r="333">
          <cell r="G333" t="str">
            <v>Provinsi  Sulawesi Selatan</v>
          </cell>
          <cell r="Y333" t="str">
            <v>900/1517/KEU,Makassar,110405,Gub.Tjoneng Mallombasang</v>
          </cell>
        </row>
        <row r="334">
          <cell r="G334" t="str">
            <v>Kab. Bantaeng</v>
          </cell>
          <cell r="V334">
            <v>2761</v>
          </cell>
          <cell r="X334">
            <v>4.1561432399999996</v>
          </cell>
          <cell r="Y334" t="str">
            <v>S-0059/WPB.23/PB.0420/2005,06/01/05,</v>
          </cell>
          <cell r="Z334">
            <v>1</v>
          </cell>
        </row>
        <row r="335">
          <cell r="G335" t="str">
            <v>Kab. Barru</v>
          </cell>
        </row>
        <row r="336">
          <cell r="G336" t="str">
            <v xml:space="preserve">Kab. Bone </v>
          </cell>
        </row>
        <row r="337">
          <cell r="G337" t="str">
            <v xml:space="preserve">Kab. Bulukumba   </v>
          </cell>
          <cell r="V337">
            <v>6471</v>
          </cell>
          <cell r="X337">
            <v>10.064307403999999</v>
          </cell>
          <cell r="Z337">
            <v>1</v>
          </cell>
        </row>
        <row r="338">
          <cell r="G338" t="str">
            <v>Kab. Enrekang</v>
          </cell>
        </row>
        <row r="339">
          <cell r="G339" t="str">
            <v>Kab. G o w a</v>
          </cell>
        </row>
        <row r="340">
          <cell r="G340" t="str">
            <v>Kab. Jeneponto</v>
          </cell>
          <cell r="V340">
            <v>4591</v>
          </cell>
          <cell r="X340">
            <v>7.0357295689999999</v>
          </cell>
          <cell r="Y340" t="str">
            <v>S-0059/WPB.23/PB.0420/2005,06/01/05,</v>
          </cell>
          <cell r="Z340">
            <v>1</v>
          </cell>
        </row>
        <row r="341">
          <cell r="G341" t="str">
            <v>Kab. Luwu</v>
          </cell>
        </row>
        <row r="342">
          <cell r="G342" t="str">
            <v>Kab. Luwu Utara</v>
          </cell>
        </row>
        <row r="343">
          <cell r="G343" t="str">
            <v xml:space="preserve">Kab. Majene    </v>
          </cell>
        </row>
        <row r="344">
          <cell r="G344" t="str">
            <v>Kab. Mamuju</v>
          </cell>
          <cell r="H344">
            <v>801406</v>
          </cell>
          <cell r="I344">
            <v>299.11399999999998</v>
          </cell>
          <cell r="N344">
            <v>0.120079002</v>
          </cell>
          <cell r="O344">
            <v>0.11328198</v>
          </cell>
          <cell r="T344">
            <v>1.6184260779999999</v>
          </cell>
          <cell r="V344">
            <v>4504</v>
          </cell>
          <cell r="X344">
            <v>6.5289675799999998</v>
          </cell>
          <cell r="Y344" t="str">
            <v>045/134/V/2005/BPKD,Mamuju, 130505,Set Habsi Wahid</v>
          </cell>
          <cell r="Z344">
            <v>1</v>
          </cell>
        </row>
        <row r="345">
          <cell r="G345" t="str">
            <v xml:space="preserve">Kab. M a r o s </v>
          </cell>
        </row>
        <row r="346">
          <cell r="G346" t="str">
            <v>Kab. Pangkajene Kepulauan</v>
          </cell>
          <cell r="H346">
            <v>758.8900000000001</v>
          </cell>
          <cell r="I346">
            <v>285.17200000000003</v>
          </cell>
          <cell r="J346">
            <v>63.463999999999999</v>
          </cell>
          <cell r="M346">
            <v>1.0089870000000001</v>
          </cell>
          <cell r="N346">
            <v>2.3720740729999998</v>
          </cell>
          <cell r="O346">
            <v>1.2984231319999999</v>
          </cell>
          <cell r="P346">
            <v>0.615977</v>
          </cell>
          <cell r="Q346">
            <v>6.7000000000000002E-4</v>
          </cell>
          <cell r="R346">
            <v>0.31689299999999998</v>
          </cell>
          <cell r="S346">
            <v>0.52903</v>
          </cell>
          <cell r="T346">
            <v>27.841391113</v>
          </cell>
          <cell r="V346">
            <v>4973</v>
          </cell>
          <cell r="X346">
            <v>7.6737089489999999</v>
          </cell>
          <cell r="Y346" t="str">
            <v>900/10/Keu,21/05/05,Sekda Surya Agraria</v>
          </cell>
          <cell r="Z346">
            <v>1</v>
          </cell>
        </row>
        <row r="347">
          <cell r="G347" t="str">
            <v>Kab. Pinrang</v>
          </cell>
        </row>
        <row r="348">
          <cell r="G348" t="str">
            <v>Kab. Polewali Mamasa</v>
          </cell>
        </row>
        <row r="349">
          <cell r="G349" t="str">
            <v>Kab. Selayar</v>
          </cell>
        </row>
        <row r="350">
          <cell r="G350" t="str">
            <v xml:space="preserve">Kab. Sidenreng Rappang </v>
          </cell>
          <cell r="H350">
            <v>188.32499999999999</v>
          </cell>
          <cell r="I350">
            <v>452.06700000000001</v>
          </cell>
          <cell r="J350">
            <v>98.768000000000001</v>
          </cell>
          <cell r="M350">
            <v>2.5</v>
          </cell>
          <cell r="N350">
            <v>20</v>
          </cell>
          <cell r="O350">
            <v>1.437853</v>
          </cell>
          <cell r="P350">
            <v>2.3105870000000001E-2</v>
          </cell>
          <cell r="Q350">
            <v>8.5349999999999992E-3</v>
          </cell>
          <cell r="R350">
            <v>0.28899399999999997</v>
          </cell>
          <cell r="S350">
            <v>0.48842000000000002</v>
          </cell>
          <cell r="T350">
            <v>19.0003086</v>
          </cell>
          <cell r="U350">
            <v>3.3227149999999997E-2</v>
          </cell>
          <cell r="V350">
            <v>1181</v>
          </cell>
          <cell r="W350">
            <v>275</v>
          </cell>
          <cell r="X350">
            <v>14.187108175000001</v>
          </cell>
          <cell r="Y350" t="str">
            <v>903/1375/Keu,25/04/05,Bup Andi Ranggong</v>
          </cell>
          <cell r="Z350">
            <v>1</v>
          </cell>
        </row>
        <row r="351">
          <cell r="G351" t="str">
            <v>Kab. Sinjai</v>
          </cell>
          <cell r="V351">
            <v>4332</v>
          </cell>
          <cell r="X351">
            <v>6.877669987</v>
          </cell>
          <cell r="Z351">
            <v>1</v>
          </cell>
        </row>
        <row r="352">
          <cell r="G352" t="str">
            <v>Kab. Soppeng</v>
          </cell>
        </row>
        <row r="353">
          <cell r="G353" t="str">
            <v xml:space="preserve">Kab. Takalar </v>
          </cell>
        </row>
        <row r="354">
          <cell r="G354" t="str">
            <v>Kab. Tana Toraja</v>
          </cell>
        </row>
        <row r="355">
          <cell r="G355" t="str">
            <v>Kab. Wajo</v>
          </cell>
        </row>
        <row r="356">
          <cell r="G356" t="str">
            <v>Kota Pare-pare</v>
          </cell>
        </row>
        <row r="357">
          <cell r="G357" t="str">
            <v>Kota Makassar</v>
          </cell>
        </row>
        <row r="358">
          <cell r="G358" t="str">
            <v>Kota Palopo</v>
          </cell>
        </row>
        <row r="359">
          <cell r="G359" t="str">
            <v>Kab. Mamasa</v>
          </cell>
        </row>
        <row r="360">
          <cell r="G360" t="str">
            <v>Kab. Luwu Timur</v>
          </cell>
        </row>
        <row r="361">
          <cell r="G361" t="str">
            <v>Kab. Mamuju Utara</v>
          </cell>
        </row>
        <row r="362">
          <cell r="G362" t="str">
            <v>Provinsi  Sulawesi Tenggara</v>
          </cell>
          <cell r="V362">
            <v>5723</v>
          </cell>
          <cell r="X362">
            <v>8.1223199249999993</v>
          </cell>
          <cell r="Y362" t="str">
            <v>876/142/Keu/XII/2004,311205.</v>
          </cell>
          <cell r="Z362">
            <v>1</v>
          </cell>
        </row>
        <row r="363">
          <cell r="G363" t="str">
            <v>Kab. Buton</v>
          </cell>
          <cell r="H363">
            <v>2578.42</v>
          </cell>
          <cell r="I363">
            <v>271.70800000000003</v>
          </cell>
          <cell r="J363">
            <v>60.944000000000003</v>
          </cell>
          <cell r="L363">
            <v>99.78</v>
          </cell>
          <cell r="M363">
            <v>0.51869200000000004</v>
          </cell>
          <cell r="N363">
            <v>5.6878330000000004</v>
          </cell>
          <cell r="O363">
            <v>1.3025530000000001</v>
          </cell>
          <cell r="P363">
            <v>5.2436489999999996</v>
          </cell>
          <cell r="T363">
            <v>8.1532400000000003</v>
          </cell>
          <cell r="V363">
            <v>4968</v>
          </cell>
          <cell r="X363">
            <v>7.6755879309999999</v>
          </cell>
          <cell r="Y363" t="str">
            <v>910/1103,Pasarwajo,030605,Sek M. Ridwan Z.</v>
          </cell>
          <cell r="Z363" t="str">
            <v>1</v>
          </cell>
        </row>
        <row r="364">
          <cell r="G364" t="str">
            <v>Kab. Kendari</v>
          </cell>
        </row>
        <row r="365">
          <cell r="G365" t="str">
            <v>Kab. Kolaka</v>
          </cell>
        </row>
        <row r="366">
          <cell r="G366" t="str">
            <v>Kab. Muna</v>
          </cell>
        </row>
        <row r="367">
          <cell r="G367" t="str">
            <v>Kota Kendari</v>
          </cell>
        </row>
        <row r="368">
          <cell r="G368" t="str">
            <v>Kota Bau-bau</v>
          </cell>
        </row>
        <row r="369">
          <cell r="G369" t="str">
            <v>Kab. Konawe Selatan</v>
          </cell>
        </row>
        <row r="370">
          <cell r="G370" t="str">
            <v>Provinsi  Bali</v>
          </cell>
        </row>
        <row r="371">
          <cell r="G371" t="str">
            <v>Kab. Badung</v>
          </cell>
        </row>
        <row r="372">
          <cell r="G372" t="str">
            <v>Kab. Bangli</v>
          </cell>
          <cell r="H372">
            <v>520.80999999999995</v>
          </cell>
          <cell r="I372">
            <v>209.24100000000001</v>
          </cell>
          <cell r="J372">
            <v>12.717000000000001</v>
          </cell>
          <cell r="K372" t="str">
            <v>66.70</v>
          </cell>
          <cell r="L372" t="str">
            <v>90.76</v>
          </cell>
          <cell r="M372">
            <v>2.72712165</v>
          </cell>
          <cell r="N372">
            <v>3.75</v>
          </cell>
          <cell r="O372">
            <v>0.95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6.5845089999999997</v>
          </cell>
          <cell r="V372">
            <v>3778</v>
          </cell>
          <cell r="X372">
            <v>5.8754388940000002</v>
          </cell>
          <cell r="Y372" t="str">
            <v>903/161/Keu,17/05/05,Sek I Wayan Suarka</v>
          </cell>
          <cell r="Z372">
            <v>1</v>
          </cell>
        </row>
        <row r="373">
          <cell r="G373" t="str">
            <v>Kab. Buleleng</v>
          </cell>
          <cell r="V373">
            <v>10006</v>
          </cell>
          <cell r="X373">
            <v>16.283750342000001</v>
          </cell>
          <cell r="Y373" t="str">
            <v>900/301/BPKD/2004,Singaraja,011204,</v>
          </cell>
          <cell r="Z373" t="str">
            <v>1</v>
          </cell>
        </row>
        <row r="374">
          <cell r="G374" t="str">
            <v xml:space="preserve">Kab. Gianyar </v>
          </cell>
          <cell r="W374">
            <v>248</v>
          </cell>
        </row>
        <row r="375">
          <cell r="G375" t="str">
            <v>Kab. Jembrana</v>
          </cell>
        </row>
        <row r="376">
          <cell r="G376" t="str">
            <v xml:space="preserve">Kab. Karangasem   </v>
          </cell>
        </row>
        <row r="377">
          <cell r="G377" t="str">
            <v>Kab. Klungkung</v>
          </cell>
        </row>
        <row r="378">
          <cell r="G378" t="str">
            <v>Kab. Tabanan</v>
          </cell>
          <cell r="H378">
            <v>839.33</v>
          </cell>
          <cell r="I378">
            <v>397.673</v>
          </cell>
          <cell r="J378">
            <v>46.052</v>
          </cell>
          <cell r="K378">
            <v>70.400000000000006</v>
          </cell>
          <cell r="L378">
            <v>89.68</v>
          </cell>
          <cell r="M378">
            <v>3.8728132529999999</v>
          </cell>
          <cell r="N378">
            <v>9.2209930389999997</v>
          </cell>
          <cell r="O378">
            <v>1.9152768250000001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41.7</v>
          </cell>
          <cell r="V378">
            <v>8137</v>
          </cell>
          <cell r="X378">
            <v>12.997703583</v>
          </cell>
          <cell r="Y378" t="str">
            <v>900/849/Keu,09/05/05,Sek I Made Tantra</v>
          </cell>
          <cell r="Z378">
            <v>1</v>
          </cell>
        </row>
        <row r="379">
          <cell r="G379" t="str">
            <v>Kota Denpasar</v>
          </cell>
        </row>
        <row r="380">
          <cell r="G380" t="str">
            <v>Provinsi  Nusa Tenggara Barat</v>
          </cell>
        </row>
        <row r="381">
          <cell r="G381" t="str">
            <v>Kab. Bima</v>
          </cell>
          <cell r="H381">
            <v>194.55</v>
          </cell>
          <cell r="I381">
            <v>122.167</v>
          </cell>
          <cell r="J381">
            <v>29.396999999999998</v>
          </cell>
          <cell r="K381">
            <v>63.01</v>
          </cell>
          <cell r="M381">
            <v>0.98</v>
          </cell>
          <cell r="N381">
            <v>1.107</v>
          </cell>
          <cell r="O381">
            <v>1.1850000000000001</v>
          </cell>
          <cell r="P381">
            <v>4</v>
          </cell>
          <cell r="Q381">
            <v>3.3109999999999999</v>
          </cell>
          <cell r="R381">
            <v>0</v>
          </cell>
          <cell r="S381">
            <v>0</v>
          </cell>
          <cell r="T381">
            <v>5.3436014959999998</v>
          </cell>
          <cell r="V381">
            <v>3038</v>
          </cell>
          <cell r="X381">
            <v>4.7511608519999999</v>
          </cell>
          <cell r="Y381" t="str">
            <v>050/48/Bappeda/V/2005,16/05/05,Bapeda</v>
          </cell>
          <cell r="Z381">
            <v>1</v>
          </cell>
        </row>
        <row r="382">
          <cell r="G382" t="str">
            <v>Kab. Dompu</v>
          </cell>
        </row>
        <row r="383">
          <cell r="G383" t="str">
            <v>Kab. Lombok Barat</v>
          </cell>
        </row>
        <row r="384">
          <cell r="G384" t="str">
            <v>Kab. Lombok Tengah</v>
          </cell>
        </row>
        <row r="385">
          <cell r="G385" t="str">
            <v>Kab. Lombok Timur</v>
          </cell>
        </row>
        <row r="386">
          <cell r="G386" t="str">
            <v>Kab. Sumbawa</v>
          </cell>
        </row>
        <row r="387">
          <cell r="G387" t="str">
            <v>Kota Mataram</v>
          </cell>
        </row>
        <row r="388">
          <cell r="G388" t="str">
            <v>Kota Bima</v>
          </cell>
          <cell r="H388">
            <v>222.25</v>
          </cell>
          <cell r="I388">
            <v>212.333</v>
          </cell>
          <cell r="J388">
            <v>51.109000000000002</v>
          </cell>
          <cell r="L388">
            <v>134.19999999999999</v>
          </cell>
          <cell r="M388">
            <v>0.5</v>
          </cell>
          <cell r="N388">
            <v>0.35699999999999998</v>
          </cell>
          <cell r="O388">
            <v>0.42699999999999999</v>
          </cell>
          <cell r="P388">
            <v>2.1</v>
          </cell>
          <cell r="Q388">
            <v>0</v>
          </cell>
          <cell r="R388">
            <v>1.3206</v>
          </cell>
          <cell r="S388">
            <v>0</v>
          </cell>
          <cell r="T388">
            <v>2.2765</v>
          </cell>
          <cell r="V388">
            <v>2801</v>
          </cell>
          <cell r="X388">
            <v>5.4657999999999998</v>
          </cell>
          <cell r="Y388" t="str">
            <v>050/17/Set/2005,Raba-Bima,05/01/05,Wali M. Nur A.Latif</v>
          </cell>
          <cell r="Z388">
            <v>1</v>
          </cell>
        </row>
        <row r="389">
          <cell r="G389" t="str">
            <v>Provinsi  Nusa Tenggara Timur</v>
          </cell>
        </row>
        <row r="390">
          <cell r="G390" t="str">
            <v>Kab. Alor</v>
          </cell>
          <cell r="H390">
            <v>2864.64</v>
          </cell>
          <cell r="I390">
            <v>171.18700000000001</v>
          </cell>
          <cell r="J390">
            <v>75.975999999999999</v>
          </cell>
          <cell r="M390">
            <v>0.43825989999999998</v>
          </cell>
          <cell r="N390">
            <v>6.5143835479999996</v>
          </cell>
          <cell r="O390">
            <v>1.3130362520000001</v>
          </cell>
          <cell r="P390">
            <v>4.9481863380000002</v>
          </cell>
          <cell r="Q390">
            <v>4.7677922700000002</v>
          </cell>
          <cell r="S390">
            <v>0.86674300400000004</v>
          </cell>
          <cell r="T390">
            <v>12.8</v>
          </cell>
          <cell r="U390">
            <v>8.1907216000000005E-2</v>
          </cell>
          <cell r="V390">
            <v>4270</v>
          </cell>
          <cell r="X390">
            <v>6.8542822429166668</v>
          </cell>
          <cell r="Y390" t="str">
            <v>KU.900.921/74/2005,Kalabahi, 25/04/05,Bup Ansgerius Takalapeta</v>
          </cell>
          <cell r="Z390" t="str">
            <v>1</v>
          </cell>
        </row>
        <row r="391">
          <cell r="G391" t="str">
            <v>Kab. Belu</v>
          </cell>
        </row>
        <row r="392">
          <cell r="G392" t="str">
            <v>Kab. Ende</v>
          </cell>
        </row>
        <row r="393">
          <cell r="G393" t="str">
            <v>Kab. Flores Timur</v>
          </cell>
        </row>
        <row r="394">
          <cell r="G394" t="str">
            <v>Kab. Kupang</v>
          </cell>
          <cell r="H394">
            <v>5898.18</v>
          </cell>
          <cell r="I394">
            <v>342.94299999999998</v>
          </cell>
          <cell r="J394">
            <v>226.32900000000001</v>
          </cell>
          <cell r="K394">
            <v>56.9</v>
          </cell>
          <cell r="L394">
            <v>131.69</v>
          </cell>
          <cell r="T394">
            <v>22.357541560000001</v>
          </cell>
          <cell r="U394">
            <v>0.14043687899999999</v>
          </cell>
          <cell r="V394">
            <v>6074</v>
          </cell>
          <cell r="W394">
            <v>286</v>
          </cell>
          <cell r="X394">
            <v>10.416538612</v>
          </cell>
          <cell r="Y394" t="str">
            <v>900/882/Keu/2005,10/05/05,Sek  Barnabas</v>
          </cell>
          <cell r="Z394" t="str">
            <v>1</v>
          </cell>
        </row>
        <row r="395">
          <cell r="G395" t="str">
            <v>Kab. Lembata</v>
          </cell>
        </row>
        <row r="396">
          <cell r="G396" t="str">
            <v>Kab. Manggarai</v>
          </cell>
        </row>
        <row r="397">
          <cell r="G397" t="str">
            <v>Kab. Ngada</v>
          </cell>
        </row>
        <row r="398">
          <cell r="G398" t="str">
            <v>Kab. Sikka</v>
          </cell>
        </row>
        <row r="399">
          <cell r="G399" t="str">
            <v>Kab. Sumba Barat</v>
          </cell>
          <cell r="V399">
            <v>4337</v>
          </cell>
          <cell r="W399">
            <v>6.4537437620000002</v>
          </cell>
          <cell r="Y399" t="str">
            <v xml:space="preserve">SP-004/WPb..22/PK.08/2005, </v>
          </cell>
          <cell r="Z399">
            <v>1</v>
          </cell>
        </row>
        <row r="400">
          <cell r="G400" t="str">
            <v>Kab. Sumba Timur</v>
          </cell>
          <cell r="V400">
            <v>4021</v>
          </cell>
          <cell r="W400">
            <v>5.8805830630000004</v>
          </cell>
          <cell r="Z400">
            <v>1</v>
          </cell>
        </row>
        <row r="401">
          <cell r="G401" t="str">
            <v>Kab. Timor Tengah Selatan</v>
          </cell>
          <cell r="H401">
            <v>3947</v>
          </cell>
          <cell r="I401">
            <v>409.17399999999998</v>
          </cell>
          <cell r="J401">
            <v>286.34899999999999</v>
          </cell>
          <cell r="M401">
            <v>1.5289489999999999</v>
          </cell>
          <cell r="N401">
            <v>3.6732236070000002</v>
          </cell>
          <cell r="O401">
            <v>1.4668925939999999</v>
          </cell>
          <cell r="P401">
            <v>2.2074298899999998</v>
          </cell>
          <cell r="Q401">
            <v>3.371474219</v>
          </cell>
          <cell r="R401">
            <v>0.37912194199999999</v>
          </cell>
          <cell r="S401">
            <v>0.316687783</v>
          </cell>
          <cell r="T401">
            <v>32.521770711999999</v>
          </cell>
          <cell r="V401">
            <v>6993</v>
          </cell>
          <cell r="X401">
            <v>10.348617238999999</v>
          </cell>
          <cell r="Y401" t="str">
            <v>Keu.913/1064/V/2005,Soe,04/05/05,Sek Ruben Izaac</v>
          </cell>
          <cell r="Z401">
            <v>1</v>
          </cell>
        </row>
        <row r="402">
          <cell r="G402" t="str">
            <v>Kab. Timor Tengah Utara</v>
          </cell>
          <cell r="V402">
            <v>4336</v>
          </cell>
          <cell r="W402">
            <v>303</v>
          </cell>
          <cell r="X402">
            <v>2.1644913419999998</v>
          </cell>
          <cell r="Y402" t="str">
            <v>Ku.900/146/TTU/2005,Kefamenanu,250405,Gabriel Manek</v>
          </cell>
          <cell r="Z402">
            <v>1</v>
          </cell>
        </row>
        <row r="403">
          <cell r="G403" t="str">
            <v>Kota Kupang</v>
          </cell>
        </row>
        <row r="404">
          <cell r="G404" t="str">
            <v>Kab. Rote Ndao</v>
          </cell>
          <cell r="Y404" t="str">
            <v>Waingapu,050105,Kepala KPPN Edi Subiantoro</v>
          </cell>
        </row>
        <row r="405">
          <cell r="G405" t="str">
            <v>Kab. Manggarai Barat</v>
          </cell>
        </row>
        <row r="406">
          <cell r="G406" t="str">
            <v>Provinsi  Maluku</v>
          </cell>
        </row>
        <row r="407">
          <cell r="G407" t="str">
            <v>Kab. Maluku Tenggara Barat</v>
          </cell>
        </row>
        <row r="408">
          <cell r="G408" t="str">
            <v>Kab. Maluku Tengah</v>
          </cell>
        </row>
        <row r="409">
          <cell r="G409" t="str">
            <v>Kab. Maluku Tenggara</v>
          </cell>
        </row>
        <row r="410">
          <cell r="G410" t="str">
            <v>Kab. Pulau Buru</v>
          </cell>
          <cell r="H410">
            <v>12655</v>
          </cell>
          <cell r="I410">
            <v>138.33099999999999</v>
          </cell>
          <cell r="J410">
            <v>52.215000000000003</v>
          </cell>
          <cell r="K410">
            <v>63.1</v>
          </cell>
          <cell r="L410">
            <v>1055</v>
          </cell>
          <cell r="M410">
            <v>0.21521299999999999</v>
          </cell>
          <cell r="N410">
            <v>8.3969310000000004</v>
          </cell>
          <cell r="O410">
            <v>0.97698799999999997</v>
          </cell>
          <cell r="P410">
            <v>0</v>
          </cell>
          <cell r="Q410">
            <v>0.26483400000000001</v>
          </cell>
          <cell r="R410">
            <v>5</v>
          </cell>
          <cell r="S410">
            <v>0</v>
          </cell>
          <cell r="T410">
            <v>3.8171429999999997</v>
          </cell>
          <cell r="U410">
            <v>0</v>
          </cell>
          <cell r="V410">
            <v>2500</v>
          </cell>
          <cell r="X410">
            <v>3.37161613</v>
          </cell>
          <cell r="Y410" t="str">
            <v>913/211,Namlea,140505,Sek Juhana Sudrajat</v>
          </cell>
          <cell r="Z410">
            <v>1</v>
          </cell>
        </row>
        <row r="411">
          <cell r="G411" t="str">
            <v>Kota Ambon</v>
          </cell>
          <cell r="T411">
            <v>11.171873195</v>
          </cell>
          <cell r="Y411" t="str">
            <v>910/2380/SETDA,Ambon,300405,Wali MJ. Papilaya</v>
          </cell>
          <cell r="Z411">
            <v>1</v>
          </cell>
        </row>
        <row r="412">
          <cell r="G412" t="str">
            <v>Provinsi  Maluku Utara</v>
          </cell>
        </row>
        <row r="413">
          <cell r="G413" t="str">
            <v>Kab. Halmahera Tengah</v>
          </cell>
          <cell r="H413">
            <v>2278.85</v>
          </cell>
          <cell r="I413">
            <v>44.360999999999997</v>
          </cell>
          <cell r="J413">
            <v>26.305</v>
          </cell>
          <cell r="L413">
            <v>710.5</v>
          </cell>
          <cell r="M413">
            <v>0.3</v>
          </cell>
          <cell r="N413">
            <v>10.85</v>
          </cell>
          <cell r="O413">
            <v>0.9</v>
          </cell>
          <cell r="P413">
            <v>5</v>
          </cell>
          <cell r="Q413">
            <v>0</v>
          </cell>
          <cell r="R413">
            <v>0.63900000000000001</v>
          </cell>
          <cell r="S413">
            <v>0.2</v>
          </cell>
          <cell r="T413">
            <v>1.413316</v>
          </cell>
          <cell r="V413">
            <v>2194</v>
          </cell>
          <cell r="X413">
            <v>2.9775131639999999</v>
          </cell>
          <cell r="Y413" t="str">
            <v>900/0415, Soasio10/05/05,Sekda Madjid Husen</v>
          </cell>
          <cell r="Z413">
            <v>1</v>
          </cell>
        </row>
        <row r="414">
          <cell r="G414" t="str">
            <v>Kab. Halmahera Barat</v>
          </cell>
        </row>
        <row r="415">
          <cell r="G415" t="str">
            <v>Kota Ternate</v>
          </cell>
        </row>
        <row r="416">
          <cell r="G416" t="str">
            <v>Kab. Halmahera Timur</v>
          </cell>
        </row>
        <row r="417">
          <cell r="G417" t="str">
            <v>Kota Tidore Kepulauan</v>
          </cell>
        </row>
        <row r="418">
          <cell r="G418" t="str">
            <v>Kab. Kepulauan Sula</v>
          </cell>
        </row>
        <row r="419">
          <cell r="G419" t="str">
            <v>Kab. Halmahera Selatan</v>
          </cell>
        </row>
        <row r="420">
          <cell r="G420" t="str">
            <v>Kab. Halmahera Utara</v>
          </cell>
        </row>
        <row r="421">
          <cell r="G421" t="str">
            <v>Provinsi  Papua</v>
          </cell>
        </row>
        <row r="422">
          <cell r="G422" t="str">
            <v>Kab. Biak Numfor</v>
          </cell>
        </row>
        <row r="423">
          <cell r="G423" t="str">
            <v>Kab. Jayapura</v>
          </cell>
        </row>
        <row r="424">
          <cell r="G424" t="str">
            <v>Kab. Jayawijaya</v>
          </cell>
        </row>
        <row r="425">
          <cell r="G425" t="str">
            <v>Kab. Merauke</v>
          </cell>
        </row>
        <row r="426">
          <cell r="G426" t="str">
            <v>Kab. Mimika</v>
          </cell>
        </row>
        <row r="427">
          <cell r="G427" t="str">
            <v>Kab. Nabire</v>
          </cell>
        </row>
        <row r="428">
          <cell r="G428" t="str">
            <v>Kab. Paniai</v>
          </cell>
        </row>
        <row r="429">
          <cell r="G429" t="str">
            <v>Kab. Puncak Jaya</v>
          </cell>
        </row>
        <row r="430">
          <cell r="G430" t="str">
            <v>Kab. Yapen Waropen</v>
          </cell>
          <cell r="H430">
            <v>1618.4</v>
          </cell>
          <cell r="I430">
            <v>70.522000000000006</v>
          </cell>
          <cell r="M430">
            <v>4</v>
          </cell>
          <cell r="N430">
            <v>14</v>
          </cell>
          <cell r="O430">
            <v>2</v>
          </cell>
          <cell r="P430">
            <v>6.5</v>
          </cell>
          <cell r="Q430">
            <v>1</v>
          </cell>
          <cell r="S430">
            <v>1</v>
          </cell>
          <cell r="T430">
            <v>2.61</v>
          </cell>
          <cell r="V430">
            <v>2671</v>
          </cell>
          <cell r="X430">
            <v>5.0278807619999997</v>
          </cell>
          <cell r="Y430" t="str">
            <v>900/064/Keu, Serui,250505,Plh. YH.Sipahelut</v>
          </cell>
          <cell r="Z430">
            <v>1</v>
          </cell>
        </row>
        <row r="431">
          <cell r="G431" t="str">
            <v>Kota Jayapura</v>
          </cell>
        </row>
        <row r="432">
          <cell r="G432" t="str">
            <v>Kab. Sarmi</v>
          </cell>
          <cell r="H432">
            <v>35589</v>
          </cell>
          <cell r="I432">
            <v>90.718000000000004</v>
          </cell>
          <cell r="J432">
            <v>10.191000000000001</v>
          </cell>
          <cell r="L432">
            <v>150.32</v>
          </cell>
          <cell r="M432">
            <v>0</v>
          </cell>
          <cell r="N432">
            <v>1.257820481</v>
          </cell>
          <cell r="O432">
            <v>1.285734937</v>
          </cell>
          <cell r="R432">
            <v>0.82543813300000002</v>
          </cell>
          <cell r="S432">
            <v>0.42235571500000002</v>
          </cell>
          <cell r="T432">
            <v>0.42099999999999999</v>
          </cell>
          <cell r="V432">
            <v>1398</v>
          </cell>
          <cell r="X432">
            <v>5.5626899940000003</v>
          </cell>
          <cell r="Y432" t="str">
            <v>500/505/BUP/2005,Sarmi,070505,bup WD. Ocmbar</v>
          </cell>
          <cell r="Z432">
            <v>1</v>
          </cell>
        </row>
        <row r="433">
          <cell r="G433" t="str">
            <v>Kab. Keerom</v>
          </cell>
          <cell r="H433">
            <v>12009</v>
          </cell>
          <cell r="I433">
            <v>48.201000000000001</v>
          </cell>
          <cell r="J433">
            <v>20</v>
          </cell>
          <cell r="L433">
            <v>95.22</v>
          </cell>
          <cell r="M433">
            <v>0.5</v>
          </cell>
          <cell r="N433">
            <v>1.3</v>
          </cell>
          <cell r="O433">
            <v>1.8</v>
          </cell>
          <cell r="P433">
            <v>1.5</v>
          </cell>
          <cell r="Q433">
            <v>10</v>
          </cell>
          <cell r="R433">
            <v>0.6</v>
          </cell>
          <cell r="S433">
            <v>1</v>
          </cell>
          <cell r="T433">
            <v>0.5</v>
          </cell>
          <cell r="V433">
            <v>1235</v>
          </cell>
          <cell r="X433">
            <v>2.2782619560000001</v>
          </cell>
          <cell r="Y433" t="str">
            <v>910/22/2005,Keerom,20/05/05,Pnj.Bup Nataniel Aragae</v>
          </cell>
          <cell r="Z433">
            <v>1</v>
          </cell>
        </row>
        <row r="434">
          <cell r="G434" t="str">
            <v>Kab. Yahukimo</v>
          </cell>
          <cell r="H434">
            <v>17152</v>
          </cell>
          <cell r="I434">
            <v>124.798</v>
          </cell>
          <cell r="J434">
            <v>103.28100000000001</v>
          </cell>
          <cell r="K434">
            <v>47</v>
          </cell>
          <cell r="L434">
            <v>291.2</v>
          </cell>
          <cell r="M434">
            <v>1.3661380000000001</v>
          </cell>
          <cell r="N434">
            <v>1.6015693499999999</v>
          </cell>
          <cell r="O434">
            <v>1.2984216500000001</v>
          </cell>
          <cell r="T434">
            <v>0.2</v>
          </cell>
          <cell r="V434">
            <v>610</v>
          </cell>
          <cell r="W434">
            <v>238</v>
          </cell>
          <cell r="X434">
            <v>1.0696024390000001</v>
          </cell>
          <cell r="Y434" t="str">
            <v>900/75/Set/2005,Sumohai,080605</v>
          </cell>
          <cell r="Z434">
            <v>1</v>
          </cell>
        </row>
        <row r="435">
          <cell r="G435" t="str">
            <v>Kab. Pegunungan Bintang</v>
          </cell>
        </row>
        <row r="436">
          <cell r="G436" t="str">
            <v>Kab. Tolikara</v>
          </cell>
        </row>
        <row r="437">
          <cell r="G437" t="str">
            <v>Kab. Boven Digoel</v>
          </cell>
          <cell r="H437">
            <v>27108</v>
          </cell>
          <cell r="I437">
            <v>49.435000000000002</v>
          </cell>
          <cell r="J437">
            <v>32.865000000000002</v>
          </cell>
          <cell r="M437">
            <v>0.31117299999999998</v>
          </cell>
          <cell r="N437">
            <v>1.3</v>
          </cell>
          <cell r="O437">
            <v>1.6015737590000001</v>
          </cell>
          <cell r="P437">
            <v>0.13385804200000001</v>
          </cell>
          <cell r="Q437">
            <v>7.3850441040000003</v>
          </cell>
          <cell r="R437">
            <v>4.5</v>
          </cell>
          <cell r="S437">
            <v>0</v>
          </cell>
          <cell r="T437">
            <v>1.2059</v>
          </cell>
          <cell r="V437">
            <v>1404</v>
          </cell>
          <cell r="W437">
            <v>187</v>
          </cell>
          <cell r="X437">
            <v>2.1269993999999999</v>
          </cell>
          <cell r="Y437" t="str">
            <v>900/164,Tanah Merah,230505,Sek Domin Ulian</v>
          </cell>
          <cell r="Z437">
            <v>1</v>
          </cell>
        </row>
        <row r="438">
          <cell r="G438" t="str">
            <v>Kab. Mappi</v>
          </cell>
        </row>
        <row r="439">
          <cell r="G439" t="str">
            <v>Kab. Asmat</v>
          </cell>
          <cell r="H439">
            <v>23746</v>
          </cell>
          <cell r="I439">
            <v>71.451999999999998</v>
          </cell>
          <cell r="J439">
            <v>53.588999999999999</v>
          </cell>
          <cell r="T439">
            <v>0.88756501700000001</v>
          </cell>
          <cell r="V439">
            <v>1488</v>
          </cell>
          <cell r="X439">
            <v>2.408582698</v>
          </cell>
          <cell r="Y439" t="str">
            <v>900/110/Agats,280505,Sefnath Meokbun</v>
          </cell>
          <cell r="Z439">
            <v>1</v>
          </cell>
        </row>
        <row r="440">
          <cell r="G440" t="str">
            <v>Kab. Waropen</v>
          </cell>
        </row>
        <row r="441">
          <cell r="G441" t="str">
            <v>Provinsi  Riau Kepulauan</v>
          </cell>
        </row>
        <row r="442">
          <cell r="G442" t="str">
            <v>Kab. Kepulauan Riau</v>
          </cell>
          <cell r="H442">
            <v>1946.13</v>
          </cell>
          <cell r="I442">
            <v>117.11799999999999</v>
          </cell>
          <cell r="J442">
            <v>14.5</v>
          </cell>
          <cell r="K442">
            <v>71.8</v>
          </cell>
          <cell r="L442">
            <v>106.12</v>
          </cell>
          <cell r="M442">
            <v>7</v>
          </cell>
          <cell r="N442">
            <v>20</v>
          </cell>
          <cell r="O442">
            <v>1.5</v>
          </cell>
          <cell r="Q442">
            <v>19</v>
          </cell>
          <cell r="S442">
            <v>0.6</v>
          </cell>
          <cell r="T442">
            <v>59.631</v>
          </cell>
          <cell r="V442">
            <v>2598</v>
          </cell>
          <cell r="X442">
            <v>3.7810429239999999</v>
          </cell>
        </row>
        <row r="443">
          <cell r="G443" t="str">
            <v>Kab. Natuna</v>
          </cell>
        </row>
        <row r="444">
          <cell r="G444" t="str">
            <v>Kab. Karimun</v>
          </cell>
        </row>
        <row r="445">
          <cell r="G445" t="str">
            <v>Kota  Batam</v>
          </cell>
        </row>
        <row r="446">
          <cell r="G446" t="str">
            <v>Kota Tanjung Pinang</v>
          </cell>
        </row>
        <row r="447">
          <cell r="G447" t="str">
            <v>Provinsi  Irian Jaya  Barat</v>
          </cell>
        </row>
        <row r="448">
          <cell r="G448" t="str">
            <v>Kab. Sorong</v>
          </cell>
          <cell r="I448">
            <v>141.83600000000001</v>
          </cell>
          <cell r="J448">
            <v>70.2</v>
          </cell>
          <cell r="V448">
            <v>2831</v>
          </cell>
          <cell r="Z448">
            <v>1</v>
          </cell>
        </row>
        <row r="449">
          <cell r="G449" t="str">
            <v>Kab. Manokwari</v>
          </cell>
        </row>
        <row r="450">
          <cell r="G450" t="str">
            <v>Kab. Fak Fak</v>
          </cell>
          <cell r="H450">
            <v>14320</v>
          </cell>
          <cell r="I450">
            <v>59.176000000000002</v>
          </cell>
          <cell r="J450">
            <v>37.338999999999999</v>
          </cell>
          <cell r="K450">
            <v>63.4</v>
          </cell>
          <cell r="L450">
            <v>148.07</v>
          </cell>
          <cell r="M450">
            <v>2.4732327569999999</v>
          </cell>
          <cell r="N450">
            <v>35.178676484999997</v>
          </cell>
          <cell r="O450">
            <v>1.3302419080000001</v>
          </cell>
          <cell r="Q450">
            <v>0.82360127900000002</v>
          </cell>
          <cell r="R450">
            <v>2.479474341</v>
          </cell>
          <cell r="S450">
            <v>0.45399201700000003</v>
          </cell>
          <cell r="T450">
            <v>2.637</v>
          </cell>
          <cell r="V450">
            <v>2480</v>
          </cell>
          <cell r="X450">
            <v>4.5606816239999999</v>
          </cell>
          <cell r="Y450" t="str">
            <v>900/299/SET/2005,Fakfak,270505, Sek H. Lumban Raja</v>
          </cell>
          <cell r="Z450">
            <v>1</v>
          </cell>
        </row>
        <row r="451">
          <cell r="G451" t="str">
            <v>Kota Sorong</v>
          </cell>
          <cell r="I451">
            <v>141.83600000000001</v>
          </cell>
          <cell r="J451">
            <v>70.2</v>
          </cell>
          <cell r="V451">
            <v>2831</v>
          </cell>
          <cell r="W451">
            <v>123</v>
          </cell>
          <cell r="Z451">
            <v>1</v>
          </cell>
        </row>
        <row r="452">
          <cell r="G452" t="str">
            <v>Kab. Sorong Selatan</v>
          </cell>
        </row>
        <row r="453">
          <cell r="G453" t="str">
            <v>Kab. Raja Ampat</v>
          </cell>
        </row>
        <row r="454">
          <cell r="G454" t="str">
            <v>Kab. Teluk Bintuni</v>
          </cell>
        </row>
        <row r="455">
          <cell r="G455" t="str">
            <v>Kab. Teluk Wondama</v>
          </cell>
        </row>
        <row r="456">
          <cell r="G456" t="str">
            <v>Kab. Kaimana</v>
          </cell>
          <cell r="H456">
            <v>18500</v>
          </cell>
          <cell r="I456">
            <v>48.75</v>
          </cell>
          <cell r="J456">
            <v>37.049999999999997</v>
          </cell>
          <cell r="L456">
            <v>180</v>
          </cell>
          <cell r="M456">
            <v>0.47049730400000001</v>
          </cell>
          <cell r="N456">
            <v>1.257820481</v>
          </cell>
          <cell r="O456">
            <v>1.2857349389999999</v>
          </cell>
          <cell r="P456">
            <v>0</v>
          </cell>
          <cell r="Q456">
            <v>12.96</v>
          </cell>
          <cell r="R456">
            <v>1.2898641749999999</v>
          </cell>
          <cell r="S456">
            <v>0.26483493200000002</v>
          </cell>
          <cell r="T456">
            <v>0.38900000000000001</v>
          </cell>
          <cell r="V456">
            <v>976</v>
          </cell>
          <cell r="X456">
            <v>1.69838048</v>
          </cell>
          <cell r="Y456" t="str">
            <v>910/222/SET/2005,</v>
          </cell>
          <cell r="Z456">
            <v>1</v>
          </cell>
        </row>
        <row r="457">
          <cell r="G457" t="str">
            <v>Daerah Baru</v>
          </cell>
        </row>
        <row r="458">
          <cell r="G458" t="str">
            <v>Provinsi  Sulawesi Barat</v>
          </cell>
        </row>
        <row r="459">
          <cell r="G459" t="str">
            <v>Kab. Bener Meriah</v>
          </cell>
        </row>
        <row r="460">
          <cell r="G460" t="str">
            <v>Kab. Toba Samosir</v>
          </cell>
        </row>
        <row r="461">
          <cell r="G461" t="str">
            <v>Kab. Serdang Berdagai</v>
          </cell>
        </row>
        <row r="462">
          <cell r="G462" t="str">
            <v>Kab. Solok Selatan</v>
          </cell>
        </row>
        <row r="463">
          <cell r="G463" t="str">
            <v>Kab. Lingga</v>
          </cell>
        </row>
        <row r="464">
          <cell r="G464" t="str">
            <v>Kab. Ogan Ilir</v>
          </cell>
        </row>
        <row r="465">
          <cell r="G465" t="str">
            <v>Kab. Sekadau</v>
          </cell>
        </row>
        <row r="466">
          <cell r="G466" t="str">
            <v>Kab. Tojo Una Una</v>
          </cell>
        </row>
        <row r="467">
          <cell r="G467" t="str">
            <v>Kab. Bombana</v>
          </cell>
        </row>
        <row r="468">
          <cell r="G468" t="str">
            <v>Kab. Kolaka Utara</v>
          </cell>
        </row>
        <row r="469">
          <cell r="G469" t="str">
            <v>Kab. Sumbawa Barat</v>
          </cell>
        </row>
        <row r="470">
          <cell r="G470" t="str">
            <v>Kab. Seram Bagian Barat</v>
          </cell>
        </row>
        <row r="471">
          <cell r="G471" t="str">
            <v>Kab. Seram Bagian Timur</v>
          </cell>
        </row>
        <row r="472">
          <cell r="G472" t="str">
            <v>Kab. Kepulauan Aru</v>
          </cell>
        </row>
        <row r="488">
          <cell r="G488" t="str">
            <v>Kab. Minahasa Utara</v>
          </cell>
          <cell r="T488">
            <v>3.625335164</v>
          </cell>
          <cell r="Y488" t="str">
            <v>54.A/BMU/IV-2005,Airmadidi,290405,Pnj.Bup Edwin Silangen</v>
          </cell>
          <cell r="Z488">
            <v>1</v>
          </cell>
        </row>
        <row r="489">
          <cell r="G489" t="str">
            <v>Kab. Melawi</v>
          </cell>
          <cell r="H489">
            <v>10640.8</v>
          </cell>
          <cell r="I489">
            <v>156.32300000000001</v>
          </cell>
          <cell r="W489">
            <v>500</v>
          </cell>
          <cell r="X489">
            <v>6.166666666666667</v>
          </cell>
          <cell r="Y489" t="str">
            <v>900/ /II-bappeda,Nanga Pinoh,21/04/05,Pj Bup Totot Wahyu D</v>
          </cell>
          <cell r="Z489">
            <v>1</v>
          </cell>
        </row>
        <row r="490">
          <cell r="G490" t="str">
            <v>Kab. Supiori</v>
          </cell>
          <cell r="H490">
            <v>572</v>
          </cell>
          <cell r="I490">
            <v>16.166</v>
          </cell>
          <cell r="J490">
            <v>12.286</v>
          </cell>
          <cell r="L490">
            <v>180</v>
          </cell>
          <cell r="T490">
            <v>0.2165</v>
          </cell>
          <cell r="V490">
            <v>385</v>
          </cell>
          <cell r="X490">
            <v>0.79195228200000001</v>
          </cell>
          <cell r="Y490" t="str">
            <v>903/80/05,Sorendiweri, 200505,</v>
          </cell>
          <cell r="Z490">
            <v>1</v>
          </cell>
        </row>
        <row r="491">
          <cell r="G491" t="str">
            <v>Kab. Wakatobi</v>
          </cell>
          <cell r="H491">
            <v>823</v>
          </cell>
          <cell r="I491">
            <v>96.119</v>
          </cell>
          <cell r="L491">
            <v>98.25</v>
          </cell>
          <cell r="M491">
            <v>0.756358368</v>
          </cell>
          <cell r="N491">
            <v>0.12859799999999999</v>
          </cell>
          <cell r="O491">
            <v>0.01</v>
          </cell>
          <cell r="P491">
            <v>4.0031999999999998E-2</v>
          </cell>
          <cell r="Q491">
            <v>2.0000499999999999</v>
          </cell>
          <cell r="R491">
            <v>0</v>
          </cell>
          <cell r="S491">
            <v>0.5</v>
          </cell>
          <cell r="T491">
            <v>3.2224181009999997</v>
          </cell>
          <cell r="V491">
            <v>1749</v>
          </cell>
          <cell r="X491">
            <v>2.6418364599999999</v>
          </cell>
          <cell r="Y491" t="str">
            <v>900/471,Wangi-wangi,110605,Bup Sarifudin Safaa</v>
          </cell>
          <cell r="Z491">
            <v>1</v>
          </cell>
        </row>
        <row r="492">
          <cell r="G492" t="str">
            <v>Total Nasional</v>
          </cell>
        </row>
        <row r="493">
          <cell r="G493" t="str">
            <v>Kab. Lebong</v>
          </cell>
          <cell r="H493">
            <v>192.92400000000001</v>
          </cell>
          <cell r="I493">
            <v>103.997</v>
          </cell>
          <cell r="J493">
            <v>8.41</v>
          </cell>
          <cell r="L493">
            <v>2500000</v>
          </cell>
          <cell r="M493">
            <v>0.875</v>
          </cell>
          <cell r="N493">
            <v>7.5</v>
          </cell>
          <cell r="O493">
            <v>0.875</v>
          </cell>
          <cell r="P493">
            <v>3.5999999999999997E-2</v>
          </cell>
          <cell r="Q493">
            <v>0</v>
          </cell>
          <cell r="R493">
            <v>3.5000000000000003E-2</v>
          </cell>
          <cell r="S493">
            <v>2.5000000000000001E-2</v>
          </cell>
          <cell r="T493">
            <v>2.145</v>
          </cell>
          <cell r="U493">
            <v>8.0000000000000004E-4</v>
          </cell>
          <cell r="V493">
            <v>1558</v>
          </cell>
          <cell r="X493">
            <v>2.3475715070000001</v>
          </cell>
        </row>
        <row r="494">
          <cell r="G494" t="str">
            <v>Kab. OKU Timur</v>
          </cell>
          <cell r="H494">
            <v>3370</v>
          </cell>
          <cell r="I494">
            <v>561.58600000000001</v>
          </cell>
          <cell r="J494">
            <v>143.71299999999999</v>
          </cell>
          <cell r="M494">
            <v>0.47667296599999998</v>
          </cell>
          <cell r="N494">
            <v>7.0650000000000004</v>
          </cell>
          <cell r="O494">
            <v>0.15</v>
          </cell>
          <cell r="P494">
            <v>2</v>
          </cell>
          <cell r="Q494">
            <v>18</v>
          </cell>
          <cell r="R494">
            <v>0.01</v>
          </cell>
          <cell r="S494">
            <v>0.2</v>
          </cell>
          <cell r="T494">
            <v>1.6155272000000001</v>
          </cell>
          <cell r="V494">
            <v>5401</v>
          </cell>
          <cell r="X494">
            <v>8.2765259350000004</v>
          </cell>
          <cell r="AA494">
            <v>7.7135835300000002</v>
          </cell>
          <cell r="AB494">
            <v>0.81358353000000005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Belpegawai input"/>
      <sheetName val="total pph-sda"/>
      <sheetName val="DATA Input"/>
      <sheetName val="2001-2004"/>
      <sheetName val="DATA LW - DDN"/>
      <sheetName val="Banding All"/>
      <sheetName val="BP"/>
    </sheetNames>
    <sheetDataSet>
      <sheetData sheetId="0"/>
      <sheetData sheetId="1"/>
      <sheetData sheetId="2">
        <row r="11">
          <cell r="G11" t="str">
            <v>Provinsi Nanggroe Aceh Darussalam</v>
          </cell>
        </row>
        <row r="12">
          <cell r="G12" t="str">
            <v>Kab. Aceh Barat</v>
          </cell>
        </row>
        <row r="13">
          <cell r="G13" t="str">
            <v>Kab. Aceh Besar</v>
          </cell>
        </row>
        <row r="14">
          <cell r="G14" t="str">
            <v>Kab. Aceh Selatan</v>
          </cell>
        </row>
        <row r="15">
          <cell r="G15" t="str">
            <v>Kab. Aceh Singkil</v>
          </cell>
        </row>
        <row r="16">
          <cell r="G16" t="str">
            <v>Kab. Aceh Tengah</v>
          </cell>
          <cell r="H16">
            <v>4318.3900000000003</v>
          </cell>
          <cell r="I16">
            <v>165.33199999999999</v>
          </cell>
          <cell r="M16">
            <v>0.9</v>
          </cell>
          <cell r="N16">
            <v>6.9822600000000001</v>
          </cell>
          <cell r="O16">
            <v>0.6</v>
          </cell>
          <cell r="P16">
            <v>0.06</v>
          </cell>
          <cell r="Q16">
            <v>8.0615489159999996</v>
          </cell>
          <cell r="R16">
            <v>0.3</v>
          </cell>
          <cell r="S16">
            <v>0.5</v>
          </cell>
          <cell r="T16">
            <v>5.3635006599999997</v>
          </cell>
          <cell r="V16">
            <v>3823</v>
          </cell>
          <cell r="X16">
            <v>6.0029562839999997</v>
          </cell>
        </row>
        <row r="17">
          <cell r="G17" t="str">
            <v>Kab. Aceh Tenggara</v>
          </cell>
        </row>
        <row r="18">
          <cell r="G18" t="str">
            <v>Kab. Aceh Timur</v>
          </cell>
        </row>
        <row r="19">
          <cell r="G19" t="str">
            <v>Kab. Aceh Utara</v>
          </cell>
        </row>
        <row r="20">
          <cell r="G20" t="str">
            <v>Kab. Bireuen</v>
          </cell>
        </row>
        <row r="21">
          <cell r="G21" t="str">
            <v>Kab. Aceh Pidie</v>
          </cell>
        </row>
        <row r="22">
          <cell r="G22" t="str">
            <v>Kab. Simeuleu</v>
          </cell>
        </row>
        <row r="23">
          <cell r="G23" t="str">
            <v>Kota Banda Aceh</v>
          </cell>
        </row>
        <row r="24">
          <cell r="G24" t="str">
            <v>Kota Sabang</v>
          </cell>
        </row>
        <row r="25">
          <cell r="G25" t="str">
            <v>Kota Langsa</v>
          </cell>
        </row>
        <row r="26">
          <cell r="G26" t="str">
            <v>Kota Lhokseumawe</v>
          </cell>
        </row>
        <row r="27">
          <cell r="G27" t="str">
            <v>Kab. Nagan Raya</v>
          </cell>
          <cell r="H27">
            <v>3463.72</v>
          </cell>
          <cell r="I27">
            <v>152</v>
          </cell>
          <cell r="J27">
            <v>83</v>
          </cell>
          <cell r="K27">
            <v>94</v>
          </cell>
          <cell r="L27">
            <v>25.86</v>
          </cell>
          <cell r="M27">
            <v>1.3495999999999999</v>
          </cell>
          <cell r="N27">
            <v>3.2</v>
          </cell>
          <cell r="O27">
            <v>1.3358000000000001</v>
          </cell>
          <cell r="P27">
            <v>0.91479900000000003</v>
          </cell>
          <cell r="Q27">
            <v>29</v>
          </cell>
          <cell r="R27">
            <v>0.84</v>
          </cell>
          <cell r="S27">
            <v>1.63</v>
          </cell>
          <cell r="T27">
            <v>2.862314</v>
          </cell>
          <cell r="U27">
            <v>6.78</v>
          </cell>
          <cell r="V27">
            <v>2623</v>
          </cell>
          <cell r="X27">
            <v>3.6926605829999999</v>
          </cell>
          <cell r="Y27" t="str">
            <v>KU,900/197/2005, Bupati Nagan Raya</v>
          </cell>
        </row>
        <row r="28">
          <cell r="G28" t="str">
            <v>Kab. Aceh Jaya</v>
          </cell>
        </row>
        <row r="29">
          <cell r="G29" t="str">
            <v>Kab. Aceh Barat Daya</v>
          </cell>
        </row>
        <row r="30">
          <cell r="G30" t="str">
            <v>Kab. Gayo Lues</v>
          </cell>
        </row>
        <row r="31">
          <cell r="G31" t="str">
            <v>Kab. Aceh Tamiang</v>
          </cell>
          <cell r="H31">
            <v>1960</v>
          </cell>
          <cell r="I31">
            <v>238.82499999999999</v>
          </cell>
          <cell r="J31">
            <v>57.7</v>
          </cell>
          <cell r="L31">
            <v>94.71</v>
          </cell>
          <cell r="M31">
            <v>1.044322159</v>
          </cell>
          <cell r="N31">
            <v>8.8349204930000003</v>
          </cell>
          <cell r="O31">
            <v>0.72696332799999996</v>
          </cell>
          <cell r="P31" t="str">
            <v>-</v>
          </cell>
          <cell r="Q31">
            <v>33.855285354000003</v>
          </cell>
          <cell r="R31">
            <v>0.25536220199999998</v>
          </cell>
          <cell r="S31">
            <v>7.4957714999999994E-2</v>
          </cell>
          <cell r="T31">
            <v>6.4792023849999998</v>
          </cell>
          <cell r="V31">
            <v>2604</v>
          </cell>
          <cell r="X31">
            <v>3.9794083709999999</v>
          </cell>
        </row>
        <row r="32">
          <cell r="G32" t="str">
            <v>Provinsi  Sumatera Utara</v>
          </cell>
        </row>
        <row r="33">
          <cell r="G33" t="str">
            <v>Kab. Asahan</v>
          </cell>
        </row>
        <row r="34">
          <cell r="G34" t="str">
            <v>Kab. Dairi</v>
          </cell>
        </row>
        <row r="35">
          <cell r="G35" t="str">
            <v>Kab. Deli Serdang</v>
          </cell>
          <cell r="H35">
            <v>2497.62</v>
          </cell>
          <cell r="I35">
            <v>1572.768</v>
          </cell>
          <cell r="J35">
            <v>180.05</v>
          </cell>
          <cell r="K35">
            <v>69.02</v>
          </cell>
          <cell r="L35">
            <v>90.48</v>
          </cell>
          <cell r="M35">
            <v>7.2</v>
          </cell>
          <cell r="N35">
            <v>33</v>
          </cell>
          <cell r="O35">
            <v>12.5</v>
          </cell>
          <cell r="Q35">
            <v>2.7</v>
          </cell>
          <cell r="R35">
            <v>0.4</v>
          </cell>
          <cell r="S35">
            <v>0.17499999999999999</v>
          </cell>
          <cell r="T35">
            <v>59.045800999999997</v>
          </cell>
          <cell r="U35">
            <v>8.9825245200000001</v>
          </cell>
          <cell r="V35">
            <v>15153</v>
          </cell>
          <cell r="W35">
            <v>273</v>
          </cell>
          <cell r="X35">
            <v>24.132561271</v>
          </cell>
          <cell r="Y35" t="str">
            <v>900/2765 dan 903/1948; Sekda Kab Deli Serdang</v>
          </cell>
        </row>
        <row r="36">
          <cell r="G36" t="str">
            <v>Kab. Tanah Karo</v>
          </cell>
        </row>
        <row r="37">
          <cell r="G37" t="str">
            <v>Kab. Labuhan Batu</v>
          </cell>
        </row>
        <row r="38">
          <cell r="G38" t="str">
            <v>Kab. Langkat</v>
          </cell>
          <cell r="H38">
            <v>6263.29</v>
          </cell>
          <cell r="I38">
            <v>955.34799999999996</v>
          </cell>
          <cell r="J38">
            <v>189.2</v>
          </cell>
          <cell r="L38">
            <v>88.65</v>
          </cell>
          <cell r="M38">
            <v>9.2043526999999994</v>
          </cell>
          <cell r="N38">
            <v>41.585414999999998</v>
          </cell>
          <cell r="O38">
            <v>6.0000000000000001E-3</v>
          </cell>
          <cell r="P38">
            <v>14.181492</v>
          </cell>
          <cell r="R38">
            <v>0.27400000000000002</v>
          </cell>
          <cell r="S38">
            <v>0.3</v>
          </cell>
          <cell r="T38">
            <v>16.834743</v>
          </cell>
          <cell r="U38">
            <v>6.9020089699999999E-3</v>
          </cell>
          <cell r="V38">
            <v>11220</v>
          </cell>
          <cell r="X38">
            <v>17.284263354</v>
          </cell>
          <cell r="Y38" t="str">
            <v>900-1068/KEU/VII/2005; Stabat, 210705; Bupati</v>
          </cell>
        </row>
        <row r="39">
          <cell r="G39" t="str">
            <v>Kab. Mandailing Natal</v>
          </cell>
          <cell r="H39">
            <v>662070</v>
          </cell>
          <cell r="I39">
            <v>385.63499999999999</v>
          </cell>
          <cell r="J39">
            <v>97.578999999999994</v>
          </cell>
          <cell r="K39">
            <v>63.97</v>
          </cell>
          <cell r="L39">
            <v>105.4</v>
          </cell>
          <cell r="M39">
            <v>2</v>
          </cell>
          <cell r="N39">
            <v>8</v>
          </cell>
          <cell r="O39">
            <v>1.3613</v>
          </cell>
          <cell r="P39">
            <v>0.25</v>
          </cell>
          <cell r="Q39">
            <v>0.5</v>
          </cell>
          <cell r="R39">
            <v>1.2</v>
          </cell>
          <cell r="T39">
            <v>5.8014999999999999</v>
          </cell>
          <cell r="U39">
            <v>773.60379999999998</v>
          </cell>
          <cell r="V39">
            <v>5010</v>
          </cell>
          <cell r="X39">
            <v>7.6902214610000001</v>
          </cell>
        </row>
        <row r="40">
          <cell r="G40" t="str">
            <v>Kab. Nias</v>
          </cell>
          <cell r="H40">
            <v>3799</v>
          </cell>
          <cell r="I40">
            <v>442.70499999999998</v>
          </cell>
          <cell r="J40">
            <v>138.74600000000001</v>
          </cell>
          <cell r="K40">
            <v>65.81</v>
          </cell>
          <cell r="L40">
            <v>110.85</v>
          </cell>
          <cell r="M40">
            <v>1.8</v>
          </cell>
          <cell r="N40">
            <v>6.2009624639999998</v>
          </cell>
          <cell r="O40">
            <v>1.3</v>
          </cell>
          <cell r="Q40">
            <v>0.84799999999999998</v>
          </cell>
          <cell r="R40">
            <v>0.52500000000000002</v>
          </cell>
          <cell r="S40">
            <v>0.32400000000000001</v>
          </cell>
          <cell r="T40">
            <v>7.9592818870000004</v>
          </cell>
          <cell r="U40">
            <v>2021.58</v>
          </cell>
          <cell r="V40">
            <v>5465</v>
          </cell>
          <cell r="W40">
            <v>246</v>
          </cell>
          <cell r="X40">
            <v>8.5387879120000001</v>
          </cell>
          <cell r="Y40" t="str">
            <v>050/4490-1009/Bappeda dan 900/4857/Keu ; Bupati Nias</v>
          </cell>
        </row>
        <row r="41">
          <cell r="G41" t="str">
            <v>Kab. Simalungun</v>
          </cell>
        </row>
        <row r="42">
          <cell r="G42" t="str">
            <v>Kab. Tapanuli Selatan</v>
          </cell>
        </row>
        <row r="43">
          <cell r="G43" t="str">
            <v>Kab. Tapanuli Tengah</v>
          </cell>
        </row>
        <row r="44">
          <cell r="G44" t="str">
            <v>Kab. Tapanuli Utara</v>
          </cell>
        </row>
        <row r="45">
          <cell r="G45" t="str">
            <v>Kab. Samosir</v>
          </cell>
        </row>
        <row r="46">
          <cell r="G46" t="str">
            <v>Kota Binjai</v>
          </cell>
        </row>
        <row r="47">
          <cell r="G47" t="str">
            <v>Kota Medan</v>
          </cell>
          <cell r="H47">
            <v>237.1</v>
          </cell>
          <cell r="I47">
            <v>2554.3580000000002</v>
          </cell>
          <cell r="J47">
            <v>181.35900000000001</v>
          </cell>
          <cell r="K47">
            <v>74.5</v>
          </cell>
          <cell r="M47">
            <v>40.606000000000002</v>
          </cell>
          <cell r="N47">
            <v>71.28</v>
          </cell>
          <cell r="O47">
            <v>64</v>
          </cell>
          <cell r="Q47">
            <v>0.77700000000000002</v>
          </cell>
          <cell r="R47">
            <v>0.18595200000000001</v>
          </cell>
          <cell r="S47">
            <v>0.157520782</v>
          </cell>
          <cell r="T47">
            <v>282.22879210000002</v>
          </cell>
          <cell r="U47">
            <v>6442.8</v>
          </cell>
          <cell r="V47">
            <v>22854</v>
          </cell>
          <cell r="X47">
            <v>29.959163</v>
          </cell>
        </row>
        <row r="48">
          <cell r="G48" t="str">
            <v>Kota Pematang Siantar</v>
          </cell>
        </row>
        <row r="49">
          <cell r="G49" t="str">
            <v>Kota Sibolga</v>
          </cell>
          <cell r="H49">
            <v>2171.6</v>
          </cell>
          <cell r="I49">
            <v>95.632000000000005</v>
          </cell>
          <cell r="J49">
            <v>11.811</v>
          </cell>
          <cell r="K49">
            <v>71.7</v>
          </cell>
          <cell r="L49">
            <v>88.6</v>
          </cell>
          <cell r="M49">
            <v>1.1633404249999999</v>
          </cell>
          <cell r="N49">
            <v>9.7554376099999995</v>
          </cell>
          <cell r="O49">
            <v>1.508517074</v>
          </cell>
          <cell r="Q49">
            <v>0.42206656300000001</v>
          </cell>
          <cell r="R49">
            <v>9.1465535000000001E-2</v>
          </cell>
          <cell r="S49">
            <v>0.42235571500000002</v>
          </cell>
          <cell r="T49">
            <v>5.194049249009999</v>
          </cell>
          <cell r="U49">
            <v>643.20640000000003</v>
          </cell>
          <cell r="V49">
            <v>2211</v>
          </cell>
          <cell r="X49">
            <v>3.2885542939999999</v>
          </cell>
        </row>
        <row r="50">
          <cell r="G50" t="str">
            <v>Kota Tanjung Balai</v>
          </cell>
        </row>
        <row r="51">
          <cell r="G51" t="str">
            <v>Kota Tebing Tinggi</v>
          </cell>
        </row>
        <row r="52">
          <cell r="G52" t="str">
            <v>Kota Padang Sidempuan</v>
          </cell>
        </row>
        <row r="53">
          <cell r="G53" t="str">
            <v>Kab. Pakpak Bharat</v>
          </cell>
        </row>
        <row r="54">
          <cell r="G54" t="str">
            <v>Kab. Nias Selatan</v>
          </cell>
        </row>
        <row r="55">
          <cell r="G55" t="str">
            <v>Kab. Humbang Hasundutan</v>
          </cell>
        </row>
        <row r="56">
          <cell r="G56" t="str">
            <v>Provinsi  Sumatera Barat</v>
          </cell>
        </row>
        <row r="57">
          <cell r="G57" t="str">
            <v>Kab. Limapuluh Koto</v>
          </cell>
          <cell r="W57">
            <v>274</v>
          </cell>
          <cell r="Y57" t="str">
            <v>900/981/BPKD/2005, 900/980/BPKD/2005, Bupati Lima Puluh Kota</v>
          </cell>
          <cell r="AA57">
            <v>9.7291963359999993</v>
          </cell>
          <cell r="AB57">
            <v>1.259196336</v>
          </cell>
        </row>
        <row r="58">
          <cell r="G58" t="str">
            <v xml:space="preserve">Kab. Agam         </v>
          </cell>
        </row>
        <row r="59">
          <cell r="G59" t="str">
            <v>Kab. Kepulauan Mentawai</v>
          </cell>
        </row>
        <row r="60">
          <cell r="G60" t="str">
            <v>Kab. Padang Pariaman</v>
          </cell>
          <cell r="H60">
            <v>2828.79</v>
          </cell>
          <cell r="I60">
            <v>430.58100000000002</v>
          </cell>
          <cell r="J60">
            <v>102.571</v>
          </cell>
          <cell r="K60">
            <v>0</v>
          </cell>
          <cell r="L60">
            <v>267.35000000000002</v>
          </cell>
          <cell r="M60">
            <v>1.3238461499999998</v>
          </cell>
          <cell r="N60">
            <v>1.665288981</v>
          </cell>
          <cell r="O60">
            <v>7</v>
          </cell>
          <cell r="S60">
            <v>0.17</v>
          </cell>
          <cell r="T60">
            <v>9.9637121129999997</v>
          </cell>
          <cell r="U60">
            <v>10.270200000000001</v>
          </cell>
          <cell r="V60">
            <v>7261</v>
          </cell>
          <cell r="X60">
            <v>11.199989046000001</v>
          </cell>
          <cell r="Y60" t="str">
            <v xml:space="preserve">903/161/BPKD/Dal-2005, Bupati Padang Pariaman </v>
          </cell>
          <cell r="AA60">
            <v>11.199989046000001</v>
          </cell>
          <cell r="AB60">
            <v>1.366989046</v>
          </cell>
        </row>
        <row r="61">
          <cell r="G61" t="str">
            <v xml:space="preserve">Kab. Pasaman    </v>
          </cell>
          <cell r="H61">
            <v>4011.08</v>
          </cell>
          <cell r="I61">
            <v>247.102</v>
          </cell>
          <cell r="J61">
            <v>0</v>
          </cell>
          <cell r="K61">
            <v>67.25</v>
          </cell>
          <cell r="L61">
            <v>90.15</v>
          </cell>
          <cell r="M61">
            <v>1.389420308</v>
          </cell>
          <cell r="N61">
            <v>8.5151289519999995</v>
          </cell>
          <cell r="O61">
            <v>1.0055556640000001</v>
          </cell>
          <cell r="P61">
            <v>2.5000000000000001E-2</v>
          </cell>
          <cell r="Q61">
            <v>0</v>
          </cell>
          <cell r="R61">
            <v>0.25</v>
          </cell>
          <cell r="S61">
            <v>0.05</v>
          </cell>
          <cell r="T61">
            <v>8.3914092700000005</v>
          </cell>
          <cell r="U61">
            <v>1.4025049999999999</v>
          </cell>
          <cell r="V61">
            <v>3914</v>
          </cell>
          <cell r="X61">
            <v>5.8903732780000002</v>
          </cell>
          <cell r="Y61" t="str">
            <v>900/1467/Keu-2005, 900/1465/Keu-2005, Bupati Pasaman</v>
          </cell>
          <cell r="AA61">
            <v>5.5607008640000002</v>
          </cell>
          <cell r="AB61">
            <v>0.57870086399999998</v>
          </cell>
        </row>
        <row r="62">
          <cell r="G62" t="str">
            <v>Kab. Pesisir Selatan</v>
          </cell>
        </row>
        <row r="63">
          <cell r="G63" t="str">
            <v>Kab. Sawahlunto Sijunjung</v>
          </cell>
          <cell r="H63">
            <v>3130.41</v>
          </cell>
          <cell r="I63">
            <v>184.93700000000001</v>
          </cell>
          <cell r="M63">
            <v>1.75</v>
          </cell>
          <cell r="N63">
            <v>1</v>
          </cell>
          <cell r="O63">
            <v>6.5</v>
          </cell>
          <cell r="P63">
            <v>1.19126</v>
          </cell>
          <cell r="Q63">
            <v>0.95</v>
          </cell>
          <cell r="R63">
            <v>0</v>
          </cell>
          <cell r="S63">
            <v>0.3</v>
          </cell>
          <cell r="T63">
            <v>8.1999999999999993</v>
          </cell>
          <cell r="U63">
            <v>10.439959972</v>
          </cell>
          <cell r="V63">
            <v>3557</v>
          </cell>
          <cell r="X63">
            <v>5.2663193389999998</v>
          </cell>
          <cell r="Y63" t="str">
            <v>900/33/BPKD-2005, Bupati Sawahlunto</v>
          </cell>
          <cell r="AA63">
            <v>5.2444355720000004</v>
          </cell>
          <cell r="AB63">
            <v>0.31243557200000005</v>
          </cell>
        </row>
        <row r="64">
          <cell r="G64" t="str">
            <v>Kab. Solok</v>
          </cell>
          <cell r="Y64" t="str">
            <v>970/2257/BPKD-2005, Sekda Kab. Solok</v>
          </cell>
          <cell r="AA64">
            <v>8.3357369600000002</v>
          </cell>
          <cell r="AB64">
            <v>0.79373696000000005</v>
          </cell>
        </row>
        <row r="65">
          <cell r="G65" t="str">
            <v>Kab. Tanah Datar</v>
          </cell>
        </row>
        <row r="66">
          <cell r="G66" t="str">
            <v>Kota Bukit Tinggi</v>
          </cell>
        </row>
        <row r="67">
          <cell r="G67" t="str">
            <v>Kota Padang Panjang</v>
          </cell>
        </row>
        <row r="68">
          <cell r="G68" t="str">
            <v>Kota Padang</v>
          </cell>
        </row>
        <row r="69">
          <cell r="G69" t="str">
            <v>Kota Payakumbuh</v>
          </cell>
        </row>
        <row r="70">
          <cell r="G70" t="str">
            <v>Kota Sawahlunto</v>
          </cell>
          <cell r="V70">
            <v>1663</v>
          </cell>
          <cell r="X70">
            <v>2.6037279880000002</v>
          </cell>
        </row>
        <row r="71">
          <cell r="G71" t="str">
            <v>Kota Solok</v>
          </cell>
          <cell r="I71">
            <v>333.18799999999999</v>
          </cell>
          <cell r="J71">
            <v>65.900000000000006</v>
          </cell>
          <cell r="K71">
            <v>68.75</v>
          </cell>
          <cell r="L71">
            <v>88.51</v>
          </cell>
          <cell r="M71">
            <v>1.6</v>
          </cell>
          <cell r="N71">
            <v>10</v>
          </cell>
          <cell r="O71">
            <v>1</v>
          </cell>
          <cell r="P71">
            <v>5.0000000000000001E-3</v>
          </cell>
          <cell r="Q71">
            <v>2.5000000000000001E-2</v>
          </cell>
          <cell r="R71">
            <v>0.45</v>
          </cell>
          <cell r="S71">
            <v>0.2</v>
          </cell>
          <cell r="T71">
            <v>10.785335805000001</v>
          </cell>
          <cell r="U71">
            <v>1.5817721300000001E-3</v>
          </cell>
          <cell r="V71">
            <v>5763</v>
          </cell>
          <cell r="X71">
            <v>9.0543034309999992</v>
          </cell>
        </row>
        <row r="72">
          <cell r="G72" t="str">
            <v>Kota Pariaman</v>
          </cell>
          <cell r="H72">
            <v>200.685</v>
          </cell>
          <cell r="I72">
            <v>74.61</v>
          </cell>
          <cell r="J72">
            <v>12.435</v>
          </cell>
          <cell r="K72">
            <v>65.7</v>
          </cell>
          <cell r="L72">
            <v>97.86</v>
          </cell>
          <cell r="M72">
            <v>0.81749032200000005</v>
          </cell>
          <cell r="N72">
            <v>3.85</v>
          </cell>
          <cell r="O72">
            <v>1.3</v>
          </cell>
          <cell r="P72">
            <v>1E-3</v>
          </cell>
          <cell r="Q72">
            <v>2.2000000000000002</v>
          </cell>
          <cell r="R72">
            <v>0.5</v>
          </cell>
          <cell r="S72">
            <v>1.1538461499999999</v>
          </cell>
          <cell r="T72">
            <v>3.2294999999999998</v>
          </cell>
          <cell r="U72">
            <v>8.4129363900000005</v>
          </cell>
          <cell r="V72">
            <v>2035</v>
          </cell>
          <cell r="X72">
            <v>64146514</v>
          </cell>
          <cell r="Y72" t="str">
            <v>900/3916/Keu-2005, 900/3923/Keu-2005, Walikota dan Sekda Kota Pariaman</v>
          </cell>
          <cell r="AA72">
            <v>2.905321582</v>
          </cell>
          <cell r="AB72">
            <v>0.47732158200000008</v>
          </cell>
        </row>
        <row r="73">
          <cell r="G73" t="str">
            <v>Kab. Dharmasraya</v>
          </cell>
          <cell r="H73">
            <v>296.113</v>
          </cell>
          <cell r="I73">
            <v>165.07599999999999</v>
          </cell>
          <cell r="J73">
            <v>50.194000000000003</v>
          </cell>
          <cell r="K73">
            <v>0</v>
          </cell>
          <cell r="L73">
            <v>96.13</v>
          </cell>
          <cell r="M73">
            <v>1.6</v>
          </cell>
          <cell r="N73">
            <v>1.2</v>
          </cell>
          <cell r="O73">
            <v>6</v>
          </cell>
          <cell r="P73">
            <v>5.0355545099999999E-3</v>
          </cell>
          <cell r="Q73">
            <v>0.6</v>
          </cell>
          <cell r="R73">
            <v>0</v>
          </cell>
          <cell r="S73">
            <v>0.5</v>
          </cell>
          <cell r="T73">
            <v>7.4863825999999998</v>
          </cell>
          <cell r="U73">
            <v>7.7327810000000001</v>
          </cell>
          <cell r="V73">
            <v>2418</v>
          </cell>
          <cell r="X73">
            <v>3.3460817</v>
          </cell>
          <cell r="Y73" t="str">
            <v>900/025/Keu/2005, Pjs Bupati Dharmasraya</v>
          </cell>
        </row>
        <row r="74">
          <cell r="G74" t="str">
            <v>Kab. Pasaman Barat</v>
          </cell>
          <cell r="H74">
            <v>3887.77</v>
          </cell>
          <cell r="I74">
            <v>322.94099999999997</v>
          </cell>
          <cell r="J74">
            <v>26.414000000000001</v>
          </cell>
          <cell r="K74">
            <v>0</v>
          </cell>
          <cell r="L74">
            <v>143</v>
          </cell>
          <cell r="M74">
            <v>2.8</v>
          </cell>
          <cell r="N74">
            <v>10.5</v>
          </cell>
          <cell r="O74">
            <v>4.5</v>
          </cell>
          <cell r="T74">
            <v>12.444338</v>
          </cell>
          <cell r="U74">
            <v>2.0402015900000001</v>
          </cell>
          <cell r="V74">
            <v>3376</v>
          </cell>
          <cell r="W74">
            <v>400</v>
          </cell>
          <cell r="X74">
            <v>5.0849967669999998</v>
          </cell>
          <cell r="Y74" t="str">
            <v>900/317/Keu-2005, 900/525/Keu-2005, Bupati Pasaman Barat</v>
          </cell>
          <cell r="AA74">
            <v>4.750610376</v>
          </cell>
          <cell r="AB74">
            <v>0.34261037599999999</v>
          </cell>
        </row>
        <row r="75">
          <cell r="G75" t="str">
            <v>Provinsi  Riau</v>
          </cell>
        </row>
        <row r="76">
          <cell r="G76" t="str">
            <v>Kab. Bengkalis</v>
          </cell>
          <cell r="H76">
            <v>11481.77</v>
          </cell>
          <cell r="I76">
            <v>653.92499999999995</v>
          </cell>
          <cell r="J76">
            <v>30.553999999999998</v>
          </cell>
          <cell r="K76">
            <v>69</v>
          </cell>
          <cell r="L76">
            <v>103.12</v>
          </cell>
          <cell r="M76">
            <v>823.42476640341999</v>
          </cell>
          <cell r="N76">
            <v>11</v>
          </cell>
          <cell r="O76">
            <v>6</v>
          </cell>
          <cell r="P76">
            <v>21.394491110000001</v>
          </cell>
          <cell r="Q76">
            <v>0</v>
          </cell>
          <cell r="R76">
            <v>816.42476640341999</v>
          </cell>
          <cell r="S76">
            <v>7</v>
          </cell>
          <cell r="T76">
            <v>21</v>
          </cell>
          <cell r="U76">
            <v>24.140499999999999</v>
          </cell>
          <cell r="V76">
            <v>6583</v>
          </cell>
          <cell r="X76">
            <v>8.9569635000000005</v>
          </cell>
        </row>
        <row r="77">
          <cell r="G77" t="str">
            <v>Kab. Indragiri Hilir</v>
          </cell>
        </row>
        <row r="78">
          <cell r="G78" t="str">
            <v>Kab. Indragiri Hulu</v>
          </cell>
        </row>
        <row r="79">
          <cell r="G79" t="str">
            <v>Kab. Kampar</v>
          </cell>
          <cell r="H79">
            <v>11707.64</v>
          </cell>
          <cell r="I79">
            <v>558.71600000000001</v>
          </cell>
          <cell r="J79">
            <v>109.58499999999999</v>
          </cell>
          <cell r="K79">
            <v>0</v>
          </cell>
          <cell r="L79">
            <v>98.65</v>
          </cell>
          <cell r="M79">
            <v>249.08119637999999</v>
          </cell>
          <cell r="N79">
            <v>4.9224708210000001</v>
          </cell>
          <cell r="O79">
            <v>55.133024130999999</v>
          </cell>
          <cell r="P79">
            <v>0.57865900000000003</v>
          </cell>
          <cell r="Q79">
            <v>0.32534400000000002</v>
          </cell>
          <cell r="R79">
            <v>246</v>
          </cell>
          <cell r="S79">
            <v>1.7984055699999999</v>
          </cell>
          <cell r="T79">
            <v>61.055494951999997</v>
          </cell>
          <cell r="U79">
            <v>26.265942638999999</v>
          </cell>
          <cell r="V79">
            <v>7759</v>
          </cell>
          <cell r="X79">
            <v>11.899090368</v>
          </cell>
        </row>
        <row r="80">
          <cell r="G80" t="str">
            <v>Kab. Kuantan Singingi</v>
          </cell>
        </row>
        <row r="81">
          <cell r="G81" t="str">
            <v>Kab. Pelalawan</v>
          </cell>
        </row>
        <row r="82">
          <cell r="G82" t="str">
            <v>Kab. Rokan Hilir</v>
          </cell>
        </row>
        <row r="83">
          <cell r="G83" t="str">
            <v>Kab. Rokan Hulu</v>
          </cell>
        </row>
        <row r="84">
          <cell r="G84" t="str">
            <v>Kab. Siak</v>
          </cell>
          <cell r="V84">
            <v>2942</v>
          </cell>
          <cell r="X84">
            <v>3.7753728400000002</v>
          </cell>
          <cell r="Y84" t="str">
            <v>72/900/Keu/VII/2005, Sekda Kab. Siak</v>
          </cell>
          <cell r="AA84">
            <v>3.7753728400000002</v>
          </cell>
          <cell r="AB84">
            <v>0.36737283999999998</v>
          </cell>
        </row>
        <row r="85">
          <cell r="G85" t="str">
            <v>Kota Dumai</v>
          </cell>
        </row>
        <row r="86">
          <cell r="G86" t="str">
            <v>Kota Pekanbaru</v>
          </cell>
        </row>
        <row r="87">
          <cell r="G87" t="str">
            <v>Provinsi  Jambi</v>
          </cell>
          <cell r="V87">
            <v>5460</v>
          </cell>
          <cell r="X87">
            <v>7.7513983829999997</v>
          </cell>
        </row>
        <row r="88">
          <cell r="G88" t="str">
            <v>Kab. Batanghari</v>
          </cell>
        </row>
        <row r="89">
          <cell r="G89" t="str">
            <v xml:space="preserve">Kab. Bungo     </v>
          </cell>
        </row>
        <row r="90">
          <cell r="G90" t="str">
            <v>Kab. Kerinci</v>
          </cell>
        </row>
        <row r="91">
          <cell r="G91" t="str">
            <v>Kab. Merangin</v>
          </cell>
        </row>
        <row r="92">
          <cell r="G92" t="str">
            <v>Kab. Muaro Jambi</v>
          </cell>
        </row>
        <row r="93">
          <cell r="G93" t="str">
            <v>Kab. Sarolangun</v>
          </cell>
        </row>
        <row r="94">
          <cell r="G94" t="str">
            <v>Kab. Tanjung Jabung Barat</v>
          </cell>
        </row>
        <row r="95">
          <cell r="G95" t="str">
            <v>Kab. Tanjung Jabung Timur</v>
          </cell>
          <cell r="Y95" t="str">
            <v>900/996/BPKD;Muara Sabak, 140705; Bupati</v>
          </cell>
          <cell r="AA95">
            <v>4.0766216709999998</v>
          </cell>
          <cell r="AB95">
            <v>0.34962167100000002</v>
          </cell>
        </row>
        <row r="96">
          <cell r="G96" t="str">
            <v>Kab. Tebo</v>
          </cell>
        </row>
        <row r="97">
          <cell r="G97" t="str">
            <v>Kota Jambi</v>
          </cell>
        </row>
        <row r="98">
          <cell r="G98" t="str">
            <v>Provinsi  Sumatera Selatan</v>
          </cell>
        </row>
        <row r="99">
          <cell r="G99" t="str">
            <v xml:space="preserve">Kab. Lahat     </v>
          </cell>
          <cell r="AA99">
            <v>10.701084358999999</v>
          </cell>
          <cell r="AB99">
            <v>0.23008435899999999</v>
          </cell>
        </row>
        <row r="100">
          <cell r="G100" t="str">
            <v>Kab. Musi Banyuasin</v>
          </cell>
        </row>
        <row r="101">
          <cell r="G101" t="str">
            <v xml:space="preserve">Kab. Musi Rawas   </v>
          </cell>
        </row>
        <row r="102">
          <cell r="G102" t="str">
            <v xml:space="preserve">Kab. Muara Enim </v>
          </cell>
          <cell r="Y102" t="str">
            <v>900/133/VIII/2005; Muara Enim, 110705; Bupati</v>
          </cell>
          <cell r="AA102">
            <v>10.178225589</v>
          </cell>
          <cell r="AB102">
            <v>0.52822558900000005</v>
          </cell>
        </row>
        <row r="103">
          <cell r="G103" t="str">
            <v>Kab. Ogan Komering Ilir</v>
          </cell>
        </row>
        <row r="104">
          <cell r="G104" t="str">
            <v>Kab. Ogan Komering Ulu</v>
          </cell>
        </row>
        <row r="105">
          <cell r="G105" t="str">
            <v xml:space="preserve">Kota Palembang </v>
          </cell>
          <cell r="V105">
            <v>15593</v>
          </cell>
          <cell r="X105">
            <v>24.644219251999999</v>
          </cell>
          <cell r="AB105">
            <v>1.8922192520000001</v>
          </cell>
        </row>
        <row r="106">
          <cell r="G106" t="str">
            <v>Kota Pagar Alam</v>
          </cell>
          <cell r="H106">
            <v>633.66</v>
          </cell>
          <cell r="I106">
            <v>126.886</v>
          </cell>
          <cell r="J106">
            <v>30.68</v>
          </cell>
          <cell r="K106">
            <v>54.2</v>
          </cell>
          <cell r="L106">
            <v>97.13</v>
          </cell>
          <cell r="T106">
            <v>2.6530691559999999</v>
          </cell>
          <cell r="V106">
            <v>1962</v>
          </cell>
          <cell r="W106">
            <v>338</v>
          </cell>
          <cell r="X106">
            <v>50.863812328000002</v>
          </cell>
          <cell r="Y106" t="str">
            <v>050/388/Bappeda/2005; Pagar Alam, 010805; Walikota</v>
          </cell>
        </row>
        <row r="107">
          <cell r="G107" t="str">
            <v>Kota Lubuk Linggau</v>
          </cell>
        </row>
        <row r="108">
          <cell r="G108" t="str">
            <v>Kota Prabumulih</v>
          </cell>
          <cell r="H108">
            <v>471.28</v>
          </cell>
          <cell r="I108">
            <v>153.72</v>
          </cell>
          <cell r="J108">
            <v>23.687000000000001</v>
          </cell>
          <cell r="K108">
            <v>65.67</v>
          </cell>
          <cell r="L108">
            <v>101.1</v>
          </cell>
          <cell r="M108">
            <v>3.4</v>
          </cell>
          <cell r="N108">
            <v>19.020374</v>
          </cell>
          <cell r="O108">
            <v>1.3</v>
          </cell>
          <cell r="P108">
            <v>2</v>
          </cell>
          <cell r="Q108">
            <v>32.494999999999997</v>
          </cell>
          <cell r="R108">
            <v>0.25</v>
          </cell>
          <cell r="S108">
            <v>0.4</v>
          </cell>
          <cell r="T108">
            <v>7.2619290999999997</v>
          </cell>
          <cell r="U108">
            <v>878.36300000000006</v>
          </cell>
          <cell r="V108">
            <v>2281</v>
          </cell>
          <cell r="X108">
            <v>3.6888620479999998</v>
          </cell>
          <cell r="AB108">
            <v>0.23113964200000001</v>
          </cell>
        </row>
        <row r="109">
          <cell r="G109" t="str">
            <v>Kab. Banyuasin</v>
          </cell>
        </row>
        <row r="110">
          <cell r="G110" t="str">
            <v>Kab. OKU Selatan</v>
          </cell>
          <cell r="H110">
            <v>5493.94</v>
          </cell>
          <cell r="I110">
            <v>374.327</v>
          </cell>
          <cell r="J110">
            <v>29.596</v>
          </cell>
          <cell r="L110">
            <v>1.5</v>
          </cell>
          <cell r="M110">
            <v>2.4512689999999999</v>
          </cell>
          <cell r="N110">
            <v>0.34778917799999998</v>
          </cell>
          <cell r="O110">
            <v>1</v>
          </cell>
          <cell r="P110">
            <v>44.409598058</v>
          </cell>
          <cell r="Q110">
            <v>30.060989868</v>
          </cell>
          <cell r="R110">
            <v>0.29978737599999999</v>
          </cell>
          <cell r="S110">
            <v>0.43391204799999999</v>
          </cell>
          <cell r="T110">
            <v>0.97893195</v>
          </cell>
          <cell r="V110">
            <v>1166</v>
          </cell>
          <cell r="X110">
            <v>4.1887169359999996</v>
          </cell>
        </row>
        <row r="111">
          <cell r="G111" t="str">
            <v>Provinsi  Bangka Belitung</v>
          </cell>
        </row>
        <row r="112">
          <cell r="G112" t="str">
            <v>Kab. Bangka</v>
          </cell>
          <cell r="H112">
            <v>2950.68</v>
          </cell>
          <cell r="I112">
            <v>231.57599999999999</v>
          </cell>
          <cell r="J112">
            <v>96.781999999999996</v>
          </cell>
          <cell r="L112">
            <v>102.52</v>
          </cell>
          <cell r="M112">
            <v>1.05</v>
          </cell>
          <cell r="N112">
            <v>10</v>
          </cell>
          <cell r="O112">
            <v>1.6</v>
          </cell>
          <cell r="P112">
            <v>9.8629999999999995</v>
          </cell>
          <cell r="Q112">
            <v>3.9</v>
          </cell>
          <cell r="R112">
            <v>0.312</v>
          </cell>
          <cell r="S112">
            <v>0.26400000000000001</v>
          </cell>
          <cell r="T112">
            <v>16.981231999999999</v>
          </cell>
          <cell r="U112">
            <v>1.2519689999999999E-3</v>
          </cell>
          <cell r="V112">
            <v>3433</v>
          </cell>
          <cell r="X112">
            <v>5.0060592159999997</v>
          </cell>
        </row>
        <row r="113">
          <cell r="G113" t="str">
            <v>Kab. Belitung</v>
          </cell>
          <cell r="V113">
            <v>2863</v>
          </cell>
          <cell r="X113">
            <v>3.9550980249999999</v>
          </cell>
        </row>
        <row r="114">
          <cell r="G114" t="str">
            <v xml:space="preserve">Kota Pangkal Pinang </v>
          </cell>
        </row>
        <row r="115">
          <cell r="G115" t="str">
            <v>Kab. Bangka Selatan</v>
          </cell>
        </row>
        <row r="116">
          <cell r="G116" t="str">
            <v>Kab. Bangka Tengah</v>
          </cell>
        </row>
        <row r="117">
          <cell r="G117" t="str">
            <v>Kab. Bangka Barat</v>
          </cell>
        </row>
        <row r="118">
          <cell r="G118" t="str">
            <v>Kab. Belitung Timur</v>
          </cell>
          <cell r="H118">
            <v>2506.91</v>
          </cell>
          <cell r="I118">
            <v>89.272000000000006</v>
          </cell>
          <cell r="J118">
            <v>11</v>
          </cell>
          <cell r="K118">
            <v>66.66</v>
          </cell>
          <cell r="L118">
            <v>101.3</v>
          </cell>
          <cell r="M118">
            <v>0.95271053400000005</v>
          </cell>
          <cell r="N118">
            <v>1.601569759</v>
          </cell>
          <cell r="O118">
            <v>1.2984231319999999</v>
          </cell>
          <cell r="P118">
            <v>4.1372933989999998</v>
          </cell>
          <cell r="Q118">
            <v>0.94806753300000002</v>
          </cell>
          <cell r="R118">
            <v>9.2792480000000004E-3</v>
          </cell>
          <cell r="S118">
            <v>0.211177858</v>
          </cell>
          <cell r="T118">
            <v>12.116001299999999</v>
          </cell>
          <cell r="U118">
            <v>837.62400000000002</v>
          </cell>
          <cell r="V118">
            <v>1528</v>
          </cell>
          <cell r="X118">
            <v>2.0841637159999999</v>
          </cell>
          <cell r="Y118" t="str">
            <v>900/1143/VI/2005; manggar juni 2005; Pj Bupati</v>
          </cell>
        </row>
        <row r="119">
          <cell r="G119" t="str">
            <v>Provinsi  Bengkulu</v>
          </cell>
        </row>
        <row r="120">
          <cell r="G120" t="str">
            <v>Kab. Bengkulu Selatan</v>
          </cell>
          <cell r="H120">
            <v>1185.7</v>
          </cell>
          <cell r="I120">
            <v>137.56800000000001</v>
          </cell>
          <cell r="J120">
            <v>45.2</v>
          </cell>
          <cell r="L120">
            <v>96.73</v>
          </cell>
          <cell r="M120">
            <v>4.0999999999999996</v>
          </cell>
          <cell r="N120">
            <v>0.7</v>
          </cell>
          <cell r="O120">
            <v>0.46700000000000003</v>
          </cell>
          <cell r="P120">
            <v>0.25952993800000002</v>
          </cell>
          <cell r="Q120">
            <v>0</v>
          </cell>
          <cell r="R120">
            <v>1.0853331000000001E-2</v>
          </cell>
          <cell r="S120">
            <v>0.42235571599999999</v>
          </cell>
          <cell r="T120">
            <v>5.4628224650000003</v>
          </cell>
          <cell r="X120">
            <v>6.6408213439999999</v>
          </cell>
          <cell r="AB120">
            <v>0.27054380099999997</v>
          </cell>
        </row>
        <row r="121">
          <cell r="G121" t="str">
            <v>Kab. Bengkulu Utara</v>
          </cell>
        </row>
        <row r="122">
          <cell r="G122" t="str">
            <v>Kab. Rejang Lebong</v>
          </cell>
        </row>
        <row r="123">
          <cell r="G123" t="str">
            <v>Kota Bengkulu</v>
          </cell>
          <cell r="H123">
            <v>65252</v>
          </cell>
          <cell r="I123">
            <v>385.26</v>
          </cell>
          <cell r="J123">
            <v>60</v>
          </cell>
          <cell r="L123">
            <v>94.92</v>
          </cell>
          <cell r="T123">
            <v>6.8074933949999998</v>
          </cell>
          <cell r="U123">
            <v>1.5166750000000001E-3</v>
          </cell>
        </row>
        <row r="124">
          <cell r="G124" t="str">
            <v>Kab. Kaur</v>
          </cell>
          <cell r="H124">
            <v>2369.0500000000002</v>
          </cell>
          <cell r="I124">
            <v>125</v>
          </cell>
          <cell r="J124">
            <v>45.462000000000003</v>
          </cell>
          <cell r="M124">
            <v>0.65</v>
          </cell>
          <cell r="N124">
            <v>5</v>
          </cell>
          <cell r="O124">
            <v>1.5</v>
          </cell>
          <cell r="P124">
            <v>0</v>
          </cell>
          <cell r="Q124">
            <v>0</v>
          </cell>
          <cell r="R124">
            <v>0.05</v>
          </cell>
          <cell r="S124">
            <v>1E-4</v>
          </cell>
          <cell r="T124">
            <v>1.067655</v>
          </cell>
          <cell r="U124">
            <v>2.9893200000000002E-4</v>
          </cell>
          <cell r="V124">
            <v>3507</v>
          </cell>
          <cell r="X124">
            <v>2.6591423330000001</v>
          </cell>
        </row>
        <row r="125">
          <cell r="G125" t="str">
            <v>Kab. Seluma</v>
          </cell>
          <cell r="H125">
            <v>240000.4</v>
          </cell>
          <cell r="I125">
            <v>172.018</v>
          </cell>
          <cell r="J125">
            <v>59.795000000000002</v>
          </cell>
          <cell r="K125">
            <v>59.76</v>
          </cell>
          <cell r="L125">
            <v>103.14</v>
          </cell>
          <cell r="M125">
            <v>0.92</v>
          </cell>
          <cell r="N125">
            <v>5.2359999999999998</v>
          </cell>
          <cell r="O125">
            <v>0.17743574500000001</v>
          </cell>
          <cell r="P125">
            <v>0</v>
          </cell>
          <cell r="Q125">
            <v>0</v>
          </cell>
          <cell r="R125">
            <v>1.8853999999999999E-2</v>
          </cell>
          <cell r="S125">
            <v>0.26483493200000002</v>
          </cell>
          <cell r="T125">
            <v>3.0335367209999999</v>
          </cell>
          <cell r="U125">
            <v>115.283</v>
          </cell>
          <cell r="V125">
            <v>2928</v>
          </cell>
          <cell r="X125">
            <v>4.2614140259999997</v>
          </cell>
          <cell r="Y125" t="str">
            <v>900/244/Bp.03/2005; Tais, 230705; Kepala Bappeda</v>
          </cell>
        </row>
        <row r="126">
          <cell r="G126" t="str">
            <v>Kab. Mukomuko</v>
          </cell>
        </row>
        <row r="127">
          <cell r="G127" t="str">
            <v>Kab. Kepahiang</v>
          </cell>
          <cell r="H127">
            <v>665</v>
          </cell>
          <cell r="I127">
            <v>138.90299999999999</v>
          </cell>
          <cell r="J127">
            <v>33.4</v>
          </cell>
          <cell r="L127">
            <v>0.68</v>
          </cell>
          <cell r="M127">
            <v>0.44397500000000001</v>
          </cell>
          <cell r="N127">
            <v>0.20955299999999999</v>
          </cell>
          <cell r="O127">
            <v>0.05</v>
          </cell>
          <cell r="P127">
            <v>0</v>
          </cell>
          <cell r="Q127">
            <v>0</v>
          </cell>
          <cell r="R127">
            <v>8.5999999999999993E-2</v>
          </cell>
          <cell r="S127">
            <v>8.0000000000000002E-3</v>
          </cell>
          <cell r="T127">
            <v>15.652555</v>
          </cell>
          <cell r="X127">
            <v>2.4180488740000001</v>
          </cell>
        </row>
        <row r="128">
          <cell r="G128" t="str">
            <v>Provinsi  Lampung</v>
          </cell>
        </row>
        <row r="129">
          <cell r="G129" t="str">
            <v>Kab. Lampung Barat</v>
          </cell>
          <cell r="H129">
            <v>4950.3999999999996</v>
          </cell>
          <cell r="I129">
            <v>399.08800000000002</v>
          </cell>
          <cell r="J129">
            <v>29.190999999999999</v>
          </cell>
          <cell r="K129">
            <v>63.2</v>
          </cell>
          <cell r="L129">
            <v>96.61</v>
          </cell>
          <cell r="M129">
            <v>0.762957</v>
          </cell>
          <cell r="N129">
            <v>8.9651655360000007</v>
          </cell>
          <cell r="O129">
            <v>1.2800000000000001E-2</v>
          </cell>
          <cell r="P129">
            <v>3.3300000000000003E-2</v>
          </cell>
          <cell r="Q129">
            <v>9.17</v>
          </cell>
          <cell r="S129">
            <v>0.52900000000000003</v>
          </cell>
          <cell r="T129">
            <v>4.6877278000000002</v>
          </cell>
          <cell r="V129">
            <v>14204</v>
          </cell>
          <cell r="X129">
            <v>6.7851184330000001</v>
          </cell>
          <cell r="Y129" t="str">
            <v>900/22/B-07/2005, Liwa 060705, Sekda;   900/132/B-07/LB/2005; Liwa, 130705; Sekda</v>
          </cell>
          <cell r="Z129">
            <v>1</v>
          </cell>
        </row>
        <row r="130">
          <cell r="G130" t="str">
            <v>Kab. Lampung Selatan</v>
          </cell>
        </row>
        <row r="131">
          <cell r="G131" t="str">
            <v>Kab. Lampung Tengah</v>
          </cell>
        </row>
        <row r="132">
          <cell r="G132" t="str">
            <v>Kab. Lampung Utara</v>
          </cell>
          <cell r="AA132">
            <v>11.812833743000001</v>
          </cell>
          <cell r="AB132">
            <v>0.65483374299999997</v>
          </cell>
        </row>
        <row r="133">
          <cell r="G133" t="str">
            <v>Kab. Lampung Timur</v>
          </cell>
        </row>
        <row r="134">
          <cell r="G134" t="str">
            <v>Kab. Tanggamus</v>
          </cell>
          <cell r="H134">
            <v>3356.61</v>
          </cell>
          <cell r="I134">
            <v>833.74699999999996</v>
          </cell>
          <cell r="J134">
            <v>174.83699999999999</v>
          </cell>
          <cell r="L134">
            <v>95.12</v>
          </cell>
          <cell r="M134">
            <v>1</v>
          </cell>
          <cell r="N134">
            <v>1.65</v>
          </cell>
          <cell r="O134">
            <v>1.2857349389999999</v>
          </cell>
          <cell r="P134">
            <v>0.36499999999999999</v>
          </cell>
          <cell r="Q134">
            <v>14</v>
          </cell>
          <cell r="R134">
            <v>0</v>
          </cell>
          <cell r="S134">
            <v>0.34</v>
          </cell>
          <cell r="T134">
            <v>1.1783174839999999</v>
          </cell>
          <cell r="U134">
            <v>2.6819919999999998E-3</v>
          </cell>
          <cell r="V134">
            <v>10107</v>
          </cell>
          <cell r="X134">
            <v>16.003571475000001</v>
          </cell>
        </row>
        <row r="135">
          <cell r="G135" t="str">
            <v>Kab. Tulang Bawang</v>
          </cell>
          <cell r="V135">
            <v>5875</v>
          </cell>
          <cell r="X135">
            <v>8.1657941439999995</v>
          </cell>
          <cell r="Y135" t="str">
            <v>900/88/KEU-TB/2005; Menggala, 060705; Bupati</v>
          </cell>
          <cell r="AA135">
            <v>8.1657941439999995</v>
          </cell>
          <cell r="AB135">
            <v>0.51179414400000001</v>
          </cell>
        </row>
        <row r="136">
          <cell r="G136" t="str">
            <v>Kab. Way Kanan</v>
          </cell>
        </row>
        <row r="137">
          <cell r="G137" t="str">
            <v xml:space="preserve">Kota Bandar Lampung </v>
          </cell>
          <cell r="AA137">
            <v>15.62559911</v>
          </cell>
        </row>
        <row r="138">
          <cell r="G138" t="str">
            <v>Kota Metro</v>
          </cell>
        </row>
        <row r="139">
          <cell r="G139" t="str">
            <v>Provinsi  DKI Jakarta</v>
          </cell>
          <cell r="H139">
            <v>661.52</v>
          </cell>
          <cell r="I139">
            <v>8749.7800000000007</v>
          </cell>
          <cell r="J139">
            <v>277.10000000000002</v>
          </cell>
          <cell r="L139">
            <v>96.78</v>
          </cell>
          <cell r="M139">
            <v>2442.54</v>
          </cell>
          <cell r="N139">
            <v>1025</v>
          </cell>
          <cell r="O139">
            <v>925.7</v>
          </cell>
          <cell r="P139">
            <v>0</v>
          </cell>
          <cell r="Q139">
            <v>90</v>
          </cell>
          <cell r="R139">
            <v>0</v>
          </cell>
          <cell r="S139">
            <v>0</v>
          </cell>
          <cell r="T139">
            <v>13825.2</v>
          </cell>
          <cell r="V139">
            <v>89329</v>
          </cell>
          <cell r="X139">
            <v>136.83683550800001</v>
          </cell>
        </row>
        <row r="140">
          <cell r="G140" t="str">
            <v>Provinsi  Jawa Barat</v>
          </cell>
        </row>
        <row r="141">
          <cell r="G141" t="str">
            <v>Kab. Bandung</v>
          </cell>
          <cell r="H141">
            <v>3073.7</v>
          </cell>
          <cell r="I141">
            <v>4067.2280000000001</v>
          </cell>
          <cell r="J141">
            <v>890.9</v>
          </cell>
          <cell r="L141">
            <v>251.03</v>
          </cell>
          <cell r="M141">
            <v>9</v>
          </cell>
          <cell r="N141">
            <v>48.5</v>
          </cell>
          <cell r="O141">
            <v>14.26</v>
          </cell>
          <cell r="P141">
            <v>0.23100000000000001</v>
          </cell>
          <cell r="Q141">
            <v>10</v>
          </cell>
          <cell r="R141">
            <v>6.6000000000000003E-2</v>
          </cell>
          <cell r="S141">
            <v>0.5</v>
          </cell>
          <cell r="T141">
            <v>134.78399999999999</v>
          </cell>
          <cell r="U141">
            <v>26957</v>
          </cell>
          <cell r="V141">
            <v>28975</v>
          </cell>
          <cell r="X141">
            <v>46.359985715000001</v>
          </cell>
        </row>
        <row r="142">
          <cell r="G142" t="str">
            <v>Kab. Bekasi</v>
          </cell>
          <cell r="H142">
            <v>1273.8800000000001</v>
          </cell>
          <cell r="I142">
            <v>1934.0039999999999</v>
          </cell>
          <cell r="J142">
            <v>171.7</v>
          </cell>
          <cell r="K142">
            <v>72.53</v>
          </cell>
          <cell r="M142">
            <v>55.639615308000003</v>
          </cell>
          <cell r="N142">
            <v>61.2</v>
          </cell>
          <cell r="O142">
            <v>42</v>
          </cell>
          <cell r="P142">
            <v>0.1</v>
          </cell>
          <cell r="Q142">
            <v>13.5</v>
          </cell>
          <cell r="R142">
            <v>0.1</v>
          </cell>
          <cell r="S142">
            <v>0.15</v>
          </cell>
          <cell r="T142">
            <v>128.81465714800001</v>
          </cell>
          <cell r="U142">
            <v>4.0892555630000001E-2</v>
          </cell>
          <cell r="V142">
            <v>9162</v>
          </cell>
          <cell r="X142">
            <v>14.187714683999999</v>
          </cell>
        </row>
        <row r="143">
          <cell r="G143" t="str">
            <v>Kab. Bogor</v>
          </cell>
        </row>
        <row r="144">
          <cell r="G144" t="str">
            <v>Kab. Ciamis</v>
          </cell>
          <cell r="AB144">
            <v>0.71838000000000002</v>
          </cell>
        </row>
        <row r="145">
          <cell r="G145" t="str">
            <v>Kab. Cianjur</v>
          </cell>
        </row>
        <row r="146">
          <cell r="G146" t="str">
            <v>Kab. Cirebon</v>
          </cell>
        </row>
        <row r="147">
          <cell r="G147" t="str">
            <v>Kab. Garut</v>
          </cell>
        </row>
        <row r="148">
          <cell r="G148" t="str">
            <v>Kab. Indramayu</v>
          </cell>
          <cell r="H148">
            <v>2552</v>
          </cell>
          <cell r="I148">
            <v>1697</v>
          </cell>
          <cell r="J148">
            <v>680.07500000000005</v>
          </cell>
          <cell r="L148">
            <v>98.58</v>
          </cell>
          <cell r="M148">
            <v>6.5</v>
          </cell>
          <cell r="N148">
            <v>70.771518999999998</v>
          </cell>
          <cell r="O148">
            <v>2.5</v>
          </cell>
          <cell r="P148">
            <v>0.1</v>
          </cell>
          <cell r="Q148">
            <v>18.3</v>
          </cell>
          <cell r="R148">
            <v>0.25624000000000002</v>
          </cell>
          <cell r="S148">
            <v>0.2</v>
          </cell>
          <cell r="T148">
            <v>38.172432999999998</v>
          </cell>
          <cell r="U148">
            <v>5.40596771E-3</v>
          </cell>
          <cell r="V148">
            <v>12025</v>
          </cell>
          <cell r="X148">
            <v>19.249146026999998</v>
          </cell>
          <cell r="AA148">
            <v>17.616795206999999</v>
          </cell>
          <cell r="AB148">
            <v>0.44779520699999997</v>
          </cell>
        </row>
        <row r="149">
          <cell r="G149" t="str">
            <v xml:space="preserve">Kab. Karawang    </v>
          </cell>
        </row>
        <row r="150">
          <cell r="G150" t="str">
            <v>Kab. Kuningan</v>
          </cell>
        </row>
        <row r="151">
          <cell r="G151" t="str">
            <v xml:space="preserve">Kab. Majalengka  </v>
          </cell>
          <cell r="V151">
            <v>12071</v>
          </cell>
          <cell r="X151">
            <v>17.996103446999999</v>
          </cell>
          <cell r="Y151" t="str">
            <v>910/2009/Keu; Majalengka, 140705; Bupati</v>
          </cell>
          <cell r="AA151">
            <v>17.996103446999999</v>
          </cell>
          <cell r="AB151">
            <v>0.79410344700000002</v>
          </cell>
        </row>
        <row r="152">
          <cell r="G152" t="str">
            <v>Kab. Purwakarta</v>
          </cell>
        </row>
        <row r="153">
          <cell r="G153" t="str">
            <v xml:space="preserve">Kab. Subang          </v>
          </cell>
          <cell r="H153">
            <v>4896.58</v>
          </cell>
          <cell r="I153">
            <v>1379.5340000000001</v>
          </cell>
          <cell r="K153">
            <v>67.42</v>
          </cell>
          <cell r="L153">
            <v>87.37</v>
          </cell>
          <cell r="M153">
            <v>3.6222326919999999</v>
          </cell>
          <cell r="N153">
            <v>23.227499999999999</v>
          </cell>
          <cell r="O153">
            <v>1.4645558080000001</v>
          </cell>
          <cell r="P153">
            <v>0.15</v>
          </cell>
          <cell r="Q153">
            <v>21.5</v>
          </cell>
          <cell r="R153">
            <v>0.25219999999999998</v>
          </cell>
          <cell r="S153">
            <v>0.295649</v>
          </cell>
          <cell r="T153">
            <v>39.835090827999998</v>
          </cell>
          <cell r="U153">
            <v>4.3357359999999998E-3</v>
          </cell>
          <cell r="V153">
            <v>11747</v>
          </cell>
          <cell r="X153">
            <v>18.320701664000001</v>
          </cell>
          <cell r="Y153" t="str">
            <v>924/1289-Keu/2005; Subang, 29 Juni 2005; Bupati</v>
          </cell>
        </row>
        <row r="154">
          <cell r="G154" t="str">
            <v>Kab. Sukabumi</v>
          </cell>
        </row>
        <row r="155">
          <cell r="G155" t="str">
            <v>Kab. Sumedang</v>
          </cell>
          <cell r="AA155">
            <v>18.297413989999999</v>
          </cell>
          <cell r="AB155">
            <v>0.48941399000000002</v>
          </cell>
        </row>
        <row r="156">
          <cell r="G156" t="str">
            <v>Kab. Tasikmalaya</v>
          </cell>
          <cell r="AA156">
            <v>23.129049722000001</v>
          </cell>
          <cell r="AB156">
            <v>2.0990497220000002</v>
          </cell>
        </row>
        <row r="157">
          <cell r="G157" t="str">
            <v>Kota Bandung</v>
          </cell>
        </row>
        <row r="158">
          <cell r="G158" t="str">
            <v>Kota Bekasi</v>
          </cell>
        </row>
        <row r="159">
          <cell r="G159" t="str">
            <v>Kota Bogor</v>
          </cell>
        </row>
        <row r="160">
          <cell r="G160" t="str">
            <v>Kota Cirebon</v>
          </cell>
        </row>
        <row r="161">
          <cell r="G161" t="str">
            <v>Kota Depok</v>
          </cell>
          <cell r="AA161">
            <v>8.7273616789999995</v>
          </cell>
          <cell r="AB161">
            <v>0.63036167899999995</v>
          </cell>
        </row>
        <row r="162">
          <cell r="G162" t="str">
            <v>Kota Sukabumi</v>
          </cell>
        </row>
        <row r="163">
          <cell r="G163" t="str">
            <v>Kota Cimahi</v>
          </cell>
          <cell r="H163">
            <v>40.25</v>
          </cell>
          <cell r="I163">
            <v>496.06</v>
          </cell>
          <cell r="J163">
            <v>9.6</v>
          </cell>
          <cell r="K163">
            <v>1555000</v>
          </cell>
          <cell r="L163">
            <v>73.709999999999994</v>
          </cell>
          <cell r="M163">
            <v>3.725838414</v>
          </cell>
          <cell r="N163">
            <v>10.34</v>
          </cell>
          <cell r="O163">
            <v>3.6749999999999998</v>
          </cell>
          <cell r="P163">
            <v>0.1764</v>
          </cell>
          <cell r="Q163">
            <v>7.473134495</v>
          </cell>
          <cell r="R163">
            <v>5.9565504999999998E-2</v>
          </cell>
          <cell r="S163">
            <v>0.16589999999999999</v>
          </cell>
          <cell r="T163">
            <v>38.332851722000001</v>
          </cell>
          <cell r="U163">
            <v>1.21</v>
          </cell>
          <cell r="V163">
            <v>4544</v>
          </cell>
          <cell r="X163">
            <v>7.424052616</v>
          </cell>
        </row>
        <row r="164">
          <cell r="G164" t="str">
            <v>Kota Tasikmalaya</v>
          </cell>
        </row>
        <row r="165">
          <cell r="G165" t="str">
            <v>Kota Banjar</v>
          </cell>
        </row>
        <row r="166">
          <cell r="G166" t="str">
            <v>Provinsi  Banten</v>
          </cell>
        </row>
        <row r="167">
          <cell r="G167" t="str">
            <v>Kab. Lebak</v>
          </cell>
        </row>
        <row r="168">
          <cell r="G168" t="str">
            <v>Kab. Pandeglang</v>
          </cell>
        </row>
        <row r="169">
          <cell r="G169" t="str">
            <v>Kab. Serang</v>
          </cell>
          <cell r="V169">
            <v>11835</v>
          </cell>
          <cell r="X169">
            <v>18.678661125000001</v>
          </cell>
        </row>
        <row r="170">
          <cell r="G170" t="str">
            <v>Kab. Tangerang</v>
          </cell>
        </row>
        <row r="171">
          <cell r="G171" t="str">
            <v>Kota Cilegon</v>
          </cell>
        </row>
        <row r="172">
          <cell r="G172" t="str">
            <v>Kota Tangerang</v>
          </cell>
          <cell r="Y172" t="str">
            <v>900/1080/BKKD; Tangerang, 300605; Walikota</v>
          </cell>
          <cell r="AA172">
            <v>10.027140051</v>
          </cell>
          <cell r="AB172">
            <v>0.67414005099999996</v>
          </cell>
        </row>
        <row r="173">
          <cell r="G173" t="str">
            <v>Provinsi  Jawa Tengah</v>
          </cell>
          <cell r="Y173" t="str">
            <v>974/10887,Semarang280705,Gubernur Mardiyanto</v>
          </cell>
          <cell r="AA173">
            <v>24.478103762</v>
          </cell>
          <cell r="AB173">
            <v>0.26210376200000002</v>
          </cell>
        </row>
        <row r="174">
          <cell r="G174" t="str">
            <v>Kab. Banjarnegara</v>
          </cell>
        </row>
        <row r="175">
          <cell r="G175" t="str">
            <v>Kab. Banyumas</v>
          </cell>
        </row>
        <row r="176">
          <cell r="G176" t="str">
            <v>Kab. Batang</v>
          </cell>
        </row>
        <row r="177">
          <cell r="G177" t="str">
            <v>Kab. Blora</v>
          </cell>
          <cell r="H177">
            <v>1820.59</v>
          </cell>
          <cell r="I177">
            <v>853.47299999999996</v>
          </cell>
          <cell r="J177">
            <v>349.62900000000002</v>
          </cell>
          <cell r="L177">
            <v>89.95</v>
          </cell>
          <cell r="M177">
            <v>19.730579595999998</v>
          </cell>
          <cell r="N177">
            <v>0.40625507500000002</v>
          </cell>
          <cell r="O177">
            <v>23.14909574</v>
          </cell>
          <cell r="P177">
            <v>0.45919116799999998</v>
          </cell>
          <cell r="Q177">
            <v>3.2406901889999999</v>
          </cell>
          <cell r="R177">
            <v>0.157520782</v>
          </cell>
          <cell r="S177">
            <v>3.857402139</v>
          </cell>
          <cell r="V177">
            <v>9838</v>
          </cell>
          <cell r="X177">
            <v>15.230755847999999</v>
          </cell>
        </row>
        <row r="178">
          <cell r="G178" t="str">
            <v>Kab. Boyolali</v>
          </cell>
        </row>
        <row r="179">
          <cell r="G179" t="str">
            <v>Kab. Brebes</v>
          </cell>
          <cell r="H179">
            <v>1661.17</v>
          </cell>
          <cell r="I179">
            <v>1769.905</v>
          </cell>
          <cell r="J179">
            <v>634.649</v>
          </cell>
          <cell r="K179">
            <v>7250000</v>
          </cell>
          <cell r="L179">
            <v>88.85</v>
          </cell>
          <cell r="M179">
            <v>19.084499999999998</v>
          </cell>
          <cell r="N179">
            <v>1.3</v>
          </cell>
          <cell r="O179">
            <v>22.6845</v>
          </cell>
          <cell r="P179">
            <v>1.4E-2</v>
          </cell>
          <cell r="Q179">
            <v>0.45</v>
          </cell>
          <cell r="R179">
            <v>0.25</v>
          </cell>
          <cell r="S179">
            <v>0.71399999999999997</v>
          </cell>
          <cell r="V179">
            <v>12489</v>
          </cell>
          <cell r="X179">
            <v>19.697206000000001</v>
          </cell>
        </row>
        <row r="180">
          <cell r="G180" t="str">
            <v xml:space="preserve">Kab. Cilacap    </v>
          </cell>
        </row>
        <row r="181">
          <cell r="G181" t="str">
            <v xml:space="preserve">Kab. Demak  </v>
          </cell>
          <cell r="V181">
            <v>8226</v>
          </cell>
          <cell r="X181">
            <v>12.841033473</v>
          </cell>
        </row>
        <row r="182">
          <cell r="G182" t="str">
            <v>Kab. Grobogan</v>
          </cell>
        </row>
        <row r="183">
          <cell r="G183" t="str">
            <v>Kab. Jepara</v>
          </cell>
        </row>
        <row r="184">
          <cell r="G184" t="str">
            <v>Kab. Karanganyar</v>
          </cell>
        </row>
        <row r="185">
          <cell r="G185" t="str">
            <v>Kab. Kebumen</v>
          </cell>
        </row>
        <row r="186">
          <cell r="G186" t="str">
            <v xml:space="preserve">Kab. Kendal </v>
          </cell>
        </row>
        <row r="187">
          <cell r="G187" t="str">
            <v>Kab. Klaten</v>
          </cell>
        </row>
        <row r="188">
          <cell r="G188" t="str">
            <v>Kab. Kudus</v>
          </cell>
        </row>
        <row r="189">
          <cell r="G189" t="str">
            <v>Kab. Magelang</v>
          </cell>
        </row>
        <row r="190">
          <cell r="G190" t="str">
            <v>Kab. Pati</v>
          </cell>
        </row>
        <row r="191">
          <cell r="G191" t="str">
            <v>Kab. Pekalongan</v>
          </cell>
          <cell r="H191">
            <v>836.13</v>
          </cell>
          <cell r="I191">
            <v>858.42700000000002</v>
          </cell>
          <cell r="J191">
            <v>185.38800000000001</v>
          </cell>
          <cell r="K191">
            <v>0</v>
          </cell>
          <cell r="L191">
            <v>93.64</v>
          </cell>
          <cell r="M191">
            <v>9.6999999999999993</v>
          </cell>
          <cell r="N191">
            <v>1.1499999999999999</v>
          </cell>
          <cell r="O191">
            <v>12.3</v>
          </cell>
          <cell r="P191">
            <v>3.3870499999999998E-2</v>
          </cell>
          <cell r="Q191">
            <v>0.3</v>
          </cell>
          <cell r="R191">
            <v>0.20730000000000001</v>
          </cell>
          <cell r="S191">
            <v>0.5411705</v>
          </cell>
          <cell r="V191">
            <v>8284</v>
          </cell>
          <cell r="X191">
            <v>14.26449453</v>
          </cell>
        </row>
        <row r="192">
          <cell r="G192" t="str">
            <v>Kab. Pemalang</v>
          </cell>
        </row>
        <row r="193">
          <cell r="G193" t="str">
            <v xml:space="preserve">Kab. Purbalingga       </v>
          </cell>
          <cell r="Y193" t="str">
            <v>900/1905,Purbalingga060705,Sekda Risnadi wahyono</v>
          </cell>
          <cell r="AA193">
            <v>12.345361786</v>
          </cell>
          <cell r="AB193">
            <v>0.20936178599999999</v>
          </cell>
        </row>
        <row r="194">
          <cell r="G194" t="str">
            <v>Kab. Purworejo</v>
          </cell>
        </row>
        <row r="195">
          <cell r="G195" t="str">
            <v>Kab. Rembang</v>
          </cell>
          <cell r="Y195" t="str">
            <v>900/124/2005,Rembang210705, Sekda Maskuri</v>
          </cell>
          <cell r="AA195">
            <v>10.848579448000001</v>
          </cell>
          <cell r="AB195">
            <v>0.51457944799999999</v>
          </cell>
        </row>
        <row r="196">
          <cell r="G196" t="str">
            <v>Kab. Semarang</v>
          </cell>
          <cell r="Y196" t="str">
            <v>903/02543,Ungaran190705,Sekda Soetrisno</v>
          </cell>
          <cell r="AA196">
            <v>15.340424856</v>
          </cell>
          <cell r="AB196">
            <v>1.332424856</v>
          </cell>
        </row>
        <row r="197">
          <cell r="G197" t="str">
            <v>Kab. Sragen</v>
          </cell>
        </row>
        <row r="198">
          <cell r="G198" t="str">
            <v>Kab. Sukoharjo</v>
          </cell>
        </row>
        <row r="199">
          <cell r="G199" t="str">
            <v>Kab. Tegal</v>
          </cell>
          <cell r="H199">
            <v>87879</v>
          </cell>
          <cell r="I199">
            <v>1435.9190000000001</v>
          </cell>
          <cell r="J199">
            <v>444.387</v>
          </cell>
          <cell r="K199">
            <v>0</v>
          </cell>
          <cell r="M199">
            <v>12.623053000000001</v>
          </cell>
          <cell r="N199">
            <v>0.61746800000000002</v>
          </cell>
          <cell r="O199">
            <v>16.572787999999999</v>
          </cell>
          <cell r="P199">
            <v>0</v>
          </cell>
          <cell r="Q199">
            <v>5.9872210000000002E-2</v>
          </cell>
          <cell r="R199">
            <v>0.85943499999999995</v>
          </cell>
          <cell r="S199">
            <v>0.91930721000000004</v>
          </cell>
          <cell r="V199">
            <v>11084</v>
          </cell>
          <cell r="X199">
            <v>17.299321549999998</v>
          </cell>
          <cell r="Y199" t="str">
            <v>900/02402,slawi,50705,Bup agus riyanto</v>
          </cell>
          <cell r="AA199">
            <v>16.294188774999999</v>
          </cell>
          <cell r="AB199">
            <v>0.87018877500000003</v>
          </cell>
        </row>
        <row r="200">
          <cell r="G200" t="str">
            <v>Kab. Temanggung</v>
          </cell>
        </row>
        <row r="201">
          <cell r="G201" t="str">
            <v>Kab. Wonogiri</v>
          </cell>
        </row>
        <row r="202">
          <cell r="G202" t="str">
            <v xml:space="preserve">Kab. Wonosobo       </v>
          </cell>
        </row>
        <row r="203">
          <cell r="G203" t="str">
            <v>Kota Magelang</v>
          </cell>
          <cell r="Y203" t="str">
            <v>900/994/290, Magelang080705, Pj.Bup Sulaiman Hasan</v>
          </cell>
          <cell r="AA203">
            <v>0.56848915010000001</v>
          </cell>
          <cell r="AB203">
            <v>0.31989150100000002</v>
          </cell>
        </row>
        <row r="204">
          <cell r="G204" t="str">
            <v>Kota Pekalongan</v>
          </cell>
        </row>
        <row r="205">
          <cell r="G205" t="str">
            <v>Kota Salatiga</v>
          </cell>
          <cell r="Y205" t="str">
            <v>840/970,Salatiga090605,walikota totok Mintarto</v>
          </cell>
          <cell r="AA205">
            <v>5.7695600000000002</v>
          </cell>
          <cell r="AB205">
            <v>0.89056000000000002</v>
          </cell>
        </row>
        <row r="206">
          <cell r="G206" t="str">
            <v>Kota Semarang</v>
          </cell>
        </row>
        <row r="207">
          <cell r="G207" t="str">
            <v>Kota Surakarta</v>
          </cell>
        </row>
        <row r="208">
          <cell r="G208" t="str">
            <v xml:space="preserve">Kota Tegal </v>
          </cell>
        </row>
        <row r="209">
          <cell r="G209" t="str">
            <v>Provinsi DI Yogyakarta</v>
          </cell>
        </row>
        <row r="210">
          <cell r="G210" t="str">
            <v>Kab. Bantul</v>
          </cell>
          <cell r="H210">
            <v>506.85</v>
          </cell>
          <cell r="I210">
            <v>816.25599999999997</v>
          </cell>
          <cell r="J210">
            <v>132.12299999999999</v>
          </cell>
          <cell r="K210">
            <v>0</v>
          </cell>
          <cell r="L210">
            <v>92.28</v>
          </cell>
          <cell r="M210">
            <v>11.081466167</v>
          </cell>
          <cell r="N210">
            <v>3.6</v>
          </cell>
          <cell r="O210">
            <v>16.907501166999999</v>
          </cell>
          <cell r="P210">
            <v>0</v>
          </cell>
          <cell r="Q210">
            <v>5.5915840000000001E-2</v>
          </cell>
          <cell r="R210">
            <v>0.33912425499999999</v>
          </cell>
          <cell r="S210">
            <v>0.34471583900000002</v>
          </cell>
          <cell r="V210">
            <v>11975</v>
          </cell>
          <cell r="X210">
            <v>18.606250703000001</v>
          </cell>
          <cell r="Y210" t="str">
            <v>910/3764,Bantul210705,Pejabat Bupati Soetaryo</v>
          </cell>
          <cell r="AA210">
            <v>0.54237448799999999</v>
          </cell>
          <cell r="AB210">
            <v>18.339374488000001</v>
          </cell>
        </row>
        <row r="211">
          <cell r="G211" t="str">
            <v>Kab. Gunung Kidul</v>
          </cell>
          <cell r="H211">
            <v>1485.36</v>
          </cell>
          <cell r="I211">
            <v>630.34299999999996</v>
          </cell>
          <cell r="J211">
            <v>1.7330000000000001</v>
          </cell>
          <cell r="K211">
            <v>0</v>
          </cell>
          <cell r="L211">
            <v>147.12</v>
          </cell>
          <cell r="M211">
            <v>5.6749999999999998</v>
          </cell>
          <cell r="N211">
            <v>1.1000000000000001</v>
          </cell>
          <cell r="O211">
            <v>8.6750000000000007</v>
          </cell>
          <cell r="P211">
            <v>0</v>
          </cell>
          <cell r="Q211">
            <v>0.26483493299999999</v>
          </cell>
          <cell r="R211">
            <v>0.157520782</v>
          </cell>
          <cell r="S211">
            <v>0.42235571500000002</v>
          </cell>
          <cell r="V211">
            <v>9826</v>
          </cell>
          <cell r="X211">
            <v>16.994070346000001</v>
          </cell>
        </row>
        <row r="212">
          <cell r="G212" t="str">
            <v>Kab. Kulon Progo</v>
          </cell>
        </row>
        <row r="213">
          <cell r="G213" t="str">
            <v>Kab. Sleman</v>
          </cell>
        </row>
        <row r="214">
          <cell r="G214" t="str">
            <v>Kota Yogyakarta</v>
          </cell>
          <cell r="H214">
            <v>32.5</v>
          </cell>
          <cell r="I214">
            <v>398.00400000000002</v>
          </cell>
          <cell r="J214">
            <v>70.667000000000002</v>
          </cell>
          <cell r="K214">
            <v>0</v>
          </cell>
          <cell r="L214">
            <v>86.08</v>
          </cell>
          <cell r="M214">
            <v>13.167999999999999</v>
          </cell>
          <cell r="N214">
            <v>7.0664999999999996</v>
          </cell>
          <cell r="O214">
            <v>28.234500000000001</v>
          </cell>
          <cell r="P214">
            <v>0</v>
          </cell>
          <cell r="Q214">
            <v>9.8515000000000005E-2</v>
          </cell>
          <cell r="R214">
            <v>0.14319000000000001</v>
          </cell>
          <cell r="S214">
            <v>0.241705</v>
          </cell>
          <cell r="V214">
            <v>8239</v>
          </cell>
          <cell r="X214">
            <v>13.136635382</v>
          </cell>
        </row>
        <row r="215">
          <cell r="G215" t="str">
            <v>Provinsi  Jawa Timur</v>
          </cell>
        </row>
        <row r="216">
          <cell r="G216" t="str">
            <v>Kab. Bangkalan</v>
          </cell>
        </row>
        <row r="217">
          <cell r="G217" t="str">
            <v>Kab. Banyuwangi</v>
          </cell>
        </row>
        <row r="218">
          <cell r="G218" t="str">
            <v>Kab. Blitar</v>
          </cell>
          <cell r="H218">
            <v>1588.79</v>
          </cell>
          <cell r="I218">
            <v>1131.222</v>
          </cell>
          <cell r="J218">
            <v>195366</v>
          </cell>
          <cell r="K218">
            <v>75000000</v>
          </cell>
          <cell r="L218">
            <v>89.09</v>
          </cell>
          <cell r="M218">
            <v>12.522057787</v>
          </cell>
          <cell r="N218">
            <v>1.5</v>
          </cell>
          <cell r="O218">
            <v>15.729647765999999</v>
          </cell>
          <cell r="P218">
            <v>0.58323228699999996</v>
          </cell>
          <cell r="Q218">
            <v>0.12776200600000001</v>
          </cell>
          <cell r="R218">
            <v>0.19</v>
          </cell>
          <cell r="S218">
            <v>0.97599429299999996</v>
          </cell>
          <cell r="V218">
            <v>12862</v>
          </cell>
          <cell r="X218">
            <v>20.143591076</v>
          </cell>
        </row>
        <row r="219">
          <cell r="G219" t="str">
            <v>Kab. Bojonegoro</v>
          </cell>
        </row>
        <row r="220">
          <cell r="G220" t="str">
            <v>Kab. Bondowoso</v>
          </cell>
        </row>
        <row r="221">
          <cell r="G221" t="str">
            <v>Kab. Gresik</v>
          </cell>
        </row>
        <row r="222">
          <cell r="G222" t="str">
            <v>Kab. Jember</v>
          </cell>
        </row>
        <row r="223">
          <cell r="G223" t="str">
            <v>Kab. Jombang</v>
          </cell>
          <cell r="Y223" t="str">
            <v>900/1761/415.19/05,jombang020705,Bup suyanto</v>
          </cell>
          <cell r="AA223">
            <v>16.781851307</v>
          </cell>
          <cell r="AB223">
            <v>0.81734053699999998</v>
          </cell>
        </row>
        <row r="224">
          <cell r="G224" t="str">
            <v>Kab. Kediri</v>
          </cell>
        </row>
        <row r="225">
          <cell r="G225" t="str">
            <v>Kab. Lamongan</v>
          </cell>
          <cell r="H225">
            <v>1812.8</v>
          </cell>
          <cell r="I225">
            <v>1224.8119999999999</v>
          </cell>
          <cell r="J225">
            <v>286.64299999999997</v>
          </cell>
          <cell r="K225">
            <v>5707000</v>
          </cell>
          <cell r="L225">
            <v>109.59</v>
          </cell>
          <cell r="M225">
            <v>16.724256</v>
          </cell>
          <cell r="N225">
            <v>1.2857350000000001</v>
          </cell>
          <cell r="O225">
            <v>20.372354999999999</v>
          </cell>
          <cell r="P225">
            <v>0.316</v>
          </cell>
          <cell r="Q225">
            <v>0.103937</v>
          </cell>
          <cell r="R225">
            <v>0.95744600000000002</v>
          </cell>
          <cell r="S225">
            <v>1.3830899999999999</v>
          </cell>
          <cell r="V225">
            <v>10875</v>
          </cell>
          <cell r="X225">
            <v>17.432057149999999</v>
          </cell>
        </row>
        <row r="226">
          <cell r="G226" t="str">
            <v>Kab. Lumajang</v>
          </cell>
          <cell r="V226">
            <v>9452</v>
          </cell>
          <cell r="X226">
            <v>14.807324581</v>
          </cell>
        </row>
        <row r="227">
          <cell r="G227" t="str">
            <v>Kab. Madiun</v>
          </cell>
          <cell r="H227">
            <v>1010.86</v>
          </cell>
          <cell r="I227">
            <v>679.84100000000001</v>
          </cell>
          <cell r="J227">
            <v>220.745</v>
          </cell>
          <cell r="K227">
            <v>7149590</v>
          </cell>
          <cell r="L227">
            <v>91.4</v>
          </cell>
          <cell r="M227">
            <v>11.081777894</v>
          </cell>
          <cell r="N227">
            <v>1.2091453990000001</v>
          </cell>
          <cell r="O227">
            <v>15.063313958</v>
          </cell>
          <cell r="P227">
            <v>0.316</v>
          </cell>
          <cell r="Q227">
            <v>0.50929000000000002</v>
          </cell>
          <cell r="R227">
            <v>0.95744680999999998</v>
          </cell>
          <cell r="S227">
            <v>1.7898864000000001</v>
          </cell>
          <cell r="V227">
            <v>9368</v>
          </cell>
          <cell r="X227">
            <v>15.4068424</v>
          </cell>
        </row>
        <row r="228">
          <cell r="G228" t="str">
            <v>Kab. Magetan</v>
          </cell>
          <cell r="H228">
            <v>688.85</v>
          </cell>
          <cell r="I228">
            <v>624.98599999999999</v>
          </cell>
          <cell r="J228">
            <v>138.203</v>
          </cell>
          <cell r="K228">
            <v>2300000</v>
          </cell>
          <cell r="L228">
            <v>94.89</v>
          </cell>
          <cell r="M228">
            <v>15.122999999999999</v>
          </cell>
          <cell r="N228">
            <v>1.3859999999999999</v>
          </cell>
          <cell r="O228">
            <v>19.402999999999999</v>
          </cell>
          <cell r="P228">
            <v>0.13020000000000001</v>
          </cell>
          <cell r="Q228">
            <v>7.9000000000000008E-3</v>
          </cell>
          <cell r="R228">
            <v>0.37159999999999999</v>
          </cell>
          <cell r="S228">
            <v>0.51200000000000001</v>
          </cell>
          <cell r="V228">
            <v>10213</v>
          </cell>
          <cell r="X228">
            <v>15.572171666999999</v>
          </cell>
          <cell r="Y228" t="str">
            <v>900/321/403.033/2005,magetan300605,Bup saleh Muljono</v>
          </cell>
          <cell r="AA228">
            <v>15.964897003999999</v>
          </cell>
          <cell r="AB228">
            <v>1.547897004</v>
          </cell>
        </row>
        <row r="229">
          <cell r="G229" t="str">
            <v>Kab. Malang</v>
          </cell>
          <cell r="H229">
            <v>3347.8</v>
          </cell>
          <cell r="I229">
            <v>2284.3519999999999</v>
          </cell>
          <cell r="J229">
            <v>1371.56</v>
          </cell>
          <cell r="K229">
            <v>5900000</v>
          </cell>
          <cell r="L229">
            <v>90.52</v>
          </cell>
          <cell r="M229">
            <v>26.85</v>
          </cell>
          <cell r="N229">
            <v>3.6150000000000002</v>
          </cell>
          <cell r="O229">
            <v>34.803600000000003</v>
          </cell>
          <cell r="P229">
            <v>0.36568200000000001</v>
          </cell>
          <cell r="Q229">
            <v>0.56815000000000004</v>
          </cell>
          <cell r="R229">
            <v>0.26857999999999999</v>
          </cell>
          <cell r="S229">
            <v>1.2083120000000001</v>
          </cell>
          <cell r="V229">
            <v>17214</v>
          </cell>
          <cell r="X229">
            <v>27.492905338</v>
          </cell>
        </row>
        <row r="230">
          <cell r="G230" t="str">
            <v>Kab. Mojokerto</v>
          </cell>
          <cell r="H230">
            <v>969.36</v>
          </cell>
          <cell r="I230">
            <v>1009.3920000000001</v>
          </cell>
          <cell r="J230">
            <v>199.33</v>
          </cell>
          <cell r="K230">
            <v>3000000</v>
          </cell>
          <cell r="L230">
            <v>90.78</v>
          </cell>
          <cell r="M230">
            <v>14</v>
          </cell>
          <cell r="N230">
            <v>2</v>
          </cell>
          <cell r="O230">
            <v>20.8</v>
          </cell>
          <cell r="P230">
            <v>0.19500000000000001</v>
          </cell>
          <cell r="Q230">
            <v>0.10390000000000001</v>
          </cell>
          <cell r="R230">
            <v>0.3</v>
          </cell>
          <cell r="S230">
            <v>0.60189999999999999</v>
          </cell>
          <cell r="V230">
            <v>9160</v>
          </cell>
          <cell r="X230">
            <v>13.892405204999999</v>
          </cell>
        </row>
        <row r="231">
          <cell r="G231" t="str">
            <v>Kab. Nganjuk</v>
          </cell>
        </row>
        <row r="232">
          <cell r="G232" t="str">
            <v>Kab. Ngawi</v>
          </cell>
        </row>
        <row r="233">
          <cell r="G233" t="str">
            <v>Kab. Pacitan</v>
          </cell>
        </row>
        <row r="234">
          <cell r="G234" t="str">
            <v>Kab. Pamekasan</v>
          </cell>
        </row>
        <row r="235">
          <cell r="G235" t="str">
            <v>Kab. Pasuruan</v>
          </cell>
        </row>
        <row r="236">
          <cell r="G236" t="str">
            <v>Kab. Ponorogo</v>
          </cell>
          <cell r="H236">
            <v>1371.78</v>
          </cell>
          <cell r="I236">
            <v>911.93299999999999</v>
          </cell>
          <cell r="J236">
            <v>236.691</v>
          </cell>
          <cell r="K236" t="str">
            <v>-</v>
          </cell>
          <cell r="L236">
            <v>88.79</v>
          </cell>
          <cell r="M236">
            <v>14.640008999999999</v>
          </cell>
          <cell r="N236">
            <v>1.2857339999999999</v>
          </cell>
          <cell r="O236">
            <v>18.218920000000001</v>
          </cell>
          <cell r="P236" t="str">
            <v>-</v>
          </cell>
          <cell r="Q236">
            <v>5.0299000000000003E-2</v>
          </cell>
          <cell r="R236">
            <v>0.37150899999999998</v>
          </cell>
          <cell r="S236">
            <v>0.42180800000000002</v>
          </cell>
          <cell r="V236">
            <v>10816</v>
          </cell>
          <cell r="X236">
            <v>16.888112901</v>
          </cell>
        </row>
        <row r="237">
          <cell r="G237" t="str">
            <v xml:space="preserve">Kab. Probolinggo    </v>
          </cell>
        </row>
        <row r="238">
          <cell r="G238" t="str">
            <v>Kab. Sampang</v>
          </cell>
        </row>
        <row r="239">
          <cell r="G239" t="str">
            <v>Kab. Sidoarjo</v>
          </cell>
        </row>
        <row r="240">
          <cell r="G240" t="str">
            <v>Kab. Situbondo</v>
          </cell>
        </row>
        <row r="241">
          <cell r="G241" t="str">
            <v>Kab. Sumenep</v>
          </cell>
        </row>
        <row r="242">
          <cell r="G242" t="str">
            <v>Kab. Trenggalek</v>
          </cell>
        </row>
        <row r="243">
          <cell r="G243" t="str">
            <v>Kab. Tuban</v>
          </cell>
          <cell r="Y243" t="str">
            <v>900/2107/414.050/2005.Tuban290605,Sekda Soekarman</v>
          </cell>
          <cell r="AA243">
            <v>15.282102489</v>
          </cell>
          <cell r="AB243">
            <v>1.648102489</v>
          </cell>
        </row>
        <row r="244">
          <cell r="G244" t="str">
            <v>Kab. Tulungagung</v>
          </cell>
        </row>
        <row r="245">
          <cell r="G245" t="str">
            <v>Kota Blitar</v>
          </cell>
        </row>
        <row r="246">
          <cell r="G246" t="str">
            <v>Kota Kediri</v>
          </cell>
        </row>
        <row r="247">
          <cell r="G247" t="str">
            <v>Kota Madiun</v>
          </cell>
        </row>
        <row r="248">
          <cell r="G248" t="str">
            <v>Kota Malang</v>
          </cell>
        </row>
        <row r="249">
          <cell r="G249" t="str">
            <v>Kota Mojokerto</v>
          </cell>
        </row>
        <row r="250">
          <cell r="G250" t="str">
            <v xml:space="preserve">Kota Pasuruan </v>
          </cell>
        </row>
        <row r="251">
          <cell r="G251" t="str">
            <v>Kota Probollinggo</v>
          </cell>
        </row>
        <row r="252">
          <cell r="G252" t="str">
            <v>Kota Surabaya</v>
          </cell>
        </row>
        <row r="253">
          <cell r="G253" t="str">
            <v>Kota Batu</v>
          </cell>
        </row>
        <row r="254">
          <cell r="G254" t="str">
            <v>Provinsi  Kalimantan Barat</v>
          </cell>
        </row>
        <row r="255">
          <cell r="G255" t="str">
            <v>Kab. Bengkayang</v>
          </cell>
        </row>
        <row r="256">
          <cell r="G256" t="str">
            <v>Kab. Landak</v>
          </cell>
        </row>
        <row r="257">
          <cell r="G257" t="str">
            <v>Kab. Kapuas Hulu</v>
          </cell>
          <cell r="V257">
            <v>4710</v>
          </cell>
          <cell r="X257">
            <v>6.8731210190000001</v>
          </cell>
          <cell r="Z257">
            <v>1</v>
          </cell>
        </row>
        <row r="258">
          <cell r="G258" t="str">
            <v>Kab. Ketapang</v>
          </cell>
        </row>
        <row r="259">
          <cell r="G259" t="str">
            <v>Kab. Pontianak</v>
          </cell>
          <cell r="V259">
            <v>8848</v>
          </cell>
          <cell r="X259">
            <v>13.220145901</v>
          </cell>
          <cell r="Y259" t="str">
            <v>991/286/BPKKD-C,Mempawah 071204</v>
          </cell>
          <cell r="Z259">
            <v>1</v>
          </cell>
        </row>
        <row r="260">
          <cell r="G260" t="str">
            <v>Kab. Sambas</v>
          </cell>
          <cell r="V260">
            <v>13</v>
          </cell>
          <cell r="X260">
            <v>10.103666004999999</v>
          </cell>
          <cell r="Y260" t="str">
            <v>900/289/Keu,10/05/05,Sek Suyadi Widjaja</v>
          </cell>
          <cell r="Z260">
            <v>1</v>
          </cell>
        </row>
        <row r="261">
          <cell r="G261" t="str">
            <v>Kab. Sanggau</v>
          </cell>
          <cell r="H261">
            <v>12857.8</v>
          </cell>
          <cell r="I261">
            <v>379.40300000000002</v>
          </cell>
          <cell r="J261">
            <v>68.38</v>
          </cell>
          <cell r="K261">
            <v>63.5</v>
          </cell>
          <cell r="L261">
            <v>102.67</v>
          </cell>
          <cell r="M261">
            <v>2.5259955000000001</v>
          </cell>
          <cell r="N261">
            <v>9.3689381100000002</v>
          </cell>
          <cell r="O261">
            <v>0.2898752</v>
          </cell>
          <cell r="P261">
            <v>0</v>
          </cell>
          <cell r="Q261">
            <v>0</v>
          </cell>
          <cell r="R261">
            <v>0.301390414</v>
          </cell>
          <cell r="S261">
            <v>0</v>
          </cell>
          <cell r="T261">
            <v>8.1136110430000006</v>
          </cell>
          <cell r="Y261" t="str">
            <v>903/37/BPKKD-PY,Sanggau 160505.</v>
          </cell>
          <cell r="Z261">
            <v>1</v>
          </cell>
        </row>
        <row r="262">
          <cell r="G262" t="str">
            <v>Kab. Sintang</v>
          </cell>
        </row>
        <row r="263">
          <cell r="G263" t="str">
            <v>Kota Pontianak</v>
          </cell>
        </row>
        <row r="264">
          <cell r="G264" t="str">
            <v>Kota Singkawang</v>
          </cell>
          <cell r="H264">
            <v>504</v>
          </cell>
          <cell r="I264">
            <v>177.54300000000001</v>
          </cell>
          <cell r="K264">
            <v>68.7</v>
          </cell>
          <cell r="M264">
            <v>1.345919407</v>
          </cell>
          <cell r="N264">
            <v>6.2431712079999997</v>
          </cell>
          <cell r="O264">
            <v>1.8906080000000001</v>
          </cell>
          <cell r="P264">
            <v>0.29129287100000001</v>
          </cell>
          <cell r="Q264">
            <v>0</v>
          </cell>
          <cell r="R264">
            <v>0.50055745799999996</v>
          </cell>
          <cell r="S264">
            <v>339.124256</v>
          </cell>
          <cell r="T264">
            <v>6.1555308999999996</v>
          </cell>
          <cell r="U264">
            <v>188.56899999999999</v>
          </cell>
          <cell r="V264">
            <v>3114</v>
          </cell>
          <cell r="X264">
            <v>4.6660336520000003</v>
          </cell>
          <cell r="Y264" t="str">
            <v>050/152/Renc-Bappeda,17/05/05,Wali Awang Ishak</v>
          </cell>
          <cell r="Z264">
            <v>1</v>
          </cell>
        </row>
        <row r="265">
          <cell r="G265" t="str">
            <v>Provinsi  Kalimantan Tengah</v>
          </cell>
          <cell r="H265">
            <v>153564</v>
          </cell>
          <cell r="I265">
            <v>1912.7470000000001</v>
          </cell>
          <cell r="J265">
            <v>185.45</v>
          </cell>
          <cell r="M265">
            <v>37.5</v>
          </cell>
          <cell r="N265">
            <v>28.5</v>
          </cell>
          <cell r="O265">
            <v>1</v>
          </cell>
          <cell r="P265">
            <v>0</v>
          </cell>
          <cell r="Q265">
            <v>0</v>
          </cell>
          <cell r="R265">
            <v>18.5</v>
          </cell>
          <cell r="S265">
            <v>0</v>
          </cell>
          <cell r="T265">
            <v>117.157</v>
          </cell>
          <cell r="V265">
            <v>4316</v>
          </cell>
          <cell r="X265">
            <v>6.3777352599999997</v>
          </cell>
          <cell r="Z265">
            <v>1</v>
          </cell>
        </row>
        <row r="266">
          <cell r="G266" t="str">
            <v>Kab. Barito Selatan</v>
          </cell>
        </row>
        <row r="267">
          <cell r="G267" t="str">
            <v>Kab. Barito Utara</v>
          </cell>
        </row>
        <row r="268">
          <cell r="G268" t="str">
            <v>Kab. Kapuas</v>
          </cell>
          <cell r="H268">
            <v>14999</v>
          </cell>
          <cell r="I268">
            <v>330.63900000000001</v>
          </cell>
          <cell r="J268">
            <v>120.93600000000001</v>
          </cell>
          <cell r="L268">
            <v>136.72999999999999</v>
          </cell>
          <cell r="M268">
            <v>3.5</v>
          </cell>
          <cell r="N268">
            <v>11.5</v>
          </cell>
          <cell r="O268">
            <v>0.6</v>
          </cell>
          <cell r="P268">
            <v>0</v>
          </cell>
          <cell r="Q268">
            <v>0</v>
          </cell>
          <cell r="R268">
            <v>5</v>
          </cell>
          <cell r="S268">
            <v>0.25</v>
          </cell>
          <cell r="T268">
            <v>10.250163000000001</v>
          </cell>
          <cell r="V268">
            <v>7025</v>
          </cell>
          <cell r="X268">
            <v>12.9376</v>
          </cell>
          <cell r="Y268" t="str">
            <v>903/956/Keu.2005,Kuala Kapuas,21/05/05,Bup Burhanudin Ali</v>
          </cell>
          <cell r="Z268">
            <v>1</v>
          </cell>
        </row>
        <row r="269">
          <cell r="G269" t="str">
            <v>Kab. Kotawaringin Barat</v>
          </cell>
        </row>
        <row r="270">
          <cell r="G270" t="str">
            <v>Kab. Kotawaringin Timur</v>
          </cell>
        </row>
        <row r="271">
          <cell r="G271" t="str">
            <v>Kota Palangkaraya</v>
          </cell>
        </row>
        <row r="272">
          <cell r="G272" t="str">
            <v>Kab. Barito Timur</v>
          </cell>
        </row>
        <row r="273">
          <cell r="G273" t="str">
            <v>Kab. Murung Raya</v>
          </cell>
        </row>
        <row r="274">
          <cell r="G274" t="str">
            <v>Kab. Pulang Pisau</v>
          </cell>
        </row>
        <row r="275">
          <cell r="G275" t="str">
            <v>Kab. Gunung Mas</v>
          </cell>
          <cell r="H275">
            <v>10804</v>
          </cell>
          <cell r="I275">
            <v>80.561999999999998</v>
          </cell>
          <cell r="J275">
            <v>12.385</v>
          </cell>
          <cell r="M275">
            <v>0.3</v>
          </cell>
          <cell r="N275">
            <v>7</v>
          </cell>
          <cell r="O275">
            <v>0.5</v>
          </cell>
          <cell r="P275">
            <v>7.9000000000000001E-2</v>
          </cell>
          <cell r="R275">
            <v>1.62</v>
          </cell>
          <cell r="S275">
            <v>1.153</v>
          </cell>
          <cell r="T275">
            <v>5.1252500000000003</v>
          </cell>
          <cell r="U275">
            <v>15.068</v>
          </cell>
          <cell r="Z275">
            <v>1</v>
          </cell>
        </row>
        <row r="276">
          <cell r="G276" t="str">
            <v>Kab. Lamandau</v>
          </cell>
          <cell r="H276">
            <v>6414</v>
          </cell>
          <cell r="I276">
            <v>52.15</v>
          </cell>
          <cell r="J276">
            <v>17.817</v>
          </cell>
          <cell r="K276">
            <v>64.3</v>
          </cell>
          <cell r="M276">
            <v>0.5</v>
          </cell>
          <cell r="N276">
            <v>9</v>
          </cell>
          <cell r="O276">
            <v>1.5</v>
          </cell>
          <cell r="P276">
            <v>2.5000000000000001E-2</v>
          </cell>
          <cell r="Q276">
            <v>0</v>
          </cell>
          <cell r="R276">
            <v>3</v>
          </cell>
          <cell r="S276">
            <v>0.5</v>
          </cell>
          <cell r="T276">
            <v>2.488</v>
          </cell>
          <cell r="V276">
            <v>1046</v>
          </cell>
          <cell r="X276">
            <v>1.5348593530000001</v>
          </cell>
          <cell r="Y276" t="str">
            <v>900/44/KEU/2005,18/05/05,Bup Bustani mamud</v>
          </cell>
          <cell r="Z276">
            <v>1</v>
          </cell>
        </row>
        <row r="277">
          <cell r="G277" t="str">
            <v>Kab. Sukamara</v>
          </cell>
        </row>
        <row r="278">
          <cell r="G278" t="str">
            <v>Kab. Katingan</v>
          </cell>
        </row>
        <row r="279">
          <cell r="G279" t="str">
            <v>Kab. Seruyan</v>
          </cell>
          <cell r="H279">
            <v>15064.7</v>
          </cell>
          <cell r="I279">
            <v>111.417</v>
          </cell>
          <cell r="J279">
            <v>27.937000000000001</v>
          </cell>
          <cell r="L279">
            <v>110.34</v>
          </cell>
          <cell r="M279">
            <v>0.46</v>
          </cell>
          <cell r="N279">
            <v>11</v>
          </cell>
          <cell r="O279">
            <v>1.25</v>
          </cell>
          <cell r="P279">
            <v>0</v>
          </cell>
          <cell r="Q279">
            <v>0</v>
          </cell>
          <cell r="R279">
            <v>6</v>
          </cell>
          <cell r="S279">
            <v>0.15</v>
          </cell>
          <cell r="T279">
            <v>4.3143989999999999</v>
          </cell>
          <cell r="V279">
            <v>1254</v>
          </cell>
          <cell r="X279">
            <v>2.2057054730000001</v>
          </cell>
          <cell r="Y279" t="str">
            <v>900/66/Keu/V/2005,11/05/05,Sek Djoni Ardi</v>
          </cell>
          <cell r="Z279">
            <v>1</v>
          </cell>
        </row>
        <row r="280">
          <cell r="G280" t="str">
            <v>Provinsi  Kalimantan Selatan</v>
          </cell>
        </row>
        <row r="281">
          <cell r="G281" t="str">
            <v xml:space="preserve">Kab. Banjar </v>
          </cell>
          <cell r="H281">
            <v>4668.5</v>
          </cell>
          <cell r="I281">
            <v>448.68700000000001</v>
          </cell>
          <cell r="J281">
            <v>31.95</v>
          </cell>
          <cell r="M281">
            <v>3</v>
          </cell>
          <cell r="N281">
            <v>14.5</v>
          </cell>
          <cell r="O281">
            <v>1.2</v>
          </cell>
          <cell r="P281">
            <v>6.5</v>
          </cell>
          <cell r="Q281">
            <v>0.5</v>
          </cell>
          <cell r="R281">
            <v>0.5</v>
          </cell>
          <cell r="S281">
            <v>0.1</v>
          </cell>
          <cell r="T281">
            <v>11.110667000000001</v>
          </cell>
          <cell r="V281">
            <v>6104</v>
          </cell>
          <cell r="W281">
            <v>255</v>
          </cell>
          <cell r="X281">
            <v>9.2530733509999994</v>
          </cell>
          <cell r="Y281" t="str">
            <v>900/00374/Keu/2005,Martapura,20/04/05,Pj Bup Muchlis gafuri</v>
          </cell>
          <cell r="Z281" t="str">
            <v>1</v>
          </cell>
        </row>
        <row r="282">
          <cell r="G282" t="str">
            <v>Kab. Barito Kuala</v>
          </cell>
        </row>
        <row r="283">
          <cell r="G283" t="str">
            <v>Kab. Hulu Sungai Selatan</v>
          </cell>
        </row>
        <row r="284">
          <cell r="G284" t="str">
            <v>Kab. Hulu Sungai Tengah</v>
          </cell>
          <cell r="H284">
            <v>1472</v>
          </cell>
          <cell r="I284">
            <v>232.501</v>
          </cell>
          <cell r="J284">
            <v>47.103999999999999</v>
          </cell>
          <cell r="K284">
            <v>66.14</v>
          </cell>
          <cell r="M284">
            <v>1.5</v>
          </cell>
          <cell r="N284">
            <v>8.8482552959999996</v>
          </cell>
          <cell r="O284">
            <v>1.2857320000000001</v>
          </cell>
          <cell r="P284">
            <v>2.4839787489999998</v>
          </cell>
          <cell r="Q284">
            <v>0</v>
          </cell>
          <cell r="R284">
            <v>0</v>
          </cell>
          <cell r="S284">
            <v>0.190919913</v>
          </cell>
          <cell r="T284">
            <v>8.2891880699999998</v>
          </cell>
          <cell r="V284">
            <v>4789</v>
          </cell>
          <cell r="X284">
            <v>7.3772234750000001</v>
          </cell>
          <cell r="Z284">
            <v>1</v>
          </cell>
        </row>
        <row r="285">
          <cell r="G285" t="str">
            <v>Kab. Hulu Sungai Utara</v>
          </cell>
        </row>
        <row r="286">
          <cell r="G286" t="str">
            <v>Kab. Kota Baru</v>
          </cell>
        </row>
        <row r="287">
          <cell r="G287" t="str">
            <v>Kab. Tabalong</v>
          </cell>
        </row>
        <row r="288">
          <cell r="G288" t="str">
            <v>Kab. Tanah Laut</v>
          </cell>
        </row>
        <row r="289">
          <cell r="G289" t="str">
            <v>Kab. Tapin</v>
          </cell>
        </row>
        <row r="290">
          <cell r="G290" t="str">
            <v>Kota Banjar Baru</v>
          </cell>
        </row>
        <row r="291">
          <cell r="G291" t="str">
            <v xml:space="preserve">Kota Banjarmasin </v>
          </cell>
        </row>
        <row r="292">
          <cell r="G292" t="str">
            <v>Kab. Balangan</v>
          </cell>
          <cell r="H292">
            <v>1878</v>
          </cell>
          <cell r="I292">
            <v>98.97</v>
          </cell>
          <cell r="J292">
            <v>85.054817999999997</v>
          </cell>
          <cell r="L292">
            <v>98.3</v>
          </cell>
          <cell r="M292">
            <v>0.64497105300000002</v>
          </cell>
          <cell r="N292">
            <v>12.6965</v>
          </cell>
          <cell r="O292">
            <v>1.2857349389999999</v>
          </cell>
          <cell r="P292">
            <v>7.9</v>
          </cell>
          <cell r="Q292">
            <v>0</v>
          </cell>
          <cell r="R292">
            <v>0.53149999999999997</v>
          </cell>
          <cell r="S292">
            <v>0.52966986599999999</v>
          </cell>
          <cell r="T292">
            <v>1.2795127319999999</v>
          </cell>
          <cell r="V292">
            <v>1668</v>
          </cell>
          <cell r="X292">
            <v>3.6651644999999999</v>
          </cell>
          <cell r="Y292" t="str">
            <v>900/290/Keu/2005,Paringin,010605,Pj Bup Sriyono</v>
          </cell>
          <cell r="Z292">
            <v>1</v>
          </cell>
        </row>
        <row r="293">
          <cell r="G293" t="str">
            <v>Kab. Tanah Bumbu</v>
          </cell>
        </row>
        <row r="294">
          <cell r="G294" t="str">
            <v>Provinsi  Kalimantan Timur</v>
          </cell>
        </row>
        <row r="295">
          <cell r="G295" t="str">
            <v>Kab. Berau</v>
          </cell>
        </row>
        <row r="296">
          <cell r="G296" t="str">
            <v>Kab. Bulungan</v>
          </cell>
        </row>
        <row r="297">
          <cell r="G297" t="str">
            <v>Kab.  Kutai</v>
          </cell>
        </row>
        <row r="298">
          <cell r="G298" t="str">
            <v>Kab. Kutai Barat</v>
          </cell>
        </row>
        <row r="299">
          <cell r="G299" t="str">
            <v>Kab. Kutai Timur</v>
          </cell>
        </row>
        <row r="300">
          <cell r="G300" t="str">
            <v>Kab. Malinau</v>
          </cell>
        </row>
        <row r="301">
          <cell r="G301" t="str">
            <v>Kab. Nunukan</v>
          </cell>
        </row>
        <row r="302">
          <cell r="G302" t="str">
            <v>Kab. Pasir</v>
          </cell>
        </row>
        <row r="303">
          <cell r="G303" t="str">
            <v>Kota Balikpapan</v>
          </cell>
        </row>
        <row r="304">
          <cell r="G304" t="str">
            <v>Kota Bontang</v>
          </cell>
        </row>
        <row r="305">
          <cell r="G305" t="str">
            <v>Kota Samarinda</v>
          </cell>
        </row>
        <row r="306">
          <cell r="G306" t="str">
            <v>Kota Tarakan</v>
          </cell>
        </row>
        <row r="307">
          <cell r="G307" t="str">
            <v>Kab. Penajam Paser Utara</v>
          </cell>
          <cell r="Y307" t="str">
            <v>820/10/I/2005,Penajam,030105,</v>
          </cell>
        </row>
        <row r="308">
          <cell r="G308" t="str">
            <v>Provinsi  Sulawesi Utara</v>
          </cell>
        </row>
        <row r="309">
          <cell r="G309" t="str">
            <v>Kab. Bolaang Mongondow</v>
          </cell>
          <cell r="H309">
            <v>8358.0400000000009</v>
          </cell>
          <cell r="I309">
            <v>452.887</v>
          </cell>
          <cell r="J309">
            <v>50.753999999999998</v>
          </cell>
          <cell r="V309">
            <v>8476</v>
          </cell>
          <cell r="X309">
            <v>14.382639891333334</v>
          </cell>
          <cell r="Y309" t="str">
            <v>050/Bapeda-IV/309,11/04/05,Bup Marlina M.S</v>
          </cell>
          <cell r="Z309">
            <v>1</v>
          </cell>
        </row>
        <row r="310">
          <cell r="G310" t="str">
            <v xml:space="preserve">Kab. Minahasa </v>
          </cell>
        </row>
        <row r="311">
          <cell r="G311" t="str">
            <v>Kab. Sangihe</v>
          </cell>
        </row>
        <row r="312">
          <cell r="G312" t="str">
            <v>Kota Bitung</v>
          </cell>
          <cell r="H312">
            <v>304</v>
          </cell>
          <cell r="I312">
            <v>169.167</v>
          </cell>
          <cell r="J312">
            <v>14.348000000000001</v>
          </cell>
          <cell r="K312">
            <v>70.7</v>
          </cell>
          <cell r="L312">
            <v>162.35</v>
          </cell>
          <cell r="M312">
            <v>1.1000000000000001</v>
          </cell>
          <cell r="N312">
            <v>4.5999999999999996</v>
          </cell>
          <cell r="O312">
            <v>2</v>
          </cell>
          <cell r="P312">
            <v>0.40505000000000002</v>
          </cell>
          <cell r="R312">
            <v>0.33</v>
          </cell>
          <cell r="S312">
            <v>0.35</v>
          </cell>
          <cell r="T312">
            <v>7.7932367950000003</v>
          </cell>
          <cell r="V312">
            <v>4990</v>
          </cell>
          <cell r="X312">
            <v>7.4423469280000001</v>
          </cell>
          <cell r="Y312" t="str">
            <v>900/BPKAD/261/05,Bitung 310505,Wali Milton kansil</v>
          </cell>
          <cell r="Z312">
            <v>1</v>
          </cell>
        </row>
        <row r="313">
          <cell r="G313" t="str">
            <v>Kota Manado</v>
          </cell>
        </row>
        <row r="314">
          <cell r="G314" t="str">
            <v>Kab. Kepulauan Talaud</v>
          </cell>
        </row>
        <row r="315">
          <cell r="G315" t="str">
            <v>Kab. Minahasa Selatan</v>
          </cell>
        </row>
        <row r="316">
          <cell r="G316" t="str">
            <v>Kota Tomohon</v>
          </cell>
        </row>
        <row r="317">
          <cell r="G317" t="str">
            <v>Provinsi  Gorontalo</v>
          </cell>
        </row>
        <row r="318">
          <cell r="G318" t="str">
            <v>Kab. Boalemo</v>
          </cell>
        </row>
        <row r="319">
          <cell r="G319" t="str">
            <v xml:space="preserve">Kab. Gorontalo   </v>
          </cell>
          <cell r="Y319" t="str">
            <v>Limboto,</v>
          </cell>
        </row>
        <row r="320">
          <cell r="G320" t="str">
            <v>Kota Gorontalo</v>
          </cell>
        </row>
        <row r="321">
          <cell r="G321" t="str">
            <v>Kab. Pohuwato</v>
          </cell>
        </row>
        <row r="322">
          <cell r="G322" t="str">
            <v>Kab. Bone Bolango</v>
          </cell>
        </row>
        <row r="323">
          <cell r="G323" t="str">
            <v>Provinsi  Sulawesi Tengah</v>
          </cell>
        </row>
        <row r="324">
          <cell r="G324" t="str">
            <v>Kab. Banggai</v>
          </cell>
        </row>
        <row r="325">
          <cell r="G325" t="str">
            <v>Kab. Banggai Kepulauan</v>
          </cell>
        </row>
        <row r="326">
          <cell r="G326" t="str">
            <v xml:space="preserve">Kab. Buol </v>
          </cell>
        </row>
        <row r="327">
          <cell r="G327" t="str">
            <v>Kab. Toli-Toli</v>
          </cell>
        </row>
        <row r="328">
          <cell r="G328" t="str">
            <v>Kab. Donggala</v>
          </cell>
          <cell r="H328">
            <v>10471.709999999999</v>
          </cell>
          <cell r="I328">
            <v>423.464</v>
          </cell>
          <cell r="J328">
            <v>91.6</v>
          </cell>
          <cell r="M328">
            <v>1.9531639999999999</v>
          </cell>
          <cell r="N328">
            <v>10.096174</v>
          </cell>
          <cell r="O328">
            <v>1</v>
          </cell>
          <cell r="P328">
            <v>0</v>
          </cell>
          <cell r="Q328">
            <v>6.2444E-2</v>
          </cell>
          <cell r="R328">
            <v>1.290419</v>
          </cell>
          <cell r="S328">
            <v>0.92</v>
          </cell>
          <cell r="T328">
            <v>9.9150960000000001</v>
          </cell>
          <cell r="V328">
            <v>8282</v>
          </cell>
          <cell r="X328">
            <v>12.224059307999999</v>
          </cell>
          <cell r="Y328" t="str">
            <v>900/101/Bag;Keu,19/05/05,Bup Adam AL</v>
          </cell>
          <cell r="Z328">
            <v>1</v>
          </cell>
        </row>
        <row r="329">
          <cell r="G329" t="str">
            <v>Kab. Morowali</v>
          </cell>
        </row>
        <row r="330">
          <cell r="G330" t="str">
            <v>Kab. Poso</v>
          </cell>
        </row>
        <row r="331">
          <cell r="G331" t="str">
            <v>Kota Palu</v>
          </cell>
        </row>
        <row r="332">
          <cell r="G332" t="str">
            <v>Kab. Parigi Moutong</v>
          </cell>
          <cell r="H332">
            <v>2841</v>
          </cell>
          <cell r="I332">
            <v>344.80200000000002</v>
          </cell>
          <cell r="J332">
            <v>19.456</v>
          </cell>
          <cell r="K332">
            <v>62.4</v>
          </cell>
          <cell r="L332">
            <v>94.54</v>
          </cell>
          <cell r="Q332">
            <v>0</v>
          </cell>
          <cell r="R332">
            <v>0.17462539999999999</v>
          </cell>
          <cell r="S332">
            <v>5.4347500000000003E-3</v>
          </cell>
          <cell r="T332">
            <v>3.7161254819999998</v>
          </cell>
          <cell r="V332">
            <v>4025</v>
          </cell>
          <cell r="X332">
            <v>4.5851703859999997</v>
          </cell>
          <cell r="Y332" t="str">
            <v>903/63.25/EKBANG,Parigi,250505,Bup Longki Djanggola</v>
          </cell>
          <cell r="Z332">
            <v>1</v>
          </cell>
        </row>
        <row r="333">
          <cell r="G333" t="str">
            <v>Provinsi  Sulawesi Selatan</v>
          </cell>
          <cell r="Y333" t="str">
            <v>900/1517/KEU,Makassar,110405,Gub.Tjoneng Mallombasang</v>
          </cell>
        </row>
        <row r="334">
          <cell r="G334" t="str">
            <v>Kab. Bantaeng</v>
          </cell>
          <cell r="V334">
            <v>2761</v>
          </cell>
          <cell r="X334">
            <v>4.1561432399999996</v>
          </cell>
          <cell r="Y334" t="str">
            <v>S-0059/WPB.23/PB.0420/2005,06/01/05,</v>
          </cell>
          <cell r="Z334">
            <v>1</v>
          </cell>
        </row>
        <row r="335">
          <cell r="G335" t="str">
            <v>Kab. Barru</v>
          </cell>
        </row>
        <row r="336">
          <cell r="G336" t="str">
            <v xml:space="preserve">Kab. Bone </v>
          </cell>
        </row>
        <row r="337">
          <cell r="G337" t="str">
            <v xml:space="preserve">Kab. Bulukumba   </v>
          </cell>
          <cell r="V337">
            <v>6471</v>
          </cell>
          <cell r="X337">
            <v>10.064307403999999</v>
          </cell>
          <cell r="Z337">
            <v>1</v>
          </cell>
        </row>
        <row r="338">
          <cell r="G338" t="str">
            <v>Kab. Enrekang</v>
          </cell>
        </row>
        <row r="339">
          <cell r="G339" t="str">
            <v>Kab. G o w a</v>
          </cell>
        </row>
        <row r="340">
          <cell r="G340" t="str">
            <v>Kab. Jeneponto</v>
          </cell>
          <cell r="V340">
            <v>4591</v>
          </cell>
          <cell r="X340">
            <v>7.0357295689999999</v>
          </cell>
          <cell r="Y340" t="str">
            <v>S-0059/WPB.23/PB.0420/2005,06/01/05,</v>
          </cell>
          <cell r="Z340">
            <v>1</v>
          </cell>
        </row>
        <row r="341">
          <cell r="G341" t="str">
            <v>Kab. Luwu</v>
          </cell>
        </row>
        <row r="342">
          <cell r="G342" t="str">
            <v>Kab. Luwu Utara</v>
          </cell>
        </row>
        <row r="343">
          <cell r="G343" t="str">
            <v xml:space="preserve">Kab. Majene    </v>
          </cell>
        </row>
        <row r="344">
          <cell r="G344" t="str">
            <v>Kab. Mamuju</v>
          </cell>
          <cell r="H344">
            <v>801406</v>
          </cell>
          <cell r="I344">
            <v>299.11399999999998</v>
          </cell>
          <cell r="N344">
            <v>0.120079002</v>
          </cell>
          <cell r="O344">
            <v>0.11328198</v>
          </cell>
          <cell r="T344">
            <v>1.6184260779999999</v>
          </cell>
          <cell r="V344">
            <v>4504</v>
          </cell>
          <cell r="X344">
            <v>6.5289675799999998</v>
          </cell>
          <cell r="Y344" t="str">
            <v>045/134/V/2005/BPKD,Mamuju, 130505,Set Habsi Wahid</v>
          </cell>
          <cell r="Z344">
            <v>1</v>
          </cell>
        </row>
        <row r="345">
          <cell r="G345" t="str">
            <v xml:space="preserve">Kab. M a r o s </v>
          </cell>
        </row>
        <row r="346">
          <cell r="G346" t="str">
            <v>Kab. Pangkajene Kepulauan</v>
          </cell>
          <cell r="H346">
            <v>758.8900000000001</v>
          </cell>
          <cell r="I346">
            <v>285.17200000000003</v>
          </cell>
          <cell r="J346">
            <v>63.463999999999999</v>
          </cell>
          <cell r="M346">
            <v>1.0089870000000001</v>
          </cell>
          <cell r="N346">
            <v>2.3720740729999998</v>
          </cell>
          <cell r="O346">
            <v>1.2984231319999999</v>
          </cell>
          <cell r="P346">
            <v>0.615977</v>
          </cell>
          <cell r="Q346">
            <v>6.7000000000000002E-4</v>
          </cell>
          <cell r="R346">
            <v>0.31689299999999998</v>
          </cell>
          <cell r="S346">
            <v>0.52903</v>
          </cell>
          <cell r="T346">
            <v>27.841391113</v>
          </cell>
          <cell r="V346">
            <v>4973</v>
          </cell>
          <cell r="X346">
            <v>7.6737089489999999</v>
          </cell>
          <cell r="Y346" t="str">
            <v>900/10/Keu,21/05/05,Sekda Surya Agraria</v>
          </cell>
          <cell r="Z346">
            <v>1</v>
          </cell>
        </row>
        <row r="347">
          <cell r="G347" t="str">
            <v>Kab. Pinrang</v>
          </cell>
        </row>
        <row r="348">
          <cell r="G348" t="str">
            <v>Kab. Polewali Mamasa</v>
          </cell>
        </row>
        <row r="349">
          <cell r="G349" t="str">
            <v>Kab. Selayar</v>
          </cell>
        </row>
        <row r="350">
          <cell r="G350" t="str">
            <v xml:space="preserve">Kab. Sidenreng Rappang </v>
          </cell>
          <cell r="H350">
            <v>188.32499999999999</v>
          </cell>
          <cell r="I350">
            <v>452.06700000000001</v>
          </cell>
          <cell r="J350">
            <v>98.768000000000001</v>
          </cell>
          <cell r="M350">
            <v>2.5</v>
          </cell>
          <cell r="N350">
            <v>20</v>
          </cell>
          <cell r="O350">
            <v>1.437853</v>
          </cell>
          <cell r="P350">
            <v>2.3105870000000001E-2</v>
          </cell>
          <cell r="Q350">
            <v>8.5349999999999992E-3</v>
          </cell>
          <cell r="R350">
            <v>0.28899399999999997</v>
          </cell>
          <cell r="S350">
            <v>0.48842000000000002</v>
          </cell>
          <cell r="T350">
            <v>19.0003086</v>
          </cell>
          <cell r="U350">
            <v>3.3227149999999997E-2</v>
          </cell>
          <cell r="V350">
            <v>1181</v>
          </cell>
          <cell r="W350">
            <v>275</v>
          </cell>
          <cell r="X350">
            <v>14.187108175000001</v>
          </cell>
          <cell r="Y350" t="str">
            <v>903/1375/Keu,25/04/05,Bup Andi Ranggong</v>
          </cell>
          <cell r="Z350">
            <v>1</v>
          </cell>
        </row>
        <row r="351">
          <cell r="G351" t="str">
            <v>Kab. Sinjai</v>
          </cell>
          <cell r="V351">
            <v>4332</v>
          </cell>
          <cell r="X351">
            <v>6.877669987</v>
          </cell>
          <cell r="Z351">
            <v>1</v>
          </cell>
        </row>
        <row r="352">
          <cell r="G352" t="str">
            <v>Kab. Soppeng</v>
          </cell>
        </row>
        <row r="353">
          <cell r="G353" t="str">
            <v xml:space="preserve">Kab. Takalar </v>
          </cell>
        </row>
        <row r="354">
          <cell r="G354" t="str">
            <v>Kab. Tana Toraja</v>
          </cell>
        </row>
        <row r="355">
          <cell r="G355" t="str">
            <v>Kab. Wajo</v>
          </cell>
        </row>
        <row r="356">
          <cell r="G356" t="str">
            <v>Kota Pare-pare</v>
          </cell>
        </row>
        <row r="357">
          <cell r="G357" t="str">
            <v>Kota Makassar</v>
          </cell>
        </row>
        <row r="358">
          <cell r="G358" t="str">
            <v>Kota Palopo</v>
          </cell>
        </row>
        <row r="359">
          <cell r="G359" t="str">
            <v>Kab. Mamasa</v>
          </cell>
        </row>
        <row r="360">
          <cell r="G360" t="str">
            <v>Kab. Luwu Timur</v>
          </cell>
        </row>
        <row r="361">
          <cell r="G361" t="str">
            <v>Kab. Mamuju Utara</v>
          </cell>
        </row>
        <row r="362">
          <cell r="G362" t="str">
            <v>Provinsi  Sulawesi Tenggara</v>
          </cell>
          <cell r="V362">
            <v>5723</v>
          </cell>
          <cell r="X362">
            <v>8.1223199249999993</v>
          </cell>
          <cell r="Y362" t="str">
            <v>876/142/Keu/XII/2004,311205.</v>
          </cell>
          <cell r="Z362">
            <v>1</v>
          </cell>
        </row>
        <row r="363">
          <cell r="G363" t="str">
            <v>Kab. Buton</v>
          </cell>
          <cell r="H363">
            <v>2578.42</v>
          </cell>
          <cell r="I363">
            <v>271.70800000000003</v>
          </cell>
          <cell r="J363">
            <v>60.944000000000003</v>
          </cell>
          <cell r="L363">
            <v>99.78</v>
          </cell>
          <cell r="M363">
            <v>0.51869200000000004</v>
          </cell>
          <cell r="N363">
            <v>5.6878330000000004</v>
          </cell>
          <cell r="O363">
            <v>1.3025530000000001</v>
          </cell>
          <cell r="P363">
            <v>5.2436489999999996</v>
          </cell>
          <cell r="T363">
            <v>8.1532400000000003</v>
          </cell>
          <cell r="V363">
            <v>4968</v>
          </cell>
          <cell r="X363">
            <v>7.6755879309999999</v>
          </cell>
          <cell r="Y363" t="str">
            <v>910/1103,Pasarwajo,030605,Sek M. Ridwan Z.</v>
          </cell>
          <cell r="Z363" t="str">
            <v>1</v>
          </cell>
        </row>
        <row r="364">
          <cell r="G364" t="str">
            <v>Kab. Kendari</v>
          </cell>
        </row>
        <row r="365">
          <cell r="G365" t="str">
            <v>Kab. Kolaka</v>
          </cell>
        </row>
        <row r="366">
          <cell r="G366" t="str">
            <v>Kab. Muna</v>
          </cell>
        </row>
        <row r="367">
          <cell r="G367" t="str">
            <v>Kota Kendari</v>
          </cell>
        </row>
        <row r="368">
          <cell r="G368" t="str">
            <v>Kota Bau-bau</v>
          </cell>
        </row>
        <row r="369">
          <cell r="G369" t="str">
            <v>Kab. Konawe Selatan</v>
          </cell>
        </row>
        <row r="370">
          <cell r="G370" t="str">
            <v>Provinsi  Bali</v>
          </cell>
        </row>
        <row r="371">
          <cell r="G371" t="str">
            <v>Kab. Badung</v>
          </cell>
        </row>
        <row r="372">
          <cell r="G372" t="str">
            <v>Kab. Bangli</v>
          </cell>
          <cell r="H372">
            <v>520.80999999999995</v>
          </cell>
          <cell r="I372">
            <v>209.24100000000001</v>
          </cell>
          <cell r="J372">
            <v>12.717000000000001</v>
          </cell>
          <cell r="K372" t="str">
            <v>66.70</v>
          </cell>
          <cell r="L372" t="str">
            <v>90.76</v>
          </cell>
          <cell r="M372">
            <v>2.72712165</v>
          </cell>
          <cell r="N372">
            <v>3.75</v>
          </cell>
          <cell r="O372">
            <v>0.95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6.5845089999999997</v>
          </cell>
          <cell r="V372">
            <v>3778</v>
          </cell>
          <cell r="X372">
            <v>5.8754388940000002</v>
          </cell>
          <cell r="Y372" t="str">
            <v>903/161/Keu,17/05/05,Sek I Wayan Suarka</v>
          </cell>
          <cell r="Z372">
            <v>1</v>
          </cell>
        </row>
        <row r="373">
          <cell r="G373" t="str">
            <v>Kab. Buleleng</v>
          </cell>
          <cell r="V373">
            <v>10006</v>
          </cell>
          <cell r="X373">
            <v>16.283750342000001</v>
          </cell>
          <cell r="Y373" t="str">
            <v>900/301/BPKD/2004,Singaraja,011204,</v>
          </cell>
          <cell r="Z373" t="str">
            <v>1</v>
          </cell>
        </row>
        <row r="374">
          <cell r="G374" t="str">
            <v xml:space="preserve">Kab. Gianyar </v>
          </cell>
          <cell r="W374">
            <v>248</v>
          </cell>
        </row>
        <row r="375">
          <cell r="G375" t="str">
            <v>Kab. Jembrana</v>
          </cell>
        </row>
        <row r="376">
          <cell r="G376" t="str">
            <v xml:space="preserve">Kab. Karangasem   </v>
          </cell>
        </row>
        <row r="377">
          <cell r="G377" t="str">
            <v>Kab. Klungkung</v>
          </cell>
        </row>
        <row r="378">
          <cell r="G378" t="str">
            <v>Kab. Tabanan</v>
          </cell>
          <cell r="H378">
            <v>839.33</v>
          </cell>
          <cell r="I378">
            <v>397.673</v>
          </cell>
          <cell r="J378">
            <v>46.052</v>
          </cell>
          <cell r="K378">
            <v>70.400000000000006</v>
          </cell>
          <cell r="L378">
            <v>89.68</v>
          </cell>
          <cell r="M378">
            <v>3.8728132529999999</v>
          </cell>
          <cell r="N378">
            <v>9.2209930389999997</v>
          </cell>
          <cell r="O378">
            <v>1.9152768250000001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41.7</v>
          </cell>
          <cell r="V378">
            <v>8137</v>
          </cell>
          <cell r="X378">
            <v>12.997703583</v>
          </cell>
          <cell r="Y378" t="str">
            <v>900/849/Keu,09/05/05,Sek I Made Tantra</v>
          </cell>
          <cell r="Z378">
            <v>1</v>
          </cell>
        </row>
        <row r="379">
          <cell r="G379" t="str">
            <v>Kota Denpasar</v>
          </cell>
        </row>
        <row r="380">
          <cell r="G380" t="str">
            <v>Provinsi  Nusa Tenggara Barat</v>
          </cell>
        </row>
        <row r="381">
          <cell r="G381" t="str">
            <v>Kab. Bima</v>
          </cell>
          <cell r="H381">
            <v>194.55</v>
          </cell>
          <cell r="I381">
            <v>122.167</v>
          </cell>
          <cell r="J381">
            <v>29.396999999999998</v>
          </cell>
          <cell r="K381">
            <v>63.01</v>
          </cell>
          <cell r="M381">
            <v>0.98</v>
          </cell>
          <cell r="N381">
            <v>1.107</v>
          </cell>
          <cell r="O381">
            <v>1.1850000000000001</v>
          </cell>
          <cell r="P381">
            <v>4</v>
          </cell>
          <cell r="Q381">
            <v>3.3109999999999999</v>
          </cell>
          <cell r="R381">
            <v>0</v>
          </cell>
          <cell r="S381">
            <v>0</v>
          </cell>
          <cell r="T381">
            <v>5.3436014959999998</v>
          </cell>
          <cell r="V381">
            <v>3038</v>
          </cell>
          <cell r="X381">
            <v>4.7511608519999999</v>
          </cell>
          <cell r="Y381" t="str">
            <v>050/48/Bappeda/V/2005,16/05/05,Bapeda</v>
          </cell>
          <cell r="Z381">
            <v>1</v>
          </cell>
        </row>
        <row r="382">
          <cell r="G382" t="str">
            <v>Kab. Dompu</v>
          </cell>
        </row>
        <row r="383">
          <cell r="G383" t="str">
            <v>Kab. Lombok Barat</v>
          </cell>
        </row>
        <row r="384">
          <cell r="G384" t="str">
            <v>Kab. Lombok Tengah</v>
          </cell>
        </row>
        <row r="385">
          <cell r="G385" t="str">
            <v>Kab. Lombok Timur</v>
          </cell>
        </row>
        <row r="386">
          <cell r="G386" t="str">
            <v>Kab. Sumbawa</v>
          </cell>
        </row>
        <row r="387">
          <cell r="G387" t="str">
            <v>Kota Mataram</v>
          </cell>
        </row>
        <row r="388">
          <cell r="G388" t="str">
            <v>Kota Bima</v>
          </cell>
          <cell r="H388">
            <v>222.25</v>
          </cell>
          <cell r="I388">
            <v>212.333</v>
          </cell>
          <cell r="J388">
            <v>51.109000000000002</v>
          </cell>
          <cell r="L388">
            <v>134.19999999999999</v>
          </cell>
          <cell r="M388">
            <v>0.5</v>
          </cell>
          <cell r="N388">
            <v>0.35699999999999998</v>
          </cell>
          <cell r="O388">
            <v>0.42699999999999999</v>
          </cell>
          <cell r="P388">
            <v>2.1</v>
          </cell>
          <cell r="Q388">
            <v>0</v>
          </cell>
          <cell r="R388">
            <v>1.3206</v>
          </cell>
          <cell r="S388">
            <v>0</v>
          </cell>
          <cell r="T388">
            <v>2.2765</v>
          </cell>
          <cell r="V388">
            <v>2801</v>
          </cell>
          <cell r="X388">
            <v>5.4657999999999998</v>
          </cell>
          <cell r="Y388" t="str">
            <v>050/17/Set/2005,Raba-Bima,05/01/05,Wali M. Nur A.Latif</v>
          </cell>
          <cell r="Z388">
            <v>1</v>
          </cell>
        </row>
        <row r="389">
          <cell r="G389" t="str">
            <v>Provinsi  Nusa Tenggara Timur</v>
          </cell>
        </row>
        <row r="390">
          <cell r="G390" t="str">
            <v>Kab. Alor</v>
          </cell>
          <cell r="H390">
            <v>2864.64</v>
          </cell>
          <cell r="I390">
            <v>171.18700000000001</v>
          </cell>
          <cell r="J390">
            <v>75.975999999999999</v>
          </cell>
          <cell r="M390">
            <v>0.43825989999999998</v>
          </cell>
          <cell r="N390">
            <v>6.5143835479999996</v>
          </cell>
          <cell r="O390">
            <v>1.3130362520000001</v>
          </cell>
          <cell r="P390">
            <v>4.9481863380000002</v>
          </cell>
          <cell r="Q390">
            <v>4.7677922700000002</v>
          </cell>
          <cell r="S390">
            <v>0.86674300400000004</v>
          </cell>
          <cell r="T390">
            <v>12.8</v>
          </cell>
          <cell r="U390">
            <v>8.1907216000000005E-2</v>
          </cell>
          <cell r="V390">
            <v>4270</v>
          </cell>
          <cell r="X390">
            <v>6.8542822429166668</v>
          </cell>
          <cell r="Y390" t="str">
            <v>KU.900.921/74/2005,Kalabahi, 25/04/05,Bup Ansgerius Takalapeta</v>
          </cell>
          <cell r="Z390" t="str">
            <v>1</v>
          </cell>
        </row>
        <row r="391">
          <cell r="G391" t="str">
            <v>Kab. Belu</v>
          </cell>
        </row>
        <row r="392">
          <cell r="G392" t="str">
            <v>Kab. Ende</v>
          </cell>
        </row>
        <row r="393">
          <cell r="G393" t="str">
            <v>Kab. Flores Timur</v>
          </cell>
        </row>
        <row r="394">
          <cell r="G394" t="str">
            <v>Kab. Kupang</v>
          </cell>
          <cell r="H394">
            <v>5898.18</v>
          </cell>
          <cell r="I394">
            <v>342.94299999999998</v>
          </cell>
          <cell r="J394">
            <v>226.32900000000001</v>
          </cell>
          <cell r="K394">
            <v>56.9</v>
          </cell>
          <cell r="L394">
            <v>131.69</v>
          </cell>
          <cell r="T394">
            <v>22.357541560000001</v>
          </cell>
          <cell r="U394">
            <v>0.14043687899999999</v>
          </cell>
          <cell r="V394">
            <v>6074</v>
          </cell>
          <cell r="W394">
            <v>286</v>
          </cell>
          <cell r="X394">
            <v>10.416538612</v>
          </cell>
          <cell r="Y394" t="str">
            <v>900/882/Keu/2005,10/05/05,Sek  Barnabas</v>
          </cell>
          <cell r="Z394" t="str">
            <v>1</v>
          </cell>
        </row>
        <row r="395">
          <cell r="G395" t="str">
            <v>Kab. Lembata</v>
          </cell>
        </row>
        <row r="396">
          <cell r="G396" t="str">
            <v>Kab. Manggarai</v>
          </cell>
        </row>
        <row r="397">
          <cell r="G397" t="str">
            <v>Kab. Ngada</v>
          </cell>
        </row>
        <row r="398">
          <cell r="G398" t="str">
            <v>Kab. Sikka</v>
          </cell>
        </row>
        <row r="399">
          <cell r="G399" t="str">
            <v>Kab. Sumba Barat</v>
          </cell>
          <cell r="V399">
            <v>4337</v>
          </cell>
          <cell r="W399">
            <v>6.4537437620000002</v>
          </cell>
          <cell r="Y399" t="str">
            <v xml:space="preserve">SP-004/WPb..22/PK.08/2005, </v>
          </cell>
          <cell r="Z399">
            <v>1</v>
          </cell>
        </row>
        <row r="400">
          <cell r="G400" t="str">
            <v>Kab. Sumba Timur</v>
          </cell>
          <cell r="V400">
            <v>4021</v>
          </cell>
          <cell r="W400">
            <v>5.8805830630000004</v>
          </cell>
          <cell r="Z400">
            <v>1</v>
          </cell>
        </row>
        <row r="401">
          <cell r="G401" t="str">
            <v>Kab. Timor Tengah Selatan</v>
          </cell>
          <cell r="H401">
            <v>3947</v>
          </cell>
          <cell r="I401">
            <v>409.17399999999998</v>
          </cell>
          <cell r="J401">
            <v>286.34899999999999</v>
          </cell>
          <cell r="M401">
            <v>1.5289489999999999</v>
          </cell>
          <cell r="N401">
            <v>3.6732236070000002</v>
          </cell>
          <cell r="O401">
            <v>1.4668925939999999</v>
          </cell>
          <cell r="P401">
            <v>2.2074298899999998</v>
          </cell>
          <cell r="Q401">
            <v>3.371474219</v>
          </cell>
          <cell r="R401">
            <v>0.37912194199999999</v>
          </cell>
          <cell r="S401">
            <v>0.316687783</v>
          </cell>
          <cell r="T401">
            <v>32.521770711999999</v>
          </cell>
          <cell r="V401">
            <v>6993</v>
          </cell>
          <cell r="X401">
            <v>10.348617238999999</v>
          </cell>
          <cell r="Y401" t="str">
            <v>Keu.913/1064/V/2005,Soe,04/05/05,Sek Ruben Izaac</v>
          </cell>
          <cell r="Z401">
            <v>1</v>
          </cell>
        </row>
        <row r="402">
          <cell r="G402" t="str">
            <v>Kab. Timor Tengah Utara</v>
          </cell>
          <cell r="V402">
            <v>4336</v>
          </cell>
          <cell r="W402">
            <v>303</v>
          </cell>
          <cell r="X402">
            <v>2.1644913419999998</v>
          </cell>
          <cell r="Y402" t="str">
            <v>Ku.900/146/TTU/2005,Kefamenanu,250405,Gabriel Manek</v>
          </cell>
          <cell r="Z402">
            <v>1</v>
          </cell>
        </row>
        <row r="403">
          <cell r="G403" t="str">
            <v>Kota Kupang</v>
          </cell>
        </row>
        <row r="404">
          <cell r="G404" t="str">
            <v>Kab. Rote Ndao</v>
          </cell>
          <cell r="Y404" t="str">
            <v>Waingapu,050105,Kepala KPPN Edi Subiantoro</v>
          </cell>
        </row>
        <row r="405">
          <cell r="G405" t="str">
            <v>Kab. Manggarai Barat</v>
          </cell>
        </row>
        <row r="406">
          <cell r="G406" t="str">
            <v>Provinsi  Maluku</v>
          </cell>
        </row>
        <row r="407">
          <cell r="G407" t="str">
            <v>Kab. Maluku Tenggara Barat</v>
          </cell>
        </row>
        <row r="408">
          <cell r="G408" t="str">
            <v>Kab. Maluku Tengah</v>
          </cell>
        </row>
        <row r="409">
          <cell r="G409" t="str">
            <v>Kab. Maluku Tenggara</v>
          </cell>
        </row>
        <row r="410">
          <cell r="G410" t="str">
            <v>Kab. Pulau Buru</v>
          </cell>
          <cell r="H410">
            <v>12655</v>
          </cell>
          <cell r="I410">
            <v>138.33099999999999</v>
          </cell>
          <cell r="J410">
            <v>52.215000000000003</v>
          </cell>
          <cell r="K410">
            <v>63.1</v>
          </cell>
          <cell r="L410">
            <v>1055</v>
          </cell>
          <cell r="M410">
            <v>0.21521299999999999</v>
          </cell>
          <cell r="N410">
            <v>8.3969310000000004</v>
          </cell>
          <cell r="O410">
            <v>0.97698799999999997</v>
          </cell>
          <cell r="P410">
            <v>0</v>
          </cell>
          <cell r="Q410">
            <v>0.26483400000000001</v>
          </cell>
          <cell r="R410">
            <v>5</v>
          </cell>
          <cell r="S410">
            <v>0</v>
          </cell>
          <cell r="T410">
            <v>3.8171429999999997</v>
          </cell>
          <cell r="U410">
            <v>0</v>
          </cell>
          <cell r="V410">
            <v>2500</v>
          </cell>
          <cell r="X410">
            <v>3.37161613</v>
          </cell>
          <cell r="Y410" t="str">
            <v>913/211,Namlea,140505,Sek Juhana Sudrajat</v>
          </cell>
          <cell r="Z410">
            <v>1</v>
          </cell>
        </row>
        <row r="411">
          <cell r="G411" t="str">
            <v>Kota Ambon</v>
          </cell>
          <cell r="T411">
            <v>11.171873195</v>
          </cell>
          <cell r="Y411" t="str">
            <v>910/2380/SETDA,Ambon,300405,Wali MJ. Papilaya</v>
          </cell>
          <cell r="Z411">
            <v>1</v>
          </cell>
        </row>
        <row r="412">
          <cell r="G412" t="str">
            <v>Provinsi  Maluku Utara</v>
          </cell>
        </row>
        <row r="413">
          <cell r="G413" t="str">
            <v>Kab. Halmahera Tengah</v>
          </cell>
          <cell r="H413">
            <v>2278.85</v>
          </cell>
          <cell r="I413">
            <v>44.360999999999997</v>
          </cell>
          <cell r="J413">
            <v>26.305</v>
          </cell>
          <cell r="L413">
            <v>710.5</v>
          </cell>
          <cell r="M413">
            <v>0.3</v>
          </cell>
          <cell r="N413">
            <v>10.85</v>
          </cell>
          <cell r="O413">
            <v>0.9</v>
          </cell>
          <cell r="P413">
            <v>5</v>
          </cell>
          <cell r="Q413">
            <v>0</v>
          </cell>
          <cell r="R413">
            <v>0.63900000000000001</v>
          </cell>
          <cell r="S413">
            <v>0.2</v>
          </cell>
          <cell r="T413">
            <v>1.413316</v>
          </cell>
          <cell r="V413">
            <v>2194</v>
          </cell>
          <cell r="X413">
            <v>2.9775131639999999</v>
          </cell>
          <cell r="Y413" t="str">
            <v>900/0415, Soasio10/05/05,Sekda Madjid Husen</v>
          </cell>
          <cell r="Z413">
            <v>1</v>
          </cell>
        </row>
        <row r="414">
          <cell r="G414" t="str">
            <v>Kab. Halmahera Barat</v>
          </cell>
        </row>
        <row r="415">
          <cell r="G415" t="str">
            <v>Kota Ternate</v>
          </cell>
        </row>
        <row r="416">
          <cell r="G416" t="str">
            <v>Kab. Halmahera Timur</v>
          </cell>
        </row>
        <row r="417">
          <cell r="G417" t="str">
            <v>Kota Tidore Kepulauan</v>
          </cell>
        </row>
        <row r="418">
          <cell r="G418" t="str">
            <v>Kab. Kepulauan Sula</v>
          </cell>
        </row>
        <row r="419">
          <cell r="G419" t="str">
            <v>Kab. Halmahera Selatan</v>
          </cell>
        </row>
        <row r="420">
          <cell r="G420" t="str">
            <v>Kab. Halmahera Utara</v>
          </cell>
        </row>
        <row r="421">
          <cell r="G421" t="str">
            <v>Provinsi  Papua</v>
          </cell>
        </row>
        <row r="422">
          <cell r="G422" t="str">
            <v>Kab. Biak Numfor</v>
          </cell>
        </row>
        <row r="423">
          <cell r="G423" t="str">
            <v>Kab. Jayapura</v>
          </cell>
        </row>
        <row r="424">
          <cell r="G424" t="str">
            <v>Kab. Jayawijaya</v>
          </cell>
        </row>
        <row r="425">
          <cell r="G425" t="str">
            <v>Kab. Merauke</v>
          </cell>
        </row>
        <row r="426">
          <cell r="G426" t="str">
            <v>Kab. Mimika</v>
          </cell>
        </row>
        <row r="427">
          <cell r="G427" t="str">
            <v>Kab. Nabire</v>
          </cell>
        </row>
        <row r="428">
          <cell r="G428" t="str">
            <v>Kab. Paniai</v>
          </cell>
        </row>
        <row r="429">
          <cell r="G429" t="str">
            <v>Kab. Puncak Jaya</v>
          </cell>
        </row>
        <row r="430">
          <cell r="G430" t="str">
            <v>Kab. Yapen Waropen</v>
          </cell>
          <cell r="H430">
            <v>1618.4</v>
          </cell>
          <cell r="I430">
            <v>70.522000000000006</v>
          </cell>
          <cell r="M430">
            <v>4</v>
          </cell>
          <cell r="N430">
            <v>14</v>
          </cell>
          <cell r="O430">
            <v>2</v>
          </cell>
          <cell r="P430">
            <v>6.5</v>
          </cell>
          <cell r="Q430">
            <v>1</v>
          </cell>
          <cell r="S430">
            <v>1</v>
          </cell>
          <cell r="T430">
            <v>2.61</v>
          </cell>
          <cell r="V430">
            <v>2671</v>
          </cell>
          <cell r="X430">
            <v>5.0278807619999997</v>
          </cell>
          <cell r="Y430" t="str">
            <v>900/064/Keu, Serui,250505,Plh. YH.Sipahelut</v>
          </cell>
          <cell r="Z430">
            <v>1</v>
          </cell>
        </row>
        <row r="431">
          <cell r="G431" t="str">
            <v>Kota Jayapura</v>
          </cell>
        </row>
        <row r="432">
          <cell r="G432" t="str">
            <v>Kab. Sarmi</v>
          </cell>
          <cell r="H432">
            <v>35589</v>
          </cell>
          <cell r="I432">
            <v>90.718000000000004</v>
          </cell>
          <cell r="J432">
            <v>10.191000000000001</v>
          </cell>
          <cell r="L432">
            <v>150.32</v>
          </cell>
          <cell r="M432">
            <v>0</v>
          </cell>
          <cell r="N432">
            <v>1.257820481</v>
          </cell>
          <cell r="O432">
            <v>1.285734937</v>
          </cell>
          <cell r="R432">
            <v>0.82543813300000002</v>
          </cell>
          <cell r="S432">
            <v>0.42235571500000002</v>
          </cell>
          <cell r="T432">
            <v>0.42099999999999999</v>
          </cell>
          <cell r="V432">
            <v>1398</v>
          </cell>
          <cell r="X432">
            <v>5.5626899940000003</v>
          </cell>
          <cell r="Y432" t="str">
            <v>500/505/BUP/2005,Sarmi,070505,bup WD. Ocmbar</v>
          </cell>
          <cell r="Z432">
            <v>1</v>
          </cell>
        </row>
        <row r="433">
          <cell r="G433" t="str">
            <v>Kab. Keerom</v>
          </cell>
          <cell r="H433">
            <v>12009</v>
          </cell>
          <cell r="I433">
            <v>48.201000000000001</v>
          </cell>
          <cell r="J433">
            <v>20</v>
          </cell>
          <cell r="L433">
            <v>95.22</v>
          </cell>
          <cell r="M433">
            <v>0.5</v>
          </cell>
          <cell r="N433">
            <v>1.3</v>
          </cell>
          <cell r="O433">
            <v>1.8</v>
          </cell>
          <cell r="P433">
            <v>1.5</v>
          </cell>
          <cell r="Q433">
            <v>10</v>
          </cell>
          <cell r="R433">
            <v>0.6</v>
          </cell>
          <cell r="S433">
            <v>1</v>
          </cell>
          <cell r="T433">
            <v>0.5</v>
          </cell>
          <cell r="V433">
            <v>1235</v>
          </cell>
          <cell r="X433">
            <v>2.2782619560000001</v>
          </cell>
          <cell r="Y433" t="str">
            <v>910/22/2005,Keerom,20/05/05,Pnj.Bup Nataniel Aragae</v>
          </cell>
          <cell r="Z433">
            <v>1</v>
          </cell>
        </row>
        <row r="434">
          <cell r="G434" t="str">
            <v>Kab. Yahukimo</v>
          </cell>
          <cell r="H434">
            <v>17152</v>
          </cell>
          <cell r="I434">
            <v>124.798</v>
          </cell>
          <cell r="J434">
            <v>103.28100000000001</v>
          </cell>
          <cell r="K434">
            <v>47</v>
          </cell>
          <cell r="L434">
            <v>291.2</v>
          </cell>
          <cell r="M434">
            <v>1.3661380000000001</v>
          </cell>
          <cell r="N434">
            <v>1.6015693499999999</v>
          </cell>
          <cell r="O434">
            <v>1.2984216500000001</v>
          </cell>
          <cell r="T434">
            <v>0.2</v>
          </cell>
          <cell r="V434">
            <v>610</v>
          </cell>
          <cell r="W434">
            <v>238</v>
          </cell>
          <cell r="X434">
            <v>1.0696024390000001</v>
          </cell>
          <cell r="Y434" t="str">
            <v>900/75/Set/2005,Sumohai,080605</v>
          </cell>
          <cell r="Z434">
            <v>1</v>
          </cell>
        </row>
        <row r="435">
          <cell r="G435" t="str">
            <v>Kab. Pegunungan Bintang</v>
          </cell>
        </row>
        <row r="436">
          <cell r="G436" t="str">
            <v>Kab. Tolikara</v>
          </cell>
        </row>
        <row r="437">
          <cell r="G437" t="str">
            <v>Kab. Boven Digoel</v>
          </cell>
          <cell r="H437">
            <v>27108</v>
          </cell>
          <cell r="I437">
            <v>49.435000000000002</v>
          </cell>
          <cell r="J437">
            <v>32.865000000000002</v>
          </cell>
          <cell r="M437">
            <v>0.31117299999999998</v>
          </cell>
          <cell r="N437">
            <v>1.3</v>
          </cell>
          <cell r="O437">
            <v>1.6015737590000001</v>
          </cell>
          <cell r="P437">
            <v>0.13385804200000001</v>
          </cell>
          <cell r="Q437">
            <v>7.3850441040000003</v>
          </cell>
          <cell r="R437">
            <v>4.5</v>
          </cell>
          <cell r="S437">
            <v>0</v>
          </cell>
          <cell r="T437">
            <v>1.2059</v>
          </cell>
          <cell r="V437">
            <v>1404</v>
          </cell>
          <cell r="W437">
            <v>187</v>
          </cell>
          <cell r="X437">
            <v>2.1269993999999999</v>
          </cell>
          <cell r="Y437" t="str">
            <v>900/164,Tanah Merah,230505,Sek Domin Ulian</v>
          </cell>
          <cell r="Z437">
            <v>1</v>
          </cell>
        </row>
        <row r="438">
          <cell r="G438" t="str">
            <v>Kab. Mappi</v>
          </cell>
        </row>
        <row r="439">
          <cell r="G439" t="str">
            <v>Kab. Asmat</v>
          </cell>
          <cell r="H439">
            <v>23746</v>
          </cell>
          <cell r="I439">
            <v>71.451999999999998</v>
          </cell>
          <cell r="J439">
            <v>53.588999999999999</v>
          </cell>
          <cell r="T439">
            <v>0.88756501700000001</v>
          </cell>
          <cell r="V439">
            <v>1488</v>
          </cell>
          <cell r="X439">
            <v>2.408582698</v>
          </cell>
          <cell r="Y439" t="str">
            <v>900/110/Agats,280505,Sefnath Meokbun</v>
          </cell>
          <cell r="Z439">
            <v>1</v>
          </cell>
        </row>
        <row r="440">
          <cell r="G440" t="str">
            <v>Kab. Waropen</v>
          </cell>
        </row>
        <row r="441">
          <cell r="G441" t="str">
            <v>Provinsi  Riau Kepulauan</v>
          </cell>
        </row>
        <row r="442">
          <cell r="G442" t="str">
            <v>Kab. Kepulauan Riau</v>
          </cell>
          <cell r="H442">
            <v>1946.13</v>
          </cell>
          <cell r="I442">
            <v>117.11799999999999</v>
          </cell>
          <cell r="J442">
            <v>14.5</v>
          </cell>
          <cell r="K442">
            <v>71.8</v>
          </cell>
          <cell r="L442">
            <v>106.12</v>
          </cell>
          <cell r="M442">
            <v>7</v>
          </cell>
          <cell r="N442">
            <v>20</v>
          </cell>
          <cell r="O442">
            <v>1.5</v>
          </cell>
          <cell r="Q442">
            <v>19</v>
          </cell>
          <cell r="S442">
            <v>0.6</v>
          </cell>
          <cell r="T442">
            <v>59.631</v>
          </cell>
          <cell r="V442">
            <v>2598</v>
          </cell>
          <cell r="X442">
            <v>3.7810429239999999</v>
          </cell>
        </row>
        <row r="443">
          <cell r="G443" t="str">
            <v>Kab. Natuna</v>
          </cell>
        </row>
        <row r="444">
          <cell r="G444" t="str">
            <v>Kab. Karimun</v>
          </cell>
        </row>
        <row r="445">
          <cell r="G445" t="str">
            <v>Kota  Batam</v>
          </cell>
        </row>
        <row r="446">
          <cell r="G446" t="str">
            <v>Kota Tanjung Pinang</v>
          </cell>
        </row>
        <row r="447">
          <cell r="G447" t="str">
            <v>Provinsi  Irian Jaya  Barat</v>
          </cell>
        </row>
        <row r="448">
          <cell r="G448" t="str">
            <v>Kab. Sorong</v>
          </cell>
          <cell r="I448">
            <v>141.83600000000001</v>
          </cell>
          <cell r="J448">
            <v>70.2</v>
          </cell>
          <cell r="V448">
            <v>2831</v>
          </cell>
          <cell r="Z448">
            <v>1</v>
          </cell>
        </row>
        <row r="449">
          <cell r="G449" t="str">
            <v>Kab. Manokwari</v>
          </cell>
        </row>
        <row r="450">
          <cell r="G450" t="str">
            <v>Kab. Fak Fak</v>
          </cell>
          <cell r="H450">
            <v>14320</v>
          </cell>
          <cell r="I450">
            <v>59.176000000000002</v>
          </cell>
          <cell r="J450">
            <v>37.338999999999999</v>
          </cell>
          <cell r="K450">
            <v>63.4</v>
          </cell>
          <cell r="L450">
            <v>148.07</v>
          </cell>
          <cell r="M450">
            <v>2.4732327569999999</v>
          </cell>
          <cell r="N450">
            <v>35.178676484999997</v>
          </cell>
          <cell r="O450">
            <v>1.3302419080000001</v>
          </cell>
          <cell r="Q450">
            <v>0.82360127900000002</v>
          </cell>
          <cell r="R450">
            <v>2.479474341</v>
          </cell>
          <cell r="S450">
            <v>0.45399201700000003</v>
          </cell>
          <cell r="T450">
            <v>2.637</v>
          </cell>
          <cell r="V450">
            <v>2480</v>
          </cell>
          <cell r="X450">
            <v>4.5606816239999999</v>
          </cell>
          <cell r="Y450" t="str">
            <v>900/299/SET/2005,Fakfak,270505, Sek H. Lumban Raja</v>
          </cell>
          <cell r="Z450">
            <v>1</v>
          </cell>
        </row>
        <row r="451">
          <cell r="G451" t="str">
            <v>Kota Sorong</v>
          </cell>
          <cell r="I451">
            <v>141.83600000000001</v>
          </cell>
          <cell r="J451">
            <v>70.2</v>
          </cell>
          <cell r="V451">
            <v>2831</v>
          </cell>
          <cell r="W451">
            <v>123</v>
          </cell>
          <cell r="Z451">
            <v>1</v>
          </cell>
        </row>
        <row r="452">
          <cell r="G452" t="str">
            <v>Kab. Sorong Selatan</v>
          </cell>
        </row>
        <row r="453">
          <cell r="G453" t="str">
            <v>Kab. Raja Ampat</v>
          </cell>
        </row>
        <row r="454">
          <cell r="G454" t="str">
            <v>Kab. Teluk Bintuni</v>
          </cell>
        </row>
        <row r="455">
          <cell r="G455" t="str">
            <v>Kab. Teluk Wondama</v>
          </cell>
        </row>
        <row r="456">
          <cell r="G456" t="str">
            <v>Kab. Kaimana</v>
          </cell>
          <cell r="H456">
            <v>18500</v>
          </cell>
          <cell r="I456">
            <v>48.75</v>
          </cell>
          <cell r="J456">
            <v>37.049999999999997</v>
          </cell>
          <cell r="L456">
            <v>180</v>
          </cell>
          <cell r="M456">
            <v>0.47049730400000001</v>
          </cell>
          <cell r="N456">
            <v>1.257820481</v>
          </cell>
          <cell r="O456">
            <v>1.2857349389999999</v>
          </cell>
          <cell r="P456">
            <v>0</v>
          </cell>
          <cell r="Q456">
            <v>12.96</v>
          </cell>
          <cell r="R456">
            <v>1.2898641749999999</v>
          </cell>
          <cell r="S456">
            <v>0.26483493200000002</v>
          </cell>
          <cell r="T456">
            <v>0.38900000000000001</v>
          </cell>
          <cell r="V456">
            <v>976</v>
          </cell>
          <cell r="X456">
            <v>1.69838048</v>
          </cell>
          <cell r="Y456" t="str">
            <v>910/222/SET/2005,</v>
          </cell>
          <cell r="Z456">
            <v>1</v>
          </cell>
        </row>
        <row r="457">
          <cell r="G457" t="str">
            <v>Daerah Baru</v>
          </cell>
        </row>
        <row r="458">
          <cell r="G458" t="str">
            <v>Provinsi  Sulawesi Barat</v>
          </cell>
        </row>
        <row r="459">
          <cell r="G459" t="str">
            <v>Kab. Bener Meriah</v>
          </cell>
        </row>
        <row r="460">
          <cell r="G460" t="str">
            <v>Kab. Toba Samosir</v>
          </cell>
        </row>
        <row r="461">
          <cell r="G461" t="str">
            <v>Kab. Serdang Berdagai</v>
          </cell>
        </row>
        <row r="462">
          <cell r="G462" t="str">
            <v>Kab. Solok Selatan</v>
          </cell>
        </row>
        <row r="463">
          <cell r="G463" t="str">
            <v>Kab. Lingga</v>
          </cell>
        </row>
        <row r="464">
          <cell r="G464" t="str">
            <v>Kab. Ogan Ilir</v>
          </cell>
        </row>
        <row r="465">
          <cell r="G465" t="str">
            <v>Kab. Sekadau</v>
          </cell>
        </row>
        <row r="466">
          <cell r="G466" t="str">
            <v>Kab. Tojo Una Una</v>
          </cell>
        </row>
        <row r="467">
          <cell r="G467" t="str">
            <v>Kab. Bombana</v>
          </cell>
        </row>
        <row r="468">
          <cell r="G468" t="str">
            <v>Kab. Kolaka Utara</v>
          </cell>
        </row>
        <row r="469">
          <cell r="G469" t="str">
            <v>Kab. Sumbawa Barat</v>
          </cell>
        </row>
        <row r="470">
          <cell r="G470" t="str">
            <v>Kab. Seram Bagian Barat</v>
          </cell>
        </row>
        <row r="471">
          <cell r="G471" t="str">
            <v>Kab. Seram Bagian Timur</v>
          </cell>
        </row>
        <row r="472">
          <cell r="G472" t="str">
            <v>Kab. Kepulauan Aru</v>
          </cell>
        </row>
        <row r="488">
          <cell r="G488" t="str">
            <v>Kab. Minahasa Utara</v>
          </cell>
          <cell r="T488">
            <v>3.625335164</v>
          </cell>
          <cell r="Y488" t="str">
            <v>54.A/BMU/IV-2005,Airmadidi,290405,Pnj.Bup Edwin Silangen</v>
          </cell>
          <cell r="Z488">
            <v>1</v>
          </cell>
        </row>
        <row r="489">
          <cell r="G489" t="str">
            <v>Kab. Melawi</v>
          </cell>
          <cell r="H489">
            <v>10640.8</v>
          </cell>
          <cell r="I489">
            <v>156.32300000000001</v>
          </cell>
          <cell r="W489">
            <v>500</v>
          </cell>
          <cell r="X489">
            <v>6.166666666666667</v>
          </cell>
          <cell r="Y489" t="str">
            <v>900/ /II-bappeda,Nanga Pinoh,21/04/05,Pj Bup Totot Wahyu D</v>
          </cell>
          <cell r="Z489">
            <v>1</v>
          </cell>
        </row>
        <row r="490">
          <cell r="G490" t="str">
            <v>Kab. Supiori</v>
          </cell>
          <cell r="H490">
            <v>572</v>
          </cell>
          <cell r="I490">
            <v>16.166</v>
          </cell>
          <cell r="J490">
            <v>12.286</v>
          </cell>
          <cell r="L490">
            <v>180</v>
          </cell>
          <cell r="T490">
            <v>0.2165</v>
          </cell>
          <cell r="V490">
            <v>385</v>
          </cell>
          <cell r="X490">
            <v>0.79195228200000001</v>
          </cell>
          <cell r="Y490" t="str">
            <v>903/80/05,Sorendiweri, 200505,</v>
          </cell>
          <cell r="Z490">
            <v>1</v>
          </cell>
        </row>
        <row r="491">
          <cell r="G491" t="str">
            <v>Kab. Wakatobi</v>
          </cell>
          <cell r="H491">
            <v>823</v>
          </cell>
          <cell r="I491">
            <v>96.119</v>
          </cell>
          <cell r="L491">
            <v>98.25</v>
          </cell>
          <cell r="M491">
            <v>0.756358368</v>
          </cell>
          <cell r="N491">
            <v>0.12859799999999999</v>
          </cell>
          <cell r="O491">
            <v>0.01</v>
          </cell>
          <cell r="P491">
            <v>4.0031999999999998E-2</v>
          </cell>
          <cell r="Q491">
            <v>2.0000499999999999</v>
          </cell>
          <cell r="R491">
            <v>0</v>
          </cell>
          <cell r="S491">
            <v>0.5</v>
          </cell>
          <cell r="T491">
            <v>3.2224181009999997</v>
          </cell>
          <cell r="V491">
            <v>1749</v>
          </cell>
          <cell r="X491">
            <v>2.6418364599999999</v>
          </cell>
          <cell r="Y491" t="str">
            <v>900/471,Wangi-wangi,110605,Bup Sarifudin Safaa</v>
          </cell>
          <cell r="Z491">
            <v>1</v>
          </cell>
        </row>
        <row r="492">
          <cell r="G492" t="str">
            <v>Total Nasional</v>
          </cell>
        </row>
        <row r="493">
          <cell r="G493" t="str">
            <v>Kab. Lebong</v>
          </cell>
          <cell r="H493">
            <v>192.92400000000001</v>
          </cell>
          <cell r="I493">
            <v>103.997</v>
          </cell>
          <cell r="J493">
            <v>8.41</v>
          </cell>
          <cell r="L493">
            <v>2500000</v>
          </cell>
          <cell r="M493">
            <v>0.875</v>
          </cell>
          <cell r="N493">
            <v>7.5</v>
          </cell>
          <cell r="O493">
            <v>0.875</v>
          </cell>
          <cell r="P493">
            <v>3.5999999999999997E-2</v>
          </cell>
          <cell r="Q493">
            <v>0</v>
          </cell>
          <cell r="R493">
            <v>3.5000000000000003E-2</v>
          </cell>
          <cell r="S493">
            <v>2.5000000000000001E-2</v>
          </cell>
          <cell r="T493">
            <v>2.145</v>
          </cell>
          <cell r="U493">
            <v>8.0000000000000004E-4</v>
          </cell>
          <cell r="V493">
            <v>1558</v>
          </cell>
          <cell r="X493">
            <v>2.3475715070000001</v>
          </cell>
        </row>
        <row r="494">
          <cell r="G494" t="str">
            <v>Kab. OKU Timur</v>
          </cell>
          <cell r="H494">
            <v>3370</v>
          </cell>
          <cell r="I494">
            <v>561.58600000000001</v>
          </cell>
          <cell r="J494">
            <v>143.71299999999999</v>
          </cell>
          <cell r="M494">
            <v>0.47667296599999998</v>
          </cell>
          <cell r="N494">
            <v>7.0650000000000004</v>
          </cell>
          <cell r="O494">
            <v>0.15</v>
          </cell>
          <cell r="P494">
            <v>2</v>
          </cell>
          <cell r="Q494">
            <v>18</v>
          </cell>
          <cell r="R494">
            <v>0.01</v>
          </cell>
          <cell r="S494">
            <v>0.2</v>
          </cell>
          <cell r="T494">
            <v>1.6155272000000001</v>
          </cell>
          <cell r="V494">
            <v>5401</v>
          </cell>
          <cell r="X494">
            <v>8.2765259350000004</v>
          </cell>
          <cell r="AA494">
            <v>7.7135835300000002</v>
          </cell>
          <cell r="AB494">
            <v>0.81358353000000005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29"/>
      <sheetName val="32"/>
      <sheetName val="33"/>
      <sheetName val="34"/>
      <sheetName val="35"/>
      <sheetName val="36"/>
      <sheetName val="37"/>
      <sheetName val="REKAP ALL"/>
      <sheetName val="LAP-BLN DES2003"/>
      <sheetName val="Time Scedul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GAB"/>
      <sheetName val="juni"/>
      <sheetName val="Kenaikan Gaji"/>
      <sheetName val="analisa Persentase"/>
      <sheetName val="Aneh"/>
      <sheetName val="BP"/>
      <sheetName val="Format"/>
      <sheetName val="formasi 2004"/>
      <sheetName val="banding BP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D5" t="str">
            <v>Provinsi Nanggroe Aceh Darussalam</v>
          </cell>
          <cell r="E5">
            <v>107</v>
          </cell>
        </row>
        <row r="6">
          <cell r="D6" t="str">
            <v>Kab. Aceh Barat</v>
          </cell>
          <cell r="E6">
            <v>296</v>
          </cell>
        </row>
        <row r="7">
          <cell r="D7" t="str">
            <v>Kab. Aceh Besar</v>
          </cell>
          <cell r="E7">
            <v>297</v>
          </cell>
        </row>
        <row r="8">
          <cell r="D8" t="str">
            <v>Kab. Aceh Selatan</v>
          </cell>
          <cell r="E8">
            <v>298</v>
          </cell>
        </row>
        <row r="9">
          <cell r="D9" t="str">
            <v>Kab. Aceh Singkil</v>
          </cell>
          <cell r="E9">
            <v>299</v>
          </cell>
        </row>
        <row r="10">
          <cell r="D10" t="str">
            <v>Kab. Aceh Tengah</v>
          </cell>
          <cell r="E10">
            <v>297</v>
          </cell>
        </row>
        <row r="11">
          <cell r="D11" t="str">
            <v>Kab. Aceh Tenggara</v>
          </cell>
          <cell r="E11">
            <v>297</v>
          </cell>
        </row>
        <row r="12">
          <cell r="D12" t="str">
            <v>Kab. Aceh Timur</v>
          </cell>
          <cell r="E12">
            <v>297</v>
          </cell>
        </row>
        <row r="13">
          <cell r="D13" t="str">
            <v>Kab. Aceh Utara</v>
          </cell>
          <cell r="E13">
            <v>290</v>
          </cell>
        </row>
        <row r="14">
          <cell r="D14" t="str">
            <v>Kab. Bireuen</v>
          </cell>
          <cell r="E14">
            <v>298</v>
          </cell>
        </row>
        <row r="15">
          <cell r="D15" t="str">
            <v>Kab. Aceh Pidie</v>
          </cell>
          <cell r="E15">
            <v>299</v>
          </cell>
        </row>
        <row r="16">
          <cell r="D16" t="str">
            <v>Kab. Simeuleu</v>
          </cell>
          <cell r="E16">
            <v>287</v>
          </cell>
        </row>
        <row r="17">
          <cell r="D17" t="str">
            <v>Kota Banda Aceh</v>
          </cell>
          <cell r="E17">
            <v>290</v>
          </cell>
        </row>
        <row r="18">
          <cell r="D18" t="str">
            <v>Kota Sabang</v>
          </cell>
          <cell r="E18">
            <v>254</v>
          </cell>
        </row>
        <row r="19">
          <cell r="D19" t="str">
            <v>Kota Langsa</v>
          </cell>
          <cell r="E19">
            <v>155</v>
          </cell>
        </row>
        <row r="20">
          <cell r="D20" t="str">
            <v>Kota Lhokseumawe</v>
          </cell>
          <cell r="E20">
            <v>297</v>
          </cell>
        </row>
        <row r="21">
          <cell r="D21" t="str">
            <v>Kab. Nagan Raya</v>
          </cell>
          <cell r="E21">
            <v>308</v>
          </cell>
        </row>
        <row r="22">
          <cell r="D22" t="str">
            <v>Kab. Aceh Jaya</v>
          </cell>
          <cell r="E22">
            <v>292</v>
          </cell>
        </row>
        <row r="23">
          <cell r="D23" t="str">
            <v>Kab. Aceh Barat Daya</v>
          </cell>
          <cell r="E23">
            <v>306</v>
          </cell>
        </row>
        <row r="24">
          <cell r="D24" t="str">
            <v>Kab. Gayo Lues</v>
          </cell>
          <cell r="E24">
            <v>301</v>
          </cell>
        </row>
        <row r="25">
          <cell r="D25" t="str">
            <v>Kab. Aceh Tamiang</v>
          </cell>
          <cell r="E25">
            <v>295</v>
          </cell>
        </row>
        <row r="26">
          <cell r="D26" t="str">
            <v>Kab. Bener Meriah</v>
          </cell>
          <cell r="E26">
            <v>307</v>
          </cell>
          <cell r="F26">
            <v>6167</v>
          </cell>
        </row>
        <row r="27">
          <cell r="D27" t="str">
            <v>Provinsi  Sumatera Utara</v>
          </cell>
          <cell r="E27">
            <v>114</v>
          </cell>
        </row>
        <row r="28">
          <cell r="D28" t="str">
            <v>Kab. Asahan</v>
          </cell>
          <cell r="E28">
            <v>321</v>
          </cell>
        </row>
        <row r="29">
          <cell r="D29" t="str">
            <v>Kab. Dairi</v>
          </cell>
          <cell r="E29">
            <v>314</v>
          </cell>
        </row>
        <row r="30">
          <cell r="D30" t="str">
            <v>Kab. Deli Serdang</v>
          </cell>
          <cell r="E30">
            <v>273</v>
          </cell>
        </row>
        <row r="31">
          <cell r="D31" t="str">
            <v>Kab. Tanah Karo</v>
          </cell>
          <cell r="E31">
            <v>253</v>
          </cell>
        </row>
        <row r="32">
          <cell r="D32" t="str">
            <v>Kab. Labuhan Batu</v>
          </cell>
          <cell r="E32">
            <v>315</v>
          </cell>
        </row>
        <row r="33">
          <cell r="D33" t="str">
            <v>Kab. Langkat</v>
          </cell>
          <cell r="E33">
            <v>318</v>
          </cell>
        </row>
        <row r="34">
          <cell r="D34" t="str">
            <v>Kab. Mandailing Natal</v>
          </cell>
          <cell r="E34">
            <v>307</v>
          </cell>
        </row>
        <row r="35">
          <cell r="D35" t="str">
            <v>Kab. Nias</v>
          </cell>
          <cell r="E35">
            <v>246</v>
          </cell>
        </row>
        <row r="36">
          <cell r="D36" t="str">
            <v>Kab. Simalungun</v>
          </cell>
          <cell r="E36">
            <v>323</v>
          </cell>
        </row>
        <row r="37">
          <cell r="D37" t="str">
            <v>Kab. Tapanuli Selatan</v>
          </cell>
          <cell r="E37">
            <v>288</v>
          </cell>
        </row>
        <row r="38">
          <cell r="D38" t="str">
            <v>Kab. Tapanuli Tengah</v>
          </cell>
          <cell r="E38">
            <v>270</v>
          </cell>
        </row>
        <row r="39">
          <cell r="D39" t="str">
            <v>Kab. Tapanuli Utara</v>
          </cell>
          <cell r="E39">
            <v>287</v>
          </cell>
        </row>
        <row r="40">
          <cell r="D40" t="str">
            <v>Kab. Toba Samosir</v>
          </cell>
          <cell r="E40">
            <v>322</v>
          </cell>
        </row>
        <row r="41">
          <cell r="D41" t="str">
            <v>Kota Binjai</v>
          </cell>
          <cell r="E41">
            <v>286</v>
          </cell>
        </row>
        <row r="42">
          <cell r="D42" t="str">
            <v>Kota Medan</v>
          </cell>
          <cell r="E42">
            <v>296</v>
          </cell>
        </row>
        <row r="43">
          <cell r="D43" t="str">
            <v>Kota Pematang Siantar</v>
          </cell>
          <cell r="E43">
            <v>219</v>
          </cell>
        </row>
        <row r="44">
          <cell r="D44" t="str">
            <v>Kota Sibolga</v>
          </cell>
          <cell r="E44">
            <v>184</v>
          </cell>
        </row>
        <row r="45">
          <cell r="D45" t="str">
            <v>Kota Tanjung Balai</v>
          </cell>
          <cell r="E45">
            <v>285</v>
          </cell>
        </row>
        <row r="46">
          <cell r="D46" t="str">
            <v>Kota Tebing Tinggi</v>
          </cell>
          <cell r="E46">
            <v>133</v>
          </cell>
        </row>
        <row r="47">
          <cell r="D47" t="str">
            <v>Kota Padang Sidempuan</v>
          </cell>
          <cell r="E47">
            <v>288</v>
          </cell>
        </row>
        <row r="48">
          <cell r="D48" t="str">
            <v>Kab. Pakpak Bharat</v>
          </cell>
          <cell r="E48">
            <v>221</v>
          </cell>
        </row>
        <row r="49">
          <cell r="D49" t="str">
            <v>Kab. Nias Selatan</v>
          </cell>
          <cell r="E49">
            <v>277</v>
          </cell>
        </row>
        <row r="50">
          <cell r="D50" t="str">
            <v>Kab. Humbang Hasundutan</v>
          </cell>
          <cell r="E50">
            <v>263</v>
          </cell>
        </row>
        <row r="51">
          <cell r="D51" t="str">
            <v>Kab. Serdang Berdagai</v>
          </cell>
          <cell r="E51">
            <v>131</v>
          </cell>
        </row>
        <row r="52">
          <cell r="D52" t="str">
            <v>Kab. Samosir</v>
          </cell>
          <cell r="E52">
            <v>265</v>
          </cell>
          <cell r="F52">
            <v>6799</v>
          </cell>
        </row>
        <row r="53">
          <cell r="D53" t="str">
            <v>Provinsi  Sumatera Barat</v>
          </cell>
          <cell r="E53">
            <v>0</v>
          </cell>
        </row>
        <row r="54">
          <cell r="D54" t="str">
            <v>Kab. Limapuluh Koto</v>
          </cell>
          <cell r="E54">
            <v>274</v>
          </cell>
        </row>
        <row r="55">
          <cell r="D55" t="str">
            <v xml:space="preserve">Kab. Agam         </v>
          </cell>
          <cell r="E55">
            <v>292</v>
          </cell>
        </row>
        <row r="56">
          <cell r="D56" t="str">
            <v>Kab. Kepulauan Mentawai</v>
          </cell>
          <cell r="E56">
            <v>217</v>
          </cell>
        </row>
        <row r="57">
          <cell r="D57" t="str">
            <v>Kab. Padang Pariaman</v>
          </cell>
          <cell r="E57">
            <v>275</v>
          </cell>
        </row>
        <row r="58">
          <cell r="D58" t="str">
            <v xml:space="preserve">Kab. Pasaman    </v>
          </cell>
          <cell r="E58">
            <v>278</v>
          </cell>
        </row>
        <row r="59">
          <cell r="D59" t="str">
            <v>Kab. Pesisir Selatan</v>
          </cell>
          <cell r="E59">
            <v>293</v>
          </cell>
        </row>
        <row r="60">
          <cell r="D60" t="str">
            <v>Kab. Sawahlunto Sijunjung</v>
          </cell>
          <cell r="E60">
            <v>264</v>
          </cell>
        </row>
        <row r="61">
          <cell r="D61" t="str">
            <v>Kab. Solok</v>
          </cell>
          <cell r="E61">
            <v>290</v>
          </cell>
        </row>
        <row r="62">
          <cell r="D62" t="str">
            <v>Kab. Tanah Datar</v>
          </cell>
          <cell r="E62">
            <v>286</v>
          </cell>
        </row>
        <row r="63">
          <cell r="D63" t="str">
            <v>Kota Bukit Tinggi</v>
          </cell>
          <cell r="E63">
            <v>130</v>
          </cell>
        </row>
        <row r="64">
          <cell r="D64" t="str">
            <v>Kota Padang Panjang</v>
          </cell>
          <cell r="E64">
            <v>161</v>
          </cell>
        </row>
        <row r="65">
          <cell r="D65" t="str">
            <v>Kota Padang</v>
          </cell>
          <cell r="E65">
            <v>274</v>
          </cell>
        </row>
        <row r="66">
          <cell r="D66" t="str">
            <v>Kota Payakumbuh</v>
          </cell>
          <cell r="E66">
            <v>255</v>
          </cell>
        </row>
        <row r="67">
          <cell r="D67" t="str">
            <v>Kota Sawahlunto</v>
          </cell>
          <cell r="E67">
            <v>278</v>
          </cell>
        </row>
        <row r="68">
          <cell r="D68" t="str">
            <v>Kota Solok</v>
          </cell>
          <cell r="E68">
            <v>221</v>
          </cell>
        </row>
        <row r="69">
          <cell r="D69" t="str">
            <v>Kota Pariaman</v>
          </cell>
          <cell r="E69">
            <v>289</v>
          </cell>
        </row>
        <row r="70">
          <cell r="D70" t="str">
            <v>Kab. Pasaman Barat</v>
          </cell>
          <cell r="E70">
            <v>292</v>
          </cell>
        </row>
        <row r="71">
          <cell r="D71" t="str">
            <v>Kab. Dharmasraya</v>
          </cell>
          <cell r="E71">
            <v>284</v>
          </cell>
        </row>
        <row r="72">
          <cell r="D72" t="str">
            <v>Kab. Solok Selatan</v>
          </cell>
          <cell r="E72">
            <v>278</v>
          </cell>
          <cell r="F72">
            <v>4931</v>
          </cell>
        </row>
        <row r="73">
          <cell r="D73" t="str">
            <v>Provinsi  Riau</v>
          </cell>
          <cell r="E73">
            <v>117</v>
          </cell>
        </row>
        <row r="74">
          <cell r="D74" t="str">
            <v>Kab. Bengkalis</v>
          </cell>
          <cell r="E74">
            <v>270</v>
          </cell>
        </row>
        <row r="75">
          <cell r="D75" t="str">
            <v>Kab. Indragiri Hilir</v>
          </cell>
          <cell r="E75">
            <v>278</v>
          </cell>
        </row>
        <row r="76">
          <cell r="D76" t="str">
            <v>Kab. Indragiri Hulu</v>
          </cell>
          <cell r="E76">
            <v>255</v>
          </cell>
        </row>
        <row r="77">
          <cell r="D77" t="str">
            <v>Kab. Kampar</v>
          </cell>
          <cell r="E77">
            <v>271</v>
          </cell>
        </row>
        <row r="78">
          <cell r="D78" t="str">
            <v>Kab. Kuantan Singingi</v>
          </cell>
          <cell r="E78">
            <v>262</v>
          </cell>
        </row>
        <row r="79">
          <cell r="D79" t="str">
            <v>Kab. Pelalawan</v>
          </cell>
          <cell r="E79">
            <v>266</v>
          </cell>
        </row>
        <row r="80">
          <cell r="D80" t="str">
            <v>Kab. Rokan Hilir</v>
          </cell>
          <cell r="E80">
            <v>259</v>
          </cell>
        </row>
        <row r="81">
          <cell r="D81" t="str">
            <v>Kab. Rokan Hulu</v>
          </cell>
          <cell r="E81">
            <v>303</v>
          </cell>
        </row>
        <row r="82">
          <cell r="D82" t="str">
            <v>Kab. Siak</v>
          </cell>
          <cell r="E82">
            <v>277</v>
          </cell>
        </row>
        <row r="83">
          <cell r="D83" t="str">
            <v>Kota Dumai</v>
          </cell>
          <cell r="E83">
            <v>243</v>
          </cell>
        </row>
        <row r="84">
          <cell r="D84" t="str">
            <v>Kota Pekanbaru</v>
          </cell>
          <cell r="E84">
            <v>171</v>
          </cell>
          <cell r="F84">
            <v>2972</v>
          </cell>
        </row>
        <row r="85">
          <cell r="D85" t="str">
            <v xml:space="preserve">Provinsi  Kepulauan Riau </v>
          </cell>
          <cell r="E85">
            <v>117</v>
          </cell>
        </row>
        <row r="86">
          <cell r="D86" t="str">
            <v>Kab. Kepulauan Riau</v>
          </cell>
          <cell r="E86">
            <v>263</v>
          </cell>
        </row>
        <row r="87">
          <cell r="D87" t="str">
            <v>Kab. Natuna</v>
          </cell>
          <cell r="E87">
            <v>290</v>
          </cell>
        </row>
        <row r="88">
          <cell r="D88" t="str">
            <v>Kab. Karimun</v>
          </cell>
          <cell r="E88">
            <v>312</v>
          </cell>
        </row>
        <row r="89">
          <cell r="D89" t="str">
            <v>Kota  Batam</v>
          </cell>
          <cell r="E89">
            <v>311</v>
          </cell>
        </row>
        <row r="90">
          <cell r="D90" t="str">
            <v>Kota Tanjung Pinang</v>
          </cell>
          <cell r="E90">
            <v>242</v>
          </cell>
        </row>
        <row r="91">
          <cell r="D91" t="str">
            <v>Kab. Lingga</v>
          </cell>
          <cell r="E91">
            <v>293</v>
          </cell>
          <cell r="F91">
            <v>1828</v>
          </cell>
        </row>
        <row r="92">
          <cell r="D92" t="str">
            <v>Provinsi  Jambi</v>
          </cell>
          <cell r="E92">
            <v>68</v>
          </cell>
        </row>
        <row r="93">
          <cell r="D93" t="str">
            <v>Kab. Batanghari</v>
          </cell>
          <cell r="E93">
            <v>265</v>
          </cell>
        </row>
        <row r="94">
          <cell r="D94" t="str">
            <v xml:space="preserve">Kab. Bungo     </v>
          </cell>
          <cell r="E94">
            <v>199</v>
          </cell>
        </row>
        <row r="95">
          <cell r="D95" t="str">
            <v>Kab. Kerinci</v>
          </cell>
          <cell r="E95">
            <v>264</v>
          </cell>
        </row>
        <row r="96">
          <cell r="D96" t="str">
            <v>Kab. Merangin</v>
          </cell>
          <cell r="E96">
            <v>279</v>
          </cell>
        </row>
        <row r="97">
          <cell r="D97" t="str">
            <v>Kab. Muaro Jambi</v>
          </cell>
          <cell r="E97">
            <v>275</v>
          </cell>
        </row>
        <row r="98">
          <cell r="D98" t="str">
            <v>Kab. Sarolangun</v>
          </cell>
          <cell r="E98">
            <v>291</v>
          </cell>
        </row>
        <row r="99">
          <cell r="D99" t="str">
            <v>Kab. Tanjung Jabung Barat</v>
          </cell>
          <cell r="E99">
            <v>274</v>
          </cell>
        </row>
        <row r="100">
          <cell r="D100" t="str">
            <v>Kab. Tanjung Jabung Timur</v>
          </cell>
          <cell r="E100">
            <v>191</v>
          </cell>
        </row>
        <row r="101">
          <cell r="D101" t="str">
            <v>Kab. Tebo</v>
          </cell>
          <cell r="E101">
            <v>264</v>
          </cell>
        </row>
        <row r="102">
          <cell r="D102" t="str">
            <v>Kota Jambi</v>
          </cell>
          <cell r="E102">
            <v>229</v>
          </cell>
          <cell r="F102">
            <v>2599</v>
          </cell>
        </row>
        <row r="103">
          <cell r="D103" t="str">
            <v>Provinsi  Sumatera Selatan</v>
          </cell>
          <cell r="E103">
            <v>0</v>
          </cell>
        </row>
        <row r="104">
          <cell r="D104" t="str">
            <v xml:space="preserve">Kab. Lahat     </v>
          </cell>
          <cell r="E104">
            <v>244</v>
          </cell>
        </row>
        <row r="105">
          <cell r="D105" t="str">
            <v>Kab. Musi Banyuasin</v>
          </cell>
          <cell r="E105">
            <v>170</v>
          </cell>
        </row>
        <row r="106">
          <cell r="D106" t="str">
            <v xml:space="preserve">Kab. Musi Rawas   </v>
          </cell>
          <cell r="E106">
            <v>278</v>
          </cell>
        </row>
        <row r="107">
          <cell r="D107" t="str">
            <v xml:space="preserve">Kab. Muara Enim </v>
          </cell>
          <cell r="E107">
            <v>295</v>
          </cell>
        </row>
        <row r="108">
          <cell r="D108" t="str">
            <v>Kab. Ogan Komering Ilir</v>
          </cell>
          <cell r="E108">
            <v>254</v>
          </cell>
        </row>
        <row r="109">
          <cell r="D109" t="str">
            <v>Kab. Ogan Komering Ulu</v>
          </cell>
          <cell r="E109">
            <v>263</v>
          </cell>
        </row>
        <row r="110">
          <cell r="D110" t="str">
            <v xml:space="preserve">Kota Palembang </v>
          </cell>
          <cell r="E110">
            <v>0</v>
          </cell>
        </row>
        <row r="111">
          <cell r="D111" t="str">
            <v>Kota Pagar Alam</v>
          </cell>
          <cell r="E111">
            <v>248</v>
          </cell>
        </row>
        <row r="112">
          <cell r="D112" t="str">
            <v>Kota Lubuk Linggau</v>
          </cell>
          <cell r="E112">
            <v>280</v>
          </cell>
        </row>
        <row r="113">
          <cell r="D113" t="str">
            <v>Kota Prabumulih</v>
          </cell>
          <cell r="E113">
            <v>282</v>
          </cell>
        </row>
        <row r="114">
          <cell r="D114" t="str">
            <v>Kab. Banyuasin</v>
          </cell>
          <cell r="E114">
            <v>0</v>
          </cell>
        </row>
        <row r="115">
          <cell r="D115" t="str">
            <v>Kab. Ogan Ilir</v>
          </cell>
          <cell r="E115">
            <v>0</v>
          </cell>
        </row>
        <row r="116">
          <cell r="D116" t="str">
            <v>Kab. OKU Timur</v>
          </cell>
          <cell r="E116">
            <v>285</v>
          </cell>
        </row>
        <row r="117">
          <cell r="D117" t="str">
            <v>Kab. OKU Selatan</v>
          </cell>
          <cell r="E117">
            <v>282</v>
          </cell>
          <cell r="F117">
            <v>2881</v>
          </cell>
        </row>
        <row r="118">
          <cell r="D118" t="str">
            <v>Provinsi  Bangka Belitung</v>
          </cell>
          <cell r="E118">
            <v>0</v>
          </cell>
        </row>
        <row r="119">
          <cell r="D119" t="str">
            <v>Kab. Bangka</v>
          </cell>
          <cell r="E119">
            <v>282</v>
          </cell>
        </row>
        <row r="120">
          <cell r="D120" t="str">
            <v>Kab. Belitung</v>
          </cell>
          <cell r="E120">
            <v>280</v>
          </cell>
        </row>
        <row r="121">
          <cell r="D121" t="str">
            <v>Kota Pangkal Pinang</v>
          </cell>
          <cell r="E121">
            <v>278</v>
          </cell>
        </row>
        <row r="122">
          <cell r="D122" t="str">
            <v>Kab. Bangka Selatan</v>
          </cell>
          <cell r="E122">
            <v>291</v>
          </cell>
        </row>
        <row r="123">
          <cell r="D123" t="str">
            <v>Kab. Bangka Tengah</v>
          </cell>
          <cell r="E123">
            <v>289</v>
          </cell>
        </row>
        <row r="124">
          <cell r="D124" t="str">
            <v>Kab. Bangka Barat</v>
          </cell>
          <cell r="E124">
            <v>290</v>
          </cell>
        </row>
        <row r="125">
          <cell r="D125" t="str">
            <v>Kab. Belitung Timur</v>
          </cell>
          <cell r="E125">
            <v>298</v>
          </cell>
          <cell r="F125">
            <v>2008</v>
          </cell>
        </row>
        <row r="126">
          <cell r="D126" t="str">
            <v>Provinsi  Bengkulu</v>
          </cell>
          <cell r="E126">
            <v>124</v>
          </cell>
        </row>
        <row r="127">
          <cell r="D127" t="str">
            <v>Kab. Bengkulu Selatan</v>
          </cell>
          <cell r="E127">
            <v>285</v>
          </cell>
        </row>
        <row r="128">
          <cell r="D128" t="str">
            <v>Kab. Bengkulu Utara</v>
          </cell>
          <cell r="E128">
            <v>256</v>
          </cell>
        </row>
        <row r="129">
          <cell r="D129" t="str">
            <v>Kab. Rejang Lebong</v>
          </cell>
          <cell r="E129">
            <v>267</v>
          </cell>
        </row>
        <row r="130">
          <cell r="D130" t="str">
            <v>Kota Bengkulu</v>
          </cell>
          <cell r="E130">
            <v>250</v>
          </cell>
        </row>
        <row r="131">
          <cell r="D131" t="str">
            <v>Kab. Kaur</v>
          </cell>
          <cell r="E131">
            <v>217</v>
          </cell>
        </row>
        <row r="132">
          <cell r="D132" t="str">
            <v>Kab. Seluma</v>
          </cell>
          <cell r="E132">
            <v>200</v>
          </cell>
        </row>
        <row r="133">
          <cell r="D133" t="str">
            <v>Kab. Mukomuko</v>
          </cell>
          <cell r="E133">
            <v>168</v>
          </cell>
        </row>
        <row r="134">
          <cell r="D134" t="str">
            <v>Kab. Lebong</v>
          </cell>
          <cell r="E134">
            <v>283</v>
          </cell>
        </row>
        <row r="135">
          <cell r="D135" t="str">
            <v>Kab. Kepahiang</v>
          </cell>
          <cell r="E135">
            <v>281</v>
          </cell>
          <cell r="F135">
            <v>2331</v>
          </cell>
        </row>
        <row r="136">
          <cell r="D136" t="str">
            <v>Provinsi  Lampung</v>
          </cell>
          <cell r="E136">
            <v>40</v>
          </cell>
        </row>
        <row r="137">
          <cell r="D137" t="str">
            <v>Kab. Lampung Barat</v>
          </cell>
          <cell r="E137">
            <v>241</v>
          </cell>
        </row>
        <row r="138">
          <cell r="D138" t="str">
            <v>Kab. Lampung Selatan</v>
          </cell>
          <cell r="E138">
            <v>267</v>
          </cell>
        </row>
        <row r="139">
          <cell r="D139" t="str">
            <v>Kab. Lampung Tengah</v>
          </cell>
          <cell r="E139">
            <v>282</v>
          </cell>
        </row>
        <row r="140">
          <cell r="D140" t="str">
            <v>Kab. Lampung Utara</v>
          </cell>
          <cell r="E140">
            <v>269</v>
          </cell>
        </row>
        <row r="141">
          <cell r="D141" t="str">
            <v>Kab. Lampung Timur</v>
          </cell>
          <cell r="E141">
            <v>236</v>
          </cell>
        </row>
        <row r="142">
          <cell r="D142" t="str">
            <v>Kab. Tanggamus</v>
          </cell>
          <cell r="E142">
            <v>292</v>
          </cell>
        </row>
        <row r="143">
          <cell r="D143" t="str">
            <v>Kab. Tulang Bawang</v>
          </cell>
          <cell r="E143">
            <v>267</v>
          </cell>
        </row>
        <row r="144">
          <cell r="D144" t="str">
            <v>Kab. Way Kanan</v>
          </cell>
          <cell r="E144">
            <v>256</v>
          </cell>
        </row>
        <row r="145">
          <cell r="D145" t="str">
            <v xml:space="preserve">Kota Bandar Lampung </v>
          </cell>
          <cell r="E145">
            <v>270</v>
          </cell>
        </row>
        <row r="146">
          <cell r="D146" t="str">
            <v>Kota Metro</v>
          </cell>
          <cell r="E146">
            <v>230</v>
          </cell>
          <cell r="F146">
            <v>2650</v>
          </cell>
        </row>
        <row r="147">
          <cell r="D147" t="str">
            <v>Provinsi  DKI Jakarta</v>
          </cell>
          <cell r="E147">
            <v>0</v>
          </cell>
        </row>
        <row r="148">
          <cell r="D148" t="str">
            <v>Provinsi Jawa Barat</v>
          </cell>
          <cell r="E148">
            <v>260</v>
          </cell>
        </row>
        <row r="149">
          <cell r="D149" t="str">
            <v>Kab. Bandung</v>
          </cell>
          <cell r="E149">
            <v>268</v>
          </cell>
        </row>
        <row r="150">
          <cell r="D150" t="str">
            <v>Kab. Bekasi</v>
          </cell>
          <cell r="E150">
            <v>328</v>
          </cell>
        </row>
        <row r="151">
          <cell r="D151" t="str">
            <v>Kab. Bogor</v>
          </cell>
          <cell r="E151">
            <v>268</v>
          </cell>
        </row>
        <row r="152">
          <cell r="D152" t="str">
            <v>Kab. Ciamis</v>
          </cell>
          <cell r="E152">
            <v>329</v>
          </cell>
        </row>
        <row r="153">
          <cell r="D153" t="str">
            <v>Kab. Cianjur</v>
          </cell>
          <cell r="E153">
            <v>317</v>
          </cell>
        </row>
        <row r="154">
          <cell r="D154" t="str">
            <v>Kab. Cirebon</v>
          </cell>
          <cell r="E154">
            <v>268</v>
          </cell>
        </row>
        <row r="155">
          <cell r="D155" t="str">
            <v>Kab. Garut</v>
          </cell>
          <cell r="E155">
            <v>323</v>
          </cell>
        </row>
        <row r="156">
          <cell r="D156" t="str">
            <v>Kab. Indramayu</v>
          </cell>
          <cell r="E156">
            <v>278</v>
          </cell>
        </row>
        <row r="157">
          <cell r="D157" t="str">
            <v xml:space="preserve">Kab. Karawang    </v>
          </cell>
          <cell r="E157">
            <v>267</v>
          </cell>
        </row>
        <row r="158">
          <cell r="D158" t="str">
            <v>Kab. Kuningan</v>
          </cell>
          <cell r="E158">
            <v>306</v>
          </cell>
        </row>
        <row r="159">
          <cell r="D159" t="str">
            <v xml:space="preserve">Kab. Majalengka  </v>
          </cell>
          <cell r="E159">
            <v>276</v>
          </cell>
        </row>
        <row r="160">
          <cell r="D160" t="str">
            <v>Kab. Purwakarta</v>
          </cell>
          <cell r="E160">
            <v>125</v>
          </cell>
        </row>
        <row r="161">
          <cell r="D161" t="str">
            <v xml:space="preserve">Kab. Subang          </v>
          </cell>
          <cell r="E161">
            <v>200</v>
          </cell>
        </row>
        <row r="162">
          <cell r="D162" t="str">
            <v>Kab. Sukabumi</v>
          </cell>
          <cell r="E162">
            <v>273</v>
          </cell>
        </row>
        <row r="163">
          <cell r="D163" t="str">
            <v>Kab. Sumedang</v>
          </cell>
          <cell r="E163">
            <v>275</v>
          </cell>
        </row>
        <row r="164">
          <cell r="D164" t="str">
            <v>Kab. Tasikmalaya</v>
          </cell>
          <cell r="E164">
            <v>320</v>
          </cell>
        </row>
        <row r="165">
          <cell r="D165" t="str">
            <v>Kota Bandung</v>
          </cell>
          <cell r="E165">
            <v>325</v>
          </cell>
        </row>
        <row r="166">
          <cell r="D166" t="str">
            <v>Kota Bekasi</v>
          </cell>
          <cell r="E166">
            <v>323</v>
          </cell>
        </row>
        <row r="167">
          <cell r="D167" t="str">
            <v>Kota Bogor</v>
          </cell>
          <cell r="E167">
            <v>256</v>
          </cell>
        </row>
        <row r="168">
          <cell r="D168" t="str">
            <v>Kota Cirebon</v>
          </cell>
          <cell r="E168">
            <v>268</v>
          </cell>
        </row>
        <row r="169">
          <cell r="D169" t="str">
            <v>Kota Depok</v>
          </cell>
          <cell r="E169">
            <v>317</v>
          </cell>
        </row>
        <row r="170">
          <cell r="D170" t="str">
            <v>Kota Sukabumi</v>
          </cell>
          <cell r="E170">
            <v>232</v>
          </cell>
        </row>
        <row r="171">
          <cell r="D171" t="str">
            <v>Kota Cimahi</v>
          </cell>
          <cell r="E171">
            <v>136</v>
          </cell>
        </row>
        <row r="172">
          <cell r="D172" t="str">
            <v>Kota Tasikmalaya</v>
          </cell>
          <cell r="E172">
            <v>320</v>
          </cell>
        </row>
        <row r="173">
          <cell r="D173" t="str">
            <v>Kota Banjar</v>
          </cell>
          <cell r="E173">
            <v>288</v>
          </cell>
          <cell r="F173">
            <v>7146</v>
          </cell>
        </row>
        <row r="174">
          <cell r="D174" t="str">
            <v>Provinsi  Banten</v>
          </cell>
          <cell r="E174">
            <v>0</v>
          </cell>
        </row>
        <row r="175">
          <cell r="D175" t="str">
            <v>Kab. Lebak</v>
          </cell>
          <cell r="E175">
            <v>491</v>
          </cell>
        </row>
        <row r="176">
          <cell r="D176" t="str">
            <v>Kab. Pandeglang</v>
          </cell>
          <cell r="E176">
            <v>274</v>
          </cell>
        </row>
        <row r="177">
          <cell r="D177" t="str">
            <v>Kab. Serang</v>
          </cell>
          <cell r="E177">
            <v>277</v>
          </cell>
        </row>
        <row r="178">
          <cell r="D178" t="str">
            <v>Kab. Tangerang</v>
          </cell>
          <cell r="E178">
            <v>348</v>
          </cell>
        </row>
        <row r="179">
          <cell r="D179" t="str">
            <v>Kota Cilegon</v>
          </cell>
          <cell r="E179">
            <v>265</v>
          </cell>
        </row>
        <row r="180">
          <cell r="D180" t="str">
            <v>Kota Tangerang</v>
          </cell>
          <cell r="E180">
            <v>293</v>
          </cell>
          <cell r="F180">
            <v>1948</v>
          </cell>
        </row>
        <row r="181">
          <cell r="D181" t="str">
            <v>Provinsi  Jawa Tengah</v>
          </cell>
          <cell r="E181">
            <v>100</v>
          </cell>
        </row>
        <row r="182">
          <cell r="D182" t="str">
            <v>Kab. Banjarnegara</v>
          </cell>
          <cell r="E182">
            <v>275</v>
          </cell>
        </row>
        <row r="183">
          <cell r="D183" t="str">
            <v>Kab. Banyumas</v>
          </cell>
          <cell r="E183">
            <v>274</v>
          </cell>
        </row>
        <row r="184">
          <cell r="D184" t="str">
            <v>Kab. Batang</v>
          </cell>
          <cell r="E184">
            <v>276</v>
          </cell>
        </row>
        <row r="185">
          <cell r="D185" t="str">
            <v>Kab. Blora</v>
          </cell>
          <cell r="E185">
            <v>272</v>
          </cell>
        </row>
        <row r="186">
          <cell r="D186" t="str">
            <v>Kab. Boyolali</v>
          </cell>
          <cell r="E186">
            <v>277</v>
          </cell>
        </row>
        <row r="187">
          <cell r="D187" t="str">
            <v>Kab. Brebes</v>
          </cell>
          <cell r="E187">
            <v>268</v>
          </cell>
        </row>
        <row r="188">
          <cell r="D188" t="str">
            <v xml:space="preserve">Kab. Cilacap    </v>
          </cell>
          <cell r="E188">
            <v>317</v>
          </cell>
        </row>
        <row r="189">
          <cell r="D189" t="str">
            <v xml:space="preserve">Kab. Demak  </v>
          </cell>
          <cell r="E189">
            <v>0</v>
          </cell>
        </row>
        <row r="190">
          <cell r="D190" t="str">
            <v>Kab. Grobogan</v>
          </cell>
          <cell r="E190">
            <v>362</v>
          </cell>
        </row>
        <row r="191">
          <cell r="D191" t="str">
            <v>Kab. Jepara</v>
          </cell>
          <cell r="E191">
            <v>281</v>
          </cell>
        </row>
        <row r="192">
          <cell r="D192" t="str">
            <v>Kab. Karanganyar</v>
          </cell>
          <cell r="E192">
            <v>308</v>
          </cell>
        </row>
        <row r="193">
          <cell r="D193" t="str">
            <v>Kab. Kebumen</v>
          </cell>
          <cell r="E193">
            <v>237</v>
          </cell>
        </row>
        <row r="194">
          <cell r="D194" t="str">
            <v xml:space="preserve">Kab. Kendal </v>
          </cell>
          <cell r="E194">
            <v>275</v>
          </cell>
        </row>
        <row r="195">
          <cell r="D195" t="str">
            <v>Kab. Klaten</v>
          </cell>
          <cell r="E195">
            <v>245</v>
          </cell>
        </row>
        <row r="196">
          <cell r="D196" t="str">
            <v>Kab. Kudus</v>
          </cell>
          <cell r="E196">
            <v>275</v>
          </cell>
        </row>
        <row r="197">
          <cell r="D197" t="str">
            <v>Kab. Magelang</v>
          </cell>
          <cell r="E197">
            <v>198</v>
          </cell>
        </row>
        <row r="198">
          <cell r="D198" t="str">
            <v>Kab. Pati</v>
          </cell>
          <cell r="E198">
            <v>325</v>
          </cell>
        </row>
        <row r="199">
          <cell r="D199" t="str">
            <v>Kab. Pekalongan</v>
          </cell>
          <cell r="E199">
            <v>241</v>
          </cell>
        </row>
        <row r="200">
          <cell r="D200" t="str">
            <v>Kab. Pemalang</v>
          </cell>
          <cell r="E200">
            <v>279</v>
          </cell>
        </row>
        <row r="201">
          <cell r="D201" t="str">
            <v xml:space="preserve">Kab. Purbalingga       </v>
          </cell>
          <cell r="E201">
            <v>250</v>
          </cell>
        </row>
        <row r="202">
          <cell r="D202" t="str">
            <v>Kab. Purworejo</v>
          </cell>
          <cell r="E202">
            <v>183</v>
          </cell>
        </row>
        <row r="203">
          <cell r="D203" t="str">
            <v>Kab. Rembang</v>
          </cell>
          <cell r="E203">
            <v>275</v>
          </cell>
        </row>
        <row r="204">
          <cell r="D204" t="str">
            <v>Kab. Semarang</v>
          </cell>
          <cell r="E204">
            <v>277</v>
          </cell>
        </row>
        <row r="205">
          <cell r="D205" t="str">
            <v>Kab. Sragen</v>
          </cell>
          <cell r="E205">
            <v>277</v>
          </cell>
        </row>
        <row r="206">
          <cell r="D206" t="str">
            <v>Kab. Sukoharjo</v>
          </cell>
          <cell r="E206">
            <v>277</v>
          </cell>
        </row>
        <row r="207">
          <cell r="D207" t="str">
            <v>Kab. Tegal</v>
          </cell>
          <cell r="E207">
            <v>298</v>
          </cell>
        </row>
        <row r="208">
          <cell r="D208" t="str">
            <v>Kab. Temanggung</v>
          </cell>
          <cell r="E208">
            <v>276</v>
          </cell>
        </row>
        <row r="209">
          <cell r="D209" t="str">
            <v>Kab. Wonogiri</v>
          </cell>
          <cell r="E209">
            <v>287</v>
          </cell>
        </row>
        <row r="210">
          <cell r="D210" t="str">
            <v xml:space="preserve">Kab. Wonosobo       </v>
          </cell>
          <cell r="E210">
            <v>270</v>
          </cell>
        </row>
        <row r="211">
          <cell r="D211" t="str">
            <v>Kota Magelang</v>
          </cell>
          <cell r="E211">
            <v>216</v>
          </cell>
        </row>
        <row r="212">
          <cell r="D212" t="str">
            <v>Kota Pekalongan</v>
          </cell>
          <cell r="E212">
            <v>169</v>
          </cell>
        </row>
        <row r="213">
          <cell r="D213" t="str">
            <v>Kota Salatiga</v>
          </cell>
          <cell r="E213">
            <v>218</v>
          </cell>
        </row>
        <row r="214">
          <cell r="D214" t="str">
            <v>Kota Semarang</v>
          </cell>
          <cell r="E214">
            <v>275</v>
          </cell>
        </row>
        <row r="215">
          <cell r="D215" t="str">
            <v>Kota Surakarta</v>
          </cell>
          <cell r="E215">
            <v>326</v>
          </cell>
        </row>
        <row r="216">
          <cell r="D216" t="str">
            <v xml:space="preserve">Kota Tegal </v>
          </cell>
          <cell r="E216">
            <v>199</v>
          </cell>
          <cell r="F216">
            <v>9158</v>
          </cell>
        </row>
        <row r="217">
          <cell r="D217" t="str">
            <v>Provinsi DI Yogyakarta</v>
          </cell>
          <cell r="E217">
            <v>171</v>
          </cell>
        </row>
        <row r="218">
          <cell r="D218" t="str">
            <v>Kab. Bantul</v>
          </cell>
          <cell r="E218">
            <v>272</v>
          </cell>
        </row>
        <row r="219">
          <cell r="D219" t="str">
            <v>Kab. Gunung Kidul</v>
          </cell>
          <cell r="E219">
            <v>277</v>
          </cell>
        </row>
        <row r="220">
          <cell r="D220" t="str">
            <v>Kab. Kulon Progo</v>
          </cell>
          <cell r="E220">
            <v>254</v>
          </cell>
        </row>
        <row r="221">
          <cell r="D221" t="str">
            <v>Kab. Sleman</v>
          </cell>
          <cell r="E221">
            <v>276</v>
          </cell>
        </row>
        <row r="222">
          <cell r="D222" t="str">
            <v>Kota Yogyakarta</v>
          </cell>
          <cell r="E222">
            <v>68</v>
          </cell>
          <cell r="F222">
            <v>1318</v>
          </cell>
        </row>
        <row r="223">
          <cell r="D223" t="str">
            <v>Provinsi  Jawa Timur</v>
          </cell>
          <cell r="E223">
            <v>139</v>
          </cell>
        </row>
        <row r="224">
          <cell r="D224" t="str">
            <v>Kab. Bangkalan</v>
          </cell>
          <cell r="E224">
            <v>298</v>
          </cell>
        </row>
        <row r="225">
          <cell r="D225" t="str">
            <v>Kab. Banyuwangi</v>
          </cell>
          <cell r="E225">
            <v>258</v>
          </cell>
        </row>
        <row r="226">
          <cell r="D226" t="str">
            <v>Kab. Blitar</v>
          </cell>
          <cell r="E226">
            <v>0</v>
          </cell>
        </row>
        <row r="227">
          <cell r="D227" t="str">
            <v>Kab. Bojonegoro</v>
          </cell>
          <cell r="E227">
            <v>256</v>
          </cell>
        </row>
        <row r="228">
          <cell r="D228" t="str">
            <v>Kab. Bondowoso</v>
          </cell>
          <cell r="E228">
            <v>271</v>
          </cell>
        </row>
        <row r="229">
          <cell r="D229" t="str">
            <v>Kab. Gresik</v>
          </cell>
          <cell r="E229">
            <v>270</v>
          </cell>
        </row>
        <row r="230">
          <cell r="D230" t="str">
            <v>Kab. Jember</v>
          </cell>
          <cell r="E230">
            <v>299</v>
          </cell>
        </row>
        <row r="231">
          <cell r="D231" t="str">
            <v>Kab. Jombang</v>
          </cell>
          <cell r="E231">
            <v>283</v>
          </cell>
        </row>
        <row r="232">
          <cell r="D232" t="str">
            <v>Kab. Kediri</v>
          </cell>
          <cell r="E232">
            <v>260</v>
          </cell>
        </row>
        <row r="233">
          <cell r="D233" t="str">
            <v>Kab. Lamongan</v>
          </cell>
          <cell r="E233">
            <v>0</v>
          </cell>
        </row>
        <row r="234">
          <cell r="D234" t="str">
            <v>Kab. Lumajang</v>
          </cell>
          <cell r="E234">
            <v>279</v>
          </cell>
        </row>
        <row r="235">
          <cell r="D235" t="str">
            <v>Kab. Madiun</v>
          </cell>
          <cell r="E235">
            <v>231</v>
          </cell>
        </row>
        <row r="236">
          <cell r="D236" t="str">
            <v>Kab. Magetan</v>
          </cell>
          <cell r="E236">
            <v>238</v>
          </cell>
        </row>
        <row r="237">
          <cell r="D237" t="str">
            <v>Kab. Malang</v>
          </cell>
          <cell r="E237">
            <v>247</v>
          </cell>
        </row>
        <row r="238">
          <cell r="D238" t="str">
            <v>Kab. Mojokerto</v>
          </cell>
          <cell r="E238">
            <v>199</v>
          </cell>
        </row>
        <row r="239">
          <cell r="D239" t="str">
            <v>Kab. Nganjuk</v>
          </cell>
          <cell r="E239">
            <v>267</v>
          </cell>
        </row>
        <row r="240">
          <cell r="D240" t="str">
            <v>Kab. Ngawi</v>
          </cell>
          <cell r="E240">
            <v>308</v>
          </cell>
        </row>
        <row r="241">
          <cell r="D241" t="str">
            <v>Kab. Pacitan</v>
          </cell>
          <cell r="E241">
            <v>273</v>
          </cell>
        </row>
        <row r="242">
          <cell r="D242" t="str">
            <v>Kab. Pamekasan</v>
          </cell>
          <cell r="E242">
            <v>227</v>
          </cell>
        </row>
        <row r="243">
          <cell r="D243" t="str">
            <v>Kab. Pasuruan</v>
          </cell>
          <cell r="E243">
            <v>195</v>
          </cell>
        </row>
        <row r="244">
          <cell r="D244" t="str">
            <v>Kab. Ponorogo</v>
          </cell>
          <cell r="E244">
            <v>0</v>
          </cell>
        </row>
        <row r="245">
          <cell r="D245" t="str">
            <v xml:space="preserve">Kab. Probolinggo    </v>
          </cell>
          <cell r="E245">
            <v>0</v>
          </cell>
        </row>
        <row r="246">
          <cell r="D246" t="str">
            <v>Kab. Sampang</v>
          </cell>
          <cell r="E246">
            <v>274</v>
          </cell>
        </row>
        <row r="247">
          <cell r="D247" t="str">
            <v>Kab. Sidoarjo</v>
          </cell>
          <cell r="E247">
            <v>264</v>
          </cell>
        </row>
        <row r="248">
          <cell r="D248" t="str">
            <v>Kab. Situbondo</v>
          </cell>
          <cell r="E248">
            <v>269</v>
          </cell>
        </row>
        <row r="249">
          <cell r="D249" t="str">
            <v>Kab. Sumenep</v>
          </cell>
          <cell r="E249">
            <v>250</v>
          </cell>
        </row>
        <row r="250">
          <cell r="D250" t="str">
            <v>Kab. Trenggalek</v>
          </cell>
          <cell r="E250">
            <v>230</v>
          </cell>
        </row>
        <row r="251">
          <cell r="D251" t="str">
            <v>Kab. Tuban</v>
          </cell>
          <cell r="E251">
            <v>101</v>
          </cell>
        </row>
        <row r="252">
          <cell r="D252" t="str">
            <v>Kab. Tulungagung</v>
          </cell>
          <cell r="E252">
            <v>259</v>
          </cell>
        </row>
        <row r="253">
          <cell r="D253" t="str">
            <v>Kota Blitar</v>
          </cell>
          <cell r="E253">
            <v>291</v>
          </cell>
        </row>
        <row r="254">
          <cell r="D254" t="str">
            <v>Kota Kediri</v>
          </cell>
          <cell r="E254">
            <v>230</v>
          </cell>
        </row>
        <row r="255">
          <cell r="D255" t="str">
            <v>Kota Madiun</v>
          </cell>
          <cell r="E255">
            <v>273</v>
          </cell>
        </row>
        <row r="256">
          <cell r="D256" t="str">
            <v>Kota Malang</v>
          </cell>
          <cell r="E256">
            <v>261</v>
          </cell>
        </row>
        <row r="257">
          <cell r="D257" t="str">
            <v>Kota Mojokerto</v>
          </cell>
          <cell r="E257">
            <v>147</v>
          </cell>
        </row>
        <row r="258">
          <cell r="D258" t="str">
            <v xml:space="preserve">Kota Pasuruan </v>
          </cell>
          <cell r="E258">
            <v>0</v>
          </cell>
        </row>
        <row r="259">
          <cell r="D259" t="str">
            <v>Kota Probollinggo</v>
          </cell>
          <cell r="E259">
            <v>259</v>
          </cell>
        </row>
        <row r="260">
          <cell r="D260" t="str">
            <v>Kota Surabaya</v>
          </cell>
          <cell r="E260">
            <v>270</v>
          </cell>
        </row>
        <row r="261">
          <cell r="D261" t="str">
            <v>Kota Batu</v>
          </cell>
          <cell r="E261">
            <v>171</v>
          </cell>
          <cell r="F261">
            <v>8347</v>
          </cell>
        </row>
        <row r="262">
          <cell r="D262" t="str">
            <v>Provinsi  Kalimantan Barat</v>
          </cell>
          <cell r="E262">
            <v>143</v>
          </cell>
        </row>
        <row r="263">
          <cell r="D263" t="str">
            <v>Kab. Bengkayang</v>
          </cell>
          <cell r="E263">
            <v>279</v>
          </cell>
        </row>
        <row r="264">
          <cell r="D264" t="str">
            <v>Kab. Landak</v>
          </cell>
          <cell r="E264">
            <v>265</v>
          </cell>
        </row>
        <row r="265">
          <cell r="D265" t="str">
            <v>Kab. Kapuas Hulu</v>
          </cell>
          <cell r="E265">
            <v>254</v>
          </cell>
        </row>
        <row r="266">
          <cell r="D266" t="str">
            <v>Kab. Ketapang</v>
          </cell>
          <cell r="E266">
            <v>0</v>
          </cell>
        </row>
        <row r="267">
          <cell r="D267" t="str">
            <v>Kab. Pontianak</v>
          </cell>
          <cell r="E267">
            <v>278</v>
          </cell>
        </row>
        <row r="268">
          <cell r="D268" t="str">
            <v>Kab. Sambas</v>
          </cell>
          <cell r="E268">
            <v>269</v>
          </cell>
        </row>
        <row r="269">
          <cell r="D269" t="str">
            <v>Kab. Sanggau</v>
          </cell>
          <cell r="E269">
            <v>287</v>
          </cell>
        </row>
        <row r="270">
          <cell r="D270" t="str">
            <v>Kab. Sintang</v>
          </cell>
          <cell r="E270">
            <v>251</v>
          </cell>
        </row>
        <row r="271">
          <cell r="D271" t="str">
            <v>Kota Pontianak</v>
          </cell>
          <cell r="E271">
            <v>246</v>
          </cell>
        </row>
        <row r="272">
          <cell r="D272" t="str">
            <v>Kota Singkawang</v>
          </cell>
          <cell r="E272">
            <v>1</v>
          </cell>
        </row>
        <row r="273">
          <cell r="D273" t="str">
            <v>Kab. Sekadau</v>
          </cell>
          <cell r="E273">
            <v>0</v>
          </cell>
        </row>
        <row r="274">
          <cell r="D274" t="str">
            <v>Kab. Melawi</v>
          </cell>
          <cell r="E274">
            <v>243</v>
          </cell>
        </row>
        <row r="275">
          <cell r="D275" t="str">
            <v>Provinsi  Kalimantan Tengah</v>
          </cell>
          <cell r="E275">
            <v>102</v>
          </cell>
        </row>
        <row r="276">
          <cell r="D276" t="str">
            <v>Kab. Barito Selatan</v>
          </cell>
          <cell r="E276">
            <v>258</v>
          </cell>
        </row>
        <row r="277">
          <cell r="D277" t="str">
            <v>Kab. Barito Utara</v>
          </cell>
          <cell r="E277">
            <v>266</v>
          </cell>
        </row>
        <row r="278">
          <cell r="D278" t="str">
            <v>Kab. Kapuas</v>
          </cell>
          <cell r="E278">
            <v>257</v>
          </cell>
        </row>
        <row r="279">
          <cell r="D279" t="str">
            <v>Kab. Kotawaringin Barat</v>
          </cell>
          <cell r="E279">
            <v>262</v>
          </cell>
        </row>
        <row r="280">
          <cell r="D280" t="str">
            <v>Kab. Kotawaringin Timur</v>
          </cell>
          <cell r="E280">
            <v>0</v>
          </cell>
        </row>
        <row r="281">
          <cell r="D281" t="str">
            <v>Kota Palangkaraya</v>
          </cell>
          <cell r="E281">
            <v>0</v>
          </cell>
        </row>
        <row r="282">
          <cell r="D282" t="str">
            <v>Kab. Barito Timur</v>
          </cell>
          <cell r="E282">
            <v>252</v>
          </cell>
        </row>
        <row r="283">
          <cell r="D283" t="str">
            <v>Kab. Murung Raya</v>
          </cell>
          <cell r="E283">
            <v>258</v>
          </cell>
        </row>
        <row r="284">
          <cell r="D284" t="str">
            <v>Kab. Pulang Pisau</v>
          </cell>
          <cell r="E284">
            <v>288</v>
          </cell>
        </row>
        <row r="285">
          <cell r="D285" t="str">
            <v>Kab. Gunung Mas</v>
          </cell>
          <cell r="E285">
            <v>285</v>
          </cell>
        </row>
        <row r="286">
          <cell r="D286" t="str">
            <v>Kab. Lamandau</v>
          </cell>
          <cell r="E286">
            <v>241</v>
          </cell>
        </row>
        <row r="287">
          <cell r="D287" t="str">
            <v>Kab. Sukamara</v>
          </cell>
          <cell r="E287">
            <v>208</v>
          </cell>
        </row>
        <row r="288">
          <cell r="D288" t="str">
            <v>Kab. Katingan</v>
          </cell>
          <cell r="E288">
            <v>281</v>
          </cell>
        </row>
        <row r="289">
          <cell r="D289" t="str">
            <v>Kab. Seruyan</v>
          </cell>
          <cell r="E289">
            <v>273</v>
          </cell>
        </row>
        <row r="290">
          <cell r="D290" t="str">
            <v>Provinsi  Kalimantan Selatan</v>
          </cell>
          <cell r="E290">
            <v>111</v>
          </cell>
        </row>
        <row r="291">
          <cell r="D291" t="str">
            <v xml:space="preserve">Kab. Banjar </v>
          </cell>
          <cell r="E291">
            <v>256</v>
          </cell>
        </row>
        <row r="292">
          <cell r="D292" t="str">
            <v>Kab. Barito Kuala</v>
          </cell>
          <cell r="E292">
            <v>265</v>
          </cell>
        </row>
        <row r="293">
          <cell r="D293" t="str">
            <v>Kab. Hulu Sungai Selatan</v>
          </cell>
          <cell r="E293">
            <v>252</v>
          </cell>
        </row>
        <row r="294">
          <cell r="D294" t="str">
            <v>Kab. Hulu Sungai Tengah</v>
          </cell>
          <cell r="E294">
            <v>72</v>
          </cell>
        </row>
        <row r="295">
          <cell r="D295" t="str">
            <v>Kab. Hulu Sungai Utara</v>
          </cell>
          <cell r="E295">
            <v>292</v>
          </cell>
        </row>
        <row r="296">
          <cell r="D296" t="str">
            <v>Kab. Kota Baru</v>
          </cell>
          <cell r="E296">
            <v>256</v>
          </cell>
        </row>
        <row r="297">
          <cell r="D297" t="str">
            <v>Kab. Tabalong</v>
          </cell>
          <cell r="E297">
            <v>224</v>
          </cell>
        </row>
        <row r="298">
          <cell r="D298" t="str">
            <v>Kab. Tanah Laut</v>
          </cell>
          <cell r="E298">
            <v>262</v>
          </cell>
        </row>
        <row r="299">
          <cell r="D299" t="str">
            <v>Kab. Tapin</v>
          </cell>
          <cell r="E299">
            <v>183</v>
          </cell>
        </row>
        <row r="300">
          <cell r="D300" t="str">
            <v>Kota Banjar Baru</v>
          </cell>
          <cell r="E300">
            <v>0</v>
          </cell>
        </row>
        <row r="301">
          <cell r="D301" t="str">
            <v xml:space="preserve">Kota Banjarmasin </v>
          </cell>
          <cell r="E301">
            <v>258</v>
          </cell>
        </row>
        <row r="302">
          <cell r="D302" t="str">
            <v>Kab. Balangan</v>
          </cell>
          <cell r="E302">
            <v>207</v>
          </cell>
        </row>
        <row r="303">
          <cell r="D303" t="str">
            <v>Kab. Tanah Bumbu</v>
          </cell>
          <cell r="E303">
            <v>0</v>
          </cell>
        </row>
        <row r="304">
          <cell r="D304" t="str">
            <v>Provinsi  Kalimantan Timur</v>
          </cell>
          <cell r="E304">
            <v>0</v>
          </cell>
        </row>
        <row r="305">
          <cell r="D305" t="str">
            <v>Kab. Berau</v>
          </cell>
          <cell r="E305">
            <v>214</v>
          </cell>
        </row>
        <row r="306">
          <cell r="D306" t="str">
            <v>Kab. Bulungan</v>
          </cell>
          <cell r="E306">
            <v>239</v>
          </cell>
        </row>
        <row r="307">
          <cell r="D307" t="str">
            <v>Kab.  Kutai</v>
          </cell>
          <cell r="E307">
            <v>244</v>
          </cell>
        </row>
        <row r="308">
          <cell r="D308" t="str">
            <v>Kab. Kutai Barat</v>
          </cell>
          <cell r="E308">
            <v>182</v>
          </cell>
        </row>
        <row r="309">
          <cell r="D309" t="str">
            <v>Kab. Kutai Timur</v>
          </cell>
          <cell r="E309">
            <v>264</v>
          </cell>
        </row>
        <row r="310">
          <cell r="D310" t="str">
            <v>Kab. Malinau</v>
          </cell>
          <cell r="E310">
            <v>224</v>
          </cell>
        </row>
        <row r="311">
          <cell r="D311" t="str">
            <v>Kab. Nunukan</v>
          </cell>
          <cell r="E311">
            <v>266</v>
          </cell>
        </row>
        <row r="312">
          <cell r="D312" t="str">
            <v>Kab. Pasir</v>
          </cell>
          <cell r="E312">
            <v>236</v>
          </cell>
        </row>
        <row r="313">
          <cell r="D313" t="str">
            <v>Kota Balikpapan</v>
          </cell>
          <cell r="E313">
            <v>146</v>
          </cell>
        </row>
        <row r="314">
          <cell r="D314" t="str">
            <v>Kota Bontang</v>
          </cell>
          <cell r="E314">
            <v>197</v>
          </cell>
        </row>
        <row r="315">
          <cell r="D315" t="str">
            <v>Kota Samarinda</v>
          </cell>
          <cell r="E315">
            <v>193</v>
          </cell>
        </row>
        <row r="316">
          <cell r="D316" t="str">
            <v>Kota Tarakan</v>
          </cell>
          <cell r="E316">
            <v>248</v>
          </cell>
        </row>
        <row r="317">
          <cell r="D317" t="str">
            <v>Kab. Penajam Paser Utara</v>
          </cell>
          <cell r="E317">
            <v>290</v>
          </cell>
        </row>
        <row r="318">
          <cell r="D318" t="str">
            <v>Provinsi  Sulawesi Utara</v>
          </cell>
          <cell r="E318">
            <v>164</v>
          </cell>
        </row>
        <row r="319">
          <cell r="D319" t="str">
            <v>Kab. Bolaang Mongondow</v>
          </cell>
          <cell r="E319">
            <v>282</v>
          </cell>
        </row>
        <row r="320">
          <cell r="D320" t="str">
            <v xml:space="preserve">Kab. Minahasa </v>
          </cell>
          <cell r="E320">
            <v>282</v>
          </cell>
        </row>
        <row r="321">
          <cell r="D321" t="str">
            <v>Kab. Sangihe</v>
          </cell>
          <cell r="E321">
            <v>299</v>
          </cell>
        </row>
        <row r="322">
          <cell r="D322" t="str">
            <v>Kota Bitung</v>
          </cell>
          <cell r="E322">
            <v>227</v>
          </cell>
        </row>
        <row r="323">
          <cell r="D323" t="str">
            <v>Kota Manado</v>
          </cell>
          <cell r="E323">
            <v>248</v>
          </cell>
        </row>
        <row r="324">
          <cell r="D324" t="str">
            <v>Kab. Kepulauan Talaud</v>
          </cell>
          <cell r="E324">
            <v>280</v>
          </cell>
        </row>
        <row r="325">
          <cell r="D325" t="str">
            <v>Kab. Minahasa Selatan</v>
          </cell>
          <cell r="E325">
            <v>0</v>
          </cell>
        </row>
        <row r="326">
          <cell r="D326" t="str">
            <v>Kota Tomohon</v>
          </cell>
          <cell r="E326">
            <v>0</v>
          </cell>
        </row>
        <row r="327">
          <cell r="D327" t="str">
            <v>Kab. Minahasa Utara</v>
          </cell>
          <cell r="E327">
            <v>0</v>
          </cell>
        </row>
        <row r="328">
          <cell r="D328" t="str">
            <v>Provinsi  Gorontalo</v>
          </cell>
          <cell r="E328">
            <v>129</v>
          </cell>
        </row>
        <row r="329">
          <cell r="D329" t="str">
            <v>Kab. Boalemo</v>
          </cell>
          <cell r="E329">
            <v>293</v>
          </cell>
        </row>
        <row r="330">
          <cell r="D330" t="str">
            <v xml:space="preserve">Kab. Gorontalo   </v>
          </cell>
          <cell r="E330">
            <v>283</v>
          </cell>
        </row>
        <row r="331">
          <cell r="D331" t="str">
            <v>Kota Gorontalo</v>
          </cell>
          <cell r="E331">
            <v>246</v>
          </cell>
        </row>
        <row r="332">
          <cell r="D332" t="str">
            <v>Kab. Pohuwato</v>
          </cell>
          <cell r="E332">
            <v>264</v>
          </cell>
        </row>
        <row r="333">
          <cell r="D333" t="str">
            <v>Kab. Bone Bolango</v>
          </cell>
          <cell r="E333">
            <v>257</v>
          </cell>
        </row>
        <row r="334">
          <cell r="D334" t="str">
            <v>Provinsi  Sulawesi Tengah</v>
          </cell>
          <cell r="E334">
            <v>133</v>
          </cell>
        </row>
        <row r="335">
          <cell r="D335" t="str">
            <v>Kab. Banggai</v>
          </cell>
          <cell r="E335">
            <v>295</v>
          </cell>
        </row>
        <row r="336">
          <cell r="D336" t="str">
            <v>Kab. Banggai Kepulauan</v>
          </cell>
          <cell r="E336">
            <v>281</v>
          </cell>
        </row>
        <row r="337">
          <cell r="D337" t="str">
            <v xml:space="preserve">Kab. Buol </v>
          </cell>
          <cell r="E337">
            <v>283</v>
          </cell>
        </row>
        <row r="338">
          <cell r="D338" t="str">
            <v>Kab. Toli-Toli</v>
          </cell>
          <cell r="E338">
            <v>296</v>
          </cell>
        </row>
        <row r="339">
          <cell r="D339" t="str">
            <v>Kab. Donggala</v>
          </cell>
          <cell r="E339">
            <v>283</v>
          </cell>
        </row>
        <row r="340">
          <cell r="D340" t="str">
            <v>Kab. Morowali</v>
          </cell>
          <cell r="E340">
            <v>297</v>
          </cell>
        </row>
        <row r="341">
          <cell r="D341" t="str">
            <v>Kab. Poso</v>
          </cell>
          <cell r="E341">
            <v>279</v>
          </cell>
        </row>
        <row r="342">
          <cell r="D342" t="str">
            <v>Kota Palu</v>
          </cell>
          <cell r="E342">
            <v>0</v>
          </cell>
        </row>
        <row r="343">
          <cell r="D343" t="str">
            <v>Kab. Parigi Moutong</v>
          </cell>
          <cell r="E343">
            <v>289</v>
          </cell>
        </row>
        <row r="344">
          <cell r="D344" t="str">
            <v>Kab. Tojo Una Una</v>
          </cell>
          <cell r="E344">
            <v>277</v>
          </cell>
        </row>
        <row r="345">
          <cell r="D345" t="str">
            <v>Provinsi  Sulawesi Selatan</v>
          </cell>
          <cell r="E345">
            <v>0</v>
          </cell>
        </row>
        <row r="346">
          <cell r="D346" t="str">
            <v>Kab. Bantaeng</v>
          </cell>
          <cell r="E346">
            <v>215</v>
          </cell>
        </row>
        <row r="347">
          <cell r="D347" t="str">
            <v>Kab. Barru</v>
          </cell>
          <cell r="E347">
            <v>272</v>
          </cell>
        </row>
        <row r="348">
          <cell r="D348" t="str">
            <v xml:space="preserve">Kab. Bone </v>
          </cell>
          <cell r="E348">
            <v>277</v>
          </cell>
        </row>
        <row r="349">
          <cell r="D349" t="str">
            <v xml:space="preserve">Kab. Bulukumba   </v>
          </cell>
          <cell r="E349">
            <v>276</v>
          </cell>
        </row>
        <row r="350">
          <cell r="D350" t="str">
            <v>Kab. Enrekang</v>
          </cell>
          <cell r="E350">
            <v>260</v>
          </cell>
        </row>
        <row r="351">
          <cell r="D351" t="str">
            <v>Kab. G o w a</v>
          </cell>
          <cell r="E351">
            <v>267</v>
          </cell>
        </row>
        <row r="352">
          <cell r="D352" t="str">
            <v>Kab. Jeneponto</v>
          </cell>
          <cell r="E352">
            <v>261</v>
          </cell>
        </row>
        <row r="353">
          <cell r="D353" t="str">
            <v>Kab. Luwu</v>
          </cell>
          <cell r="E353">
            <v>286</v>
          </cell>
        </row>
        <row r="354">
          <cell r="D354" t="str">
            <v>Kab. Luwu Utara</v>
          </cell>
          <cell r="E354">
            <v>273</v>
          </cell>
        </row>
        <row r="355">
          <cell r="D355" t="str">
            <v xml:space="preserve">Kab. M a r o s </v>
          </cell>
          <cell r="E355">
            <v>283</v>
          </cell>
        </row>
        <row r="356">
          <cell r="D356" t="str">
            <v>Kab. Pangkajene Kepulauan</v>
          </cell>
          <cell r="E356">
            <v>179</v>
          </cell>
        </row>
        <row r="357">
          <cell r="D357" t="str">
            <v>Kab. Pinrang</v>
          </cell>
          <cell r="E357">
            <v>293</v>
          </cell>
        </row>
        <row r="358">
          <cell r="D358" t="str">
            <v>Kab. Selayar</v>
          </cell>
          <cell r="E358">
            <v>208</v>
          </cell>
        </row>
        <row r="359">
          <cell r="D359" t="str">
            <v xml:space="preserve">Kab. Sidenreng Rappang </v>
          </cell>
          <cell r="E359">
            <v>275</v>
          </cell>
        </row>
        <row r="360">
          <cell r="D360" t="str">
            <v>Kab. Sinjai</v>
          </cell>
          <cell r="E360">
            <v>320</v>
          </cell>
        </row>
        <row r="361">
          <cell r="D361" t="str">
            <v>Kab. Soppeng</v>
          </cell>
          <cell r="E361">
            <v>274</v>
          </cell>
        </row>
        <row r="362">
          <cell r="D362" t="str">
            <v xml:space="preserve">Kab. Takalar </v>
          </cell>
          <cell r="E362">
            <v>280</v>
          </cell>
        </row>
        <row r="363">
          <cell r="D363" t="str">
            <v>Kab. Tana Toraja</v>
          </cell>
          <cell r="E363">
            <v>283</v>
          </cell>
        </row>
        <row r="364">
          <cell r="D364" t="str">
            <v>Kab. Wajo</v>
          </cell>
          <cell r="E364">
            <v>0</v>
          </cell>
        </row>
        <row r="365">
          <cell r="D365" t="str">
            <v>Kota Pare-pare</v>
          </cell>
          <cell r="E365">
            <v>275</v>
          </cell>
        </row>
        <row r="366">
          <cell r="D366" t="str">
            <v>Kota Makassar</v>
          </cell>
          <cell r="E366">
            <v>268</v>
          </cell>
        </row>
        <row r="367">
          <cell r="D367" t="str">
            <v>Kota Palopo</v>
          </cell>
          <cell r="E367">
            <v>285</v>
          </cell>
        </row>
        <row r="368">
          <cell r="D368" t="str">
            <v>Kab. Luwu Timur</v>
          </cell>
          <cell r="E368">
            <v>287</v>
          </cell>
        </row>
        <row r="369">
          <cell r="D369" t="str">
            <v>Provinsi  Sulawesi Barat</v>
          </cell>
          <cell r="E369">
            <v>0</v>
          </cell>
        </row>
        <row r="370">
          <cell r="D370" t="str">
            <v xml:space="preserve">Kab. Majene    </v>
          </cell>
          <cell r="E370">
            <v>256</v>
          </cell>
        </row>
        <row r="371">
          <cell r="D371" t="str">
            <v>Kab. Mamuju</v>
          </cell>
          <cell r="E371">
            <v>239</v>
          </cell>
        </row>
        <row r="372">
          <cell r="D372" t="str">
            <v>Kab. Polewali Mamasa</v>
          </cell>
          <cell r="E372">
            <v>257</v>
          </cell>
        </row>
        <row r="373">
          <cell r="D373" t="str">
            <v>Kab. Mamasa</v>
          </cell>
          <cell r="E373">
            <v>293</v>
          </cell>
        </row>
        <row r="374">
          <cell r="D374" t="str">
            <v>Kab. Mamuju Utara</v>
          </cell>
          <cell r="E374">
            <v>294</v>
          </cell>
        </row>
        <row r="375">
          <cell r="D375" t="str">
            <v>Provinsi  Sulawesi Tenggara</v>
          </cell>
          <cell r="E375">
            <v>134</v>
          </cell>
        </row>
        <row r="376">
          <cell r="D376" t="str">
            <v>Kab. Buton</v>
          </cell>
          <cell r="E376">
            <v>290</v>
          </cell>
        </row>
        <row r="377">
          <cell r="D377" t="str">
            <v>Kab. Konawe</v>
          </cell>
          <cell r="E377">
            <v>318</v>
          </cell>
        </row>
        <row r="378">
          <cell r="D378" t="str">
            <v>Kab. Kolaka</v>
          </cell>
          <cell r="E378">
            <v>269</v>
          </cell>
        </row>
        <row r="379">
          <cell r="D379" t="str">
            <v>Kab. Muna</v>
          </cell>
          <cell r="E379">
            <v>297</v>
          </cell>
        </row>
        <row r="380">
          <cell r="D380" t="str">
            <v>Kota Kendari</v>
          </cell>
          <cell r="E380">
            <v>282</v>
          </cell>
        </row>
        <row r="381">
          <cell r="D381" t="str">
            <v>Kota Bau-bau</v>
          </cell>
          <cell r="E381">
            <v>272</v>
          </cell>
        </row>
        <row r="382">
          <cell r="D382" t="str">
            <v>Kab. Konawe Selatan</v>
          </cell>
          <cell r="E382">
            <v>261</v>
          </cell>
        </row>
        <row r="383">
          <cell r="D383" t="str">
            <v>Kab. Bombana</v>
          </cell>
          <cell r="E383">
            <v>295</v>
          </cell>
        </row>
        <row r="384">
          <cell r="D384" t="str">
            <v>Kab. Wakatobi</v>
          </cell>
          <cell r="E384">
            <v>303</v>
          </cell>
        </row>
        <row r="385">
          <cell r="D385" t="str">
            <v>Kab. Kolaka Utara</v>
          </cell>
          <cell r="E385">
            <v>258</v>
          </cell>
        </row>
        <row r="386">
          <cell r="D386" t="str">
            <v>Provinsi  Bali</v>
          </cell>
          <cell r="E386">
            <v>49</v>
          </cell>
        </row>
        <row r="387">
          <cell r="D387" t="str">
            <v>Kab. Badung</v>
          </cell>
          <cell r="E387">
            <v>267</v>
          </cell>
        </row>
        <row r="388">
          <cell r="D388" t="str">
            <v>Kab. Bangli</v>
          </cell>
          <cell r="E388">
            <v>259</v>
          </cell>
        </row>
        <row r="389">
          <cell r="D389" t="str">
            <v>Kab. Buleleng</v>
          </cell>
          <cell r="E389">
            <v>277</v>
          </cell>
        </row>
        <row r="390">
          <cell r="D390" t="str">
            <v xml:space="preserve">Kab. Gianyar </v>
          </cell>
          <cell r="E390">
            <v>248</v>
          </cell>
        </row>
        <row r="391">
          <cell r="D391" t="str">
            <v>Kab. Jembrana</v>
          </cell>
          <cell r="E391">
            <v>0</v>
          </cell>
        </row>
        <row r="392">
          <cell r="D392" t="str">
            <v xml:space="preserve">Kab. Karangasem   </v>
          </cell>
          <cell r="E392">
            <v>279</v>
          </cell>
        </row>
        <row r="393">
          <cell r="D393" t="str">
            <v>Kab. Klungkung</v>
          </cell>
          <cell r="E393">
            <v>265</v>
          </cell>
        </row>
        <row r="394">
          <cell r="D394" t="str">
            <v>Kab. Tabanan</v>
          </cell>
          <cell r="E394">
            <v>279</v>
          </cell>
        </row>
        <row r="395">
          <cell r="D395" t="str">
            <v>Kota Denpasar</v>
          </cell>
          <cell r="E395">
            <v>0</v>
          </cell>
        </row>
        <row r="396">
          <cell r="D396" t="str">
            <v>Provinsi  Nusa Tenggara Barat</v>
          </cell>
          <cell r="E396">
            <v>143</v>
          </cell>
        </row>
        <row r="397">
          <cell r="D397" t="str">
            <v>Kab. Bima</v>
          </cell>
          <cell r="E397">
            <v>272</v>
          </cell>
        </row>
        <row r="398">
          <cell r="D398" t="str">
            <v>Kab. Dompu</v>
          </cell>
          <cell r="E398">
            <v>193</v>
          </cell>
        </row>
        <row r="399">
          <cell r="D399" t="str">
            <v>Kab. Lombok Barat</v>
          </cell>
          <cell r="E399">
            <v>242</v>
          </cell>
        </row>
        <row r="400">
          <cell r="D400" t="str">
            <v>Kab. Lombok Tengah</v>
          </cell>
          <cell r="E400">
            <v>213</v>
          </cell>
        </row>
        <row r="401">
          <cell r="D401" t="str">
            <v>Kab. Lombok Timur</v>
          </cell>
          <cell r="E401">
            <v>260</v>
          </cell>
        </row>
        <row r="402">
          <cell r="D402" t="str">
            <v>Kab. Sumbawa</v>
          </cell>
          <cell r="E402">
            <v>270</v>
          </cell>
        </row>
        <row r="403">
          <cell r="D403" t="str">
            <v>Kota Mataram</v>
          </cell>
          <cell r="E403">
            <v>214</v>
          </cell>
        </row>
        <row r="404">
          <cell r="D404" t="str">
            <v>Kota Bima</v>
          </cell>
          <cell r="E404">
            <v>246</v>
          </cell>
        </row>
        <row r="405">
          <cell r="D405" t="str">
            <v>Kab. Sumbawa Barat</v>
          </cell>
          <cell r="E405">
            <v>222</v>
          </cell>
        </row>
        <row r="406">
          <cell r="D406" t="str">
            <v>Provinsi  Nusa Tenggara Timur</v>
          </cell>
          <cell r="E406">
            <v>126</v>
          </cell>
        </row>
        <row r="407">
          <cell r="D407" t="str">
            <v>Kab. Alor</v>
          </cell>
          <cell r="E407">
            <v>315</v>
          </cell>
        </row>
        <row r="408">
          <cell r="D408" t="str">
            <v>Kab. Belu</v>
          </cell>
          <cell r="E408">
            <v>288</v>
          </cell>
        </row>
        <row r="409">
          <cell r="D409" t="str">
            <v>Kab. Ende</v>
          </cell>
          <cell r="E409">
            <v>287</v>
          </cell>
        </row>
        <row r="410">
          <cell r="D410" t="str">
            <v>Kab. Flores Timur</v>
          </cell>
          <cell r="E410">
            <v>255</v>
          </cell>
        </row>
        <row r="411">
          <cell r="D411" t="str">
            <v>Kab. Kupang</v>
          </cell>
          <cell r="E411">
            <v>286</v>
          </cell>
        </row>
        <row r="412">
          <cell r="D412" t="str">
            <v>Kab. Lembata</v>
          </cell>
          <cell r="E412">
            <v>297</v>
          </cell>
        </row>
        <row r="413">
          <cell r="D413" t="str">
            <v>Kab. Manggarai</v>
          </cell>
          <cell r="E413">
            <v>275</v>
          </cell>
        </row>
        <row r="414">
          <cell r="D414" t="str">
            <v>Kab. Ngada</v>
          </cell>
          <cell r="E414">
            <v>266</v>
          </cell>
        </row>
        <row r="415">
          <cell r="D415" t="str">
            <v>Kab. Sikka</v>
          </cell>
          <cell r="E415">
            <v>273</v>
          </cell>
        </row>
        <row r="416">
          <cell r="D416" t="str">
            <v>Kab. Sumba Barat</v>
          </cell>
          <cell r="E416">
            <v>269</v>
          </cell>
        </row>
        <row r="417">
          <cell r="D417" t="str">
            <v>Kab. Sumba Timur</v>
          </cell>
          <cell r="E417">
            <v>222</v>
          </cell>
        </row>
        <row r="418">
          <cell r="D418" t="str">
            <v>Kab. Timor Tengah Selatan</v>
          </cell>
          <cell r="E418">
            <v>293</v>
          </cell>
        </row>
        <row r="419">
          <cell r="D419" t="str">
            <v>Kab. Timor Tengah Utara</v>
          </cell>
          <cell r="E419">
            <v>303</v>
          </cell>
        </row>
        <row r="420">
          <cell r="D420" t="str">
            <v>Kota Kupang</v>
          </cell>
          <cell r="E420">
            <v>191</v>
          </cell>
        </row>
        <row r="421">
          <cell r="D421" t="str">
            <v>Kab. Rote Ndao</v>
          </cell>
          <cell r="E421">
            <v>287</v>
          </cell>
        </row>
        <row r="422">
          <cell r="D422" t="str">
            <v>Kab. Manggarai Barat</v>
          </cell>
          <cell r="E422">
            <v>298</v>
          </cell>
        </row>
        <row r="423">
          <cell r="D423" t="str">
            <v>Provinsi  Maluku</v>
          </cell>
          <cell r="E423">
            <v>0</v>
          </cell>
        </row>
        <row r="424">
          <cell r="D424" t="str">
            <v>Kab. Maluku Tenggara Barat</v>
          </cell>
          <cell r="E424">
            <v>283</v>
          </cell>
        </row>
        <row r="425">
          <cell r="D425" t="str">
            <v>Kab. Maluku Tengah</v>
          </cell>
          <cell r="E425">
            <v>231</v>
          </cell>
        </row>
        <row r="426">
          <cell r="D426" t="str">
            <v>Kab. Maluku Tenggara</v>
          </cell>
          <cell r="E426">
            <v>282</v>
          </cell>
        </row>
        <row r="427">
          <cell r="D427" t="str">
            <v>Kab. Pulau Buru</v>
          </cell>
          <cell r="E427">
            <v>288</v>
          </cell>
        </row>
        <row r="428">
          <cell r="D428" t="str">
            <v>Kota Ambon</v>
          </cell>
          <cell r="E428">
            <v>0</v>
          </cell>
        </row>
        <row r="429">
          <cell r="D429" t="str">
            <v>Kab. Seram Bagian Barat</v>
          </cell>
          <cell r="E429">
            <v>295</v>
          </cell>
        </row>
        <row r="430">
          <cell r="D430" t="str">
            <v>Kab. Seram Bagian Timur</v>
          </cell>
          <cell r="E430">
            <v>193</v>
          </cell>
        </row>
        <row r="431">
          <cell r="D431" t="str">
            <v>Kab. Kepulauan Aru</v>
          </cell>
          <cell r="E431">
            <v>278</v>
          </cell>
        </row>
        <row r="432">
          <cell r="D432" t="str">
            <v>Provinsi  Maluku Utara</v>
          </cell>
          <cell r="E432">
            <v>267</v>
          </cell>
        </row>
        <row r="433">
          <cell r="D433" t="str">
            <v>Kab. Halmahera Tengah</v>
          </cell>
          <cell r="E433">
            <v>287</v>
          </cell>
        </row>
        <row r="434">
          <cell r="D434" t="str">
            <v>Kab. Halmahera Barat</v>
          </cell>
          <cell r="E434">
            <v>233</v>
          </cell>
        </row>
        <row r="435">
          <cell r="D435" t="str">
            <v>Kota Ternate</v>
          </cell>
          <cell r="E435">
            <v>292</v>
          </cell>
        </row>
        <row r="436">
          <cell r="D436" t="str">
            <v>Kab. Halmahera Timur</v>
          </cell>
          <cell r="E436">
            <v>275</v>
          </cell>
        </row>
        <row r="437">
          <cell r="D437" t="str">
            <v>Kota Tidore Kepulauan</v>
          </cell>
          <cell r="E437">
            <v>295</v>
          </cell>
        </row>
        <row r="438">
          <cell r="D438" t="str">
            <v>Kab. Kepulauan Sula</v>
          </cell>
          <cell r="E438">
            <v>256</v>
          </cell>
        </row>
        <row r="439">
          <cell r="D439" t="str">
            <v>Kab. Halmahera Selatan</v>
          </cell>
          <cell r="E439">
            <v>308</v>
          </cell>
        </row>
        <row r="440">
          <cell r="D440" t="str">
            <v>Kab. Halmahera Utara</v>
          </cell>
          <cell r="E440">
            <v>285</v>
          </cell>
        </row>
        <row r="441">
          <cell r="D441" t="str">
            <v>Provinsi  Papua</v>
          </cell>
          <cell r="E441">
            <v>224</v>
          </cell>
        </row>
        <row r="442">
          <cell r="D442" t="str">
            <v>Kab. Biak Numfor</v>
          </cell>
          <cell r="E442">
            <v>234</v>
          </cell>
        </row>
        <row r="443">
          <cell r="D443" t="str">
            <v>Kab. Jayapura</v>
          </cell>
          <cell r="E443">
            <v>201</v>
          </cell>
        </row>
        <row r="444">
          <cell r="D444" t="str">
            <v>Kab. Jayawijaya</v>
          </cell>
          <cell r="E444">
            <v>294</v>
          </cell>
        </row>
        <row r="445">
          <cell r="D445" t="str">
            <v>Kab. Merauke</v>
          </cell>
          <cell r="E445">
            <v>300</v>
          </cell>
        </row>
        <row r="446">
          <cell r="D446" t="str">
            <v>Kab. Mimika</v>
          </cell>
          <cell r="E446">
            <v>254</v>
          </cell>
        </row>
        <row r="447">
          <cell r="D447" t="str">
            <v>Kab. Nabire</v>
          </cell>
          <cell r="E447">
            <v>275</v>
          </cell>
        </row>
        <row r="448">
          <cell r="D448" t="str">
            <v>Kab. Paniai</v>
          </cell>
          <cell r="E448">
            <v>0</v>
          </cell>
        </row>
        <row r="449">
          <cell r="D449" t="str">
            <v>Kab. Puncak Jaya</v>
          </cell>
          <cell r="E449">
            <v>300</v>
          </cell>
        </row>
        <row r="450">
          <cell r="D450" t="str">
            <v>Kab. Yapen Waropen</v>
          </cell>
          <cell r="E450">
            <v>215</v>
          </cell>
        </row>
        <row r="451">
          <cell r="D451" t="str">
            <v>Kota Jayapura</v>
          </cell>
          <cell r="E451">
            <v>100</v>
          </cell>
        </row>
        <row r="452">
          <cell r="D452" t="str">
            <v>Kab. Sarmi</v>
          </cell>
          <cell r="E452">
            <v>178</v>
          </cell>
        </row>
        <row r="453">
          <cell r="D453" t="str">
            <v>Kab. Keerom</v>
          </cell>
          <cell r="E453">
            <v>260</v>
          </cell>
        </row>
        <row r="454">
          <cell r="D454" t="str">
            <v>Kab. Yahukimo</v>
          </cell>
          <cell r="E454">
            <v>238</v>
          </cell>
        </row>
        <row r="455">
          <cell r="D455" t="str">
            <v>Kab. Pegunungan Bintang</v>
          </cell>
          <cell r="E455">
            <v>252</v>
          </cell>
        </row>
        <row r="456">
          <cell r="D456" t="str">
            <v>Kab. Tolikara</v>
          </cell>
          <cell r="E456">
            <v>200</v>
          </cell>
        </row>
        <row r="457">
          <cell r="D457" t="str">
            <v>Kab. Boven Digoel</v>
          </cell>
          <cell r="E457">
            <v>187</v>
          </cell>
        </row>
        <row r="458">
          <cell r="D458" t="str">
            <v>Kab. Mappi</v>
          </cell>
          <cell r="E458">
            <v>202</v>
          </cell>
        </row>
        <row r="459">
          <cell r="D459" t="str">
            <v>Kab. Asmat</v>
          </cell>
          <cell r="E459">
            <v>159</v>
          </cell>
        </row>
        <row r="460">
          <cell r="D460" t="str">
            <v>Kab. Waropen</v>
          </cell>
          <cell r="E460">
            <v>0</v>
          </cell>
        </row>
        <row r="461">
          <cell r="D461" t="str">
            <v>Kab. Supiori</v>
          </cell>
          <cell r="E461">
            <v>0</v>
          </cell>
        </row>
        <row r="462">
          <cell r="D462" t="str">
            <v>Provinsi Irian Jaya Barat</v>
          </cell>
          <cell r="E462">
            <v>294</v>
          </cell>
        </row>
        <row r="463">
          <cell r="D463" t="str">
            <v>Kab. Sorong</v>
          </cell>
          <cell r="E463">
            <v>0</v>
          </cell>
        </row>
        <row r="464">
          <cell r="D464" t="str">
            <v>Kab. Manokwari</v>
          </cell>
          <cell r="E464">
            <v>314</v>
          </cell>
        </row>
        <row r="465">
          <cell r="D465" t="str">
            <v>Kab. Fak Fak</v>
          </cell>
          <cell r="E465">
            <v>299</v>
          </cell>
        </row>
        <row r="466">
          <cell r="D466" t="str">
            <v>Kota Sorong</v>
          </cell>
          <cell r="E466">
            <v>308</v>
          </cell>
        </row>
        <row r="467">
          <cell r="D467" t="str">
            <v>Kab. Sorong Selatan</v>
          </cell>
          <cell r="E467">
            <v>198</v>
          </cell>
        </row>
        <row r="468">
          <cell r="D468" t="str">
            <v>Kab. Raja Ampat</v>
          </cell>
          <cell r="E468">
            <v>250</v>
          </cell>
        </row>
        <row r="469">
          <cell r="D469" t="str">
            <v>Kab. Teluk Bintuni</v>
          </cell>
          <cell r="E469">
            <v>262</v>
          </cell>
        </row>
        <row r="470">
          <cell r="D470" t="str">
            <v>Kab. Teluk Wondama</v>
          </cell>
          <cell r="E470">
            <v>285</v>
          </cell>
        </row>
        <row r="471">
          <cell r="D471" t="str">
            <v>Kab. Kaimana</v>
          </cell>
          <cell r="E471">
            <v>0</v>
          </cell>
        </row>
      </sheetData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GAB"/>
      <sheetName val="juni"/>
      <sheetName val="Kenaikan Gaji"/>
      <sheetName val="analisa Persentase"/>
      <sheetName val="Aneh"/>
      <sheetName val="BP"/>
      <sheetName val="Format"/>
      <sheetName val="formasi 2004"/>
      <sheetName val="banding BP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D5" t="str">
            <v>Provinsi Nanggroe Aceh Darussalam</v>
          </cell>
          <cell r="E5">
            <v>107</v>
          </cell>
        </row>
        <row r="6">
          <cell r="D6" t="str">
            <v>Kab. Aceh Barat</v>
          </cell>
          <cell r="E6">
            <v>296</v>
          </cell>
        </row>
        <row r="7">
          <cell r="D7" t="str">
            <v>Kab. Aceh Besar</v>
          </cell>
          <cell r="E7">
            <v>297</v>
          </cell>
        </row>
        <row r="8">
          <cell r="D8" t="str">
            <v>Kab. Aceh Selatan</v>
          </cell>
          <cell r="E8">
            <v>298</v>
          </cell>
        </row>
        <row r="9">
          <cell r="D9" t="str">
            <v>Kab. Aceh Singkil</v>
          </cell>
          <cell r="E9">
            <v>299</v>
          </cell>
        </row>
        <row r="10">
          <cell r="D10" t="str">
            <v>Kab. Aceh Tengah</v>
          </cell>
          <cell r="E10">
            <v>297</v>
          </cell>
        </row>
        <row r="11">
          <cell r="D11" t="str">
            <v>Kab. Aceh Tenggara</v>
          </cell>
          <cell r="E11">
            <v>297</v>
          </cell>
        </row>
        <row r="12">
          <cell r="D12" t="str">
            <v>Kab. Aceh Timur</v>
          </cell>
          <cell r="E12">
            <v>297</v>
          </cell>
        </row>
        <row r="13">
          <cell r="D13" t="str">
            <v>Kab. Aceh Utara</v>
          </cell>
          <cell r="E13">
            <v>290</v>
          </cell>
        </row>
        <row r="14">
          <cell r="D14" t="str">
            <v>Kab. Bireuen</v>
          </cell>
          <cell r="E14">
            <v>298</v>
          </cell>
        </row>
        <row r="15">
          <cell r="D15" t="str">
            <v>Kab. Aceh Pidie</v>
          </cell>
          <cell r="E15">
            <v>299</v>
          </cell>
        </row>
        <row r="16">
          <cell r="D16" t="str">
            <v>Kab. Simeuleu</v>
          </cell>
          <cell r="E16">
            <v>287</v>
          </cell>
        </row>
        <row r="17">
          <cell r="D17" t="str">
            <v>Kota Banda Aceh</v>
          </cell>
          <cell r="E17">
            <v>290</v>
          </cell>
        </row>
        <row r="18">
          <cell r="D18" t="str">
            <v>Kota Sabang</v>
          </cell>
          <cell r="E18">
            <v>254</v>
          </cell>
        </row>
        <row r="19">
          <cell r="D19" t="str">
            <v>Kota Langsa</v>
          </cell>
          <cell r="E19">
            <v>155</v>
          </cell>
        </row>
        <row r="20">
          <cell r="D20" t="str">
            <v>Kota Lhokseumawe</v>
          </cell>
          <cell r="E20">
            <v>297</v>
          </cell>
        </row>
        <row r="21">
          <cell r="D21" t="str">
            <v>Kab. Nagan Raya</v>
          </cell>
          <cell r="E21">
            <v>308</v>
          </cell>
        </row>
        <row r="22">
          <cell r="D22" t="str">
            <v>Kab. Aceh Jaya</v>
          </cell>
          <cell r="E22">
            <v>292</v>
          </cell>
        </row>
        <row r="23">
          <cell r="D23" t="str">
            <v>Kab. Aceh Barat Daya</v>
          </cell>
          <cell r="E23">
            <v>306</v>
          </cell>
        </row>
        <row r="24">
          <cell r="D24" t="str">
            <v>Kab. Gayo Lues</v>
          </cell>
          <cell r="E24">
            <v>301</v>
          </cell>
        </row>
        <row r="25">
          <cell r="D25" t="str">
            <v>Kab. Aceh Tamiang</v>
          </cell>
          <cell r="E25">
            <v>295</v>
          </cell>
        </row>
        <row r="26">
          <cell r="D26" t="str">
            <v>Kab. Bener Meriah</v>
          </cell>
          <cell r="E26">
            <v>307</v>
          </cell>
          <cell r="F26">
            <v>6167</v>
          </cell>
        </row>
        <row r="27">
          <cell r="D27" t="str">
            <v>Provinsi  Sumatera Utara</v>
          </cell>
          <cell r="E27">
            <v>114</v>
          </cell>
        </row>
        <row r="28">
          <cell r="D28" t="str">
            <v>Kab. Asahan</v>
          </cell>
          <cell r="E28">
            <v>321</v>
          </cell>
        </row>
        <row r="29">
          <cell r="D29" t="str">
            <v>Kab. Dairi</v>
          </cell>
          <cell r="E29">
            <v>314</v>
          </cell>
        </row>
        <row r="30">
          <cell r="D30" t="str">
            <v>Kab. Deli Serdang</v>
          </cell>
          <cell r="E30">
            <v>273</v>
          </cell>
        </row>
        <row r="31">
          <cell r="D31" t="str">
            <v>Kab. Tanah Karo</v>
          </cell>
          <cell r="E31">
            <v>253</v>
          </cell>
        </row>
        <row r="32">
          <cell r="D32" t="str">
            <v>Kab. Labuhan Batu</v>
          </cell>
          <cell r="E32">
            <v>315</v>
          </cell>
        </row>
        <row r="33">
          <cell r="D33" t="str">
            <v>Kab. Langkat</v>
          </cell>
          <cell r="E33">
            <v>318</v>
          </cell>
        </row>
        <row r="34">
          <cell r="D34" t="str">
            <v>Kab. Mandailing Natal</v>
          </cell>
          <cell r="E34">
            <v>307</v>
          </cell>
        </row>
        <row r="35">
          <cell r="D35" t="str">
            <v>Kab. Nias</v>
          </cell>
          <cell r="E35">
            <v>246</v>
          </cell>
        </row>
        <row r="36">
          <cell r="D36" t="str">
            <v>Kab. Simalungun</v>
          </cell>
          <cell r="E36">
            <v>323</v>
          </cell>
        </row>
        <row r="37">
          <cell r="D37" t="str">
            <v>Kab. Tapanuli Selatan</v>
          </cell>
          <cell r="E37">
            <v>288</v>
          </cell>
        </row>
        <row r="38">
          <cell r="D38" t="str">
            <v>Kab. Tapanuli Tengah</v>
          </cell>
          <cell r="E38">
            <v>270</v>
          </cell>
        </row>
        <row r="39">
          <cell r="D39" t="str">
            <v>Kab. Tapanuli Utara</v>
          </cell>
          <cell r="E39">
            <v>287</v>
          </cell>
        </row>
        <row r="40">
          <cell r="D40" t="str">
            <v>Kab. Toba Samosir</v>
          </cell>
          <cell r="E40">
            <v>322</v>
          </cell>
        </row>
        <row r="41">
          <cell r="D41" t="str">
            <v>Kota Binjai</v>
          </cell>
          <cell r="E41">
            <v>286</v>
          </cell>
        </row>
        <row r="42">
          <cell r="D42" t="str">
            <v>Kota Medan</v>
          </cell>
          <cell r="E42">
            <v>296</v>
          </cell>
        </row>
        <row r="43">
          <cell r="D43" t="str">
            <v>Kota Pematang Siantar</v>
          </cell>
          <cell r="E43">
            <v>219</v>
          </cell>
        </row>
        <row r="44">
          <cell r="D44" t="str">
            <v>Kota Sibolga</v>
          </cell>
          <cell r="E44">
            <v>184</v>
          </cell>
        </row>
        <row r="45">
          <cell r="D45" t="str">
            <v>Kota Tanjung Balai</v>
          </cell>
          <cell r="E45">
            <v>285</v>
          </cell>
        </row>
        <row r="46">
          <cell r="D46" t="str">
            <v>Kota Tebing Tinggi</v>
          </cell>
          <cell r="E46">
            <v>133</v>
          </cell>
        </row>
        <row r="47">
          <cell r="D47" t="str">
            <v>Kota Padang Sidempuan</v>
          </cell>
          <cell r="E47">
            <v>288</v>
          </cell>
        </row>
        <row r="48">
          <cell r="D48" t="str">
            <v>Kab. Pakpak Bharat</v>
          </cell>
          <cell r="E48">
            <v>221</v>
          </cell>
        </row>
        <row r="49">
          <cell r="D49" t="str">
            <v>Kab. Nias Selatan</v>
          </cell>
          <cell r="E49">
            <v>277</v>
          </cell>
        </row>
        <row r="50">
          <cell r="D50" t="str">
            <v>Kab. Humbang Hasundutan</v>
          </cell>
          <cell r="E50">
            <v>263</v>
          </cell>
        </row>
        <row r="51">
          <cell r="D51" t="str">
            <v>Kab. Serdang Berdagai</v>
          </cell>
          <cell r="E51">
            <v>131</v>
          </cell>
        </row>
        <row r="52">
          <cell r="D52" t="str">
            <v>Kab. Samosir</v>
          </cell>
          <cell r="E52">
            <v>265</v>
          </cell>
          <cell r="F52">
            <v>6799</v>
          </cell>
        </row>
        <row r="53">
          <cell r="D53" t="str">
            <v>Provinsi  Sumatera Barat</v>
          </cell>
          <cell r="E53">
            <v>0</v>
          </cell>
        </row>
        <row r="54">
          <cell r="D54" t="str">
            <v>Kab. Limapuluh Koto</v>
          </cell>
          <cell r="E54">
            <v>274</v>
          </cell>
        </row>
        <row r="55">
          <cell r="D55" t="str">
            <v xml:space="preserve">Kab. Agam         </v>
          </cell>
          <cell r="E55">
            <v>292</v>
          </cell>
        </row>
        <row r="56">
          <cell r="D56" t="str">
            <v>Kab. Kepulauan Mentawai</v>
          </cell>
          <cell r="E56">
            <v>217</v>
          </cell>
        </row>
        <row r="57">
          <cell r="D57" t="str">
            <v>Kab. Padang Pariaman</v>
          </cell>
          <cell r="E57">
            <v>275</v>
          </cell>
        </row>
        <row r="58">
          <cell r="D58" t="str">
            <v xml:space="preserve">Kab. Pasaman    </v>
          </cell>
          <cell r="E58">
            <v>278</v>
          </cell>
        </row>
        <row r="59">
          <cell r="D59" t="str">
            <v>Kab. Pesisir Selatan</v>
          </cell>
          <cell r="E59">
            <v>293</v>
          </cell>
        </row>
        <row r="60">
          <cell r="D60" t="str">
            <v>Kab. Sawahlunto Sijunjung</v>
          </cell>
          <cell r="E60">
            <v>264</v>
          </cell>
        </row>
        <row r="61">
          <cell r="D61" t="str">
            <v>Kab. Solok</v>
          </cell>
          <cell r="E61">
            <v>290</v>
          </cell>
        </row>
        <row r="62">
          <cell r="D62" t="str">
            <v>Kab. Tanah Datar</v>
          </cell>
          <cell r="E62">
            <v>286</v>
          </cell>
        </row>
        <row r="63">
          <cell r="D63" t="str">
            <v>Kota Bukit Tinggi</v>
          </cell>
          <cell r="E63">
            <v>130</v>
          </cell>
        </row>
        <row r="64">
          <cell r="D64" t="str">
            <v>Kota Padang Panjang</v>
          </cell>
          <cell r="E64">
            <v>161</v>
          </cell>
        </row>
        <row r="65">
          <cell r="D65" t="str">
            <v>Kota Padang</v>
          </cell>
          <cell r="E65">
            <v>274</v>
          </cell>
        </row>
        <row r="66">
          <cell r="D66" t="str">
            <v>Kota Payakumbuh</v>
          </cell>
          <cell r="E66">
            <v>255</v>
          </cell>
        </row>
        <row r="67">
          <cell r="D67" t="str">
            <v>Kota Sawahlunto</v>
          </cell>
          <cell r="E67">
            <v>278</v>
          </cell>
        </row>
        <row r="68">
          <cell r="D68" t="str">
            <v>Kota Solok</v>
          </cell>
          <cell r="E68">
            <v>221</v>
          </cell>
        </row>
        <row r="69">
          <cell r="D69" t="str">
            <v>Kota Pariaman</v>
          </cell>
          <cell r="E69">
            <v>289</v>
          </cell>
        </row>
        <row r="70">
          <cell r="D70" t="str">
            <v>Kab. Pasaman Barat</v>
          </cell>
          <cell r="E70">
            <v>292</v>
          </cell>
        </row>
        <row r="71">
          <cell r="D71" t="str">
            <v>Kab. Dharmasraya</v>
          </cell>
          <cell r="E71">
            <v>284</v>
          </cell>
        </row>
        <row r="72">
          <cell r="D72" t="str">
            <v>Kab. Solok Selatan</v>
          </cell>
          <cell r="E72">
            <v>278</v>
          </cell>
          <cell r="F72">
            <v>4931</v>
          </cell>
        </row>
        <row r="73">
          <cell r="D73" t="str">
            <v>Provinsi  Riau</v>
          </cell>
          <cell r="E73">
            <v>117</v>
          </cell>
        </row>
        <row r="74">
          <cell r="D74" t="str">
            <v>Kab. Bengkalis</v>
          </cell>
          <cell r="E74">
            <v>270</v>
          </cell>
        </row>
        <row r="75">
          <cell r="D75" t="str">
            <v>Kab. Indragiri Hilir</v>
          </cell>
          <cell r="E75">
            <v>278</v>
          </cell>
        </row>
        <row r="76">
          <cell r="D76" t="str">
            <v>Kab. Indragiri Hulu</v>
          </cell>
          <cell r="E76">
            <v>255</v>
          </cell>
        </row>
        <row r="77">
          <cell r="D77" t="str">
            <v>Kab. Kampar</v>
          </cell>
          <cell r="E77">
            <v>271</v>
          </cell>
        </row>
        <row r="78">
          <cell r="D78" t="str">
            <v>Kab. Kuantan Singingi</v>
          </cell>
          <cell r="E78">
            <v>262</v>
          </cell>
        </row>
        <row r="79">
          <cell r="D79" t="str">
            <v>Kab. Pelalawan</v>
          </cell>
          <cell r="E79">
            <v>266</v>
          </cell>
        </row>
        <row r="80">
          <cell r="D80" t="str">
            <v>Kab. Rokan Hilir</v>
          </cell>
          <cell r="E80">
            <v>259</v>
          </cell>
        </row>
        <row r="81">
          <cell r="D81" t="str">
            <v>Kab. Rokan Hulu</v>
          </cell>
          <cell r="E81">
            <v>303</v>
          </cell>
        </row>
        <row r="82">
          <cell r="D82" t="str">
            <v>Kab. Siak</v>
          </cell>
          <cell r="E82">
            <v>277</v>
          </cell>
        </row>
        <row r="83">
          <cell r="D83" t="str">
            <v>Kota Dumai</v>
          </cell>
          <cell r="E83">
            <v>243</v>
          </cell>
        </row>
        <row r="84">
          <cell r="D84" t="str">
            <v>Kota Pekanbaru</v>
          </cell>
          <cell r="E84">
            <v>171</v>
          </cell>
          <cell r="F84">
            <v>2972</v>
          </cell>
        </row>
        <row r="85">
          <cell r="D85" t="str">
            <v xml:space="preserve">Provinsi  Kepulauan Riau </v>
          </cell>
          <cell r="E85">
            <v>117</v>
          </cell>
        </row>
        <row r="86">
          <cell r="D86" t="str">
            <v>Kab. Kepulauan Riau</v>
          </cell>
          <cell r="E86">
            <v>263</v>
          </cell>
        </row>
        <row r="87">
          <cell r="D87" t="str">
            <v>Kab. Natuna</v>
          </cell>
          <cell r="E87">
            <v>290</v>
          </cell>
        </row>
        <row r="88">
          <cell r="D88" t="str">
            <v>Kab. Karimun</v>
          </cell>
          <cell r="E88">
            <v>312</v>
          </cell>
        </row>
        <row r="89">
          <cell r="D89" t="str">
            <v>Kota  Batam</v>
          </cell>
          <cell r="E89">
            <v>311</v>
          </cell>
        </row>
        <row r="90">
          <cell r="D90" t="str">
            <v>Kota Tanjung Pinang</v>
          </cell>
          <cell r="E90">
            <v>242</v>
          </cell>
        </row>
        <row r="91">
          <cell r="D91" t="str">
            <v>Kab. Lingga</v>
          </cell>
          <cell r="E91">
            <v>293</v>
          </cell>
          <cell r="F91">
            <v>1828</v>
          </cell>
        </row>
        <row r="92">
          <cell r="D92" t="str">
            <v>Provinsi  Jambi</v>
          </cell>
          <cell r="E92">
            <v>68</v>
          </cell>
        </row>
        <row r="93">
          <cell r="D93" t="str">
            <v>Kab. Batanghari</v>
          </cell>
          <cell r="E93">
            <v>265</v>
          </cell>
        </row>
        <row r="94">
          <cell r="D94" t="str">
            <v xml:space="preserve">Kab. Bungo     </v>
          </cell>
          <cell r="E94">
            <v>199</v>
          </cell>
        </row>
        <row r="95">
          <cell r="D95" t="str">
            <v>Kab. Kerinci</v>
          </cell>
          <cell r="E95">
            <v>264</v>
          </cell>
        </row>
        <row r="96">
          <cell r="D96" t="str">
            <v>Kab. Merangin</v>
          </cell>
          <cell r="E96">
            <v>279</v>
          </cell>
        </row>
        <row r="97">
          <cell r="D97" t="str">
            <v>Kab. Muaro Jambi</v>
          </cell>
          <cell r="E97">
            <v>275</v>
          </cell>
        </row>
        <row r="98">
          <cell r="D98" t="str">
            <v>Kab. Sarolangun</v>
          </cell>
          <cell r="E98">
            <v>291</v>
          </cell>
        </row>
        <row r="99">
          <cell r="D99" t="str">
            <v>Kab. Tanjung Jabung Barat</v>
          </cell>
          <cell r="E99">
            <v>274</v>
          </cell>
        </row>
        <row r="100">
          <cell r="D100" t="str">
            <v>Kab. Tanjung Jabung Timur</v>
          </cell>
          <cell r="E100">
            <v>191</v>
          </cell>
        </row>
        <row r="101">
          <cell r="D101" t="str">
            <v>Kab. Tebo</v>
          </cell>
          <cell r="E101">
            <v>264</v>
          </cell>
        </row>
        <row r="102">
          <cell r="D102" t="str">
            <v>Kota Jambi</v>
          </cell>
          <cell r="E102">
            <v>229</v>
          </cell>
          <cell r="F102">
            <v>2599</v>
          </cell>
        </row>
        <row r="103">
          <cell r="D103" t="str">
            <v>Provinsi  Sumatera Selatan</v>
          </cell>
          <cell r="E103">
            <v>0</v>
          </cell>
        </row>
        <row r="104">
          <cell r="D104" t="str">
            <v xml:space="preserve">Kab. Lahat     </v>
          </cell>
          <cell r="E104">
            <v>244</v>
          </cell>
        </row>
        <row r="105">
          <cell r="D105" t="str">
            <v>Kab. Musi Banyuasin</v>
          </cell>
          <cell r="E105">
            <v>170</v>
          </cell>
        </row>
        <row r="106">
          <cell r="D106" t="str">
            <v xml:space="preserve">Kab. Musi Rawas   </v>
          </cell>
          <cell r="E106">
            <v>278</v>
          </cell>
        </row>
        <row r="107">
          <cell r="D107" t="str">
            <v xml:space="preserve">Kab. Muara Enim </v>
          </cell>
          <cell r="E107">
            <v>295</v>
          </cell>
        </row>
        <row r="108">
          <cell r="D108" t="str">
            <v>Kab. Ogan Komering Ilir</v>
          </cell>
          <cell r="E108">
            <v>254</v>
          </cell>
        </row>
        <row r="109">
          <cell r="D109" t="str">
            <v>Kab. Ogan Komering Ulu</v>
          </cell>
          <cell r="E109">
            <v>263</v>
          </cell>
        </row>
        <row r="110">
          <cell r="D110" t="str">
            <v xml:space="preserve">Kota Palembang </v>
          </cell>
          <cell r="E110">
            <v>0</v>
          </cell>
        </row>
        <row r="111">
          <cell r="D111" t="str">
            <v>Kota Pagar Alam</v>
          </cell>
          <cell r="E111">
            <v>248</v>
          </cell>
        </row>
        <row r="112">
          <cell r="D112" t="str">
            <v>Kota Lubuk Linggau</v>
          </cell>
          <cell r="E112">
            <v>280</v>
          </cell>
        </row>
        <row r="113">
          <cell r="D113" t="str">
            <v>Kota Prabumulih</v>
          </cell>
          <cell r="E113">
            <v>282</v>
          </cell>
        </row>
        <row r="114">
          <cell r="D114" t="str">
            <v>Kab. Banyuasin</v>
          </cell>
          <cell r="E114">
            <v>0</v>
          </cell>
        </row>
        <row r="115">
          <cell r="D115" t="str">
            <v>Kab. Ogan Ilir</v>
          </cell>
          <cell r="E115">
            <v>0</v>
          </cell>
        </row>
        <row r="116">
          <cell r="D116" t="str">
            <v>Kab. OKU Timur</v>
          </cell>
          <cell r="E116">
            <v>285</v>
          </cell>
        </row>
        <row r="117">
          <cell r="D117" t="str">
            <v>Kab. OKU Selatan</v>
          </cell>
          <cell r="E117">
            <v>282</v>
          </cell>
          <cell r="F117">
            <v>2881</v>
          </cell>
        </row>
        <row r="118">
          <cell r="D118" t="str">
            <v>Provinsi  Bangka Belitung</v>
          </cell>
          <cell r="E118">
            <v>0</v>
          </cell>
        </row>
        <row r="119">
          <cell r="D119" t="str">
            <v>Kab. Bangka</v>
          </cell>
          <cell r="E119">
            <v>282</v>
          </cell>
        </row>
        <row r="120">
          <cell r="D120" t="str">
            <v>Kab. Belitung</v>
          </cell>
          <cell r="E120">
            <v>280</v>
          </cell>
        </row>
        <row r="121">
          <cell r="D121" t="str">
            <v>Kota Pangkal Pinang</v>
          </cell>
          <cell r="E121">
            <v>278</v>
          </cell>
        </row>
        <row r="122">
          <cell r="D122" t="str">
            <v>Kab. Bangka Selatan</v>
          </cell>
          <cell r="E122">
            <v>291</v>
          </cell>
        </row>
        <row r="123">
          <cell r="D123" t="str">
            <v>Kab. Bangka Tengah</v>
          </cell>
          <cell r="E123">
            <v>289</v>
          </cell>
        </row>
        <row r="124">
          <cell r="D124" t="str">
            <v>Kab. Bangka Barat</v>
          </cell>
          <cell r="E124">
            <v>290</v>
          </cell>
        </row>
        <row r="125">
          <cell r="D125" t="str">
            <v>Kab. Belitung Timur</v>
          </cell>
          <cell r="E125">
            <v>298</v>
          </cell>
          <cell r="F125">
            <v>2008</v>
          </cell>
        </row>
        <row r="126">
          <cell r="D126" t="str">
            <v>Provinsi  Bengkulu</v>
          </cell>
          <cell r="E126">
            <v>124</v>
          </cell>
        </row>
        <row r="127">
          <cell r="D127" t="str">
            <v>Kab. Bengkulu Selatan</v>
          </cell>
          <cell r="E127">
            <v>285</v>
          </cell>
        </row>
        <row r="128">
          <cell r="D128" t="str">
            <v>Kab. Bengkulu Utara</v>
          </cell>
          <cell r="E128">
            <v>256</v>
          </cell>
        </row>
        <row r="129">
          <cell r="D129" t="str">
            <v>Kab. Rejang Lebong</v>
          </cell>
          <cell r="E129">
            <v>267</v>
          </cell>
        </row>
        <row r="130">
          <cell r="D130" t="str">
            <v>Kota Bengkulu</v>
          </cell>
          <cell r="E130">
            <v>250</v>
          </cell>
        </row>
        <row r="131">
          <cell r="D131" t="str">
            <v>Kab. Kaur</v>
          </cell>
          <cell r="E131">
            <v>217</v>
          </cell>
        </row>
        <row r="132">
          <cell r="D132" t="str">
            <v>Kab. Seluma</v>
          </cell>
          <cell r="E132">
            <v>200</v>
          </cell>
        </row>
        <row r="133">
          <cell r="D133" t="str">
            <v>Kab. Mukomuko</v>
          </cell>
          <cell r="E133">
            <v>168</v>
          </cell>
        </row>
        <row r="134">
          <cell r="D134" t="str">
            <v>Kab. Lebong</v>
          </cell>
          <cell r="E134">
            <v>283</v>
          </cell>
        </row>
        <row r="135">
          <cell r="D135" t="str">
            <v>Kab. Kepahiang</v>
          </cell>
          <cell r="E135">
            <v>281</v>
          </cell>
          <cell r="F135">
            <v>2331</v>
          </cell>
        </row>
        <row r="136">
          <cell r="D136" t="str">
            <v>Provinsi  Lampung</v>
          </cell>
          <cell r="E136">
            <v>40</v>
          </cell>
        </row>
        <row r="137">
          <cell r="D137" t="str">
            <v>Kab. Lampung Barat</v>
          </cell>
          <cell r="E137">
            <v>241</v>
          </cell>
        </row>
        <row r="138">
          <cell r="D138" t="str">
            <v>Kab. Lampung Selatan</v>
          </cell>
          <cell r="E138">
            <v>267</v>
          </cell>
        </row>
        <row r="139">
          <cell r="D139" t="str">
            <v>Kab. Lampung Tengah</v>
          </cell>
          <cell r="E139">
            <v>282</v>
          </cell>
        </row>
        <row r="140">
          <cell r="D140" t="str">
            <v>Kab. Lampung Utara</v>
          </cell>
          <cell r="E140">
            <v>269</v>
          </cell>
        </row>
        <row r="141">
          <cell r="D141" t="str">
            <v>Kab. Lampung Timur</v>
          </cell>
          <cell r="E141">
            <v>236</v>
          </cell>
        </row>
        <row r="142">
          <cell r="D142" t="str">
            <v>Kab. Tanggamus</v>
          </cell>
          <cell r="E142">
            <v>292</v>
          </cell>
        </row>
        <row r="143">
          <cell r="D143" t="str">
            <v>Kab. Tulang Bawang</v>
          </cell>
          <cell r="E143">
            <v>267</v>
          </cell>
        </row>
        <row r="144">
          <cell r="D144" t="str">
            <v>Kab. Way Kanan</v>
          </cell>
          <cell r="E144">
            <v>256</v>
          </cell>
        </row>
        <row r="145">
          <cell r="D145" t="str">
            <v xml:space="preserve">Kota Bandar Lampung </v>
          </cell>
          <cell r="E145">
            <v>270</v>
          </cell>
        </row>
        <row r="146">
          <cell r="D146" t="str">
            <v>Kota Metro</v>
          </cell>
          <cell r="E146">
            <v>230</v>
          </cell>
          <cell r="F146">
            <v>2650</v>
          </cell>
        </row>
        <row r="147">
          <cell r="D147" t="str">
            <v>Provinsi  DKI Jakarta</v>
          </cell>
          <cell r="E147">
            <v>0</v>
          </cell>
        </row>
        <row r="148">
          <cell r="D148" t="str">
            <v>Provinsi Jawa Barat</v>
          </cell>
          <cell r="E148">
            <v>260</v>
          </cell>
        </row>
        <row r="149">
          <cell r="D149" t="str">
            <v>Kab. Bandung</v>
          </cell>
          <cell r="E149">
            <v>268</v>
          </cell>
        </row>
        <row r="150">
          <cell r="D150" t="str">
            <v>Kab. Bekasi</v>
          </cell>
          <cell r="E150">
            <v>328</v>
          </cell>
        </row>
        <row r="151">
          <cell r="D151" t="str">
            <v>Kab. Bogor</v>
          </cell>
          <cell r="E151">
            <v>268</v>
          </cell>
        </row>
        <row r="152">
          <cell r="D152" t="str">
            <v>Kab. Ciamis</v>
          </cell>
          <cell r="E152">
            <v>329</v>
          </cell>
        </row>
        <row r="153">
          <cell r="D153" t="str">
            <v>Kab. Cianjur</v>
          </cell>
          <cell r="E153">
            <v>317</v>
          </cell>
        </row>
        <row r="154">
          <cell r="D154" t="str">
            <v>Kab. Cirebon</v>
          </cell>
          <cell r="E154">
            <v>268</v>
          </cell>
        </row>
        <row r="155">
          <cell r="D155" t="str">
            <v>Kab. Garut</v>
          </cell>
          <cell r="E155">
            <v>323</v>
          </cell>
        </row>
        <row r="156">
          <cell r="D156" t="str">
            <v>Kab. Indramayu</v>
          </cell>
          <cell r="E156">
            <v>278</v>
          </cell>
        </row>
        <row r="157">
          <cell r="D157" t="str">
            <v xml:space="preserve">Kab. Karawang    </v>
          </cell>
          <cell r="E157">
            <v>267</v>
          </cell>
        </row>
        <row r="158">
          <cell r="D158" t="str">
            <v>Kab. Kuningan</v>
          </cell>
          <cell r="E158">
            <v>306</v>
          </cell>
        </row>
        <row r="159">
          <cell r="D159" t="str">
            <v xml:space="preserve">Kab. Majalengka  </v>
          </cell>
          <cell r="E159">
            <v>276</v>
          </cell>
        </row>
        <row r="160">
          <cell r="D160" t="str">
            <v>Kab. Purwakarta</v>
          </cell>
          <cell r="E160">
            <v>125</v>
          </cell>
        </row>
        <row r="161">
          <cell r="D161" t="str">
            <v xml:space="preserve">Kab. Subang          </v>
          </cell>
          <cell r="E161">
            <v>200</v>
          </cell>
        </row>
        <row r="162">
          <cell r="D162" t="str">
            <v>Kab. Sukabumi</v>
          </cell>
          <cell r="E162">
            <v>273</v>
          </cell>
        </row>
        <row r="163">
          <cell r="D163" t="str">
            <v>Kab. Sumedang</v>
          </cell>
          <cell r="E163">
            <v>275</v>
          </cell>
        </row>
        <row r="164">
          <cell r="D164" t="str">
            <v>Kab. Tasikmalaya</v>
          </cell>
          <cell r="E164">
            <v>320</v>
          </cell>
        </row>
        <row r="165">
          <cell r="D165" t="str">
            <v>Kota Bandung</v>
          </cell>
          <cell r="E165">
            <v>325</v>
          </cell>
        </row>
        <row r="166">
          <cell r="D166" t="str">
            <v>Kota Bekasi</v>
          </cell>
          <cell r="E166">
            <v>323</v>
          </cell>
        </row>
        <row r="167">
          <cell r="D167" t="str">
            <v>Kota Bogor</v>
          </cell>
          <cell r="E167">
            <v>256</v>
          </cell>
        </row>
        <row r="168">
          <cell r="D168" t="str">
            <v>Kota Cirebon</v>
          </cell>
          <cell r="E168">
            <v>268</v>
          </cell>
        </row>
        <row r="169">
          <cell r="D169" t="str">
            <v>Kota Depok</v>
          </cell>
          <cell r="E169">
            <v>317</v>
          </cell>
        </row>
        <row r="170">
          <cell r="D170" t="str">
            <v>Kota Sukabumi</v>
          </cell>
          <cell r="E170">
            <v>232</v>
          </cell>
        </row>
        <row r="171">
          <cell r="D171" t="str">
            <v>Kota Cimahi</v>
          </cell>
          <cell r="E171">
            <v>136</v>
          </cell>
        </row>
        <row r="172">
          <cell r="D172" t="str">
            <v>Kota Tasikmalaya</v>
          </cell>
          <cell r="E172">
            <v>320</v>
          </cell>
        </row>
        <row r="173">
          <cell r="D173" t="str">
            <v>Kota Banjar</v>
          </cell>
          <cell r="E173">
            <v>288</v>
          </cell>
          <cell r="F173">
            <v>7146</v>
          </cell>
        </row>
        <row r="174">
          <cell r="D174" t="str">
            <v>Provinsi  Banten</v>
          </cell>
          <cell r="E174">
            <v>0</v>
          </cell>
        </row>
        <row r="175">
          <cell r="D175" t="str">
            <v>Kab. Lebak</v>
          </cell>
          <cell r="E175">
            <v>491</v>
          </cell>
        </row>
        <row r="176">
          <cell r="D176" t="str">
            <v>Kab. Pandeglang</v>
          </cell>
          <cell r="E176">
            <v>274</v>
          </cell>
        </row>
        <row r="177">
          <cell r="D177" t="str">
            <v>Kab. Serang</v>
          </cell>
          <cell r="E177">
            <v>277</v>
          </cell>
        </row>
        <row r="178">
          <cell r="D178" t="str">
            <v>Kab. Tangerang</v>
          </cell>
          <cell r="E178">
            <v>348</v>
          </cell>
        </row>
        <row r="179">
          <cell r="D179" t="str">
            <v>Kota Cilegon</v>
          </cell>
          <cell r="E179">
            <v>265</v>
          </cell>
        </row>
        <row r="180">
          <cell r="D180" t="str">
            <v>Kota Tangerang</v>
          </cell>
          <cell r="E180">
            <v>293</v>
          </cell>
          <cell r="F180">
            <v>1948</v>
          </cell>
        </row>
        <row r="181">
          <cell r="D181" t="str">
            <v>Provinsi  Jawa Tengah</v>
          </cell>
          <cell r="E181">
            <v>100</v>
          </cell>
        </row>
        <row r="182">
          <cell r="D182" t="str">
            <v>Kab. Banjarnegara</v>
          </cell>
          <cell r="E182">
            <v>275</v>
          </cell>
        </row>
        <row r="183">
          <cell r="D183" t="str">
            <v>Kab. Banyumas</v>
          </cell>
          <cell r="E183">
            <v>274</v>
          </cell>
        </row>
        <row r="184">
          <cell r="D184" t="str">
            <v>Kab. Batang</v>
          </cell>
          <cell r="E184">
            <v>276</v>
          </cell>
        </row>
        <row r="185">
          <cell r="D185" t="str">
            <v>Kab. Blora</v>
          </cell>
          <cell r="E185">
            <v>272</v>
          </cell>
        </row>
        <row r="186">
          <cell r="D186" t="str">
            <v>Kab. Boyolali</v>
          </cell>
          <cell r="E186">
            <v>277</v>
          </cell>
        </row>
        <row r="187">
          <cell r="D187" t="str">
            <v>Kab. Brebes</v>
          </cell>
          <cell r="E187">
            <v>268</v>
          </cell>
        </row>
        <row r="188">
          <cell r="D188" t="str">
            <v xml:space="preserve">Kab. Cilacap    </v>
          </cell>
          <cell r="E188">
            <v>317</v>
          </cell>
        </row>
        <row r="189">
          <cell r="D189" t="str">
            <v xml:space="preserve">Kab. Demak  </v>
          </cell>
          <cell r="E189">
            <v>0</v>
          </cell>
        </row>
        <row r="190">
          <cell r="D190" t="str">
            <v>Kab. Grobogan</v>
          </cell>
          <cell r="E190">
            <v>362</v>
          </cell>
        </row>
        <row r="191">
          <cell r="D191" t="str">
            <v>Kab. Jepara</v>
          </cell>
          <cell r="E191">
            <v>281</v>
          </cell>
        </row>
        <row r="192">
          <cell r="D192" t="str">
            <v>Kab. Karanganyar</v>
          </cell>
          <cell r="E192">
            <v>308</v>
          </cell>
        </row>
        <row r="193">
          <cell r="D193" t="str">
            <v>Kab. Kebumen</v>
          </cell>
          <cell r="E193">
            <v>237</v>
          </cell>
        </row>
        <row r="194">
          <cell r="D194" t="str">
            <v xml:space="preserve">Kab. Kendal </v>
          </cell>
          <cell r="E194">
            <v>275</v>
          </cell>
        </row>
        <row r="195">
          <cell r="D195" t="str">
            <v>Kab. Klaten</v>
          </cell>
          <cell r="E195">
            <v>245</v>
          </cell>
        </row>
        <row r="196">
          <cell r="D196" t="str">
            <v>Kab. Kudus</v>
          </cell>
          <cell r="E196">
            <v>275</v>
          </cell>
        </row>
        <row r="197">
          <cell r="D197" t="str">
            <v>Kab. Magelang</v>
          </cell>
          <cell r="E197">
            <v>198</v>
          </cell>
        </row>
        <row r="198">
          <cell r="D198" t="str">
            <v>Kab. Pati</v>
          </cell>
          <cell r="E198">
            <v>325</v>
          </cell>
        </row>
        <row r="199">
          <cell r="D199" t="str">
            <v>Kab. Pekalongan</v>
          </cell>
          <cell r="E199">
            <v>241</v>
          </cell>
        </row>
        <row r="200">
          <cell r="D200" t="str">
            <v>Kab. Pemalang</v>
          </cell>
          <cell r="E200">
            <v>279</v>
          </cell>
        </row>
        <row r="201">
          <cell r="D201" t="str">
            <v xml:space="preserve">Kab. Purbalingga       </v>
          </cell>
          <cell r="E201">
            <v>250</v>
          </cell>
        </row>
        <row r="202">
          <cell r="D202" t="str">
            <v>Kab. Purworejo</v>
          </cell>
          <cell r="E202">
            <v>183</v>
          </cell>
        </row>
        <row r="203">
          <cell r="D203" t="str">
            <v>Kab. Rembang</v>
          </cell>
          <cell r="E203">
            <v>275</v>
          </cell>
        </row>
        <row r="204">
          <cell r="D204" t="str">
            <v>Kab. Semarang</v>
          </cell>
          <cell r="E204">
            <v>277</v>
          </cell>
        </row>
        <row r="205">
          <cell r="D205" t="str">
            <v>Kab. Sragen</v>
          </cell>
          <cell r="E205">
            <v>277</v>
          </cell>
        </row>
        <row r="206">
          <cell r="D206" t="str">
            <v>Kab. Sukoharjo</v>
          </cell>
          <cell r="E206">
            <v>277</v>
          </cell>
        </row>
        <row r="207">
          <cell r="D207" t="str">
            <v>Kab. Tegal</v>
          </cell>
          <cell r="E207">
            <v>298</v>
          </cell>
        </row>
        <row r="208">
          <cell r="D208" t="str">
            <v>Kab. Temanggung</v>
          </cell>
          <cell r="E208">
            <v>276</v>
          </cell>
        </row>
        <row r="209">
          <cell r="D209" t="str">
            <v>Kab. Wonogiri</v>
          </cell>
          <cell r="E209">
            <v>287</v>
          </cell>
        </row>
        <row r="210">
          <cell r="D210" t="str">
            <v xml:space="preserve">Kab. Wonosobo       </v>
          </cell>
          <cell r="E210">
            <v>270</v>
          </cell>
        </row>
        <row r="211">
          <cell r="D211" t="str">
            <v>Kota Magelang</v>
          </cell>
          <cell r="E211">
            <v>216</v>
          </cell>
        </row>
        <row r="212">
          <cell r="D212" t="str">
            <v>Kota Pekalongan</v>
          </cell>
          <cell r="E212">
            <v>169</v>
          </cell>
        </row>
        <row r="213">
          <cell r="D213" t="str">
            <v>Kota Salatiga</v>
          </cell>
          <cell r="E213">
            <v>218</v>
          </cell>
        </row>
        <row r="214">
          <cell r="D214" t="str">
            <v>Kota Semarang</v>
          </cell>
          <cell r="E214">
            <v>275</v>
          </cell>
        </row>
        <row r="215">
          <cell r="D215" t="str">
            <v>Kota Surakarta</v>
          </cell>
          <cell r="E215">
            <v>326</v>
          </cell>
        </row>
        <row r="216">
          <cell r="D216" t="str">
            <v xml:space="preserve">Kota Tegal </v>
          </cell>
          <cell r="E216">
            <v>199</v>
          </cell>
          <cell r="F216">
            <v>9158</v>
          </cell>
        </row>
        <row r="217">
          <cell r="D217" t="str">
            <v>Provinsi DI Yogyakarta</v>
          </cell>
          <cell r="E217">
            <v>171</v>
          </cell>
        </row>
        <row r="218">
          <cell r="D218" t="str">
            <v>Kab. Bantul</v>
          </cell>
          <cell r="E218">
            <v>272</v>
          </cell>
        </row>
        <row r="219">
          <cell r="D219" t="str">
            <v>Kab. Gunung Kidul</v>
          </cell>
          <cell r="E219">
            <v>277</v>
          </cell>
        </row>
        <row r="220">
          <cell r="D220" t="str">
            <v>Kab. Kulon Progo</v>
          </cell>
          <cell r="E220">
            <v>254</v>
          </cell>
        </row>
        <row r="221">
          <cell r="D221" t="str">
            <v>Kab. Sleman</v>
          </cell>
          <cell r="E221">
            <v>276</v>
          </cell>
        </row>
        <row r="222">
          <cell r="D222" t="str">
            <v>Kota Yogyakarta</v>
          </cell>
          <cell r="E222">
            <v>68</v>
          </cell>
          <cell r="F222">
            <v>1318</v>
          </cell>
        </row>
        <row r="223">
          <cell r="D223" t="str">
            <v>Provinsi  Jawa Timur</v>
          </cell>
          <cell r="E223">
            <v>139</v>
          </cell>
        </row>
        <row r="224">
          <cell r="D224" t="str">
            <v>Kab. Bangkalan</v>
          </cell>
          <cell r="E224">
            <v>298</v>
          </cell>
        </row>
        <row r="225">
          <cell r="D225" t="str">
            <v>Kab. Banyuwangi</v>
          </cell>
          <cell r="E225">
            <v>258</v>
          </cell>
        </row>
        <row r="226">
          <cell r="D226" t="str">
            <v>Kab. Blitar</v>
          </cell>
          <cell r="E226">
            <v>0</v>
          </cell>
        </row>
        <row r="227">
          <cell r="D227" t="str">
            <v>Kab. Bojonegoro</v>
          </cell>
          <cell r="E227">
            <v>256</v>
          </cell>
        </row>
        <row r="228">
          <cell r="D228" t="str">
            <v>Kab. Bondowoso</v>
          </cell>
          <cell r="E228">
            <v>271</v>
          </cell>
        </row>
        <row r="229">
          <cell r="D229" t="str">
            <v>Kab. Gresik</v>
          </cell>
          <cell r="E229">
            <v>270</v>
          </cell>
        </row>
        <row r="230">
          <cell r="D230" t="str">
            <v>Kab. Jember</v>
          </cell>
          <cell r="E230">
            <v>299</v>
          </cell>
        </row>
        <row r="231">
          <cell r="D231" t="str">
            <v>Kab. Jombang</v>
          </cell>
          <cell r="E231">
            <v>283</v>
          </cell>
        </row>
        <row r="232">
          <cell r="D232" t="str">
            <v>Kab. Kediri</v>
          </cell>
          <cell r="E232">
            <v>260</v>
          </cell>
        </row>
        <row r="233">
          <cell r="D233" t="str">
            <v>Kab. Lamongan</v>
          </cell>
          <cell r="E233">
            <v>0</v>
          </cell>
        </row>
        <row r="234">
          <cell r="D234" t="str">
            <v>Kab. Lumajang</v>
          </cell>
          <cell r="E234">
            <v>279</v>
          </cell>
        </row>
        <row r="235">
          <cell r="D235" t="str">
            <v>Kab. Madiun</v>
          </cell>
          <cell r="E235">
            <v>231</v>
          </cell>
        </row>
        <row r="236">
          <cell r="D236" t="str">
            <v>Kab. Magetan</v>
          </cell>
          <cell r="E236">
            <v>238</v>
          </cell>
        </row>
        <row r="237">
          <cell r="D237" t="str">
            <v>Kab. Malang</v>
          </cell>
          <cell r="E237">
            <v>247</v>
          </cell>
        </row>
        <row r="238">
          <cell r="D238" t="str">
            <v>Kab. Mojokerto</v>
          </cell>
          <cell r="E238">
            <v>199</v>
          </cell>
        </row>
        <row r="239">
          <cell r="D239" t="str">
            <v>Kab. Nganjuk</v>
          </cell>
          <cell r="E239">
            <v>267</v>
          </cell>
        </row>
        <row r="240">
          <cell r="D240" t="str">
            <v>Kab. Ngawi</v>
          </cell>
          <cell r="E240">
            <v>308</v>
          </cell>
        </row>
        <row r="241">
          <cell r="D241" t="str">
            <v>Kab. Pacitan</v>
          </cell>
          <cell r="E241">
            <v>273</v>
          </cell>
        </row>
        <row r="242">
          <cell r="D242" t="str">
            <v>Kab. Pamekasan</v>
          </cell>
          <cell r="E242">
            <v>227</v>
          </cell>
        </row>
        <row r="243">
          <cell r="D243" t="str">
            <v>Kab. Pasuruan</v>
          </cell>
          <cell r="E243">
            <v>195</v>
          </cell>
        </row>
        <row r="244">
          <cell r="D244" t="str">
            <v>Kab. Ponorogo</v>
          </cell>
          <cell r="E244">
            <v>0</v>
          </cell>
        </row>
        <row r="245">
          <cell r="D245" t="str">
            <v xml:space="preserve">Kab. Probolinggo    </v>
          </cell>
          <cell r="E245">
            <v>0</v>
          </cell>
        </row>
        <row r="246">
          <cell r="D246" t="str">
            <v>Kab. Sampang</v>
          </cell>
          <cell r="E246">
            <v>274</v>
          </cell>
        </row>
        <row r="247">
          <cell r="D247" t="str">
            <v>Kab. Sidoarjo</v>
          </cell>
          <cell r="E247">
            <v>264</v>
          </cell>
        </row>
        <row r="248">
          <cell r="D248" t="str">
            <v>Kab. Situbondo</v>
          </cell>
          <cell r="E248">
            <v>269</v>
          </cell>
        </row>
        <row r="249">
          <cell r="D249" t="str">
            <v>Kab. Sumenep</v>
          </cell>
          <cell r="E249">
            <v>250</v>
          </cell>
        </row>
        <row r="250">
          <cell r="D250" t="str">
            <v>Kab. Trenggalek</v>
          </cell>
          <cell r="E250">
            <v>230</v>
          </cell>
        </row>
        <row r="251">
          <cell r="D251" t="str">
            <v>Kab. Tuban</v>
          </cell>
          <cell r="E251">
            <v>101</v>
          </cell>
        </row>
        <row r="252">
          <cell r="D252" t="str">
            <v>Kab. Tulungagung</v>
          </cell>
          <cell r="E252">
            <v>259</v>
          </cell>
        </row>
        <row r="253">
          <cell r="D253" t="str">
            <v>Kota Blitar</v>
          </cell>
          <cell r="E253">
            <v>291</v>
          </cell>
        </row>
        <row r="254">
          <cell r="D254" t="str">
            <v>Kota Kediri</v>
          </cell>
          <cell r="E254">
            <v>230</v>
          </cell>
        </row>
        <row r="255">
          <cell r="D255" t="str">
            <v>Kota Madiun</v>
          </cell>
          <cell r="E255">
            <v>273</v>
          </cell>
        </row>
        <row r="256">
          <cell r="D256" t="str">
            <v>Kota Malang</v>
          </cell>
          <cell r="E256">
            <v>261</v>
          </cell>
        </row>
        <row r="257">
          <cell r="D257" t="str">
            <v>Kota Mojokerto</v>
          </cell>
          <cell r="E257">
            <v>147</v>
          </cell>
        </row>
        <row r="258">
          <cell r="D258" t="str">
            <v xml:space="preserve">Kota Pasuruan </v>
          </cell>
          <cell r="E258">
            <v>0</v>
          </cell>
        </row>
        <row r="259">
          <cell r="D259" t="str">
            <v>Kota Probollinggo</v>
          </cell>
          <cell r="E259">
            <v>259</v>
          </cell>
        </row>
        <row r="260">
          <cell r="D260" t="str">
            <v>Kota Surabaya</v>
          </cell>
          <cell r="E260">
            <v>270</v>
          </cell>
        </row>
        <row r="261">
          <cell r="D261" t="str">
            <v>Kota Batu</v>
          </cell>
          <cell r="E261">
            <v>171</v>
          </cell>
          <cell r="F261">
            <v>8347</v>
          </cell>
        </row>
        <row r="262">
          <cell r="D262" t="str">
            <v>Provinsi  Kalimantan Barat</v>
          </cell>
          <cell r="E262">
            <v>143</v>
          </cell>
        </row>
        <row r="263">
          <cell r="D263" t="str">
            <v>Kab. Bengkayang</v>
          </cell>
          <cell r="E263">
            <v>279</v>
          </cell>
        </row>
        <row r="264">
          <cell r="D264" t="str">
            <v>Kab. Landak</v>
          </cell>
          <cell r="E264">
            <v>265</v>
          </cell>
        </row>
        <row r="265">
          <cell r="D265" t="str">
            <v>Kab. Kapuas Hulu</v>
          </cell>
          <cell r="E265">
            <v>254</v>
          </cell>
        </row>
        <row r="266">
          <cell r="D266" t="str">
            <v>Kab. Ketapang</v>
          </cell>
          <cell r="E266">
            <v>0</v>
          </cell>
        </row>
        <row r="267">
          <cell r="D267" t="str">
            <v>Kab. Pontianak</v>
          </cell>
          <cell r="E267">
            <v>278</v>
          </cell>
        </row>
        <row r="268">
          <cell r="D268" t="str">
            <v>Kab. Sambas</v>
          </cell>
          <cell r="E268">
            <v>269</v>
          </cell>
        </row>
        <row r="269">
          <cell r="D269" t="str">
            <v>Kab. Sanggau</v>
          </cell>
          <cell r="E269">
            <v>287</v>
          </cell>
        </row>
        <row r="270">
          <cell r="D270" t="str">
            <v>Kab. Sintang</v>
          </cell>
          <cell r="E270">
            <v>251</v>
          </cell>
        </row>
        <row r="271">
          <cell r="D271" t="str">
            <v>Kota Pontianak</v>
          </cell>
          <cell r="E271">
            <v>246</v>
          </cell>
        </row>
        <row r="272">
          <cell r="D272" t="str">
            <v>Kota Singkawang</v>
          </cell>
          <cell r="E272">
            <v>1</v>
          </cell>
        </row>
        <row r="273">
          <cell r="D273" t="str">
            <v>Kab. Sekadau</v>
          </cell>
          <cell r="E273">
            <v>0</v>
          </cell>
        </row>
        <row r="274">
          <cell r="D274" t="str">
            <v>Kab. Melawi</v>
          </cell>
          <cell r="E274">
            <v>243</v>
          </cell>
        </row>
        <row r="275">
          <cell r="D275" t="str">
            <v>Provinsi  Kalimantan Tengah</v>
          </cell>
          <cell r="E275">
            <v>102</v>
          </cell>
        </row>
        <row r="276">
          <cell r="D276" t="str">
            <v>Kab. Barito Selatan</v>
          </cell>
          <cell r="E276">
            <v>258</v>
          </cell>
        </row>
        <row r="277">
          <cell r="D277" t="str">
            <v>Kab. Barito Utara</v>
          </cell>
          <cell r="E277">
            <v>266</v>
          </cell>
        </row>
        <row r="278">
          <cell r="D278" t="str">
            <v>Kab. Kapuas</v>
          </cell>
          <cell r="E278">
            <v>257</v>
          </cell>
        </row>
        <row r="279">
          <cell r="D279" t="str">
            <v>Kab. Kotawaringin Barat</v>
          </cell>
          <cell r="E279">
            <v>262</v>
          </cell>
        </row>
        <row r="280">
          <cell r="D280" t="str">
            <v>Kab. Kotawaringin Timur</v>
          </cell>
          <cell r="E280">
            <v>0</v>
          </cell>
        </row>
        <row r="281">
          <cell r="D281" t="str">
            <v>Kota Palangkaraya</v>
          </cell>
          <cell r="E281">
            <v>0</v>
          </cell>
        </row>
        <row r="282">
          <cell r="D282" t="str">
            <v>Kab. Barito Timur</v>
          </cell>
          <cell r="E282">
            <v>252</v>
          </cell>
        </row>
        <row r="283">
          <cell r="D283" t="str">
            <v>Kab. Murung Raya</v>
          </cell>
          <cell r="E283">
            <v>258</v>
          </cell>
        </row>
        <row r="284">
          <cell r="D284" t="str">
            <v>Kab. Pulang Pisau</v>
          </cell>
          <cell r="E284">
            <v>288</v>
          </cell>
        </row>
        <row r="285">
          <cell r="D285" t="str">
            <v>Kab. Gunung Mas</v>
          </cell>
          <cell r="E285">
            <v>285</v>
          </cell>
        </row>
        <row r="286">
          <cell r="D286" t="str">
            <v>Kab. Lamandau</v>
          </cell>
          <cell r="E286">
            <v>241</v>
          </cell>
        </row>
        <row r="287">
          <cell r="D287" t="str">
            <v>Kab. Sukamara</v>
          </cell>
          <cell r="E287">
            <v>208</v>
          </cell>
        </row>
        <row r="288">
          <cell r="D288" t="str">
            <v>Kab. Katingan</v>
          </cell>
          <cell r="E288">
            <v>281</v>
          </cell>
        </row>
        <row r="289">
          <cell r="D289" t="str">
            <v>Kab. Seruyan</v>
          </cell>
          <cell r="E289">
            <v>273</v>
          </cell>
        </row>
        <row r="290">
          <cell r="D290" t="str">
            <v>Provinsi  Kalimantan Selatan</v>
          </cell>
          <cell r="E290">
            <v>111</v>
          </cell>
        </row>
        <row r="291">
          <cell r="D291" t="str">
            <v xml:space="preserve">Kab. Banjar </v>
          </cell>
          <cell r="E291">
            <v>256</v>
          </cell>
        </row>
        <row r="292">
          <cell r="D292" t="str">
            <v>Kab. Barito Kuala</v>
          </cell>
          <cell r="E292">
            <v>265</v>
          </cell>
        </row>
        <row r="293">
          <cell r="D293" t="str">
            <v>Kab. Hulu Sungai Selatan</v>
          </cell>
          <cell r="E293">
            <v>252</v>
          </cell>
        </row>
        <row r="294">
          <cell r="D294" t="str">
            <v>Kab. Hulu Sungai Tengah</v>
          </cell>
          <cell r="E294">
            <v>72</v>
          </cell>
        </row>
        <row r="295">
          <cell r="D295" t="str">
            <v>Kab. Hulu Sungai Utara</v>
          </cell>
          <cell r="E295">
            <v>292</v>
          </cell>
        </row>
        <row r="296">
          <cell r="D296" t="str">
            <v>Kab. Kota Baru</v>
          </cell>
          <cell r="E296">
            <v>256</v>
          </cell>
        </row>
        <row r="297">
          <cell r="D297" t="str">
            <v>Kab. Tabalong</v>
          </cell>
          <cell r="E297">
            <v>224</v>
          </cell>
        </row>
        <row r="298">
          <cell r="D298" t="str">
            <v>Kab. Tanah Laut</v>
          </cell>
          <cell r="E298">
            <v>262</v>
          </cell>
        </row>
        <row r="299">
          <cell r="D299" t="str">
            <v>Kab. Tapin</v>
          </cell>
          <cell r="E299">
            <v>183</v>
          </cell>
        </row>
        <row r="300">
          <cell r="D300" t="str">
            <v>Kota Banjar Baru</v>
          </cell>
          <cell r="E300">
            <v>0</v>
          </cell>
        </row>
        <row r="301">
          <cell r="D301" t="str">
            <v xml:space="preserve">Kota Banjarmasin </v>
          </cell>
          <cell r="E301">
            <v>258</v>
          </cell>
        </row>
        <row r="302">
          <cell r="D302" t="str">
            <v>Kab. Balangan</v>
          </cell>
          <cell r="E302">
            <v>207</v>
          </cell>
        </row>
        <row r="303">
          <cell r="D303" t="str">
            <v>Kab. Tanah Bumbu</v>
          </cell>
          <cell r="E303">
            <v>0</v>
          </cell>
        </row>
        <row r="304">
          <cell r="D304" t="str">
            <v>Provinsi  Kalimantan Timur</v>
          </cell>
          <cell r="E304">
            <v>0</v>
          </cell>
        </row>
        <row r="305">
          <cell r="D305" t="str">
            <v>Kab. Berau</v>
          </cell>
          <cell r="E305">
            <v>214</v>
          </cell>
        </row>
        <row r="306">
          <cell r="D306" t="str">
            <v>Kab. Bulungan</v>
          </cell>
          <cell r="E306">
            <v>239</v>
          </cell>
        </row>
        <row r="307">
          <cell r="D307" t="str">
            <v>Kab.  Kutai</v>
          </cell>
          <cell r="E307">
            <v>244</v>
          </cell>
        </row>
        <row r="308">
          <cell r="D308" t="str">
            <v>Kab. Kutai Barat</v>
          </cell>
          <cell r="E308">
            <v>182</v>
          </cell>
        </row>
        <row r="309">
          <cell r="D309" t="str">
            <v>Kab. Kutai Timur</v>
          </cell>
          <cell r="E309">
            <v>264</v>
          </cell>
        </row>
        <row r="310">
          <cell r="D310" t="str">
            <v>Kab. Malinau</v>
          </cell>
          <cell r="E310">
            <v>224</v>
          </cell>
        </row>
        <row r="311">
          <cell r="D311" t="str">
            <v>Kab. Nunukan</v>
          </cell>
          <cell r="E311">
            <v>266</v>
          </cell>
        </row>
        <row r="312">
          <cell r="D312" t="str">
            <v>Kab. Pasir</v>
          </cell>
          <cell r="E312">
            <v>236</v>
          </cell>
        </row>
        <row r="313">
          <cell r="D313" t="str">
            <v>Kota Balikpapan</v>
          </cell>
          <cell r="E313">
            <v>146</v>
          </cell>
        </row>
        <row r="314">
          <cell r="D314" t="str">
            <v>Kota Bontang</v>
          </cell>
          <cell r="E314">
            <v>197</v>
          </cell>
        </row>
        <row r="315">
          <cell r="D315" t="str">
            <v>Kota Samarinda</v>
          </cell>
          <cell r="E315">
            <v>193</v>
          </cell>
        </row>
        <row r="316">
          <cell r="D316" t="str">
            <v>Kota Tarakan</v>
          </cell>
          <cell r="E316">
            <v>248</v>
          </cell>
        </row>
        <row r="317">
          <cell r="D317" t="str">
            <v>Kab. Penajam Paser Utara</v>
          </cell>
          <cell r="E317">
            <v>290</v>
          </cell>
        </row>
        <row r="318">
          <cell r="D318" t="str">
            <v>Provinsi  Sulawesi Utara</v>
          </cell>
          <cell r="E318">
            <v>164</v>
          </cell>
        </row>
        <row r="319">
          <cell r="D319" t="str">
            <v>Kab. Bolaang Mongondow</v>
          </cell>
          <cell r="E319">
            <v>282</v>
          </cell>
        </row>
        <row r="320">
          <cell r="D320" t="str">
            <v xml:space="preserve">Kab. Minahasa </v>
          </cell>
          <cell r="E320">
            <v>282</v>
          </cell>
        </row>
        <row r="321">
          <cell r="D321" t="str">
            <v>Kab. Sangihe</v>
          </cell>
          <cell r="E321">
            <v>299</v>
          </cell>
        </row>
        <row r="322">
          <cell r="D322" t="str">
            <v>Kota Bitung</v>
          </cell>
          <cell r="E322">
            <v>227</v>
          </cell>
        </row>
        <row r="323">
          <cell r="D323" t="str">
            <v>Kota Manado</v>
          </cell>
          <cell r="E323">
            <v>248</v>
          </cell>
        </row>
        <row r="324">
          <cell r="D324" t="str">
            <v>Kab. Kepulauan Talaud</v>
          </cell>
          <cell r="E324">
            <v>280</v>
          </cell>
        </row>
        <row r="325">
          <cell r="D325" t="str">
            <v>Kab. Minahasa Selatan</v>
          </cell>
          <cell r="E325">
            <v>0</v>
          </cell>
        </row>
        <row r="326">
          <cell r="D326" t="str">
            <v>Kota Tomohon</v>
          </cell>
          <cell r="E326">
            <v>0</v>
          </cell>
        </row>
        <row r="327">
          <cell r="D327" t="str">
            <v>Kab. Minahasa Utara</v>
          </cell>
          <cell r="E327">
            <v>0</v>
          </cell>
        </row>
        <row r="328">
          <cell r="D328" t="str">
            <v>Provinsi  Gorontalo</v>
          </cell>
          <cell r="E328">
            <v>129</v>
          </cell>
        </row>
        <row r="329">
          <cell r="D329" t="str">
            <v>Kab. Boalemo</v>
          </cell>
          <cell r="E329">
            <v>293</v>
          </cell>
        </row>
        <row r="330">
          <cell r="D330" t="str">
            <v xml:space="preserve">Kab. Gorontalo   </v>
          </cell>
          <cell r="E330">
            <v>283</v>
          </cell>
        </row>
        <row r="331">
          <cell r="D331" t="str">
            <v>Kota Gorontalo</v>
          </cell>
          <cell r="E331">
            <v>246</v>
          </cell>
        </row>
        <row r="332">
          <cell r="D332" t="str">
            <v>Kab. Pohuwato</v>
          </cell>
          <cell r="E332">
            <v>264</v>
          </cell>
        </row>
        <row r="333">
          <cell r="D333" t="str">
            <v>Kab. Bone Bolango</v>
          </cell>
          <cell r="E333">
            <v>257</v>
          </cell>
        </row>
        <row r="334">
          <cell r="D334" t="str">
            <v>Provinsi  Sulawesi Tengah</v>
          </cell>
          <cell r="E334">
            <v>133</v>
          </cell>
        </row>
        <row r="335">
          <cell r="D335" t="str">
            <v>Kab. Banggai</v>
          </cell>
          <cell r="E335">
            <v>295</v>
          </cell>
        </row>
        <row r="336">
          <cell r="D336" t="str">
            <v>Kab. Banggai Kepulauan</v>
          </cell>
          <cell r="E336">
            <v>281</v>
          </cell>
        </row>
        <row r="337">
          <cell r="D337" t="str">
            <v xml:space="preserve">Kab. Buol </v>
          </cell>
          <cell r="E337">
            <v>283</v>
          </cell>
        </row>
        <row r="338">
          <cell r="D338" t="str">
            <v>Kab. Toli-Toli</v>
          </cell>
          <cell r="E338">
            <v>296</v>
          </cell>
        </row>
        <row r="339">
          <cell r="D339" t="str">
            <v>Kab. Donggala</v>
          </cell>
          <cell r="E339">
            <v>283</v>
          </cell>
        </row>
        <row r="340">
          <cell r="D340" t="str">
            <v>Kab. Morowali</v>
          </cell>
          <cell r="E340">
            <v>297</v>
          </cell>
        </row>
        <row r="341">
          <cell r="D341" t="str">
            <v>Kab. Poso</v>
          </cell>
          <cell r="E341">
            <v>279</v>
          </cell>
        </row>
        <row r="342">
          <cell r="D342" t="str">
            <v>Kota Palu</v>
          </cell>
          <cell r="E342">
            <v>0</v>
          </cell>
        </row>
        <row r="343">
          <cell r="D343" t="str">
            <v>Kab. Parigi Moutong</v>
          </cell>
          <cell r="E343">
            <v>289</v>
          </cell>
        </row>
        <row r="344">
          <cell r="D344" t="str">
            <v>Kab. Tojo Una Una</v>
          </cell>
          <cell r="E344">
            <v>277</v>
          </cell>
        </row>
        <row r="345">
          <cell r="D345" t="str">
            <v>Provinsi  Sulawesi Selatan</v>
          </cell>
          <cell r="E345">
            <v>0</v>
          </cell>
        </row>
        <row r="346">
          <cell r="D346" t="str">
            <v>Kab. Bantaeng</v>
          </cell>
          <cell r="E346">
            <v>215</v>
          </cell>
        </row>
        <row r="347">
          <cell r="D347" t="str">
            <v>Kab. Barru</v>
          </cell>
          <cell r="E347">
            <v>272</v>
          </cell>
        </row>
        <row r="348">
          <cell r="D348" t="str">
            <v xml:space="preserve">Kab. Bone </v>
          </cell>
          <cell r="E348">
            <v>277</v>
          </cell>
        </row>
        <row r="349">
          <cell r="D349" t="str">
            <v xml:space="preserve">Kab. Bulukumba   </v>
          </cell>
          <cell r="E349">
            <v>276</v>
          </cell>
        </row>
        <row r="350">
          <cell r="D350" t="str">
            <v>Kab. Enrekang</v>
          </cell>
          <cell r="E350">
            <v>260</v>
          </cell>
        </row>
        <row r="351">
          <cell r="D351" t="str">
            <v>Kab. G o w a</v>
          </cell>
          <cell r="E351">
            <v>267</v>
          </cell>
        </row>
        <row r="352">
          <cell r="D352" t="str">
            <v>Kab. Jeneponto</v>
          </cell>
          <cell r="E352">
            <v>261</v>
          </cell>
        </row>
        <row r="353">
          <cell r="D353" t="str">
            <v>Kab. Luwu</v>
          </cell>
          <cell r="E353">
            <v>286</v>
          </cell>
        </row>
        <row r="354">
          <cell r="D354" t="str">
            <v>Kab. Luwu Utara</v>
          </cell>
          <cell r="E354">
            <v>273</v>
          </cell>
        </row>
        <row r="355">
          <cell r="D355" t="str">
            <v xml:space="preserve">Kab. M a r o s </v>
          </cell>
          <cell r="E355">
            <v>283</v>
          </cell>
        </row>
        <row r="356">
          <cell r="D356" t="str">
            <v>Kab. Pangkajene Kepulauan</v>
          </cell>
          <cell r="E356">
            <v>179</v>
          </cell>
        </row>
        <row r="357">
          <cell r="D357" t="str">
            <v>Kab. Pinrang</v>
          </cell>
          <cell r="E357">
            <v>293</v>
          </cell>
        </row>
        <row r="358">
          <cell r="D358" t="str">
            <v>Kab. Selayar</v>
          </cell>
          <cell r="E358">
            <v>208</v>
          </cell>
        </row>
        <row r="359">
          <cell r="D359" t="str">
            <v xml:space="preserve">Kab. Sidenreng Rappang </v>
          </cell>
          <cell r="E359">
            <v>275</v>
          </cell>
        </row>
        <row r="360">
          <cell r="D360" t="str">
            <v>Kab. Sinjai</v>
          </cell>
          <cell r="E360">
            <v>320</v>
          </cell>
        </row>
        <row r="361">
          <cell r="D361" t="str">
            <v>Kab. Soppeng</v>
          </cell>
          <cell r="E361">
            <v>274</v>
          </cell>
        </row>
        <row r="362">
          <cell r="D362" t="str">
            <v xml:space="preserve">Kab. Takalar </v>
          </cell>
          <cell r="E362">
            <v>280</v>
          </cell>
        </row>
        <row r="363">
          <cell r="D363" t="str">
            <v>Kab. Tana Toraja</v>
          </cell>
          <cell r="E363">
            <v>283</v>
          </cell>
        </row>
        <row r="364">
          <cell r="D364" t="str">
            <v>Kab. Wajo</v>
          </cell>
          <cell r="E364">
            <v>0</v>
          </cell>
        </row>
        <row r="365">
          <cell r="D365" t="str">
            <v>Kota Pare-pare</v>
          </cell>
          <cell r="E365">
            <v>275</v>
          </cell>
        </row>
        <row r="366">
          <cell r="D366" t="str">
            <v>Kota Makassar</v>
          </cell>
          <cell r="E366">
            <v>268</v>
          </cell>
        </row>
        <row r="367">
          <cell r="D367" t="str">
            <v>Kota Palopo</v>
          </cell>
          <cell r="E367">
            <v>285</v>
          </cell>
        </row>
        <row r="368">
          <cell r="D368" t="str">
            <v>Kab. Luwu Timur</v>
          </cell>
          <cell r="E368">
            <v>287</v>
          </cell>
        </row>
        <row r="369">
          <cell r="D369" t="str">
            <v>Provinsi  Sulawesi Barat</v>
          </cell>
          <cell r="E369">
            <v>0</v>
          </cell>
        </row>
        <row r="370">
          <cell r="D370" t="str">
            <v xml:space="preserve">Kab. Majene    </v>
          </cell>
          <cell r="E370">
            <v>256</v>
          </cell>
        </row>
        <row r="371">
          <cell r="D371" t="str">
            <v>Kab. Mamuju</v>
          </cell>
          <cell r="E371">
            <v>239</v>
          </cell>
        </row>
        <row r="372">
          <cell r="D372" t="str">
            <v>Kab. Polewali Mamasa</v>
          </cell>
          <cell r="E372">
            <v>257</v>
          </cell>
        </row>
        <row r="373">
          <cell r="D373" t="str">
            <v>Kab. Mamasa</v>
          </cell>
          <cell r="E373">
            <v>293</v>
          </cell>
        </row>
        <row r="374">
          <cell r="D374" t="str">
            <v>Kab. Mamuju Utara</v>
          </cell>
          <cell r="E374">
            <v>294</v>
          </cell>
        </row>
        <row r="375">
          <cell r="D375" t="str">
            <v>Provinsi  Sulawesi Tenggara</v>
          </cell>
          <cell r="E375">
            <v>134</v>
          </cell>
        </row>
        <row r="376">
          <cell r="D376" t="str">
            <v>Kab. Buton</v>
          </cell>
          <cell r="E376">
            <v>290</v>
          </cell>
        </row>
        <row r="377">
          <cell r="D377" t="str">
            <v>Kab. Konawe</v>
          </cell>
          <cell r="E377">
            <v>318</v>
          </cell>
        </row>
        <row r="378">
          <cell r="D378" t="str">
            <v>Kab. Kolaka</v>
          </cell>
          <cell r="E378">
            <v>269</v>
          </cell>
        </row>
        <row r="379">
          <cell r="D379" t="str">
            <v>Kab. Muna</v>
          </cell>
          <cell r="E379">
            <v>297</v>
          </cell>
        </row>
        <row r="380">
          <cell r="D380" t="str">
            <v>Kota Kendari</v>
          </cell>
          <cell r="E380">
            <v>282</v>
          </cell>
        </row>
        <row r="381">
          <cell r="D381" t="str">
            <v>Kota Bau-bau</v>
          </cell>
          <cell r="E381">
            <v>272</v>
          </cell>
        </row>
        <row r="382">
          <cell r="D382" t="str">
            <v>Kab. Konawe Selatan</v>
          </cell>
          <cell r="E382">
            <v>261</v>
          </cell>
        </row>
        <row r="383">
          <cell r="D383" t="str">
            <v>Kab. Bombana</v>
          </cell>
          <cell r="E383">
            <v>295</v>
          </cell>
        </row>
        <row r="384">
          <cell r="D384" t="str">
            <v>Kab. Wakatobi</v>
          </cell>
          <cell r="E384">
            <v>303</v>
          </cell>
        </row>
        <row r="385">
          <cell r="D385" t="str">
            <v>Kab. Kolaka Utara</v>
          </cell>
          <cell r="E385">
            <v>258</v>
          </cell>
        </row>
        <row r="386">
          <cell r="D386" t="str">
            <v>Provinsi  Bali</v>
          </cell>
          <cell r="E386">
            <v>49</v>
          </cell>
        </row>
        <row r="387">
          <cell r="D387" t="str">
            <v>Kab. Badung</v>
          </cell>
          <cell r="E387">
            <v>267</v>
          </cell>
        </row>
        <row r="388">
          <cell r="D388" t="str">
            <v>Kab. Bangli</v>
          </cell>
          <cell r="E388">
            <v>259</v>
          </cell>
        </row>
        <row r="389">
          <cell r="D389" t="str">
            <v>Kab. Buleleng</v>
          </cell>
          <cell r="E389">
            <v>277</v>
          </cell>
        </row>
        <row r="390">
          <cell r="D390" t="str">
            <v xml:space="preserve">Kab. Gianyar </v>
          </cell>
          <cell r="E390">
            <v>248</v>
          </cell>
        </row>
        <row r="391">
          <cell r="D391" t="str">
            <v>Kab. Jembrana</v>
          </cell>
          <cell r="E391">
            <v>0</v>
          </cell>
        </row>
        <row r="392">
          <cell r="D392" t="str">
            <v xml:space="preserve">Kab. Karangasem   </v>
          </cell>
          <cell r="E392">
            <v>279</v>
          </cell>
        </row>
        <row r="393">
          <cell r="D393" t="str">
            <v>Kab. Klungkung</v>
          </cell>
          <cell r="E393">
            <v>265</v>
          </cell>
        </row>
        <row r="394">
          <cell r="D394" t="str">
            <v>Kab. Tabanan</v>
          </cell>
          <cell r="E394">
            <v>279</v>
          </cell>
        </row>
        <row r="395">
          <cell r="D395" t="str">
            <v>Kota Denpasar</v>
          </cell>
          <cell r="E395">
            <v>0</v>
          </cell>
        </row>
        <row r="396">
          <cell r="D396" t="str">
            <v>Provinsi  Nusa Tenggara Barat</v>
          </cell>
          <cell r="E396">
            <v>143</v>
          </cell>
        </row>
        <row r="397">
          <cell r="D397" t="str">
            <v>Kab. Bima</v>
          </cell>
          <cell r="E397">
            <v>272</v>
          </cell>
        </row>
        <row r="398">
          <cell r="D398" t="str">
            <v>Kab. Dompu</v>
          </cell>
          <cell r="E398">
            <v>193</v>
          </cell>
        </row>
        <row r="399">
          <cell r="D399" t="str">
            <v>Kab. Lombok Barat</v>
          </cell>
          <cell r="E399">
            <v>242</v>
          </cell>
        </row>
        <row r="400">
          <cell r="D400" t="str">
            <v>Kab. Lombok Tengah</v>
          </cell>
          <cell r="E400">
            <v>213</v>
          </cell>
        </row>
        <row r="401">
          <cell r="D401" t="str">
            <v>Kab. Lombok Timur</v>
          </cell>
          <cell r="E401">
            <v>260</v>
          </cell>
        </row>
        <row r="402">
          <cell r="D402" t="str">
            <v>Kab. Sumbawa</v>
          </cell>
          <cell r="E402">
            <v>270</v>
          </cell>
        </row>
        <row r="403">
          <cell r="D403" t="str">
            <v>Kota Mataram</v>
          </cell>
          <cell r="E403">
            <v>214</v>
          </cell>
        </row>
        <row r="404">
          <cell r="D404" t="str">
            <v>Kota Bima</v>
          </cell>
          <cell r="E404">
            <v>246</v>
          </cell>
        </row>
        <row r="405">
          <cell r="D405" t="str">
            <v>Kab. Sumbawa Barat</v>
          </cell>
          <cell r="E405">
            <v>222</v>
          </cell>
        </row>
        <row r="406">
          <cell r="D406" t="str">
            <v>Provinsi  Nusa Tenggara Timur</v>
          </cell>
          <cell r="E406">
            <v>126</v>
          </cell>
        </row>
        <row r="407">
          <cell r="D407" t="str">
            <v>Kab. Alor</v>
          </cell>
          <cell r="E407">
            <v>315</v>
          </cell>
        </row>
        <row r="408">
          <cell r="D408" t="str">
            <v>Kab. Belu</v>
          </cell>
          <cell r="E408">
            <v>288</v>
          </cell>
        </row>
        <row r="409">
          <cell r="D409" t="str">
            <v>Kab. Ende</v>
          </cell>
          <cell r="E409">
            <v>287</v>
          </cell>
        </row>
        <row r="410">
          <cell r="D410" t="str">
            <v>Kab. Flores Timur</v>
          </cell>
          <cell r="E410">
            <v>255</v>
          </cell>
        </row>
        <row r="411">
          <cell r="D411" t="str">
            <v>Kab. Kupang</v>
          </cell>
          <cell r="E411">
            <v>286</v>
          </cell>
        </row>
        <row r="412">
          <cell r="D412" t="str">
            <v>Kab. Lembata</v>
          </cell>
          <cell r="E412">
            <v>297</v>
          </cell>
        </row>
        <row r="413">
          <cell r="D413" t="str">
            <v>Kab. Manggarai</v>
          </cell>
          <cell r="E413">
            <v>275</v>
          </cell>
        </row>
        <row r="414">
          <cell r="D414" t="str">
            <v>Kab. Ngada</v>
          </cell>
          <cell r="E414">
            <v>266</v>
          </cell>
        </row>
        <row r="415">
          <cell r="D415" t="str">
            <v>Kab. Sikka</v>
          </cell>
          <cell r="E415">
            <v>273</v>
          </cell>
        </row>
        <row r="416">
          <cell r="D416" t="str">
            <v>Kab. Sumba Barat</v>
          </cell>
          <cell r="E416">
            <v>269</v>
          </cell>
        </row>
        <row r="417">
          <cell r="D417" t="str">
            <v>Kab. Sumba Timur</v>
          </cell>
          <cell r="E417">
            <v>222</v>
          </cell>
        </row>
        <row r="418">
          <cell r="D418" t="str">
            <v>Kab. Timor Tengah Selatan</v>
          </cell>
          <cell r="E418">
            <v>293</v>
          </cell>
        </row>
        <row r="419">
          <cell r="D419" t="str">
            <v>Kab. Timor Tengah Utara</v>
          </cell>
          <cell r="E419">
            <v>303</v>
          </cell>
        </row>
        <row r="420">
          <cell r="D420" t="str">
            <v>Kota Kupang</v>
          </cell>
          <cell r="E420">
            <v>191</v>
          </cell>
        </row>
        <row r="421">
          <cell r="D421" t="str">
            <v>Kab. Rote Ndao</v>
          </cell>
          <cell r="E421">
            <v>287</v>
          </cell>
        </row>
        <row r="422">
          <cell r="D422" t="str">
            <v>Kab. Manggarai Barat</v>
          </cell>
          <cell r="E422">
            <v>298</v>
          </cell>
        </row>
        <row r="423">
          <cell r="D423" t="str">
            <v>Provinsi  Maluku</v>
          </cell>
          <cell r="E423">
            <v>0</v>
          </cell>
        </row>
        <row r="424">
          <cell r="D424" t="str">
            <v>Kab. Maluku Tenggara Barat</v>
          </cell>
          <cell r="E424">
            <v>283</v>
          </cell>
        </row>
        <row r="425">
          <cell r="D425" t="str">
            <v>Kab. Maluku Tengah</v>
          </cell>
          <cell r="E425">
            <v>231</v>
          </cell>
        </row>
        <row r="426">
          <cell r="D426" t="str">
            <v>Kab. Maluku Tenggara</v>
          </cell>
          <cell r="E426">
            <v>282</v>
          </cell>
        </row>
        <row r="427">
          <cell r="D427" t="str">
            <v>Kab. Pulau Buru</v>
          </cell>
          <cell r="E427">
            <v>288</v>
          </cell>
        </row>
        <row r="428">
          <cell r="D428" t="str">
            <v>Kota Ambon</v>
          </cell>
          <cell r="E428">
            <v>0</v>
          </cell>
        </row>
        <row r="429">
          <cell r="D429" t="str">
            <v>Kab. Seram Bagian Barat</v>
          </cell>
          <cell r="E429">
            <v>295</v>
          </cell>
        </row>
        <row r="430">
          <cell r="D430" t="str">
            <v>Kab. Seram Bagian Timur</v>
          </cell>
          <cell r="E430">
            <v>193</v>
          </cell>
        </row>
        <row r="431">
          <cell r="D431" t="str">
            <v>Kab. Kepulauan Aru</v>
          </cell>
          <cell r="E431">
            <v>278</v>
          </cell>
        </row>
        <row r="432">
          <cell r="D432" t="str">
            <v>Provinsi  Maluku Utara</v>
          </cell>
          <cell r="E432">
            <v>267</v>
          </cell>
        </row>
        <row r="433">
          <cell r="D433" t="str">
            <v>Kab. Halmahera Tengah</v>
          </cell>
          <cell r="E433">
            <v>287</v>
          </cell>
        </row>
        <row r="434">
          <cell r="D434" t="str">
            <v>Kab. Halmahera Barat</v>
          </cell>
          <cell r="E434">
            <v>233</v>
          </cell>
        </row>
        <row r="435">
          <cell r="D435" t="str">
            <v>Kota Ternate</v>
          </cell>
          <cell r="E435">
            <v>292</v>
          </cell>
        </row>
        <row r="436">
          <cell r="D436" t="str">
            <v>Kab. Halmahera Timur</v>
          </cell>
          <cell r="E436">
            <v>275</v>
          </cell>
        </row>
        <row r="437">
          <cell r="D437" t="str">
            <v>Kota Tidore Kepulauan</v>
          </cell>
          <cell r="E437">
            <v>295</v>
          </cell>
        </row>
        <row r="438">
          <cell r="D438" t="str">
            <v>Kab. Kepulauan Sula</v>
          </cell>
          <cell r="E438">
            <v>256</v>
          </cell>
        </row>
        <row r="439">
          <cell r="D439" t="str">
            <v>Kab. Halmahera Selatan</v>
          </cell>
          <cell r="E439">
            <v>308</v>
          </cell>
        </row>
        <row r="440">
          <cell r="D440" t="str">
            <v>Kab. Halmahera Utara</v>
          </cell>
          <cell r="E440">
            <v>285</v>
          </cell>
        </row>
        <row r="441">
          <cell r="D441" t="str">
            <v>Provinsi  Papua</v>
          </cell>
          <cell r="E441">
            <v>224</v>
          </cell>
        </row>
        <row r="442">
          <cell r="D442" t="str">
            <v>Kab. Biak Numfor</v>
          </cell>
          <cell r="E442">
            <v>234</v>
          </cell>
        </row>
        <row r="443">
          <cell r="D443" t="str">
            <v>Kab. Jayapura</v>
          </cell>
          <cell r="E443">
            <v>201</v>
          </cell>
        </row>
        <row r="444">
          <cell r="D444" t="str">
            <v>Kab. Jayawijaya</v>
          </cell>
          <cell r="E444">
            <v>294</v>
          </cell>
        </row>
        <row r="445">
          <cell r="D445" t="str">
            <v>Kab. Merauke</v>
          </cell>
          <cell r="E445">
            <v>300</v>
          </cell>
        </row>
        <row r="446">
          <cell r="D446" t="str">
            <v>Kab. Mimika</v>
          </cell>
          <cell r="E446">
            <v>254</v>
          </cell>
        </row>
        <row r="447">
          <cell r="D447" t="str">
            <v>Kab. Nabire</v>
          </cell>
          <cell r="E447">
            <v>275</v>
          </cell>
        </row>
        <row r="448">
          <cell r="D448" t="str">
            <v>Kab. Paniai</v>
          </cell>
          <cell r="E448">
            <v>0</v>
          </cell>
        </row>
        <row r="449">
          <cell r="D449" t="str">
            <v>Kab. Puncak Jaya</v>
          </cell>
          <cell r="E449">
            <v>300</v>
          </cell>
        </row>
        <row r="450">
          <cell r="D450" t="str">
            <v>Kab. Yapen Waropen</v>
          </cell>
          <cell r="E450">
            <v>215</v>
          </cell>
        </row>
        <row r="451">
          <cell r="D451" t="str">
            <v>Kota Jayapura</v>
          </cell>
          <cell r="E451">
            <v>100</v>
          </cell>
        </row>
        <row r="452">
          <cell r="D452" t="str">
            <v>Kab. Sarmi</v>
          </cell>
          <cell r="E452">
            <v>178</v>
          </cell>
        </row>
        <row r="453">
          <cell r="D453" t="str">
            <v>Kab. Keerom</v>
          </cell>
          <cell r="E453">
            <v>260</v>
          </cell>
        </row>
        <row r="454">
          <cell r="D454" t="str">
            <v>Kab. Yahukimo</v>
          </cell>
          <cell r="E454">
            <v>238</v>
          </cell>
        </row>
        <row r="455">
          <cell r="D455" t="str">
            <v>Kab. Pegunungan Bintang</v>
          </cell>
          <cell r="E455">
            <v>252</v>
          </cell>
        </row>
        <row r="456">
          <cell r="D456" t="str">
            <v>Kab. Tolikara</v>
          </cell>
          <cell r="E456">
            <v>200</v>
          </cell>
        </row>
        <row r="457">
          <cell r="D457" t="str">
            <v>Kab. Boven Digoel</v>
          </cell>
          <cell r="E457">
            <v>187</v>
          </cell>
        </row>
        <row r="458">
          <cell r="D458" t="str">
            <v>Kab. Mappi</v>
          </cell>
          <cell r="E458">
            <v>202</v>
          </cell>
        </row>
        <row r="459">
          <cell r="D459" t="str">
            <v>Kab. Asmat</v>
          </cell>
          <cell r="E459">
            <v>159</v>
          </cell>
        </row>
        <row r="460">
          <cell r="D460" t="str">
            <v>Kab. Waropen</v>
          </cell>
          <cell r="E460">
            <v>0</v>
          </cell>
        </row>
        <row r="461">
          <cell r="D461" t="str">
            <v>Kab. Supiori</v>
          </cell>
          <cell r="E461">
            <v>0</v>
          </cell>
        </row>
        <row r="462">
          <cell r="D462" t="str">
            <v>Provinsi Irian Jaya Barat</v>
          </cell>
          <cell r="E462">
            <v>294</v>
          </cell>
        </row>
        <row r="463">
          <cell r="D463" t="str">
            <v>Kab. Sorong</v>
          </cell>
          <cell r="E463">
            <v>0</v>
          </cell>
        </row>
        <row r="464">
          <cell r="D464" t="str">
            <v>Kab. Manokwari</v>
          </cell>
          <cell r="E464">
            <v>314</v>
          </cell>
        </row>
        <row r="465">
          <cell r="D465" t="str">
            <v>Kab. Fak Fak</v>
          </cell>
          <cell r="E465">
            <v>299</v>
          </cell>
        </row>
        <row r="466">
          <cell r="D466" t="str">
            <v>Kota Sorong</v>
          </cell>
          <cell r="E466">
            <v>308</v>
          </cell>
        </row>
        <row r="467">
          <cell r="D467" t="str">
            <v>Kab. Sorong Selatan</v>
          </cell>
          <cell r="E467">
            <v>198</v>
          </cell>
        </row>
        <row r="468">
          <cell r="D468" t="str">
            <v>Kab. Raja Ampat</v>
          </cell>
          <cell r="E468">
            <v>250</v>
          </cell>
        </row>
        <row r="469">
          <cell r="D469" t="str">
            <v>Kab. Teluk Bintuni</v>
          </cell>
          <cell r="E469">
            <v>262</v>
          </cell>
        </row>
        <row r="470">
          <cell r="D470" t="str">
            <v>Kab. Teluk Wondama</v>
          </cell>
          <cell r="E470">
            <v>285</v>
          </cell>
        </row>
        <row r="471">
          <cell r="D471" t="str">
            <v>Kab. Kaimana</v>
          </cell>
          <cell r="E471">
            <v>0</v>
          </cell>
        </row>
      </sheetData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ata BKN"/>
      <sheetName val="GAB"/>
      <sheetName val="juni"/>
      <sheetName val="Taksiran Gaji"/>
      <sheetName val="analisa Persentase"/>
      <sheetName val="Aneh"/>
      <sheetName val="Format"/>
      <sheetName val="BP"/>
      <sheetName val="analisa Data BKN"/>
      <sheetName val="BELPEG(daerah-DDN)"/>
    </sheetNames>
    <sheetDataSet>
      <sheetData sheetId="0" refreshError="1"/>
      <sheetData sheetId="1" refreshError="1"/>
      <sheetData sheetId="2" refreshError="1">
        <row r="7">
          <cell r="B7" t="str">
            <v>Kab. Aceh Utara</v>
          </cell>
          <cell r="C7" t="str">
            <v>06-2005</v>
          </cell>
          <cell r="D7">
            <v>259</v>
          </cell>
          <cell r="E7">
            <v>1600</v>
          </cell>
          <cell r="F7">
            <v>3966</v>
          </cell>
          <cell r="G7">
            <v>924</v>
          </cell>
          <cell r="H7">
            <v>6749</v>
          </cell>
          <cell r="I7">
            <v>7184726980</v>
          </cell>
          <cell r="J7">
            <v>789493382</v>
          </cell>
          <cell r="K7">
            <v>0</v>
          </cell>
          <cell r="L7">
            <v>1149355000</v>
          </cell>
          <cell r="M7">
            <v>249328698</v>
          </cell>
          <cell r="N7">
            <v>679191480</v>
          </cell>
          <cell r="O7">
            <v>327253</v>
          </cell>
          <cell r="P7">
            <v>10052422793</v>
          </cell>
        </row>
        <row r="8">
          <cell r="B8" t="str">
            <v>Kab. Bireuen</v>
          </cell>
          <cell r="C8" t="str">
            <v>06-2005</v>
          </cell>
          <cell r="D8">
            <v>165</v>
          </cell>
          <cell r="E8">
            <v>1051</v>
          </cell>
          <cell r="F8">
            <v>3288</v>
          </cell>
          <cell r="G8">
            <v>1694</v>
          </cell>
          <cell r="H8">
            <v>6198</v>
          </cell>
          <cell r="I8">
            <v>7014190500</v>
          </cell>
          <cell r="J8">
            <v>729180486</v>
          </cell>
          <cell r="K8">
            <v>0</v>
          </cell>
          <cell r="L8">
            <v>1228786350</v>
          </cell>
          <cell r="M8">
            <v>279792585</v>
          </cell>
          <cell r="N8">
            <v>603635490</v>
          </cell>
          <cell r="O8">
            <v>298056</v>
          </cell>
          <cell r="P8">
            <v>9855883467</v>
          </cell>
        </row>
        <row r="9">
          <cell r="B9" t="str">
            <v>Kota Lhokseumawe</v>
          </cell>
          <cell r="C9" t="str">
            <v>06-2005</v>
          </cell>
          <cell r="D9">
            <v>36</v>
          </cell>
          <cell r="E9">
            <v>308</v>
          </cell>
          <cell r="F9">
            <v>1019</v>
          </cell>
          <cell r="G9">
            <v>520</v>
          </cell>
          <cell r="H9">
            <v>1883</v>
          </cell>
          <cell r="I9">
            <v>2128387040</v>
          </cell>
          <cell r="J9">
            <v>209390910</v>
          </cell>
          <cell r="K9">
            <v>0</v>
          </cell>
          <cell r="L9">
            <v>402141200</v>
          </cell>
          <cell r="M9">
            <v>87023980</v>
          </cell>
          <cell r="N9">
            <v>176387580</v>
          </cell>
          <cell r="O9">
            <v>93254</v>
          </cell>
          <cell r="P9">
            <v>3003423964</v>
          </cell>
        </row>
        <row r="10">
          <cell r="B10" t="str">
            <v>Kab. Aceh Barat</v>
          </cell>
          <cell r="C10" t="str">
            <v>06-2005</v>
          </cell>
          <cell r="D10">
            <v>73</v>
          </cell>
          <cell r="E10">
            <v>922</v>
          </cell>
          <cell r="F10">
            <v>2320</v>
          </cell>
          <cell r="G10">
            <v>540</v>
          </cell>
          <cell r="H10">
            <v>3855</v>
          </cell>
          <cell r="I10">
            <v>4148699400</v>
          </cell>
          <cell r="J10">
            <v>397017964</v>
          </cell>
          <cell r="K10">
            <v>0</v>
          </cell>
          <cell r="L10">
            <v>705511207</v>
          </cell>
          <cell r="M10">
            <v>161129492</v>
          </cell>
          <cell r="N10">
            <v>345222570</v>
          </cell>
          <cell r="O10">
            <v>0</v>
          </cell>
          <cell r="P10">
            <v>5757580633</v>
          </cell>
        </row>
        <row r="11">
          <cell r="B11" t="str">
            <v>Kab. Simeuleu</v>
          </cell>
          <cell r="C11" t="str">
            <v>06-2005</v>
          </cell>
          <cell r="D11">
            <v>26</v>
          </cell>
          <cell r="E11">
            <v>588</v>
          </cell>
          <cell r="F11">
            <v>704</v>
          </cell>
          <cell r="G11">
            <v>151</v>
          </cell>
          <cell r="H11">
            <v>1469</v>
          </cell>
          <cell r="I11">
            <v>1446916580</v>
          </cell>
          <cell r="J11">
            <v>149064055</v>
          </cell>
          <cell r="K11">
            <v>0</v>
          </cell>
          <cell r="L11">
            <v>269734629</v>
          </cell>
          <cell r="M11">
            <v>55864620</v>
          </cell>
          <cell r="N11">
            <v>131673840</v>
          </cell>
          <cell r="O11">
            <v>0</v>
          </cell>
          <cell r="P11">
            <v>2053253724</v>
          </cell>
        </row>
        <row r="12">
          <cell r="B12" t="str">
            <v>Kab. Aceh Jaya</v>
          </cell>
          <cell r="C12" t="str">
            <v>06-2005</v>
          </cell>
          <cell r="D12">
            <v>40</v>
          </cell>
          <cell r="E12">
            <v>399</v>
          </cell>
          <cell r="F12">
            <v>612</v>
          </cell>
          <cell r="G12">
            <v>101</v>
          </cell>
          <cell r="H12">
            <v>1152</v>
          </cell>
          <cell r="I12">
            <v>1168784120</v>
          </cell>
          <cell r="J12">
            <v>119214358</v>
          </cell>
          <cell r="K12">
            <v>0</v>
          </cell>
          <cell r="L12">
            <v>208238434</v>
          </cell>
          <cell r="M12">
            <v>45760511</v>
          </cell>
          <cell r="N12">
            <v>104893740</v>
          </cell>
          <cell r="O12">
            <v>0</v>
          </cell>
          <cell r="P12">
            <v>1646891163</v>
          </cell>
        </row>
        <row r="13">
          <cell r="B13" t="str">
            <v>Kab. Nagan Raya</v>
          </cell>
          <cell r="C13" t="str">
            <v>06-2005</v>
          </cell>
          <cell r="D13">
            <v>55</v>
          </cell>
          <cell r="E13">
            <v>484</v>
          </cell>
          <cell r="F13">
            <v>1224</v>
          </cell>
          <cell r="G13">
            <v>390</v>
          </cell>
          <cell r="H13">
            <v>2153</v>
          </cell>
          <cell r="I13">
            <v>2335321500</v>
          </cell>
          <cell r="J13">
            <v>255105525</v>
          </cell>
          <cell r="K13">
            <v>0</v>
          </cell>
          <cell r="L13">
            <v>416837405</v>
          </cell>
          <cell r="M13">
            <v>91754121</v>
          </cell>
          <cell r="N13">
            <v>213548730</v>
          </cell>
          <cell r="O13">
            <v>0</v>
          </cell>
          <cell r="P13">
            <v>3312567281</v>
          </cell>
        </row>
        <row r="14">
          <cell r="B14" t="str">
            <v>Kab. Aceh Selatan</v>
          </cell>
          <cell r="C14" t="str">
            <v>06-2005</v>
          </cell>
          <cell r="D14">
            <v>48</v>
          </cell>
          <cell r="E14">
            <v>845</v>
          </cell>
          <cell r="F14">
            <v>2109</v>
          </cell>
          <cell r="G14">
            <v>943</v>
          </cell>
          <cell r="H14">
            <v>3945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6165442000</v>
          </cell>
        </row>
        <row r="15">
          <cell r="B15" t="str">
            <v>Kab. Aceh Singkil</v>
          </cell>
          <cell r="C15" t="str">
            <v>06-2005</v>
          </cell>
          <cell r="D15">
            <v>20</v>
          </cell>
          <cell r="E15">
            <v>724</v>
          </cell>
          <cell r="F15">
            <v>1021</v>
          </cell>
          <cell r="G15">
            <v>179</v>
          </cell>
          <cell r="H15">
            <v>1944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2787408617</v>
          </cell>
        </row>
        <row r="16">
          <cell r="B16" t="str">
            <v>Kab. Aceh Barat Daya</v>
          </cell>
          <cell r="C16" t="str">
            <v>06-2005</v>
          </cell>
          <cell r="D16">
            <v>18</v>
          </cell>
          <cell r="E16">
            <v>364</v>
          </cell>
          <cell r="F16">
            <v>993</v>
          </cell>
          <cell r="G16">
            <v>500</v>
          </cell>
          <cell r="H16">
            <v>1875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3006929500</v>
          </cell>
        </row>
        <row r="17">
          <cell r="B17" t="str">
            <v>Kab. Aceh Tengah</v>
          </cell>
          <cell r="C17" t="str">
            <v>06-2005</v>
          </cell>
          <cell r="D17">
            <v>85</v>
          </cell>
          <cell r="E17">
            <v>847</v>
          </cell>
          <cell r="F17">
            <v>2225</v>
          </cell>
          <cell r="G17">
            <v>658</v>
          </cell>
          <cell r="H17">
            <v>3815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5987979000</v>
          </cell>
        </row>
        <row r="18">
          <cell r="B18" t="str">
            <v>Kab. Bener Meriah</v>
          </cell>
          <cell r="C18" t="str">
            <v>06-2005</v>
          </cell>
          <cell r="D18">
            <v>35</v>
          </cell>
          <cell r="E18">
            <v>318</v>
          </cell>
          <cell r="F18">
            <v>962</v>
          </cell>
          <cell r="G18">
            <v>285</v>
          </cell>
          <cell r="H18">
            <v>1600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2560752000</v>
          </cell>
        </row>
        <row r="19">
          <cell r="B19" t="str">
            <v>Provinsi Nanggroe Aceh Darussalam</v>
          </cell>
          <cell r="C19" t="str">
            <v>06-2005</v>
          </cell>
          <cell r="D19">
            <v>78</v>
          </cell>
          <cell r="E19">
            <v>1675</v>
          </cell>
          <cell r="F19">
            <v>4510</v>
          </cell>
          <cell r="G19">
            <v>581</v>
          </cell>
          <cell r="H19">
            <v>6844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10248695000</v>
          </cell>
        </row>
        <row r="20">
          <cell r="B20" t="str">
            <v>Kab. Aceh Besar</v>
          </cell>
          <cell r="C20" t="str">
            <v>06-2005</v>
          </cell>
          <cell r="D20">
            <v>111</v>
          </cell>
          <cell r="E20">
            <v>1409</v>
          </cell>
          <cell r="F20">
            <v>3685</v>
          </cell>
          <cell r="G20">
            <v>1664</v>
          </cell>
          <cell r="H20">
            <v>6869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10797436000</v>
          </cell>
        </row>
        <row r="21">
          <cell r="B21" t="str">
            <v>Kab. Aceh Pidie</v>
          </cell>
          <cell r="C21" t="str">
            <v>06-2005</v>
          </cell>
          <cell r="D21">
            <v>428</v>
          </cell>
          <cell r="E21">
            <v>1789</v>
          </cell>
          <cell r="F21">
            <v>4815</v>
          </cell>
          <cell r="G21">
            <v>2144</v>
          </cell>
          <cell r="H21">
            <v>9176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14197021000</v>
          </cell>
        </row>
        <row r="22">
          <cell r="B22" t="str">
            <v>Kota Banda Aceh</v>
          </cell>
          <cell r="C22" t="str">
            <v>06-2005</v>
          </cell>
          <cell r="D22">
            <v>51</v>
          </cell>
          <cell r="E22">
            <v>834</v>
          </cell>
          <cell r="F22">
            <v>2930</v>
          </cell>
          <cell r="G22">
            <v>1809</v>
          </cell>
          <cell r="H22">
            <v>5624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8797367000</v>
          </cell>
        </row>
        <row r="23">
          <cell r="B23" t="str">
            <v>Kota Sabang</v>
          </cell>
          <cell r="C23" t="str">
            <v>06-2005</v>
          </cell>
          <cell r="D23">
            <v>30</v>
          </cell>
          <cell r="E23">
            <v>481</v>
          </cell>
          <cell r="F23">
            <v>799</v>
          </cell>
          <cell r="G23">
            <v>195</v>
          </cell>
          <cell r="H23">
            <v>1505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2268216000</v>
          </cell>
        </row>
        <row r="24">
          <cell r="B24" t="str">
            <v>Kab. Aceh Timur</v>
          </cell>
          <cell r="C24" t="str">
            <v>06-2005</v>
          </cell>
          <cell r="D24">
            <v>346</v>
          </cell>
          <cell r="E24">
            <v>1307</v>
          </cell>
          <cell r="F24">
            <v>2580</v>
          </cell>
          <cell r="G24">
            <v>499</v>
          </cell>
          <cell r="H24">
            <v>4732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6804400000</v>
          </cell>
        </row>
        <row r="25">
          <cell r="B25" t="str">
            <v>Kota Langsa</v>
          </cell>
          <cell r="C25" t="str">
            <v>06-2005</v>
          </cell>
          <cell r="D25">
            <v>41</v>
          </cell>
          <cell r="E25">
            <v>437</v>
          </cell>
          <cell r="F25">
            <v>1296</v>
          </cell>
          <cell r="G25">
            <v>579</v>
          </cell>
          <cell r="H25">
            <v>2353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3684439000</v>
          </cell>
        </row>
        <row r="26">
          <cell r="B26" t="str">
            <v>Kab. Aceh Tenggara</v>
          </cell>
          <cell r="C26" t="str">
            <v>06-2005</v>
          </cell>
          <cell r="D26">
            <v>59</v>
          </cell>
          <cell r="E26">
            <v>1051</v>
          </cell>
          <cell r="F26">
            <v>2027</v>
          </cell>
          <cell r="G26">
            <v>468</v>
          </cell>
          <cell r="H26">
            <v>3605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5494810000</v>
          </cell>
        </row>
        <row r="27">
          <cell r="B27" t="str">
            <v>Kab. Gayo Lues</v>
          </cell>
          <cell r="C27" t="str">
            <v>06-2005</v>
          </cell>
          <cell r="D27">
            <v>19</v>
          </cell>
          <cell r="E27">
            <v>316</v>
          </cell>
          <cell r="F27">
            <v>636</v>
          </cell>
          <cell r="G27">
            <v>134</v>
          </cell>
          <cell r="H27">
            <v>1105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1693071000</v>
          </cell>
        </row>
        <row r="28">
          <cell r="B28" t="str">
            <v>Kab. Aceh Tamiang</v>
          </cell>
          <cell r="C28" t="str">
            <v>06-2005</v>
          </cell>
          <cell r="D28">
            <v>58</v>
          </cell>
          <cell r="E28">
            <v>620</v>
          </cell>
          <cell r="F28">
            <v>1655</v>
          </cell>
          <cell r="G28">
            <v>393</v>
          </cell>
          <cell r="H28">
            <v>2726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4021926000</v>
          </cell>
        </row>
        <row r="29">
          <cell r="B29" t="str">
            <v>Provinsi Sumatera Utara</v>
          </cell>
          <cell r="C29" t="str">
            <v>06-2005</v>
          </cell>
          <cell r="D29">
            <v>170</v>
          </cell>
          <cell r="E29">
            <v>3011</v>
          </cell>
          <cell r="F29">
            <v>7535</v>
          </cell>
          <cell r="G29">
            <v>600</v>
          </cell>
          <cell r="H29">
            <v>11316</v>
          </cell>
          <cell r="I29">
            <v>12409533000</v>
          </cell>
          <cell r="J29">
            <v>1360428000</v>
          </cell>
          <cell r="K29">
            <v>0</v>
          </cell>
          <cell r="L29">
            <v>910340000</v>
          </cell>
          <cell r="M29">
            <v>426220000</v>
          </cell>
          <cell r="N29">
            <v>1142457000</v>
          </cell>
          <cell r="O29">
            <v>0</v>
          </cell>
          <cell r="P29">
            <v>16248978000</v>
          </cell>
        </row>
        <row r="30">
          <cell r="B30" t="str">
            <v>Kota Medan</v>
          </cell>
          <cell r="C30" t="str">
            <v>06-2005</v>
          </cell>
          <cell r="D30">
            <v>206</v>
          </cell>
          <cell r="E30">
            <v>2596</v>
          </cell>
          <cell r="F30">
            <v>11515</v>
          </cell>
          <cell r="G30">
            <v>4366</v>
          </cell>
          <cell r="H30">
            <v>18683</v>
          </cell>
          <cell r="I30">
            <v>21748667000</v>
          </cell>
          <cell r="J30">
            <v>2134718000</v>
          </cell>
          <cell r="K30">
            <v>0</v>
          </cell>
          <cell r="L30">
            <v>3252695000</v>
          </cell>
          <cell r="M30">
            <v>848809000</v>
          </cell>
          <cell r="N30">
            <v>1786684000</v>
          </cell>
          <cell r="O30">
            <v>0</v>
          </cell>
          <cell r="P30">
            <v>29771573000</v>
          </cell>
        </row>
        <row r="31">
          <cell r="B31" t="str">
            <v>Kota Binjai</v>
          </cell>
          <cell r="C31" t="str">
            <v>06-2005</v>
          </cell>
          <cell r="D31">
            <v>54</v>
          </cell>
          <cell r="E31">
            <v>773</v>
          </cell>
          <cell r="F31">
            <v>2669</v>
          </cell>
          <cell r="G31">
            <v>760</v>
          </cell>
          <cell r="H31">
            <v>4256</v>
          </cell>
          <cell r="I31">
            <v>4827038000</v>
          </cell>
          <cell r="J31">
            <v>464307000</v>
          </cell>
          <cell r="K31">
            <v>0</v>
          </cell>
          <cell r="L31">
            <v>883633000</v>
          </cell>
          <cell r="M31">
            <v>195302000</v>
          </cell>
          <cell r="N31">
            <v>390598000</v>
          </cell>
          <cell r="O31">
            <v>0</v>
          </cell>
          <cell r="P31">
            <v>6760878000</v>
          </cell>
        </row>
        <row r="32">
          <cell r="B32" t="str">
            <v>Kab. Langkat</v>
          </cell>
          <cell r="C32" t="str">
            <v>06-2005</v>
          </cell>
          <cell r="D32">
            <v>207</v>
          </cell>
          <cell r="E32">
            <v>2097</v>
          </cell>
          <cell r="F32">
            <v>7256</v>
          </cell>
          <cell r="G32">
            <v>1344</v>
          </cell>
          <cell r="H32">
            <v>10904</v>
          </cell>
          <cell r="I32">
            <v>12108318000</v>
          </cell>
          <cell r="J32">
            <v>1324176000</v>
          </cell>
          <cell r="K32">
            <v>0</v>
          </cell>
          <cell r="L32">
            <v>2006042000</v>
          </cell>
          <cell r="M32">
            <v>448268000</v>
          </cell>
          <cell r="N32">
            <v>1111614000</v>
          </cell>
          <cell r="O32">
            <v>0</v>
          </cell>
          <cell r="P32">
            <v>16998418000</v>
          </cell>
        </row>
        <row r="33">
          <cell r="B33" t="str">
            <v>Kota Tebing Tinggi</v>
          </cell>
          <cell r="C33" t="str">
            <v>06-2005</v>
          </cell>
          <cell r="D33">
            <v>33</v>
          </cell>
          <cell r="E33">
            <v>568</v>
          </cell>
          <cell r="F33">
            <v>1752</v>
          </cell>
          <cell r="G33">
            <v>407</v>
          </cell>
          <cell r="H33">
            <v>2760</v>
          </cell>
          <cell r="I33">
            <v>3185871240</v>
          </cell>
          <cell r="J33">
            <v>304508394</v>
          </cell>
          <cell r="K33">
            <v>0</v>
          </cell>
          <cell r="L33">
            <v>508962850</v>
          </cell>
          <cell r="M33">
            <v>123531859</v>
          </cell>
          <cell r="N33">
            <v>287849250</v>
          </cell>
          <cell r="O33">
            <v>168481</v>
          </cell>
          <cell r="P33">
            <v>4410892074</v>
          </cell>
        </row>
        <row r="34">
          <cell r="B34" t="str">
            <v>Kab. Deli Serdang</v>
          </cell>
          <cell r="C34" t="str">
            <v>06-2005</v>
          </cell>
          <cell r="D34">
            <v>185</v>
          </cell>
          <cell r="E34">
            <v>2798</v>
          </cell>
          <cell r="F34">
            <v>9966</v>
          </cell>
          <cell r="G34">
            <v>2271</v>
          </cell>
          <cell r="H34">
            <v>15220</v>
          </cell>
          <cell r="I34">
            <v>17267673882</v>
          </cell>
          <cell r="J34">
            <v>1925011627</v>
          </cell>
          <cell r="K34">
            <v>0</v>
          </cell>
          <cell r="L34">
            <v>2957216550</v>
          </cell>
          <cell r="M34">
            <v>839741685</v>
          </cell>
          <cell r="N34">
            <v>1988672390</v>
          </cell>
          <cell r="O34">
            <v>780457</v>
          </cell>
          <cell r="P34">
            <v>24979096591</v>
          </cell>
        </row>
        <row r="35">
          <cell r="B35" t="str">
            <v>Kab. Simalungun</v>
          </cell>
          <cell r="C35" t="str">
            <v>06-2005</v>
          </cell>
          <cell r="D35">
            <v>205</v>
          </cell>
          <cell r="E35">
            <v>2296</v>
          </cell>
          <cell r="F35">
            <v>8699</v>
          </cell>
          <cell r="G35">
            <v>1830</v>
          </cell>
          <cell r="H35">
            <v>13030</v>
          </cell>
          <cell r="I35">
            <v>14759304050</v>
          </cell>
          <cell r="J35">
            <v>1610777133</v>
          </cell>
          <cell r="K35">
            <v>0</v>
          </cell>
          <cell r="L35">
            <v>2461896950</v>
          </cell>
          <cell r="M35">
            <v>576549603</v>
          </cell>
          <cell r="N35">
            <v>1330760340</v>
          </cell>
          <cell r="O35">
            <v>0</v>
          </cell>
          <cell r="P35">
            <v>20739288076</v>
          </cell>
        </row>
        <row r="36">
          <cell r="B36" t="str">
            <v>Kota Pematang Siantar</v>
          </cell>
          <cell r="C36" t="str">
            <v>06-2005</v>
          </cell>
          <cell r="D36">
            <v>49</v>
          </cell>
          <cell r="E36">
            <v>797</v>
          </cell>
          <cell r="F36">
            <v>3158</v>
          </cell>
          <cell r="G36">
            <v>935</v>
          </cell>
          <cell r="H36">
            <v>4939</v>
          </cell>
          <cell r="I36">
            <v>5690997800</v>
          </cell>
          <cell r="J36">
            <v>549162854</v>
          </cell>
          <cell r="K36">
            <v>0</v>
          </cell>
          <cell r="L36">
            <v>956294650</v>
          </cell>
          <cell r="M36">
            <v>227886151</v>
          </cell>
          <cell r="N36">
            <v>463837350</v>
          </cell>
          <cell r="O36">
            <v>0</v>
          </cell>
          <cell r="P36">
            <v>7888178805</v>
          </cell>
        </row>
        <row r="37">
          <cell r="B37" t="str">
            <v>Kab. Asahan</v>
          </cell>
          <cell r="C37" t="str">
            <v>06-2005</v>
          </cell>
          <cell r="D37">
            <v>137</v>
          </cell>
          <cell r="E37">
            <v>1713</v>
          </cell>
          <cell r="F37">
            <v>6945</v>
          </cell>
          <cell r="G37">
            <v>1442</v>
          </cell>
          <cell r="H37">
            <v>10237</v>
          </cell>
          <cell r="I37">
            <v>11578995000</v>
          </cell>
          <cell r="J37">
            <v>1222904000</v>
          </cell>
          <cell r="K37">
            <v>0</v>
          </cell>
          <cell r="L37">
            <v>1959549000</v>
          </cell>
          <cell r="M37">
            <v>460954000</v>
          </cell>
          <cell r="N37">
            <v>1000944000</v>
          </cell>
          <cell r="O37">
            <v>0</v>
          </cell>
          <cell r="P37">
            <v>16223346000</v>
          </cell>
        </row>
        <row r="38">
          <cell r="B38" t="str">
            <v>Kota Tanjung Balai</v>
          </cell>
          <cell r="C38" t="str">
            <v>06-2005</v>
          </cell>
          <cell r="D38">
            <v>20</v>
          </cell>
          <cell r="E38">
            <v>452</v>
          </cell>
          <cell r="F38">
            <v>1258</v>
          </cell>
          <cell r="G38">
            <v>300</v>
          </cell>
          <cell r="H38">
            <v>2030</v>
          </cell>
          <cell r="I38">
            <v>2258633000</v>
          </cell>
          <cell r="J38">
            <v>235983000</v>
          </cell>
          <cell r="K38">
            <v>0</v>
          </cell>
          <cell r="L38">
            <v>398688000</v>
          </cell>
          <cell r="M38">
            <v>89977000</v>
          </cell>
          <cell r="N38">
            <v>198383000</v>
          </cell>
          <cell r="O38">
            <v>0</v>
          </cell>
          <cell r="P38">
            <v>3181664000</v>
          </cell>
        </row>
        <row r="39">
          <cell r="B39" t="str">
            <v>Kab. Labuhan Batu</v>
          </cell>
          <cell r="C39" t="str">
            <v>06-2005</v>
          </cell>
          <cell r="D39">
            <v>194</v>
          </cell>
          <cell r="E39">
            <v>2027</v>
          </cell>
          <cell r="F39">
            <v>6363</v>
          </cell>
          <cell r="G39">
            <v>1021</v>
          </cell>
          <cell r="H39">
            <v>9605</v>
          </cell>
          <cell r="I39">
            <v>10564117000</v>
          </cell>
          <cell r="J39">
            <v>1151685455</v>
          </cell>
          <cell r="K39">
            <v>0</v>
          </cell>
          <cell r="L39">
            <v>1831132500</v>
          </cell>
          <cell r="M39">
            <v>409565885</v>
          </cell>
          <cell r="N39">
            <v>981836700</v>
          </cell>
          <cell r="O39">
            <v>490067</v>
          </cell>
          <cell r="P39">
            <v>14938827607</v>
          </cell>
        </row>
        <row r="40">
          <cell r="B40" t="str">
            <v>Kab. Dairi</v>
          </cell>
          <cell r="C40" t="str">
            <v>05-2005</v>
          </cell>
          <cell r="D40">
            <v>83</v>
          </cell>
          <cell r="E40">
            <v>1269</v>
          </cell>
          <cell r="F40">
            <v>2978</v>
          </cell>
          <cell r="G40">
            <v>570</v>
          </cell>
          <cell r="H40">
            <v>4900</v>
          </cell>
          <cell r="I40">
            <v>5349013000</v>
          </cell>
          <cell r="J40">
            <v>574859000</v>
          </cell>
          <cell r="K40">
            <v>0</v>
          </cell>
          <cell r="L40">
            <v>927364000</v>
          </cell>
          <cell r="M40">
            <v>206794000</v>
          </cell>
          <cell r="N40">
            <v>497297000</v>
          </cell>
          <cell r="O40">
            <v>0</v>
          </cell>
          <cell r="P40">
            <v>7555327000</v>
          </cell>
        </row>
        <row r="41">
          <cell r="B41" t="str">
            <v>Kab. Tanah Karo</v>
          </cell>
          <cell r="C41" t="str">
            <v>05-2005</v>
          </cell>
          <cell r="D41">
            <v>98</v>
          </cell>
          <cell r="E41">
            <v>1151</v>
          </cell>
          <cell r="F41">
            <v>4512</v>
          </cell>
          <cell r="G41">
            <v>938</v>
          </cell>
          <cell r="H41">
            <v>6699</v>
          </cell>
          <cell r="I41">
            <v>7536461000</v>
          </cell>
          <cell r="J41">
            <v>791864000</v>
          </cell>
          <cell r="K41">
            <v>0</v>
          </cell>
          <cell r="L41">
            <v>1255231000</v>
          </cell>
          <cell r="M41">
            <v>293899000</v>
          </cell>
          <cell r="N41">
            <v>659903000</v>
          </cell>
          <cell r="O41">
            <v>0</v>
          </cell>
          <cell r="P41">
            <v>10537358000</v>
          </cell>
        </row>
        <row r="42">
          <cell r="B42" t="str">
            <v>Kab. Pakpak Bharat</v>
          </cell>
          <cell r="C42" t="str">
            <v>05-2005</v>
          </cell>
          <cell r="D42">
            <v>17</v>
          </cell>
          <cell r="E42">
            <v>188</v>
          </cell>
          <cell r="F42">
            <v>416</v>
          </cell>
          <cell r="G42">
            <v>70</v>
          </cell>
          <cell r="H42">
            <v>691</v>
          </cell>
          <cell r="I42">
            <v>730347000</v>
          </cell>
          <cell r="J42">
            <v>78873000</v>
          </cell>
          <cell r="K42">
            <v>0</v>
          </cell>
          <cell r="L42">
            <v>137021000</v>
          </cell>
          <cell r="M42">
            <v>58389000</v>
          </cell>
          <cell r="N42">
            <v>68515000</v>
          </cell>
          <cell r="O42">
            <v>0</v>
          </cell>
          <cell r="P42">
            <v>1073145000</v>
          </cell>
        </row>
        <row r="43">
          <cell r="B43" t="str">
            <v>Kab. Serdang Berdagai</v>
          </cell>
          <cell r="C43" t="str">
            <v>05-2005</v>
          </cell>
          <cell r="D43">
            <v>83</v>
          </cell>
          <cell r="E43">
            <v>908</v>
          </cell>
          <cell r="F43">
            <v>3657</v>
          </cell>
          <cell r="G43">
            <v>658</v>
          </cell>
          <cell r="H43">
            <v>5306</v>
          </cell>
          <cell r="I43">
            <v>5947944500</v>
          </cell>
          <cell r="J43">
            <v>690577909</v>
          </cell>
          <cell r="K43">
            <v>0</v>
          </cell>
          <cell r="L43">
            <v>1068363050</v>
          </cell>
          <cell r="M43">
            <v>289232321</v>
          </cell>
          <cell r="N43">
            <v>556484460</v>
          </cell>
          <cell r="O43">
            <v>274122</v>
          </cell>
          <cell r="P43">
            <v>8552876362</v>
          </cell>
        </row>
        <row r="44">
          <cell r="B44" t="str">
            <v>Kab. Toba Samosir</v>
          </cell>
          <cell r="C44" t="str">
            <v>06-2005</v>
          </cell>
          <cell r="D44">
            <v>48</v>
          </cell>
          <cell r="E44">
            <v>700</v>
          </cell>
          <cell r="F44">
            <v>2087</v>
          </cell>
          <cell r="G44">
            <v>606</v>
          </cell>
          <cell r="H44">
            <v>3441</v>
          </cell>
          <cell r="I44">
            <v>3829736000</v>
          </cell>
          <cell r="J44">
            <v>410811000</v>
          </cell>
          <cell r="K44">
            <v>0</v>
          </cell>
          <cell r="L44">
            <v>690171000</v>
          </cell>
          <cell r="M44">
            <v>88191000</v>
          </cell>
          <cell r="N44">
            <v>344380000</v>
          </cell>
          <cell r="O44">
            <v>172000</v>
          </cell>
          <cell r="P44">
            <v>5363461000</v>
          </cell>
        </row>
        <row r="45">
          <cell r="B45" t="str">
            <v>Kab. Humbang Hasundutan</v>
          </cell>
          <cell r="C45" t="str">
            <v>06-2005</v>
          </cell>
          <cell r="D45">
            <v>37</v>
          </cell>
          <cell r="E45">
            <v>505</v>
          </cell>
          <cell r="F45">
            <v>1478</v>
          </cell>
          <cell r="G45">
            <v>438</v>
          </cell>
          <cell r="H45">
            <v>2458</v>
          </cell>
          <cell r="I45">
            <v>2734324000</v>
          </cell>
          <cell r="J45">
            <v>316452000</v>
          </cell>
          <cell r="K45">
            <v>0</v>
          </cell>
          <cell r="L45">
            <v>500165000</v>
          </cell>
          <cell r="M45">
            <v>66175000</v>
          </cell>
          <cell r="N45">
            <v>268042000</v>
          </cell>
          <cell r="O45">
            <v>122000</v>
          </cell>
          <cell r="P45">
            <v>3885280000</v>
          </cell>
        </row>
        <row r="46">
          <cell r="B46" t="str">
            <v>Kab. Samosir</v>
          </cell>
          <cell r="C46" t="str">
            <v>06-2005</v>
          </cell>
          <cell r="D46">
            <v>33</v>
          </cell>
          <cell r="E46">
            <v>355</v>
          </cell>
          <cell r="F46">
            <v>1060</v>
          </cell>
          <cell r="G46">
            <v>413</v>
          </cell>
          <cell r="H46">
            <v>1861</v>
          </cell>
          <cell r="I46">
            <v>2116763000</v>
          </cell>
          <cell r="J46">
            <v>240985000</v>
          </cell>
          <cell r="K46">
            <v>0</v>
          </cell>
          <cell r="L46">
            <v>399163000</v>
          </cell>
          <cell r="M46">
            <v>84485000</v>
          </cell>
          <cell r="N46">
            <v>198323000</v>
          </cell>
          <cell r="O46">
            <v>93000</v>
          </cell>
          <cell r="P46">
            <v>3039812000</v>
          </cell>
        </row>
        <row r="47">
          <cell r="B47" t="str">
            <v>Kab. Mandailing Natal</v>
          </cell>
          <cell r="C47" t="str">
            <v>06-2005</v>
          </cell>
          <cell r="D47">
            <v>72</v>
          </cell>
          <cell r="E47">
            <v>1203</v>
          </cell>
          <cell r="F47">
            <v>3079</v>
          </cell>
          <cell r="G47">
            <v>655</v>
          </cell>
          <cell r="H47">
            <v>5009</v>
          </cell>
          <cell r="I47">
            <v>5409398000</v>
          </cell>
          <cell r="J47">
            <v>568732000</v>
          </cell>
          <cell r="K47">
            <v>0</v>
          </cell>
          <cell r="L47">
            <v>961113000</v>
          </cell>
          <cell r="M47">
            <v>211855000</v>
          </cell>
          <cell r="N47">
            <v>488872000</v>
          </cell>
          <cell r="O47">
            <v>249000</v>
          </cell>
          <cell r="P47">
            <v>7640219000</v>
          </cell>
        </row>
        <row r="48">
          <cell r="B48" t="str">
            <v>Kab. Tapanuli Selatan</v>
          </cell>
          <cell r="C48" t="str">
            <v>06-2005</v>
          </cell>
          <cell r="D48">
            <v>195</v>
          </cell>
          <cell r="E48">
            <v>2191</v>
          </cell>
          <cell r="F48">
            <v>5426</v>
          </cell>
          <cell r="G48">
            <v>1015</v>
          </cell>
          <cell r="H48">
            <v>8827</v>
          </cell>
          <cell r="I48">
            <v>9464410000</v>
          </cell>
          <cell r="J48">
            <v>1032938000</v>
          </cell>
          <cell r="K48">
            <v>0</v>
          </cell>
          <cell r="L48">
            <v>1573507000</v>
          </cell>
          <cell r="M48">
            <v>362477000</v>
          </cell>
          <cell r="N48">
            <v>896742000</v>
          </cell>
          <cell r="O48">
            <v>442000</v>
          </cell>
          <cell r="P48">
            <v>13330516000</v>
          </cell>
        </row>
        <row r="49">
          <cell r="B49" t="str">
            <v>Kota Padang Sidempuan</v>
          </cell>
          <cell r="C49" t="str">
            <v>06-2005</v>
          </cell>
          <cell r="D49">
            <v>34</v>
          </cell>
          <cell r="E49">
            <v>437</v>
          </cell>
          <cell r="F49">
            <v>2225</v>
          </cell>
          <cell r="G49">
            <v>735</v>
          </cell>
          <cell r="H49">
            <v>3431</v>
          </cell>
          <cell r="I49">
            <v>3973978000</v>
          </cell>
          <cell r="J49">
            <v>372876000</v>
          </cell>
          <cell r="K49">
            <v>0</v>
          </cell>
          <cell r="L49">
            <v>707112000</v>
          </cell>
          <cell r="M49">
            <v>159607000</v>
          </cell>
          <cell r="N49">
            <v>321602000</v>
          </cell>
          <cell r="O49">
            <v>174000</v>
          </cell>
          <cell r="P49">
            <v>5535349000</v>
          </cell>
        </row>
        <row r="50">
          <cell r="B50" t="str">
            <v>Kota Sibolga</v>
          </cell>
          <cell r="C50" t="str">
            <v>06-2005</v>
          </cell>
          <cell r="D50">
            <v>19</v>
          </cell>
          <cell r="E50">
            <v>610</v>
          </cell>
          <cell r="F50">
            <v>1236</v>
          </cell>
          <cell r="G50">
            <v>343</v>
          </cell>
          <cell r="H50">
            <v>2208</v>
          </cell>
          <cell r="I50">
            <v>2362993000</v>
          </cell>
          <cell r="J50">
            <v>214053000</v>
          </cell>
          <cell r="K50">
            <v>0</v>
          </cell>
          <cell r="L50">
            <v>419678000</v>
          </cell>
          <cell r="M50">
            <v>22247000</v>
          </cell>
          <cell r="N50">
            <v>190620000</v>
          </cell>
          <cell r="O50">
            <v>115000</v>
          </cell>
          <cell r="P50">
            <v>3209706000</v>
          </cell>
        </row>
        <row r="51">
          <cell r="B51" t="str">
            <v>Kab. Tapanuli Tengah</v>
          </cell>
          <cell r="C51" t="str">
            <v>06-2005</v>
          </cell>
          <cell r="D51">
            <v>90</v>
          </cell>
          <cell r="E51">
            <v>1082</v>
          </cell>
          <cell r="F51">
            <v>2680</v>
          </cell>
          <cell r="G51">
            <v>306</v>
          </cell>
          <cell r="H51">
            <v>4158</v>
          </cell>
          <cell r="I51">
            <v>4464497000</v>
          </cell>
          <cell r="J51">
            <v>454600000</v>
          </cell>
          <cell r="K51">
            <v>0</v>
          </cell>
          <cell r="L51">
            <v>695950000</v>
          </cell>
          <cell r="M51">
            <v>34441000</v>
          </cell>
          <cell r="N51">
            <v>396435000</v>
          </cell>
          <cell r="O51">
            <v>218000</v>
          </cell>
          <cell r="P51">
            <v>6046141000</v>
          </cell>
        </row>
        <row r="52">
          <cell r="B52" t="str">
            <v>Kab. Nias</v>
          </cell>
          <cell r="C52" t="str">
            <v>06-2005</v>
          </cell>
          <cell r="D52">
            <v>113</v>
          </cell>
          <cell r="E52">
            <v>1432</v>
          </cell>
          <cell r="F52">
            <v>3438</v>
          </cell>
          <cell r="G52">
            <v>502</v>
          </cell>
          <cell r="H52">
            <v>5485</v>
          </cell>
          <cell r="I52">
            <v>5954460000</v>
          </cell>
          <cell r="J52">
            <v>633665000</v>
          </cell>
          <cell r="K52">
            <v>0</v>
          </cell>
          <cell r="L52">
            <v>931885000</v>
          </cell>
          <cell r="M52">
            <v>212692000</v>
          </cell>
          <cell r="N52">
            <v>577277000</v>
          </cell>
          <cell r="O52">
            <v>0</v>
          </cell>
          <cell r="P52">
            <v>8309979000</v>
          </cell>
        </row>
        <row r="53">
          <cell r="B53" t="str">
            <v>Kab. Nias Selatan</v>
          </cell>
          <cell r="C53" t="str">
            <v>06-2005</v>
          </cell>
          <cell r="D53">
            <v>42</v>
          </cell>
          <cell r="E53">
            <v>432</v>
          </cell>
          <cell r="F53">
            <v>938</v>
          </cell>
          <cell r="G53">
            <v>157</v>
          </cell>
          <cell r="H53">
            <v>1569</v>
          </cell>
          <cell r="I53">
            <v>1700255000</v>
          </cell>
          <cell r="J53">
            <v>214371000</v>
          </cell>
          <cell r="K53">
            <v>0</v>
          </cell>
          <cell r="L53">
            <v>323516000</v>
          </cell>
          <cell r="M53">
            <v>75834000</v>
          </cell>
          <cell r="N53">
            <v>180088000</v>
          </cell>
          <cell r="O53">
            <v>0</v>
          </cell>
          <cell r="P53">
            <v>2494064000</v>
          </cell>
        </row>
        <row r="54">
          <cell r="B54" t="str">
            <v>Kab. Tapanuli Utara</v>
          </cell>
          <cell r="C54" t="str">
            <v>06-2005</v>
          </cell>
          <cell r="D54">
            <v>82</v>
          </cell>
          <cell r="E54">
            <v>1086</v>
          </cell>
          <cell r="F54">
            <v>3252</v>
          </cell>
          <cell r="G54">
            <v>925</v>
          </cell>
          <cell r="H54">
            <v>5345</v>
          </cell>
          <cell r="I54">
            <v>6006967000</v>
          </cell>
          <cell r="J54">
            <v>644082000</v>
          </cell>
          <cell r="K54">
            <v>0</v>
          </cell>
          <cell r="L54">
            <v>1009846000</v>
          </cell>
          <cell r="M54">
            <v>232603000</v>
          </cell>
          <cell r="N54">
            <v>550135000</v>
          </cell>
          <cell r="O54">
            <v>264000</v>
          </cell>
          <cell r="P54">
            <v>8443897000</v>
          </cell>
        </row>
        <row r="55">
          <cell r="B55" t="str">
            <v>Provinsi Sumatera Barat</v>
          </cell>
          <cell r="C55" t="str">
            <v>06-2005</v>
          </cell>
          <cell r="D55">
            <v>74</v>
          </cell>
          <cell r="E55">
            <v>2042</v>
          </cell>
          <cell r="F55">
            <v>5431</v>
          </cell>
          <cell r="G55">
            <v>582</v>
          </cell>
          <cell r="H55">
            <v>8129</v>
          </cell>
          <cell r="I55">
            <v>8942910440</v>
          </cell>
          <cell r="J55">
            <v>911060353</v>
          </cell>
          <cell r="K55">
            <v>0</v>
          </cell>
          <cell r="L55">
            <v>907023750</v>
          </cell>
          <cell r="M55">
            <v>444681414</v>
          </cell>
          <cell r="N55">
            <v>766422390</v>
          </cell>
          <cell r="O55">
            <v>407318</v>
          </cell>
          <cell r="P55">
            <v>11972505665</v>
          </cell>
        </row>
        <row r="56">
          <cell r="B56" t="str">
            <v>Kota Padang</v>
          </cell>
          <cell r="C56" t="str">
            <v>06-2005</v>
          </cell>
          <cell r="D56">
            <v>145</v>
          </cell>
          <cell r="E56">
            <v>1715</v>
          </cell>
          <cell r="F56">
            <v>8360</v>
          </cell>
          <cell r="G56">
            <v>2870</v>
          </cell>
          <cell r="H56">
            <v>13090</v>
          </cell>
          <cell r="I56">
            <v>15175769340</v>
          </cell>
          <cell r="J56">
            <v>1409770790</v>
          </cell>
          <cell r="K56">
            <v>0</v>
          </cell>
          <cell r="L56">
            <v>2375201050</v>
          </cell>
          <cell r="M56">
            <v>613940546</v>
          </cell>
          <cell r="N56">
            <v>1154372760</v>
          </cell>
          <cell r="O56">
            <v>655634</v>
          </cell>
          <cell r="P56">
            <v>20729710120</v>
          </cell>
        </row>
        <row r="57">
          <cell r="B57" t="str">
            <v>Kota Pariaman</v>
          </cell>
          <cell r="C57" t="str">
            <v>06-2005</v>
          </cell>
          <cell r="D57">
            <v>27</v>
          </cell>
          <cell r="E57">
            <v>400</v>
          </cell>
          <cell r="F57">
            <v>1243</v>
          </cell>
          <cell r="G57">
            <v>365</v>
          </cell>
          <cell r="H57">
            <v>2035</v>
          </cell>
          <cell r="I57">
            <v>2191338120</v>
          </cell>
          <cell r="J57">
            <v>197805060</v>
          </cell>
          <cell r="K57">
            <v>0</v>
          </cell>
          <cell r="L57">
            <v>421123818</v>
          </cell>
          <cell r="M57">
            <v>83128281</v>
          </cell>
          <cell r="N57">
            <v>170729760</v>
          </cell>
          <cell r="O57">
            <v>99830</v>
          </cell>
          <cell r="P57">
            <v>3064224869</v>
          </cell>
        </row>
        <row r="58">
          <cell r="B58" t="str">
            <v>Kab. Padang Pariaman</v>
          </cell>
          <cell r="C58" t="str">
            <v>06-2005</v>
          </cell>
          <cell r="D58">
            <v>162</v>
          </cell>
          <cell r="E58">
            <v>1309</v>
          </cell>
          <cell r="F58">
            <v>4765</v>
          </cell>
          <cell r="G58">
            <v>1032</v>
          </cell>
          <cell r="H58">
            <v>7268</v>
          </cell>
          <cell r="I58">
            <v>8036951280</v>
          </cell>
          <cell r="J58">
            <v>869037420</v>
          </cell>
          <cell r="K58">
            <v>0</v>
          </cell>
          <cell r="L58">
            <v>1350455000</v>
          </cell>
          <cell r="M58">
            <v>280584139</v>
          </cell>
          <cell r="N58">
            <v>693273600</v>
          </cell>
          <cell r="O58">
            <v>357261</v>
          </cell>
          <cell r="P58">
            <v>11230658700</v>
          </cell>
        </row>
        <row r="59">
          <cell r="B59" t="str">
            <v>Kab. Kepulauan Mentawai</v>
          </cell>
          <cell r="C59" t="str">
            <v>06-2005</v>
          </cell>
          <cell r="D59">
            <v>40</v>
          </cell>
          <cell r="E59">
            <v>586</v>
          </cell>
          <cell r="F59">
            <v>587</v>
          </cell>
          <cell r="G59">
            <v>53</v>
          </cell>
          <cell r="H59">
            <v>1266</v>
          </cell>
          <cell r="I59">
            <v>1201597900</v>
          </cell>
          <cell r="J59">
            <v>126634474</v>
          </cell>
          <cell r="K59">
            <v>0</v>
          </cell>
          <cell r="L59">
            <v>192860000</v>
          </cell>
          <cell r="M59">
            <v>111866882</v>
          </cell>
          <cell r="N59">
            <v>116850610</v>
          </cell>
          <cell r="O59">
            <v>60881</v>
          </cell>
          <cell r="P59">
            <v>1749870747</v>
          </cell>
        </row>
        <row r="60">
          <cell r="B60" t="str">
            <v>Kota Padang Panjang</v>
          </cell>
          <cell r="C60" t="str">
            <v>06-2005</v>
          </cell>
          <cell r="D60">
            <v>57</v>
          </cell>
          <cell r="E60">
            <v>371</v>
          </cell>
          <cell r="F60">
            <v>1181</v>
          </cell>
          <cell r="G60">
            <v>320</v>
          </cell>
          <cell r="H60">
            <v>1929</v>
          </cell>
          <cell r="I60">
            <v>2081606860</v>
          </cell>
          <cell r="J60">
            <v>191632696</v>
          </cell>
          <cell r="K60">
            <v>0</v>
          </cell>
          <cell r="L60">
            <v>359474750</v>
          </cell>
          <cell r="M60">
            <v>83553381</v>
          </cell>
          <cell r="N60">
            <v>166487970</v>
          </cell>
          <cell r="O60">
            <v>96282</v>
          </cell>
          <cell r="P60">
            <v>2882851939</v>
          </cell>
        </row>
        <row r="61">
          <cell r="B61" t="str">
            <v>Kota Bukit Tinggi</v>
          </cell>
          <cell r="C61" t="str">
            <v>06-2005</v>
          </cell>
          <cell r="D61">
            <v>79</v>
          </cell>
          <cell r="E61">
            <v>517</v>
          </cell>
          <cell r="F61">
            <v>1916</v>
          </cell>
          <cell r="G61">
            <v>607</v>
          </cell>
          <cell r="H61">
            <v>3119</v>
          </cell>
          <cell r="I61">
            <v>3494972240</v>
          </cell>
          <cell r="J61">
            <v>327434289</v>
          </cell>
          <cell r="K61">
            <v>0</v>
          </cell>
          <cell r="L61">
            <v>511844550</v>
          </cell>
          <cell r="M61">
            <v>32299748</v>
          </cell>
          <cell r="N61">
            <v>271652520</v>
          </cell>
          <cell r="O61">
            <v>156482</v>
          </cell>
          <cell r="P61">
            <v>4638359829</v>
          </cell>
        </row>
        <row r="62">
          <cell r="B62" t="str">
            <v>Kota Payakumbuh</v>
          </cell>
          <cell r="C62" t="str">
            <v>06-2005</v>
          </cell>
          <cell r="D62">
            <v>21</v>
          </cell>
          <cell r="E62">
            <v>625</v>
          </cell>
          <cell r="F62">
            <v>1882</v>
          </cell>
          <cell r="G62">
            <v>602</v>
          </cell>
          <cell r="H62">
            <v>3130</v>
          </cell>
          <cell r="I62">
            <v>3479009120</v>
          </cell>
          <cell r="J62">
            <v>326116373</v>
          </cell>
          <cell r="K62">
            <v>0</v>
          </cell>
          <cell r="L62">
            <v>588401750</v>
          </cell>
          <cell r="M62">
            <v>147958700</v>
          </cell>
          <cell r="N62">
            <v>272765850</v>
          </cell>
          <cell r="O62">
            <v>157883</v>
          </cell>
          <cell r="P62">
            <v>4814409676</v>
          </cell>
        </row>
        <row r="63">
          <cell r="B63" t="str">
            <v>Kab. Limapuluh Koto</v>
          </cell>
          <cell r="C63" t="str">
            <v>06-2005</v>
          </cell>
          <cell r="D63">
            <v>161</v>
          </cell>
          <cell r="E63">
            <v>1151</v>
          </cell>
          <cell r="F63">
            <v>4107</v>
          </cell>
          <cell r="G63">
            <v>881</v>
          </cell>
          <cell r="H63">
            <v>6300</v>
          </cell>
          <cell r="I63">
            <v>6928083340</v>
          </cell>
          <cell r="J63">
            <v>697090890</v>
          </cell>
          <cell r="K63">
            <v>0</v>
          </cell>
          <cell r="L63">
            <v>1125693450</v>
          </cell>
          <cell r="M63">
            <v>278438636</v>
          </cell>
          <cell r="N63">
            <v>580105110</v>
          </cell>
          <cell r="O63">
            <v>307780</v>
          </cell>
          <cell r="P63">
            <v>9609719206</v>
          </cell>
        </row>
        <row r="64">
          <cell r="B64" t="str">
            <v xml:space="preserve">Kab. Agam         </v>
          </cell>
          <cell r="C64" t="str">
            <v>06-2005</v>
          </cell>
          <cell r="D64">
            <v>155</v>
          </cell>
          <cell r="E64">
            <v>1142</v>
          </cell>
          <cell r="F64">
            <v>4561</v>
          </cell>
          <cell r="G64">
            <v>1429</v>
          </cell>
          <cell r="H64">
            <v>7287</v>
          </cell>
          <cell r="I64">
            <v>8278956540</v>
          </cell>
          <cell r="J64">
            <v>854314428</v>
          </cell>
          <cell r="K64">
            <v>0</v>
          </cell>
          <cell r="L64">
            <v>1432110300</v>
          </cell>
          <cell r="M64">
            <v>329900355</v>
          </cell>
          <cell r="N64">
            <v>700585470</v>
          </cell>
          <cell r="O64">
            <v>358008</v>
          </cell>
          <cell r="P64">
            <v>11596225101</v>
          </cell>
        </row>
        <row r="65">
          <cell r="B65" t="str">
            <v>Kab. Tanah Datar</v>
          </cell>
          <cell r="C65" t="str">
            <v>06-2005</v>
          </cell>
          <cell r="D65">
            <v>111</v>
          </cell>
          <cell r="E65">
            <v>1073</v>
          </cell>
          <cell r="F65">
            <v>4528</v>
          </cell>
          <cell r="G65">
            <v>991</v>
          </cell>
          <cell r="H65">
            <v>6703</v>
          </cell>
          <cell r="I65">
            <v>7501292380</v>
          </cell>
          <cell r="J65">
            <v>747014047</v>
          </cell>
          <cell r="K65">
            <v>0</v>
          </cell>
          <cell r="L65">
            <v>1178718050</v>
          </cell>
          <cell r="M65">
            <v>71184568</v>
          </cell>
          <cell r="N65">
            <v>617597580</v>
          </cell>
          <cell r="O65">
            <v>327796</v>
          </cell>
          <cell r="P65">
            <v>10116134421</v>
          </cell>
        </row>
        <row r="66">
          <cell r="B66" t="str">
            <v>Kota Sawahlunto</v>
          </cell>
          <cell r="C66" t="str">
            <v>06-2005</v>
          </cell>
          <cell r="D66">
            <v>18</v>
          </cell>
          <cell r="E66">
            <v>509</v>
          </cell>
          <cell r="F66">
            <v>1133</v>
          </cell>
          <cell r="G66">
            <v>282</v>
          </cell>
          <cell r="H66">
            <v>1942</v>
          </cell>
          <cell r="I66">
            <v>2049917780</v>
          </cell>
          <cell r="J66">
            <v>203356790</v>
          </cell>
          <cell r="K66">
            <v>0</v>
          </cell>
          <cell r="L66">
            <v>351104100</v>
          </cell>
          <cell r="M66">
            <v>18762484</v>
          </cell>
          <cell r="N66">
            <v>173288310</v>
          </cell>
          <cell r="O66">
            <v>112243</v>
          </cell>
          <cell r="P66">
            <v>2796541707</v>
          </cell>
        </row>
        <row r="67">
          <cell r="B67" t="str">
            <v>Kab. Sawahlunto Sijunjung</v>
          </cell>
          <cell r="C67" t="str">
            <v>06-2005</v>
          </cell>
          <cell r="D67">
            <v>75</v>
          </cell>
          <cell r="E67">
            <v>870</v>
          </cell>
          <cell r="F67">
            <v>2258</v>
          </cell>
          <cell r="G67">
            <v>346</v>
          </cell>
          <cell r="H67">
            <v>3549</v>
          </cell>
          <cell r="I67">
            <v>3768270640</v>
          </cell>
          <cell r="J67">
            <v>372233113</v>
          </cell>
          <cell r="K67">
            <v>0</v>
          </cell>
          <cell r="L67">
            <v>658392500</v>
          </cell>
          <cell r="M67">
            <v>148673702</v>
          </cell>
          <cell r="N67">
            <v>319224810</v>
          </cell>
          <cell r="O67">
            <v>174185</v>
          </cell>
          <cell r="P67">
            <v>5266968950</v>
          </cell>
        </row>
        <row r="68">
          <cell r="B68" t="str">
            <v>Kab. Dharmasraya</v>
          </cell>
          <cell r="C68" t="str">
            <v>06-2005</v>
          </cell>
          <cell r="D68">
            <v>64</v>
          </cell>
          <cell r="E68">
            <v>705</v>
          </cell>
          <cell r="F68">
            <v>1464</v>
          </cell>
          <cell r="G68">
            <v>149</v>
          </cell>
          <cell r="H68">
            <v>2382</v>
          </cell>
          <cell r="I68">
            <v>2455403860</v>
          </cell>
          <cell r="J68">
            <v>254748859</v>
          </cell>
          <cell r="K68">
            <v>0</v>
          </cell>
          <cell r="L68">
            <v>441212100</v>
          </cell>
          <cell r="M68">
            <v>95384334</v>
          </cell>
          <cell r="N68">
            <v>222064200</v>
          </cell>
          <cell r="O68">
            <v>116621</v>
          </cell>
          <cell r="P68">
            <v>3468929974</v>
          </cell>
        </row>
        <row r="69">
          <cell r="B69" t="str">
            <v>Kab. Solok</v>
          </cell>
          <cell r="C69" t="str">
            <v>06-2005</v>
          </cell>
          <cell r="D69">
            <v>75</v>
          </cell>
          <cell r="E69">
            <v>1124</v>
          </cell>
          <cell r="F69">
            <v>3828</v>
          </cell>
          <cell r="G69">
            <v>736</v>
          </cell>
          <cell r="H69">
            <v>5763</v>
          </cell>
          <cell r="I69">
            <v>6319234620</v>
          </cell>
          <cell r="J69">
            <v>649924687</v>
          </cell>
          <cell r="K69">
            <v>0</v>
          </cell>
          <cell r="L69">
            <v>1075194300</v>
          </cell>
          <cell r="M69">
            <v>252559146</v>
          </cell>
          <cell r="N69">
            <v>546223770</v>
          </cell>
          <cell r="O69">
            <v>292845</v>
          </cell>
          <cell r="P69">
            <v>8843429368</v>
          </cell>
        </row>
        <row r="70">
          <cell r="B70" t="str">
            <v>Kab. Solok Selatan</v>
          </cell>
          <cell r="C70" t="str">
            <v>06-2005</v>
          </cell>
          <cell r="D70">
            <v>22</v>
          </cell>
          <cell r="E70">
            <v>460</v>
          </cell>
          <cell r="F70">
            <v>1100</v>
          </cell>
          <cell r="G70">
            <v>156</v>
          </cell>
          <cell r="H70">
            <v>1738</v>
          </cell>
          <cell r="I70">
            <v>1787613460</v>
          </cell>
          <cell r="J70">
            <v>181314255</v>
          </cell>
          <cell r="K70">
            <v>0</v>
          </cell>
          <cell r="L70">
            <v>328826954</v>
          </cell>
          <cell r="M70">
            <v>70966536</v>
          </cell>
          <cell r="N70">
            <v>160891230</v>
          </cell>
          <cell r="O70">
            <v>88552</v>
          </cell>
          <cell r="P70">
            <v>2529700987</v>
          </cell>
        </row>
        <row r="71">
          <cell r="B71" t="str">
            <v>Kota Solok</v>
          </cell>
          <cell r="C71" t="str">
            <v>06-2005</v>
          </cell>
          <cell r="D71">
            <v>13</v>
          </cell>
          <cell r="E71">
            <v>369</v>
          </cell>
          <cell r="F71">
            <v>1314</v>
          </cell>
          <cell r="G71">
            <v>369</v>
          </cell>
          <cell r="H71">
            <v>2065</v>
          </cell>
          <cell r="I71">
            <v>2262667180</v>
          </cell>
          <cell r="J71">
            <v>210777997</v>
          </cell>
          <cell r="K71">
            <v>0</v>
          </cell>
          <cell r="L71">
            <v>394518650</v>
          </cell>
          <cell r="M71">
            <v>95052154</v>
          </cell>
          <cell r="N71">
            <v>178223070</v>
          </cell>
          <cell r="O71">
            <v>102415</v>
          </cell>
          <cell r="P71">
            <v>3141341466</v>
          </cell>
        </row>
        <row r="72">
          <cell r="B72" t="str">
            <v xml:space="preserve">Kab. Pasaman    </v>
          </cell>
          <cell r="C72" t="str">
            <v>06-2005</v>
          </cell>
          <cell r="D72">
            <v>62</v>
          </cell>
          <cell r="E72">
            <v>932</v>
          </cell>
          <cell r="F72">
            <v>2474</v>
          </cell>
          <cell r="G72">
            <v>446</v>
          </cell>
          <cell r="H72">
            <v>3914</v>
          </cell>
          <cell r="I72">
            <v>4197752860</v>
          </cell>
          <cell r="J72">
            <v>423364916</v>
          </cell>
          <cell r="K72">
            <v>0</v>
          </cell>
          <cell r="L72">
            <v>740186500</v>
          </cell>
          <cell r="M72">
            <v>164910509</v>
          </cell>
          <cell r="N72">
            <v>363968640</v>
          </cell>
          <cell r="O72">
            <v>189853</v>
          </cell>
          <cell r="P72">
            <v>5890373278</v>
          </cell>
        </row>
        <row r="73">
          <cell r="B73" t="str">
            <v>Kab. Pasaman Barat</v>
          </cell>
          <cell r="C73" t="str">
            <v>06-2005</v>
          </cell>
          <cell r="D73">
            <v>83</v>
          </cell>
          <cell r="E73">
            <v>697</v>
          </cell>
          <cell r="F73">
            <v>2220</v>
          </cell>
          <cell r="G73">
            <v>376</v>
          </cell>
          <cell r="H73">
            <v>3376</v>
          </cell>
          <cell r="I73">
            <v>3626475780</v>
          </cell>
          <cell r="J73">
            <v>373956437</v>
          </cell>
          <cell r="K73">
            <v>0</v>
          </cell>
          <cell r="L73">
            <v>626341800</v>
          </cell>
          <cell r="M73">
            <v>142019459</v>
          </cell>
          <cell r="N73">
            <v>316005180</v>
          </cell>
          <cell r="O73">
            <v>168111</v>
          </cell>
          <cell r="P73">
            <v>5084966767</v>
          </cell>
        </row>
        <row r="74">
          <cell r="B74" t="str">
            <v>Kab. Pesisir Selatan</v>
          </cell>
          <cell r="C74" t="str">
            <v>06-2005</v>
          </cell>
          <cell r="D74">
            <v>145</v>
          </cell>
          <cell r="E74">
            <v>1599</v>
          </cell>
          <cell r="F74">
            <v>4509</v>
          </cell>
          <cell r="G74">
            <v>799</v>
          </cell>
          <cell r="H74">
            <v>7052</v>
          </cell>
          <cell r="I74">
            <v>7684775580</v>
          </cell>
          <cell r="J74">
            <v>776249194</v>
          </cell>
          <cell r="K74">
            <v>0</v>
          </cell>
          <cell r="L74">
            <v>1290945750</v>
          </cell>
          <cell r="M74">
            <v>302159032</v>
          </cell>
          <cell r="N74">
            <v>655059300</v>
          </cell>
          <cell r="O74">
            <v>345928</v>
          </cell>
          <cell r="P74">
            <v>10709534784</v>
          </cell>
        </row>
        <row r="75">
          <cell r="B75" t="str">
            <v>Provinsi Riau</v>
          </cell>
          <cell r="C75" t="str">
            <v>06-2005</v>
          </cell>
          <cell r="D75">
            <v>109</v>
          </cell>
          <cell r="E75">
            <v>1866</v>
          </cell>
          <cell r="F75">
            <v>3788</v>
          </cell>
          <cell r="G75">
            <v>464</v>
          </cell>
          <cell r="H75">
            <v>6227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9167687238</v>
          </cell>
        </row>
        <row r="76">
          <cell r="B76" t="str">
            <v>Kota Pekanbaru</v>
          </cell>
          <cell r="C76" t="str">
            <v>06-2005</v>
          </cell>
          <cell r="D76">
            <v>98</v>
          </cell>
          <cell r="E76">
            <v>1308</v>
          </cell>
          <cell r="F76">
            <v>5353</v>
          </cell>
          <cell r="G76">
            <v>1720</v>
          </cell>
          <cell r="H76">
            <v>8479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11916740400</v>
          </cell>
        </row>
        <row r="77">
          <cell r="B77" t="str">
            <v>Kab. Pelalawan</v>
          </cell>
          <cell r="C77" t="str">
            <v>06-2005</v>
          </cell>
          <cell r="D77">
            <v>33</v>
          </cell>
          <cell r="E77">
            <v>791</v>
          </cell>
          <cell r="F77">
            <v>1341</v>
          </cell>
          <cell r="G77">
            <v>162</v>
          </cell>
          <cell r="H77">
            <v>2327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3364744689</v>
          </cell>
        </row>
        <row r="78">
          <cell r="B78" t="str">
            <v>Kab. Kampar</v>
          </cell>
          <cell r="C78" t="str">
            <v>06-2005</v>
          </cell>
          <cell r="D78">
            <v>133</v>
          </cell>
          <cell r="E78">
            <v>1827</v>
          </cell>
          <cell r="F78">
            <v>4884</v>
          </cell>
          <cell r="G78">
            <v>1027</v>
          </cell>
          <cell r="H78">
            <v>7871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11714714629</v>
          </cell>
        </row>
        <row r="79">
          <cell r="B79" t="str">
            <v>Kab. Siak</v>
          </cell>
          <cell r="C79" t="str">
            <v>04-2005</v>
          </cell>
          <cell r="D79">
            <v>37</v>
          </cell>
          <cell r="E79">
            <v>799</v>
          </cell>
          <cell r="F79">
            <v>1638</v>
          </cell>
          <cell r="G79">
            <v>193</v>
          </cell>
          <cell r="H79">
            <v>2667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3895512242</v>
          </cell>
        </row>
        <row r="80">
          <cell r="B80" t="str">
            <v>Kab. Rokan hulu</v>
          </cell>
          <cell r="C80" t="str">
            <v>06-2005</v>
          </cell>
          <cell r="D80">
            <v>56</v>
          </cell>
          <cell r="E80">
            <v>1168</v>
          </cell>
          <cell r="F80">
            <v>2213</v>
          </cell>
          <cell r="G80">
            <v>224</v>
          </cell>
          <cell r="H80">
            <v>3661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5236333336</v>
          </cell>
        </row>
        <row r="81">
          <cell r="B81" t="str">
            <v>Kab. Indragiri Hulu</v>
          </cell>
          <cell r="C81" t="str">
            <v>06-2005</v>
          </cell>
          <cell r="D81">
            <v>76</v>
          </cell>
          <cell r="E81">
            <v>1234</v>
          </cell>
          <cell r="F81">
            <v>2680</v>
          </cell>
          <cell r="G81">
            <v>594</v>
          </cell>
          <cell r="H81">
            <v>4584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6763023000</v>
          </cell>
        </row>
        <row r="82">
          <cell r="B82" t="str">
            <v>Kab. Indragiri Hilir</v>
          </cell>
          <cell r="C82" t="str">
            <v>06-2005</v>
          </cell>
          <cell r="D82">
            <v>131</v>
          </cell>
          <cell r="E82">
            <v>1622</v>
          </cell>
          <cell r="F82">
            <v>3766</v>
          </cell>
          <cell r="G82">
            <v>746</v>
          </cell>
          <cell r="H82">
            <v>6265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9284451000</v>
          </cell>
        </row>
        <row r="83">
          <cell r="B83" t="str">
            <v>Kab. Kuantan Singingi</v>
          </cell>
          <cell r="C83" t="str">
            <v>06-2005</v>
          </cell>
          <cell r="D83">
            <v>73</v>
          </cell>
          <cell r="E83">
            <v>850</v>
          </cell>
          <cell r="F83">
            <v>2709</v>
          </cell>
          <cell r="G83">
            <v>877</v>
          </cell>
          <cell r="H83">
            <v>4509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7085465000</v>
          </cell>
        </row>
        <row r="84">
          <cell r="B84" t="str">
            <v>Kab. Bengkalis</v>
          </cell>
          <cell r="C84" t="str">
            <v>06-2005</v>
          </cell>
          <cell r="D84">
            <v>119</v>
          </cell>
          <cell r="E84">
            <v>1663</v>
          </cell>
          <cell r="F84">
            <v>4074</v>
          </cell>
          <cell r="G84">
            <v>727</v>
          </cell>
          <cell r="H84">
            <v>6583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10072596000</v>
          </cell>
        </row>
        <row r="85">
          <cell r="B85" t="str">
            <v>Kab. Rokan Hilir</v>
          </cell>
          <cell r="C85" t="str">
            <v>06-2005</v>
          </cell>
          <cell r="D85">
            <v>53</v>
          </cell>
          <cell r="E85">
            <v>1131</v>
          </cell>
          <cell r="F85">
            <v>1658</v>
          </cell>
          <cell r="G85">
            <v>182</v>
          </cell>
          <cell r="H85">
            <v>3024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4164092000</v>
          </cell>
        </row>
        <row r="86">
          <cell r="B86" t="str">
            <v>Kota Dumai</v>
          </cell>
          <cell r="C86" t="str">
            <v>06-2005</v>
          </cell>
          <cell r="D86">
            <v>53</v>
          </cell>
          <cell r="E86">
            <v>460</v>
          </cell>
          <cell r="F86">
            <v>1565</v>
          </cell>
          <cell r="G86">
            <v>379</v>
          </cell>
          <cell r="H86">
            <v>2457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4134512000</v>
          </cell>
        </row>
        <row r="87">
          <cell r="B87" t="str">
            <v xml:space="preserve">Provinsi Kepulauan Riau </v>
          </cell>
          <cell r="C87" t="str">
            <v>08-2005</v>
          </cell>
          <cell r="D87">
            <v>2</v>
          </cell>
          <cell r="E87">
            <v>93</v>
          </cell>
          <cell r="F87">
            <v>190</v>
          </cell>
          <cell r="G87">
            <v>56</v>
          </cell>
          <cell r="H87">
            <v>341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537146886</v>
          </cell>
        </row>
        <row r="88">
          <cell r="B88" t="str">
            <v>Kab. Kepulauan Riau</v>
          </cell>
          <cell r="C88" t="str">
            <v>03-2005</v>
          </cell>
          <cell r="D88">
            <v>34</v>
          </cell>
          <cell r="E88">
            <v>771</v>
          </cell>
          <cell r="F88">
            <v>1467</v>
          </cell>
          <cell r="G88">
            <v>239</v>
          </cell>
          <cell r="H88">
            <v>2511</v>
          </cell>
          <cell r="I88">
            <v>2662539200</v>
          </cell>
          <cell r="J88">
            <v>280583422</v>
          </cell>
          <cell r="K88">
            <v>0</v>
          </cell>
          <cell r="L88">
            <v>440438650</v>
          </cell>
          <cell r="M88">
            <v>103473905</v>
          </cell>
          <cell r="N88">
            <v>239393990</v>
          </cell>
          <cell r="O88">
            <v>9901119</v>
          </cell>
          <cell r="P88">
            <v>3736330286</v>
          </cell>
        </row>
        <row r="89">
          <cell r="B89" t="str">
            <v>Kab. Natuna</v>
          </cell>
          <cell r="C89" t="str">
            <v>03-2005</v>
          </cell>
          <cell r="D89">
            <v>128</v>
          </cell>
          <cell r="E89">
            <v>695</v>
          </cell>
          <cell r="F89">
            <v>917</v>
          </cell>
          <cell r="G89">
            <v>104</v>
          </cell>
          <cell r="H89">
            <v>1844</v>
          </cell>
          <cell r="I89">
            <v>1743413500</v>
          </cell>
          <cell r="J89">
            <v>171823451</v>
          </cell>
          <cell r="K89">
            <v>0</v>
          </cell>
          <cell r="L89">
            <v>290317000</v>
          </cell>
          <cell r="M89">
            <v>70299899</v>
          </cell>
          <cell r="N89">
            <v>158544210</v>
          </cell>
          <cell r="O89">
            <v>80346884</v>
          </cell>
          <cell r="P89">
            <v>2514744944</v>
          </cell>
        </row>
        <row r="90">
          <cell r="B90" t="str">
            <v>Kota Tanjung Pinang</v>
          </cell>
          <cell r="C90" t="str">
            <v>03-2005</v>
          </cell>
          <cell r="D90">
            <v>323</v>
          </cell>
          <cell r="E90">
            <v>1449</v>
          </cell>
          <cell r="F90">
            <v>397</v>
          </cell>
          <cell r="G90">
            <v>31</v>
          </cell>
          <cell r="H90">
            <v>2200</v>
          </cell>
          <cell r="I90">
            <v>2444848840</v>
          </cell>
          <cell r="J90">
            <v>220946617</v>
          </cell>
          <cell r="K90">
            <v>0</v>
          </cell>
          <cell r="L90">
            <v>399186700</v>
          </cell>
          <cell r="M90">
            <v>97690574</v>
          </cell>
          <cell r="N90">
            <v>189627180</v>
          </cell>
          <cell r="O90">
            <v>110795</v>
          </cell>
          <cell r="P90">
            <v>3352410706</v>
          </cell>
        </row>
        <row r="91">
          <cell r="B91" t="str">
            <v>Kab. Lingga</v>
          </cell>
          <cell r="C91" t="str">
            <v>08-2005</v>
          </cell>
          <cell r="D91">
            <v>33</v>
          </cell>
          <cell r="E91">
            <v>495</v>
          </cell>
          <cell r="F91">
            <v>624</v>
          </cell>
          <cell r="G91">
            <v>111</v>
          </cell>
          <cell r="H91">
            <v>1263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1800853705</v>
          </cell>
        </row>
        <row r="92">
          <cell r="B92" t="str">
            <v>Kab. Karimun</v>
          </cell>
          <cell r="C92" t="str">
            <v>06-2005</v>
          </cell>
          <cell r="D92">
            <v>35</v>
          </cell>
          <cell r="E92">
            <v>808</v>
          </cell>
          <cell r="F92">
            <v>1337</v>
          </cell>
          <cell r="G92">
            <v>253</v>
          </cell>
          <cell r="H92">
            <v>2433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3406558000</v>
          </cell>
        </row>
        <row r="93">
          <cell r="B93" t="str">
            <v>Kota  Batam</v>
          </cell>
          <cell r="C93" t="str">
            <v>06-2005</v>
          </cell>
          <cell r="D93">
            <v>35</v>
          </cell>
          <cell r="E93">
            <v>928</v>
          </cell>
          <cell r="F93">
            <v>1706</v>
          </cell>
          <cell r="G93">
            <v>260</v>
          </cell>
          <cell r="H93">
            <v>2929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4116813000</v>
          </cell>
        </row>
        <row r="94">
          <cell r="B94" t="str">
            <v>Kota Jambi</v>
          </cell>
          <cell r="C94" t="str">
            <v>06-2005</v>
          </cell>
          <cell r="D94">
            <v>87</v>
          </cell>
          <cell r="E94">
            <v>1483</v>
          </cell>
          <cell r="F94">
            <v>4059</v>
          </cell>
          <cell r="G94">
            <v>1977</v>
          </cell>
          <cell r="H94">
            <v>7606</v>
          </cell>
          <cell r="I94">
            <v>8654365000</v>
          </cell>
          <cell r="J94">
            <v>760071000</v>
          </cell>
          <cell r="K94">
            <v>0</v>
          </cell>
          <cell r="L94">
            <v>1389152000</v>
          </cell>
          <cell r="M94">
            <v>108900000</v>
          </cell>
          <cell r="N94">
            <v>651478000</v>
          </cell>
          <cell r="O94">
            <v>384000</v>
          </cell>
          <cell r="P94">
            <v>11564350000</v>
          </cell>
        </row>
        <row r="95">
          <cell r="B95" t="str">
            <v xml:space="preserve">Kab. Bungo     </v>
          </cell>
          <cell r="C95" t="str">
            <v>06-2005</v>
          </cell>
          <cell r="D95">
            <v>119</v>
          </cell>
          <cell r="E95">
            <v>1298</v>
          </cell>
          <cell r="F95">
            <v>2944</v>
          </cell>
          <cell r="G95">
            <v>619</v>
          </cell>
          <cell r="H95">
            <v>4980</v>
          </cell>
          <cell r="I95">
            <v>5355944000</v>
          </cell>
          <cell r="J95">
            <v>553957000</v>
          </cell>
          <cell r="K95">
            <v>0</v>
          </cell>
          <cell r="L95">
            <v>855820000</v>
          </cell>
          <cell r="M95">
            <v>44829000</v>
          </cell>
          <cell r="N95">
            <v>470427000</v>
          </cell>
          <cell r="O95">
            <v>7000</v>
          </cell>
          <cell r="P95">
            <v>7280984000</v>
          </cell>
        </row>
        <row r="96">
          <cell r="B96" t="str">
            <v>Kab. Tebo</v>
          </cell>
          <cell r="C96" t="str">
            <v>06-2005</v>
          </cell>
          <cell r="D96">
            <v>87</v>
          </cell>
          <cell r="E96">
            <v>929</v>
          </cell>
          <cell r="F96">
            <v>2148</v>
          </cell>
          <cell r="G96">
            <v>215</v>
          </cell>
          <cell r="H96">
            <v>3379</v>
          </cell>
          <cell r="I96">
            <v>3467704000</v>
          </cell>
          <cell r="J96">
            <v>367396000</v>
          </cell>
          <cell r="K96">
            <v>0</v>
          </cell>
          <cell r="L96">
            <v>541534000</v>
          </cell>
          <cell r="M96">
            <v>26411000</v>
          </cell>
          <cell r="N96">
            <v>321842000</v>
          </cell>
          <cell r="O96">
            <v>170000</v>
          </cell>
          <cell r="P96">
            <v>4725057000</v>
          </cell>
        </row>
        <row r="97">
          <cell r="B97" t="str">
            <v>Kab. Tanjung Jabung Barat</v>
          </cell>
          <cell r="C97" t="str">
            <v>06-2005</v>
          </cell>
          <cell r="D97">
            <v>29</v>
          </cell>
          <cell r="E97">
            <v>844</v>
          </cell>
          <cell r="F97">
            <v>2026</v>
          </cell>
          <cell r="G97">
            <v>247</v>
          </cell>
          <cell r="H97">
            <v>3146</v>
          </cell>
          <cell r="I97">
            <v>3745347000</v>
          </cell>
          <cell r="J97">
            <v>356687000</v>
          </cell>
          <cell r="K97">
            <v>0</v>
          </cell>
          <cell r="L97">
            <v>648809000</v>
          </cell>
          <cell r="M97">
            <v>25540000</v>
          </cell>
          <cell r="N97">
            <v>325303000</v>
          </cell>
          <cell r="O97">
            <v>40998000</v>
          </cell>
          <cell r="P97">
            <v>5142684000</v>
          </cell>
        </row>
        <row r="98">
          <cell r="B98" t="str">
            <v>Kab. Tanjung Jabung Timur</v>
          </cell>
          <cell r="C98" t="str">
            <v>06-2005</v>
          </cell>
          <cell r="D98">
            <v>46</v>
          </cell>
          <cell r="E98">
            <v>796</v>
          </cell>
          <cell r="F98">
            <v>2032</v>
          </cell>
          <cell r="G98">
            <v>192</v>
          </cell>
          <cell r="H98">
            <v>3066</v>
          </cell>
          <cell r="I98">
            <v>3171589000</v>
          </cell>
          <cell r="J98">
            <v>321678000</v>
          </cell>
          <cell r="K98">
            <v>0</v>
          </cell>
          <cell r="L98">
            <v>561470000</v>
          </cell>
          <cell r="M98">
            <v>26622000</v>
          </cell>
          <cell r="N98">
            <v>273909000</v>
          </cell>
          <cell r="O98">
            <v>34852000</v>
          </cell>
          <cell r="P98">
            <v>4390120000</v>
          </cell>
        </row>
        <row r="99">
          <cell r="B99" t="str">
            <v>Kab. Kerinci</v>
          </cell>
          <cell r="C99" t="str">
            <v>06-2005</v>
          </cell>
          <cell r="D99">
            <v>73</v>
          </cell>
          <cell r="E99">
            <v>1180</v>
          </cell>
          <cell r="F99">
            <v>3999</v>
          </cell>
          <cell r="G99">
            <v>1626</v>
          </cell>
          <cell r="H99">
            <v>6878</v>
          </cell>
          <cell r="I99">
            <v>7837916000</v>
          </cell>
          <cell r="J99">
            <v>766067000</v>
          </cell>
          <cell r="K99">
            <v>0</v>
          </cell>
          <cell r="L99">
            <v>1248901000</v>
          </cell>
          <cell r="M99">
            <v>160569000</v>
          </cell>
          <cell r="N99">
            <v>619282000</v>
          </cell>
          <cell r="O99">
            <v>336000</v>
          </cell>
          <cell r="P99">
            <v>10633071000</v>
          </cell>
        </row>
        <row r="100">
          <cell r="B100" t="str">
            <v>Kab. Batanghari</v>
          </cell>
          <cell r="C100" t="str">
            <v>06-2005</v>
          </cell>
          <cell r="D100">
            <v>75</v>
          </cell>
          <cell r="E100">
            <v>1310</v>
          </cell>
          <cell r="F100">
            <v>2448</v>
          </cell>
          <cell r="G100">
            <v>334</v>
          </cell>
          <cell r="H100">
            <v>4167</v>
          </cell>
          <cell r="I100">
            <v>4303988000</v>
          </cell>
          <cell r="J100">
            <v>426994000</v>
          </cell>
          <cell r="K100">
            <v>0</v>
          </cell>
          <cell r="L100">
            <v>644687000</v>
          </cell>
          <cell r="M100">
            <v>30432000</v>
          </cell>
          <cell r="N100">
            <v>376035000</v>
          </cell>
          <cell r="O100">
            <v>205000</v>
          </cell>
          <cell r="P100">
            <v>5782341000</v>
          </cell>
        </row>
        <row r="101">
          <cell r="B101" t="str">
            <v>Kab. Muaro Jambi</v>
          </cell>
          <cell r="C101" t="str">
            <v>06-2005</v>
          </cell>
          <cell r="D101">
            <v>82</v>
          </cell>
          <cell r="E101">
            <v>1093</v>
          </cell>
          <cell r="F101">
            <v>2723</v>
          </cell>
          <cell r="G101">
            <v>307</v>
          </cell>
          <cell r="H101">
            <v>4205</v>
          </cell>
          <cell r="I101">
            <v>4287738000</v>
          </cell>
          <cell r="J101">
            <v>514529000</v>
          </cell>
          <cell r="K101">
            <v>0</v>
          </cell>
          <cell r="L101">
            <v>673023000</v>
          </cell>
          <cell r="M101">
            <v>165857000</v>
          </cell>
          <cell r="N101">
            <v>467535000</v>
          </cell>
          <cell r="O101">
            <v>4454000</v>
          </cell>
          <cell r="P101">
            <v>6113136000</v>
          </cell>
        </row>
        <row r="102">
          <cell r="B102" t="str">
            <v>Provinsi Jambi</v>
          </cell>
          <cell r="C102" t="str">
            <v>06-2005</v>
          </cell>
          <cell r="D102">
            <v>66</v>
          </cell>
          <cell r="E102">
            <v>1614</v>
          </cell>
          <cell r="F102">
            <v>3482</v>
          </cell>
          <cell r="G102">
            <v>331</v>
          </cell>
          <cell r="H102">
            <v>5493</v>
          </cell>
          <cell r="I102">
            <v>5931956000</v>
          </cell>
          <cell r="J102">
            <v>607597000</v>
          </cell>
          <cell r="K102">
            <v>0</v>
          </cell>
          <cell r="L102">
            <v>528538000</v>
          </cell>
          <cell r="M102">
            <v>208652000</v>
          </cell>
          <cell r="N102">
            <v>517939000</v>
          </cell>
          <cell r="O102">
            <v>278000</v>
          </cell>
          <cell r="P102">
            <v>7794960000</v>
          </cell>
        </row>
        <row r="103">
          <cell r="B103" t="str">
            <v>Kab. Merangin</v>
          </cell>
          <cell r="C103" t="str">
            <v>06-2005</v>
          </cell>
          <cell r="D103">
            <v>112</v>
          </cell>
          <cell r="E103">
            <v>1281</v>
          </cell>
          <cell r="F103">
            <v>3363</v>
          </cell>
          <cell r="G103">
            <v>291</v>
          </cell>
          <cell r="H103">
            <v>5047</v>
          </cell>
          <cell r="I103">
            <v>5566252000</v>
          </cell>
          <cell r="J103">
            <v>571614000</v>
          </cell>
          <cell r="K103">
            <v>0</v>
          </cell>
          <cell r="L103">
            <v>856854000</v>
          </cell>
          <cell r="M103">
            <v>207078000</v>
          </cell>
          <cell r="N103">
            <v>496094000</v>
          </cell>
          <cell r="O103">
            <v>265000</v>
          </cell>
          <cell r="P103">
            <v>7698157000</v>
          </cell>
        </row>
        <row r="104">
          <cell r="B104" t="str">
            <v>Kab. Sarolangun</v>
          </cell>
          <cell r="C104" t="str">
            <v>06-2005</v>
          </cell>
          <cell r="D104">
            <v>64</v>
          </cell>
          <cell r="E104">
            <v>731</v>
          </cell>
          <cell r="F104">
            <v>1880</v>
          </cell>
          <cell r="G104">
            <v>118</v>
          </cell>
          <cell r="H104">
            <v>2793</v>
          </cell>
          <cell r="I104">
            <v>3074476000</v>
          </cell>
          <cell r="J104">
            <v>325550000</v>
          </cell>
          <cell r="K104">
            <v>0</v>
          </cell>
          <cell r="L104">
            <v>530916000</v>
          </cell>
          <cell r="M104">
            <v>114996000</v>
          </cell>
          <cell r="N104">
            <v>269215000</v>
          </cell>
          <cell r="O104">
            <v>98000</v>
          </cell>
          <cell r="P104">
            <v>4315251000</v>
          </cell>
        </row>
        <row r="105">
          <cell r="B105" t="str">
            <v>Provinsi Sumatera Selatan</v>
          </cell>
          <cell r="C105" t="str">
            <v>06-2005</v>
          </cell>
          <cell r="D105">
            <v>106</v>
          </cell>
          <cell r="E105">
            <v>1306</v>
          </cell>
          <cell r="F105">
            <v>5670</v>
          </cell>
          <cell r="G105">
            <v>459</v>
          </cell>
          <cell r="H105">
            <v>7541</v>
          </cell>
          <cell r="I105">
            <v>8593801000</v>
          </cell>
          <cell r="J105">
            <v>933755000</v>
          </cell>
          <cell r="K105">
            <v>0</v>
          </cell>
          <cell r="L105">
            <v>685569000</v>
          </cell>
          <cell r="M105">
            <v>300128000</v>
          </cell>
          <cell r="N105">
            <v>761458000</v>
          </cell>
          <cell r="O105">
            <v>384000</v>
          </cell>
          <cell r="P105">
            <v>11275095000</v>
          </cell>
        </row>
        <row r="106">
          <cell r="B106" t="str">
            <v xml:space="preserve">Kota Palembang </v>
          </cell>
          <cell r="C106" t="str">
            <v>06-2005</v>
          </cell>
          <cell r="D106">
            <v>185</v>
          </cell>
          <cell r="E106">
            <v>1672</v>
          </cell>
          <cell r="F106">
            <v>11277</v>
          </cell>
          <cell r="G106">
            <v>2491</v>
          </cell>
          <cell r="H106">
            <v>15625</v>
          </cell>
          <cell r="I106">
            <v>18331988000</v>
          </cell>
          <cell r="J106">
            <v>1695066000</v>
          </cell>
          <cell r="K106">
            <v>0</v>
          </cell>
          <cell r="L106">
            <v>2984871000</v>
          </cell>
          <cell r="M106">
            <v>194984000</v>
          </cell>
          <cell r="N106">
            <v>1424069000</v>
          </cell>
          <cell r="O106">
            <v>830000</v>
          </cell>
          <cell r="P106">
            <v>24631808000</v>
          </cell>
        </row>
        <row r="107">
          <cell r="B107" t="str">
            <v xml:space="preserve">Kab. Lahat     </v>
          </cell>
          <cell r="C107" t="str">
            <v>06-2005</v>
          </cell>
          <cell r="D107">
            <v>87</v>
          </cell>
          <cell r="E107">
            <v>1537</v>
          </cell>
          <cell r="F107">
            <v>5523</v>
          </cell>
          <cell r="G107">
            <v>581</v>
          </cell>
          <cell r="H107">
            <v>7728</v>
          </cell>
          <cell r="I107">
            <v>8610150520</v>
          </cell>
          <cell r="J107">
            <v>848614554</v>
          </cell>
          <cell r="K107">
            <v>0</v>
          </cell>
          <cell r="L107">
            <v>1392934250</v>
          </cell>
          <cell r="M107">
            <v>334810773</v>
          </cell>
          <cell r="N107">
            <v>730163940</v>
          </cell>
          <cell r="O107">
            <v>398838</v>
          </cell>
          <cell r="P107">
            <v>11917072875</v>
          </cell>
        </row>
        <row r="108">
          <cell r="B108" t="str">
            <v>Kota Pagar Alam</v>
          </cell>
          <cell r="C108" t="str">
            <v>06-2005</v>
          </cell>
          <cell r="D108">
            <v>18</v>
          </cell>
          <cell r="E108">
            <v>477</v>
          </cell>
          <cell r="F108">
            <v>1337</v>
          </cell>
          <cell r="G108">
            <v>133</v>
          </cell>
          <cell r="H108">
            <v>1965</v>
          </cell>
          <cell r="I108">
            <v>2047410560</v>
          </cell>
          <cell r="J108">
            <v>203018139</v>
          </cell>
          <cell r="K108">
            <v>0</v>
          </cell>
          <cell r="L108">
            <v>388210350</v>
          </cell>
          <cell r="M108">
            <v>81285020</v>
          </cell>
          <cell r="N108">
            <v>176447850</v>
          </cell>
          <cell r="O108">
            <v>132491</v>
          </cell>
          <cell r="P108">
            <v>2896504410</v>
          </cell>
        </row>
        <row r="109">
          <cell r="B109" t="str">
            <v>Kota Prabumulih</v>
          </cell>
          <cell r="C109" t="str">
            <v>06-2005</v>
          </cell>
          <cell r="D109">
            <v>18</v>
          </cell>
          <cell r="E109">
            <v>500</v>
          </cell>
          <cell r="F109">
            <v>1576</v>
          </cell>
          <cell r="G109">
            <v>187</v>
          </cell>
          <cell r="H109">
            <v>2281</v>
          </cell>
          <cell r="I109">
            <v>2640152000</v>
          </cell>
          <cell r="J109">
            <v>239423000</v>
          </cell>
          <cell r="K109">
            <v>0</v>
          </cell>
          <cell r="L109">
            <v>492774000</v>
          </cell>
          <cell r="M109">
            <v>102086000</v>
          </cell>
          <cell r="N109">
            <v>214301000</v>
          </cell>
          <cell r="O109">
            <v>126000</v>
          </cell>
          <cell r="P109">
            <v>3688862000</v>
          </cell>
        </row>
        <row r="110">
          <cell r="B110" t="str">
            <v>Kab. Ogan Komering Ilir</v>
          </cell>
          <cell r="C110" t="str">
            <v>06-2005</v>
          </cell>
          <cell r="D110">
            <v>125</v>
          </cell>
          <cell r="E110">
            <v>1663</v>
          </cell>
          <cell r="F110">
            <v>4632</v>
          </cell>
          <cell r="G110">
            <v>407</v>
          </cell>
          <cell r="H110">
            <v>6827</v>
          </cell>
          <cell r="I110">
            <v>7252852000</v>
          </cell>
          <cell r="J110">
            <v>769954000</v>
          </cell>
          <cell r="K110">
            <v>0</v>
          </cell>
          <cell r="L110">
            <v>1240264000</v>
          </cell>
          <cell r="M110">
            <v>33825000</v>
          </cell>
          <cell r="N110">
            <v>669232000</v>
          </cell>
          <cell r="O110">
            <v>344000</v>
          </cell>
          <cell r="P110">
            <v>9966471000</v>
          </cell>
        </row>
        <row r="111">
          <cell r="B111" t="str">
            <v>Kab. Ogan Ilir</v>
          </cell>
          <cell r="C111" t="str">
            <v>06-2005</v>
          </cell>
          <cell r="D111">
            <v>66</v>
          </cell>
          <cell r="E111">
            <v>658</v>
          </cell>
          <cell r="F111">
            <v>3317</v>
          </cell>
          <cell r="G111">
            <v>297</v>
          </cell>
          <cell r="H111">
            <v>4338</v>
          </cell>
          <cell r="I111">
            <v>4823631000</v>
          </cell>
          <cell r="J111">
            <v>492211000</v>
          </cell>
          <cell r="K111">
            <v>0</v>
          </cell>
          <cell r="L111">
            <v>872352000</v>
          </cell>
          <cell r="M111">
            <v>44083000</v>
          </cell>
          <cell r="N111">
            <v>418281000</v>
          </cell>
          <cell r="O111">
            <v>219000</v>
          </cell>
          <cell r="P111">
            <v>6650777000</v>
          </cell>
        </row>
        <row r="112">
          <cell r="B112" t="str">
            <v xml:space="preserve">Kab. Musi Rawas   </v>
          </cell>
          <cell r="C112" t="str">
            <v>06-2005</v>
          </cell>
          <cell r="D112">
            <v>162</v>
          </cell>
          <cell r="E112">
            <v>1822</v>
          </cell>
          <cell r="F112">
            <v>3839</v>
          </cell>
          <cell r="G112">
            <v>405</v>
          </cell>
          <cell r="H112">
            <v>6228</v>
          </cell>
          <cell r="I112">
            <v>6459252680</v>
          </cell>
          <cell r="J112">
            <v>707380070</v>
          </cell>
          <cell r="K112">
            <v>0</v>
          </cell>
          <cell r="L112">
            <v>1078896700</v>
          </cell>
          <cell r="M112">
            <v>198770481</v>
          </cell>
          <cell r="N112">
            <v>618530040</v>
          </cell>
          <cell r="O112">
            <v>307041</v>
          </cell>
          <cell r="P112">
            <v>9063137012</v>
          </cell>
        </row>
        <row r="113">
          <cell r="B113" t="str">
            <v xml:space="preserve">Kab. Muara Enim </v>
          </cell>
          <cell r="C113" t="str">
            <v>06-2005</v>
          </cell>
          <cell r="D113">
            <v>148</v>
          </cell>
          <cell r="E113">
            <v>1712</v>
          </cell>
          <cell r="F113">
            <v>4927</v>
          </cell>
          <cell r="G113">
            <v>464</v>
          </cell>
          <cell r="H113">
            <v>7251</v>
          </cell>
          <cell r="I113">
            <v>7746095105</v>
          </cell>
          <cell r="J113">
            <v>830500111</v>
          </cell>
          <cell r="K113">
            <v>0</v>
          </cell>
          <cell r="L113">
            <v>1286602205</v>
          </cell>
          <cell r="M113">
            <v>715871190</v>
          </cell>
          <cell r="N113">
            <v>298518693</v>
          </cell>
          <cell r="O113">
            <v>365571</v>
          </cell>
          <cell r="P113">
            <v>10877952875</v>
          </cell>
        </row>
        <row r="114">
          <cell r="B114" t="str">
            <v>Kab. Musi Banyuasin</v>
          </cell>
          <cell r="C114" t="str">
            <v>06-2005</v>
          </cell>
          <cell r="D114">
            <v>128</v>
          </cell>
          <cell r="E114">
            <v>1277</v>
          </cell>
          <cell r="F114">
            <v>3821</v>
          </cell>
          <cell r="G114">
            <v>278</v>
          </cell>
          <cell r="H114">
            <v>5504</v>
          </cell>
          <cell r="I114">
            <v>5759201690</v>
          </cell>
          <cell r="J114">
            <v>587304361</v>
          </cell>
          <cell r="K114">
            <v>0</v>
          </cell>
          <cell r="L114">
            <v>972208350</v>
          </cell>
          <cell r="M114">
            <v>230204077</v>
          </cell>
          <cell r="N114">
            <v>510266220</v>
          </cell>
          <cell r="O114">
            <v>0</v>
          </cell>
          <cell r="P114">
            <v>8059184698</v>
          </cell>
        </row>
        <row r="115">
          <cell r="B115" t="str">
            <v>Kab. Banyuasin</v>
          </cell>
          <cell r="C115" t="str">
            <v>06-2005</v>
          </cell>
          <cell r="D115">
            <v>131</v>
          </cell>
          <cell r="E115">
            <v>1331</v>
          </cell>
          <cell r="F115">
            <v>4034</v>
          </cell>
          <cell r="G115">
            <v>333</v>
          </cell>
          <cell r="H115">
            <v>5829</v>
          </cell>
          <cell r="I115">
            <v>6201556460</v>
          </cell>
          <cell r="J115">
            <v>674636578</v>
          </cell>
          <cell r="K115">
            <v>0</v>
          </cell>
          <cell r="L115">
            <v>1095464250</v>
          </cell>
          <cell r="M115">
            <v>44276860</v>
          </cell>
          <cell r="N115">
            <v>582813210</v>
          </cell>
          <cell r="O115">
            <v>0</v>
          </cell>
          <cell r="P115">
            <v>8598747358</v>
          </cell>
        </row>
        <row r="116">
          <cell r="B116" t="str">
            <v>Kota Lubuk Linggau</v>
          </cell>
          <cell r="C116" t="str">
            <v>06-2005</v>
          </cell>
          <cell r="D116">
            <v>46</v>
          </cell>
          <cell r="E116">
            <v>502</v>
          </cell>
          <cell r="F116">
            <v>2161</v>
          </cell>
          <cell r="G116">
            <v>223</v>
          </cell>
          <cell r="H116">
            <v>2932</v>
          </cell>
          <cell r="I116">
            <v>3149456460</v>
          </cell>
          <cell r="J116">
            <v>287328065</v>
          </cell>
          <cell r="K116">
            <v>0</v>
          </cell>
          <cell r="L116">
            <v>574420750</v>
          </cell>
          <cell r="M116">
            <v>126017597</v>
          </cell>
          <cell r="N116">
            <v>257149140</v>
          </cell>
          <cell r="O116">
            <v>153233</v>
          </cell>
          <cell r="P116">
            <v>4394525245</v>
          </cell>
        </row>
        <row r="117">
          <cell r="B117" t="str">
            <v>Kab. Ogan Komering Ulu</v>
          </cell>
          <cell r="C117" t="str">
            <v>06-2005</v>
          </cell>
          <cell r="D117">
            <v>65</v>
          </cell>
          <cell r="E117">
            <v>899</v>
          </cell>
          <cell r="F117">
            <v>3677</v>
          </cell>
          <cell r="G117">
            <v>508</v>
          </cell>
          <cell r="H117">
            <v>5149</v>
          </cell>
          <cell r="I117">
            <v>5713436000</v>
          </cell>
          <cell r="J117">
            <v>568361600</v>
          </cell>
          <cell r="K117">
            <v>0</v>
          </cell>
          <cell r="L117">
            <v>926884600</v>
          </cell>
          <cell r="M117">
            <v>221136300</v>
          </cell>
          <cell r="N117">
            <v>489353700</v>
          </cell>
          <cell r="O117">
            <v>272300</v>
          </cell>
          <cell r="P117">
            <v>7919444500</v>
          </cell>
        </row>
        <row r="118">
          <cell r="B118" t="str">
            <v>Kab. OKU Timur</v>
          </cell>
          <cell r="C118" t="str">
            <v>06-2005</v>
          </cell>
          <cell r="D118">
            <v>154</v>
          </cell>
          <cell r="E118">
            <v>983</v>
          </cell>
          <cell r="F118">
            <v>3872</v>
          </cell>
          <cell r="G118">
            <v>392</v>
          </cell>
          <cell r="H118">
            <v>5401</v>
          </cell>
          <cell r="I118">
            <v>5826750000</v>
          </cell>
          <cell r="J118">
            <v>644543200</v>
          </cell>
          <cell r="K118">
            <v>0</v>
          </cell>
          <cell r="L118">
            <v>1033866800</v>
          </cell>
          <cell r="M118">
            <v>225783200</v>
          </cell>
          <cell r="N118">
            <v>546314000</v>
          </cell>
          <cell r="O118">
            <v>268700</v>
          </cell>
          <cell r="P118">
            <v>8277525900</v>
          </cell>
        </row>
        <row r="119">
          <cell r="B119" t="str">
            <v>Kab. OKU Selatan</v>
          </cell>
          <cell r="C119" t="str">
            <v>06-2005</v>
          </cell>
          <cell r="D119">
            <v>40</v>
          </cell>
          <cell r="E119">
            <v>613</v>
          </cell>
          <cell r="F119">
            <v>1543</v>
          </cell>
          <cell r="G119">
            <v>154</v>
          </cell>
          <cell r="H119">
            <v>2350</v>
          </cell>
          <cell r="I119">
            <v>2429224500</v>
          </cell>
          <cell r="J119">
            <v>271137200</v>
          </cell>
          <cell r="K119">
            <v>0</v>
          </cell>
          <cell r="L119">
            <v>438893900</v>
          </cell>
          <cell r="M119">
            <v>92932800</v>
          </cell>
          <cell r="N119">
            <v>235063100</v>
          </cell>
          <cell r="O119">
            <v>313000</v>
          </cell>
          <cell r="P119">
            <v>3467564500</v>
          </cell>
        </row>
        <row r="120">
          <cell r="B120" t="str">
            <v>Provinsi Bangka Belitung</v>
          </cell>
          <cell r="C120" t="str">
            <v>06-2005</v>
          </cell>
          <cell r="D120">
            <v>14</v>
          </cell>
          <cell r="E120">
            <v>663</v>
          </cell>
          <cell r="F120">
            <v>617</v>
          </cell>
          <cell r="G120">
            <v>98</v>
          </cell>
          <cell r="H120">
            <v>1392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1708688000</v>
          </cell>
        </row>
        <row r="121">
          <cell r="B121" t="str">
            <v>Kab. Bangka</v>
          </cell>
          <cell r="C121" t="str">
            <v>06-2005</v>
          </cell>
          <cell r="D121">
            <v>74</v>
          </cell>
          <cell r="E121">
            <v>286</v>
          </cell>
          <cell r="F121">
            <v>2258</v>
          </cell>
          <cell r="G121">
            <v>198</v>
          </cell>
          <cell r="H121">
            <v>2816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4958645000</v>
          </cell>
        </row>
        <row r="122">
          <cell r="B122" t="str">
            <v>Kab. Bangka Barat</v>
          </cell>
          <cell r="C122" t="str">
            <v>06-2005</v>
          </cell>
          <cell r="D122">
            <v>48</v>
          </cell>
          <cell r="E122">
            <v>601</v>
          </cell>
          <cell r="F122">
            <v>1732</v>
          </cell>
          <cell r="G122">
            <v>331</v>
          </cell>
          <cell r="H122">
            <v>2712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4012866000</v>
          </cell>
        </row>
        <row r="123">
          <cell r="B123" t="str">
            <v>Kab. Bangka Selatan</v>
          </cell>
          <cell r="C123" t="str">
            <v>06-2005</v>
          </cell>
          <cell r="D123">
            <v>35</v>
          </cell>
          <cell r="E123">
            <v>251</v>
          </cell>
          <cell r="F123">
            <v>487</v>
          </cell>
          <cell r="G123">
            <v>14</v>
          </cell>
          <cell r="H123">
            <v>787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1174025000</v>
          </cell>
        </row>
        <row r="124">
          <cell r="B124" t="str">
            <v>Kab. Bangka Tengah</v>
          </cell>
          <cell r="C124" t="str">
            <v>06-2005</v>
          </cell>
          <cell r="D124">
            <v>23</v>
          </cell>
          <cell r="E124">
            <v>410</v>
          </cell>
          <cell r="F124">
            <v>762</v>
          </cell>
          <cell r="G124">
            <v>86</v>
          </cell>
          <cell r="H124">
            <v>1281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1793314000</v>
          </cell>
        </row>
        <row r="125">
          <cell r="B125" t="str">
            <v>Kab. Belitung</v>
          </cell>
          <cell r="C125" t="str">
            <v>06-2005</v>
          </cell>
          <cell r="D125">
            <v>65</v>
          </cell>
          <cell r="E125">
            <v>944</v>
          </cell>
          <cell r="F125">
            <v>1720</v>
          </cell>
          <cell r="G125">
            <v>134</v>
          </cell>
          <cell r="H125">
            <v>2863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3955098000</v>
          </cell>
        </row>
        <row r="126">
          <cell r="B126" t="str">
            <v>Kab. Belitung Timur</v>
          </cell>
          <cell r="C126" t="str">
            <v>06-2005</v>
          </cell>
          <cell r="D126">
            <v>42</v>
          </cell>
          <cell r="E126">
            <v>519</v>
          </cell>
          <cell r="F126">
            <v>903</v>
          </cell>
          <cell r="G126">
            <v>63</v>
          </cell>
          <cell r="H126">
            <v>1527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2077380000</v>
          </cell>
        </row>
        <row r="127">
          <cell r="B127" t="str">
            <v>Kota Pangkal Pinang</v>
          </cell>
          <cell r="C127" t="str">
            <v>06-2005</v>
          </cell>
          <cell r="D127">
            <v>48</v>
          </cell>
          <cell r="E127">
            <v>601</v>
          </cell>
          <cell r="F127">
            <v>1732</v>
          </cell>
          <cell r="G127">
            <v>331</v>
          </cell>
          <cell r="H127">
            <v>2712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4102866000</v>
          </cell>
        </row>
        <row r="128">
          <cell r="B128" t="str">
            <v>Provinsi Bengkulu</v>
          </cell>
          <cell r="C128" t="str">
            <v>06-2005</v>
          </cell>
          <cell r="D128">
            <v>90</v>
          </cell>
          <cell r="E128">
            <v>1317</v>
          </cell>
          <cell r="F128">
            <v>3584</v>
          </cell>
          <cell r="G128">
            <v>346</v>
          </cell>
          <cell r="H128">
            <v>5337</v>
          </cell>
          <cell r="I128">
            <v>5781633620</v>
          </cell>
          <cell r="J128">
            <v>601641217</v>
          </cell>
          <cell r="K128">
            <v>0</v>
          </cell>
          <cell r="L128">
            <v>525746902</v>
          </cell>
          <cell r="M128">
            <v>209046866</v>
          </cell>
          <cell r="N128">
            <v>514087650</v>
          </cell>
          <cell r="O128">
            <v>63778748</v>
          </cell>
          <cell r="P128">
            <v>7695935003</v>
          </cell>
        </row>
        <row r="129">
          <cell r="B129" t="str">
            <v>Kota Bengkulu</v>
          </cell>
          <cell r="C129" t="str">
            <v>06-2005</v>
          </cell>
          <cell r="D129">
            <v>41</v>
          </cell>
          <cell r="E129">
            <v>1112</v>
          </cell>
          <cell r="F129">
            <v>3582</v>
          </cell>
          <cell r="G129">
            <v>1049</v>
          </cell>
          <cell r="H129">
            <v>5784</v>
          </cell>
          <cell r="I129">
            <v>6470197560</v>
          </cell>
          <cell r="J129">
            <v>581572344</v>
          </cell>
          <cell r="K129">
            <v>0</v>
          </cell>
          <cell r="L129">
            <v>1031892150</v>
          </cell>
          <cell r="M129">
            <v>422559423</v>
          </cell>
          <cell r="N129">
            <v>507528030</v>
          </cell>
          <cell r="O129">
            <v>70814115</v>
          </cell>
          <cell r="P129">
            <v>9084563622</v>
          </cell>
        </row>
        <row r="130">
          <cell r="B130" t="str">
            <v>Kab. Mukomuko</v>
          </cell>
          <cell r="C130" t="str">
            <v>06-2005</v>
          </cell>
          <cell r="D130">
            <v>54</v>
          </cell>
          <cell r="E130">
            <v>573</v>
          </cell>
          <cell r="F130">
            <v>1198</v>
          </cell>
          <cell r="G130">
            <v>148</v>
          </cell>
          <cell r="H130">
            <v>1973</v>
          </cell>
          <cell r="I130">
            <v>1971876390</v>
          </cell>
          <cell r="J130">
            <v>190766374</v>
          </cell>
          <cell r="K130">
            <v>0</v>
          </cell>
          <cell r="L130">
            <v>329456150</v>
          </cell>
          <cell r="M130">
            <v>74441314</v>
          </cell>
          <cell r="N130">
            <v>172235160</v>
          </cell>
          <cell r="O130">
            <v>0</v>
          </cell>
          <cell r="P130">
            <v>2738775388</v>
          </cell>
        </row>
        <row r="131">
          <cell r="B131" t="str">
            <v>Kab. Bengkulu Utara</v>
          </cell>
          <cell r="C131" t="str">
            <v>06-2005</v>
          </cell>
          <cell r="D131">
            <v>178</v>
          </cell>
          <cell r="E131">
            <v>1472</v>
          </cell>
          <cell r="F131">
            <v>4238</v>
          </cell>
          <cell r="G131">
            <v>555</v>
          </cell>
          <cell r="H131">
            <v>6443</v>
          </cell>
          <cell r="I131">
            <v>7062462700</v>
          </cell>
          <cell r="J131">
            <v>701306876</v>
          </cell>
          <cell r="K131">
            <v>0</v>
          </cell>
          <cell r="L131">
            <v>1109628400</v>
          </cell>
          <cell r="M131">
            <v>67656080</v>
          </cell>
          <cell r="N131">
            <v>593711710</v>
          </cell>
          <cell r="O131">
            <v>87134</v>
          </cell>
          <cell r="P131">
            <v>9534852900</v>
          </cell>
        </row>
        <row r="132">
          <cell r="B132" t="str">
            <v>Kab. Rejang Lebong</v>
          </cell>
          <cell r="C132" t="str">
            <v>06-2005</v>
          </cell>
          <cell r="D132">
            <v>108</v>
          </cell>
          <cell r="E132">
            <v>1002</v>
          </cell>
          <cell r="F132">
            <v>3281</v>
          </cell>
          <cell r="G132">
            <v>452</v>
          </cell>
          <cell r="H132">
            <v>4843</v>
          </cell>
          <cell r="I132">
            <v>5298439000</v>
          </cell>
          <cell r="J132">
            <v>529360000</v>
          </cell>
          <cell r="K132">
            <v>0</v>
          </cell>
          <cell r="L132">
            <v>814336000</v>
          </cell>
          <cell r="M132">
            <v>205897000</v>
          </cell>
          <cell r="N132">
            <v>450748000</v>
          </cell>
          <cell r="O132">
            <v>0</v>
          </cell>
          <cell r="P132">
            <v>7298780000</v>
          </cell>
        </row>
        <row r="133">
          <cell r="B133" t="str">
            <v>Kab. Lebong</v>
          </cell>
          <cell r="C133" t="str">
            <v>06-2005</v>
          </cell>
          <cell r="D133">
            <v>53</v>
          </cell>
          <cell r="E133">
            <v>224</v>
          </cell>
          <cell r="F133">
            <v>846</v>
          </cell>
          <cell r="G133">
            <v>152</v>
          </cell>
          <cell r="H133">
            <v>1275</v>
          </cell>
          <cell r="I133">
            <v>1432231000</v>
          </cell>
          <cell r="J133">
            <v>163817000</v>
          </cell>
          <cell r="K133">
            <v>0</v>
          </cell>
          <cell r="L133">
            <v>308888000</v>
          </cell>
          <cell r="M133">
            <v>67526000</v>
          </cell>
          <cell r="N133">
            <v>130319000</v>
          </cell>
          <cell r="O133">
            <v>0</v>
          </cell>
          <cell r="P133">
            <v>2102781000</v>
          </cell>
        </row>
        <row r="134">
          <cell r="B134" t="str">
            <v>Kab. Kepahiang</v>
          </cell>
          <cell r="C134" t="str">
            <v>06-2005</v>
          </cell>
          <cell r="D134">
            <v>39</v>
          </cell>
          <cell r="E134">
            <v>297</v>
          </cell>
          <cell r="F134">
            <v>1036</v>
          </cell>
          <cell r="G134">
            <v>192</v>
          </cell>
          <cell r="H134">
            <v>1564</v>
          </cell>
          <cell r="I134">
            <v>1722579000</v>
          </cell>
          <cell r="J134">
            <v>176570000</v>
          </cell>
          <cell r="K134">
            <v>0</v>
          </cell>
          <cell r="L134">
            <v>312984000</v>
          </cell>
          <cell r="M134">
            <v>68240000</v>
          </cell>
          <cell r="N134">
            <v>148614000</v>
          </cell>
          <cell r="O134">
            <v>0</v>
          </cell>
          <cell r="P134">
            <v>2428987000</v>
          </cell>
        </row>
        <row r="135">
          <cell r="B135" t="str">
            <v>Kab. Bengkulu Selatan</v>
          </cell>
          <cell r="C135" t="str">
            <v>06-2005</v>
          </cell>
          <cell r="D135">
            <v>64</v>
          </cell>
          <cell r="E135">
            <v>942</v>
          </cell>
          <cell r="F135">
            <v>2922</v>
          </cell>
          <cell r="G135">
            <v>447</v>
          </cell>
          <cell r="H135">
            <v>4375</v>
          </cell>
          <cell r="I135">
            <v>4800604000</v>
          </cell>
          <cell r="J135">
            <v>483413000</v>
          </cell>
          <cell r="K135">
            <v>0</v>
          </cell>
          <cell r="L135">
            <v>734244000</v>
          </cell>
          <cell r="M135">
            <v>44812000</v>
          </cell>
          <cell r="N135">
            <v>447227000</v>
          </cell>
          <cell r="O135">
            <v>0</v>
          </cell>
          <cell r="P135">
            <v>6510300000</v>
          </cell>
        </row>
        <row r="136">
          <cell r="B136" t="str">
            <v>Kab. Kaur</v>
          </cell>
          <cell r="C136" t="str">
            <v>06-2005</v>
          </cell>
          <cell r="D136">
            <v>38</v>
          </cell>
          <cell r="E136">
            <v>477</v>
          </cell>
          <cell r="F136">
            <v>1160</v>
          </cell>
          <cell r="G136">
            <v>162</v>
          </cell>
          <cell r="H136">
            <v>1837</v>
          </cell>
          <cell r="I136">
            <v>1904662000</v>
          </cell>
          <cell r="J136">
            <v>206661000</v>
          </cell>
          <cell r="K136">
            <v>0</v>
          </cell>
          <cell r="L136">
            <v>356405000</v>
          </cell>
          <cell r="M136">
            <v>16738000</v>
          </cell>
          <cell r="N136">
            <v>174582000</v>
          </cell>
          <cell r="O136">
            <v>0</v>
          </cell>
          <cell r="P136">
            <v>2659048000</v>
          </cell>
        </row>
        <row r="137">
          <cell r="B137" t="str">
            <v>Kab. Seluma</v>
          </cell>
          <cell r="C137" t="str">
            <v>06-2005</v>
          </cell>
          <cell r="D137">
            <v>61</v>
          </cell>
          <cell r="E137">
            <v>689</v>
          </cell>
          <cell r="F137">
            <v>1898</v>
          </cell>
          <cell r="G137">
            <v>280</v>
          </cell>
          <cell r="H137">
            <v>2928</v>
          </cell>
          <cell r="I137">
            <v>3096331000</v>
          </cell>
          <cell r="J137">
            <v>337147000</v>
          </cell>
          <cell r="K137">
            <v>0</v>
          </cell>
          <cell r="L137">
            <v>522004000</v>
          </cell>
          <cell r="M137">
            <v>25302000</v>
          </cell>
          <cell r="N137">
            <v>280629000</v>
          </cell>
          <cell r="O137">
            <v>0</v>
          </cell>
          <cell r="P137">
            <v>4261413000</v>
          </cell>
        </row>
        <row r="138">
          <cell r="B138" t="str">
            <v>Provinsi Lampung</v>
          </cell>
          <cell r="C138" t="str">
            <v>06-2005</v>
          </cell>
          <cell r="D138">
            <v>113</v>
          </cell>
          <cell r="E138">
            <v>2207</v>
          </cell>
          <cell r="F138">
            <v>4914</v>
          </cell>
          <cell r="G138">
            <v>466</v>
          </cell>
          <cell r="H138">
            <v>7700</v>
          </cell>
          <cell r="I138">
            <v>8483099613</v>
          </cell>
          <cell r="J138">
            <v>874339742</v>
          </cell>
          <cell r="K138">
            <v>0</v>
          </cell>
          <cell r="L138">
            <v>633506518</v>
          </cell>
          <cell r="M138">
            <v>294466062</v>
          </cell>
          <cell r="N138">
            <v>744697410</v>
          </cell>
          <cell r="O138">
            <v>349520</v>
          </cell>
          <cell r="P138">
            <v>11030458865</v>
          </cell>
        </row>
        <row r="139">
          <cell r="B139" t="str">
            <v>Kab. Lampung Barat</v>
          </cell>
          <cell r="C139" t="str">
            <v>06-2005</v>
          </cell>
          <cell r="D139">
            <v>54</v>
          </cell>
          <cell r="E139">
            <v>1171</v>
          </cell>
          <cell r="F139">
            <v>2814</v>
          </cell>
          <cell r="G139">
            <v>493</v>
          </cell>
          <cell r="H139">
            <v>4532</v>
          </cell>
          <cell r="I139">
            <v>4742668000</v>
          </cell>
          <cell r="J139">
            <v>497800191</v>
          </cell>
          <cell r="K139">
            <v>0</v>
          </cell>
          <cell r="L139">
            <v>824317000</v>
          </cell>
          <cell r="M139">
            <v>184920625</v>
          </cell>
          <cell r="N139">
            <v>428541780</v>
          </cell>
          <cell r="O139">
            <v>218660</v>
          </cell>
          <cell r="P139">
            <v>6678466256</v>
          </cell>
        </row>
        <row r="140">
          <cell r="B140" t="str">
            <v>Kab. Lampung Selatan</v>
          </cell>
          <cell r="C140" t="str">
            <v>06-2005</v>
          </cell>
          <cell r="D140">
            <v>105</v>
          </cell>
          <cell r="E140">
            <v>2284</v>
          </cell>
          <cell r="F140">
            <v>8018</v>
          </cell>
          <cell r="G140">
            <v>1464</v>
          </cell>
          <cell r="H140">
            <v>11871</v>
          </cell>
          <cell r="I140">
            <v>13259540100</v>
          </cell>
          <cell r="J140">
            <v>1378512384</v>
          </cell>
          <cell r="K140">
            <v>0</v>
          </cell>
          <cell r="L140">
            <v>2294843000</v>
          </cell>
          <cell r="M140">
            <v>301733032</v>
          </cell>
          <cell r="N140">
            <v>1142156220</v>
          </cell>
          <cell r="O140">
            <v>583889</v>
          </cell>
          <cell r="P140">
            <v>18377368625</v>
          </cell>
        </row>
        <row r="141">
          <cell r="B141" t="str">
            <v>Kab. Lampung Tengah</v>
          </cell>
          <cell r="C141" t="str">
            <v>06-2005</v>
          </cell>
          <cell r="D141">
            <v>131</v>
          </cell>
          <cell r="E141">
            <v>2313</v>
          </cell>
          <cell r="F141">
            <v>8736</v>
          </cell>
          <cell r="G141">
            <v>1613</v>
          </cell>
          <cell r="H141">
            <v>12793</v>
          </cell>
          <cell r="I141">
            <v>14374178860</v>
          </cell>
          <cell r="J141">
            <v>1507207013</v>
          </cell>
          <cell r="K141">
            <v>0</v>
          </cell>
          <cell r="L141">
            <v>2307411000</v>
          </cell>
          <cell r="M141">
            <v>565473223</v>
          </cell>
          <cell r="N141">
            <v>1217321040</v>
          </cell>
          <cell r="O141">
            <v>628300</v>
          </cell>
          <cell r="P141">
            <v>19972219436</v>
          </cell>
        </row>
        <row r="142">
          <cell r="B142" t="str">
            <v>Kab. Lampung Utara</v>
          </cell>
          <cell r="C142" t="str">
            <v>06-2005</v>
          </cell>
          <cell r="D142">
            <v>63</v>
          </cell>
          <cell r="E142">
            <v>1605</v>
          </cell>
          <cell r="F142">
            <v>5728</v>
          </cell>
          <cell r="G142">
            <v>739</v>
          </cell>
          <cell r="H142">
            <v>8135</v>
          </cell>
          <cell r="I142">
            <v>9006296430</v>
          </cell>
          <cell r="J142">
            <v>950718152</v>
          </cell>
          <cell r="K142">
            <v>0</v>
          </cell>
          <cell r="L142">
            <v>1481283550</v>
          </cell>
          <cell r="M142">
            <v>349995103</v>
          </cell>
          <cell r="N142">
            <v>801657780</v>
          </cell>
          <cell r="O142">
            <v>99980678</v>
          </cell>
          <cell r="P142">
            <v>12689931693</v>
          </cell>
        </row>
        <row r="143">
          <cell r="B143" t="str">
            <v>Kab. Lampung Timur</v>
          </cell>
          <cell r="C143" t="str">
            <v>06-2005</v>
          </cell>
          <cell r="D143">
            <v>93</v>
          </cell>
          <cell r="E143">
            <v>1705</v>
          </cell>
          <cell r="F143">
            <v>6077</v>
          </cell>
          <cell r="G143">
            <v>1563</v>
          </cell>
          <cell r="H143">
            <v>9438</v>
          </cell>
          <cell r="I143">
            <v>10671938340</v>
          </cell>
          <cell r="J143">
            <v>1106323686</v>
          </cell>
          <cell r="K143">
            <v>0</v>
          </cell>
          <cell r="L143">
            <v>1854525450</v>
          </cell>
          <cell r="M143">
            <v>431503249</v>
          </cell>
          <cell r="N143">
            <v>885231400</v>
          </cell>
          <cell r="O143">
            <v>463613</v>
          </cell>
          <cell r="P143">
            <v>14949985738</v>
          </cell>
        </row>
        <row r="144">
          <cell r="B144" t="str">
            <v>Kab. Tanggamus</v>
          </cell>
          <cell r="C144" t="str">
            <v>06-2005</v>
          </cell>
          <cell r="D144">
            <v>84</v>
          </cell>
          <cell r="E144">
            <v>1478</v>
          </cell>
          <cell r="F144">
            <v>6783</v>
          </cell>
          <cell r="G144">
            <v>1762</v>
          </cell>
          <cell r="H144">
            <v>10107</v>
          </cell>
          <cell r="I144">
            <v>11499705180</v>
          </cell>
          <cell r="J144">
            <v>1236642802</v>
          </cell>
          <cell r="K144">
            <v>0</v>
          </cell>
          <cell r="L144">
            <v>2002948350</v>
          </cell>
          <cell r="M144">
            <v>271569609</v>
          </cell>
          <cell r="N144">
            <v>992398290</v>
          </cell>
          <cell r="O144">
            <v>487244</v>
          </cell>
          <cell r="P144">
            <v>16003751475</v>
          </cell>
        </row>
        <row r="145">
          <cell r="B145" t="str">
            <v>Kab. Tulang Bawang</v>
          </cell>
          <cell r="C145" t="str">
            <v>06-2005</v>
          </cell>
          <cell r="D145">
            <v>108</v>
          </cell>
          <cell r="E145">
            <v>1729</v>
          </cell>
          <cell r="F145">
            <v>3534</v>
          </cell>
          <cell r="G145">
            <v>514</v>
          </cell>
          <cell r="H145">
            <v>5885</v>
          </cell>
          <cell r="I145">
            <v>6125159800</v>
          </cell>
          <cell r="J145">
            <v>682742704</v>
          </cell>
          <cell r="K145">
            <v>0</v>
          </cell>
          <cell r="L145">
            <v>1143920810</v>
          </cell>
          <cell r="M145">
            <v>238844888</v>
          </cell>
          <cell r="N145">
            <v>583715910</v>
          </cell>
          <cell r="O145">
            <v>284985</v>
          </cell>
          <cell r="P145">
            <v>8774669097</v>
          </cell>
        </row>
        <row r="146">
          <cell r="B146" t="str">
            <v>Kab. Way Kanan</v>
          </cell>
          <cell r="C146" t="str">
            <v>06-2005</v>
          </cell>
          <cell r="D146">
            <v>59</v>
          </cell>
          <cell r="E146">
            <v>999</v>
          </cell>
          <cell r="F146">
            <v>2208</v>
          </cell>
          <cell r="G146">
            <v>401</v>
          </cell>
          <cell r="H146">
            <v>3667</v>
          </cell>
          <cell r="I146">
            <v>3828989030</v>
          </cell>
          <cell r="J146">
            <v>420851871</v>
          </cell>
          <cell r="K146">
            <v>0</v>
          </cell>
          <cell r="L146">
            <v>864772800</v>
          </cell>
          <cell r="M146">
            <v>151260108</v>
          </cell>
          <cell r="N146">
            <v>357981730</v>
          </cell>
          <cell r="O146">
            <v>88630262</v>
          </cell>
          <cell r="P146">
            <v>5712485801</v>
          </cell>
        </row>
        <row r="147">
          <cell r="B147" t="str">
            <v xml:space="preserve">Kota Bandar Lampung </v>
          </cell>
          <cell r="C147" t="str">
            <v>06-2005</v>
          </cell>
          <cell r="D147">
            <v>75</v>
          </cell>
          <cell r="E147">
            <v>1409</v>
          </cell>
          <cell r="F147">
            <v>6795</v>
          </cell>
          <cell r="G147">
            <v>2275</v>
          </cell>
          <cell r="H147">
            <v>10554</v>
          </cell>
          <cell r="I147">
            <v>12208237360</v>
          </cell>
          <cell r="J147">
            <v>1062212131</v>
          </cell>
          <cell r="K147">
            <v>0</v>
          </cell>
          <cell r="L147">
            <v>1914429800</v>
          </cell>
          <cell r="M147">
            <v>495500665</v>
          </cell>
          <cell r="N147">
            <v>908056020</v>
          </cell>
          <cell r="O147">
            <v>539240</v>
          </cell>
          <cell r="P147">
            <v>16588975216</v>
          </cell>
        </row>
        <row r="148">
          <cell r="B148" t="str">
            <v>Kota Metro</v>
          </cell>
          <cell r="C148" t="str">
            <v>06-2005</v>
          </cell>
          <cell r="D148">
            <v>31</v>
          </cell>
          <cell r="E148">
            <v>846</v>
          </cell>
          <cell r="F148">
            <v>2369</v>
          </cell>
          <cell r="G148">
            <v>699</v>
          </cell>
          <cell r="H148">
            <v>3945</v>
          </cell>
          <cell r="I148">
            <v>4312992960</v>
          </cell>
          <cell r="J148">
            <v>376302827</v>
          </cell>
          <cell r="K148">
            <v>0</v>
          </cell>
          <cell r="L148">
            <v>728339950</v>
          </cell>
          <cell r="M148">
            <v>173854534</v>
          </cell>
          <cell r="N148">
            <v>325934880</v>
          </cell>
          <cell r="O148">
            <v>198459</v>
          </cell>
          <cell r="P148">
            <v>5917623610</v>
          </cell>
        </row>
        <row r="149">
          <cell r="B149" t="str">
            <v>Provinsi DKI Jakarta</v>
          </cell>
          <cell r="C149" t="str">
            <v>06-2005</v>
          </cell>
          <cell r="D149">
            <v>1317</v>
          </cell>
          <cell r="E149">
            <v>18100</v>
          </cell>
          <cell r="F149">
            <v>50069</v>
          </cell>
          <cell r="G149">
            <v>19843</v>
          </cell>
          <cell r="H149">
            <v>89329</v>
          </cell>
          <cell r="I149">
            <v>103229819415</v>
          </cell>
          <cell r="J149">
            <v>10285046629</v>
          </cell>
          <cell r="K149">
            <v>0</v>
          </cell>
          <cell r="L149">
            <v>13099339300</v>
          </cell>
          <cell r="M149">
            <v>3937787963</v>
          </cell>
          <cell r="N149">
            <v>6280439200</v>
          </cell>
          <cell r="O149">
            <v>4403001</v>
          </cell>
          <cell r="P149">
            <v>136836835508</v>
          </cell>
        </row>
        <row r="150">
          <cell r="B150" t="str">
            <v>Kota Cirebon</v>
          </cell>
          <cell r="C150" t="str">
            <v>06-2005</v>
          </cell>
          <cell r="D150">
            <v>98</v>
          </cell>
          <cell r="E150">
            <v>1150</v>
          </cell>
          <cell r="F150">
            <v>2980</v>
          </cell>
          <cell r="G150">
            <v>1214</v>
          </cell>
          <cell r="H150">
            <v>5442</v>
          </cell>
          <cell r="I150">
            <v>6094510100</v>
          </cell>
          <cell r="J150">
            <v>593900240</v>
          </cell>
          <cell r="K150">
            <v>0</v>
          </cell>
          <cell r="L150">
            <v>850796400</v>
          </cell>
          <cell r="M150">
            <v>237267174</v>
          </cell>
          <cell r="N150">
            <v>482132070</v>
          </cell>
          <cell r="O150">
            <v>0</v>
          </cell>
          <cell r="P150">
            <v>8258605984</v>
          </cell>
        </row>
        <row r="151">
          <cell r="B151" t="str">
            <v>Kab. Cirebon</v>
          </cell>
          <cell r="C151" t="str">
            <v>06-2005</v>
          </cell>
          <cell r="D151">
            <v>223</v>
          </cell>
          <cell r="E151">
            <v>2427</v>
          </cell>
          <cell r="F151">
            <v>7447</v>
          </cell>
          <cell r="G151">
            <v>4066</v>
          </cell>
          <cell r="H151">
            <v>14163</v>
          </cell>
          <cell r="I151">
            <v>16159675400</v>
          </cell>
          <cell r="J151">
            <v>1704595002</v>
          </cell>
          <cell r="K151">
            <v>0</v>
          </cell>
          <cell r="L151">
            <v>2742944550</v>
          </cell>
          <cell r="M151">
            <v>331669497</v>
          </cell>
          <cell r="N151">
            <v>1358864400</v>
          </cell>
          <cell r="O151">
            <v>0</v>
          </cell>
          <cell r="P151">
            <v>22297748849</v>
          </cell>
        </row>
        <row r="152">
          <cell r="B152" t="str">
            <v>Kab. Indramayu</v>
          </cell>
          <cell r="C152" t="str">
            <v>06-2005</v>
          </cell>
          <cell r="D152">
            <v>161</v>
          </cell>
          <cell r="E152">
            <v>2055</v>
          </cell>
          <cell r="F152">
            <v>5917</v>
          </cell>
          <cell r="G152">
            <v>3863</v>
          </cell>
          <cell r="H152">
            <v>11996</v>
          </cell>
          <cell r="I152">
            <v>13806998540</v>
          </cell>
          <cell r="J152">
            <v>1414728577</v>
          </cell>
          <cell r="K152">
            <v>0</v>
          </cell>
          <cell r="L152">
            <v>2333844650</v>
          </cell>
          <cell r="M152">
            <v>152043899</v>
          </cell>
          <cell r="N152">
            <v>1104633990</v>
          </cell>
          <cell r="O152">
            <v>0</v>
          </cell>
          <cell r="P152">
            <v>18812249656</v>
          </cell>
        </row>
        <row r="153">
          <cell r="B153" t="str">
            <v>Kota Sukabumi</v>
          </cell>
          <cell r="C153" t="str">
            <v>06-2005</v>
          </cell>
          <cell r="D153">
            <v>76</v>
          </cell>
          <cell r="E153">
            <v>924</v>
          </cell>
          <cell r="F153">
            <v>2287</v>
          </cell>
          <cell r="G153">
            <v>1076</v>
          </cell>
          <cell r="H153">
            <v>4363</v>
          </cell>
          <cell r="I153">
            <v>4848646800</v>
          </cell>
          <cell r="J153">
            <v>472987362</v>
          </cell>
          <cell r="K153">
            <v>0</v>
          </cell>
          <cell r="L153">
            <v>783135700</v>
          </cell>
          <cell r="M153">
            <v>193012930</v>
          </cell>
          <cell r="N153">
            <v>388522080</v>
          </cell>
          <cell r="O153">
            <v>217481</v>
          </cell>
          <cell r="P153">
            <v>6686522353</v>
          </cell>
        </row>
        <row r="154">
          <cell r="B154" t="str">
            <v>Kab. Sukabumi</v>
          </cell>
          <cell r="C154" t="str">
            <v>06-2005</v>
          </cell>
          <cell r="D154">
            <v>237</v>
          </cell>
          <cell r="E154">
            <v>2622</v>
          </cell>
          <cell r="F154">
            <v>7026</v>
          </cell>
          <cell r="G154">
            <v>3698</v>
          </cell>
          <cell r="H154">
            <v>13583</v>
          </cell>
          <cell r="I154">
            <v>15394867020</v>
          </cell>
          <cell r="J154">
            <v>1700241549</v>
          </cell>
          <cell r="K154">
            <v>0</v>
          </cell>
          <cell r="L154">
            <v>2645016635</v>
          </cell>
          <cell r="M154">
            <v>629942014</v>
          </cell>
          <cell r="N154">
            <v>1339546620</v>
          </cell>
          <cell r="O154">
            <v>639923</v>
          </cell>
          <cell r="P154">
            <v>21710253761</v>
          </cell>
        </row>
        <row r="155">
          <cell r="B155" t="str">
            <v>Kab. Cianjur</v>
          </cell>
          <cell r="C155" t="str">
            <v>06-2005</v>
          </cell>
          <cell r="D155">
            <v>210</v>
          </cell>
          <cell r="E155">
            <v>3065</v>
          </cell>
          <cell r="F155">
            <v>7442</v>
          </cell>
          <cell r="G155">
            <v>3709</v>
          </cell>
          <cell r="H155">
            <v>14426</v>
          </cell>
          <cell r="I155">
            <v>16334595080</v>
          </cell>
          <cell r="J155">
            <v>1705423604</v>
          </cell>
          <cell r="K155">
            <v>0</v>
          </cell>
          <cell r="L155">
            <v>2699607600</v>
          </cell>
          <cell r="M155">
            <v>164852010</v>
          </cell>
          <cell r="N155">
            <v>1371803100</v>
          </cell>
          <cell r="O155">
            <v>673114</v>
          </cell>
          <cell r="P155">
            <v>22276954508</v>
          </cell>
        </row>
        <row r="156">
          <cell r="B156" t="str">
            <v>Kab. Tasikmalaya</v>
          </cell>
          <cell r="C156" t="str">
            <v>05-2005</v>
          </cell>
          <cell r="D156">
            <v>263</v>
          </cell>
          <cell r="E156">
            <v>2111</v>
          </cell>
          <cell r="F156">
            <v>8416</v>
          </cell>
          <cell r="G156">
            <v>3577</v>
          </cell>
          <cell r="H156">
            <v>14367</v>
          </cell>
          <cell r="I156">
            <v>16665637510</v>
          </cell>
          <cell r="J156">
            <v>1727264040</v>
          </cell>
          <cell r="K156">
            <v>0</v>
          </cell>
          <cell r="L156">
            <v>2828980350</v>
          </cell>
          <cell r="M156">
            <v>674691751</v>
          </cell>
          <cell r="N156">
            <v>1345023000</v>
          </cell>
          <cell r="O156">
            <v>704968</v>
          </cell>
          <cell r="P156">
            <v>23242301619</v>
          </cell>
        </row>
        <row r="157">
          <cell r="B157" t="str">
            <v>Kota Tasikmalaya</v>
          </cell>
          <cell r="C157" t="str">
            <v>03-2005</v>
          </cell>
          <cell r="D157">
            <v>112</v>
          </cell>
          <cell r="E157">
            <v>796</v>
          </cell>
          <cell r="F157">
            <v>4510</v>
          </cell>
          <cell r="G157">
            <v>1706</v>
          </cell>
          <cell r="H157">
            <v>7124</v>
          </cell>
          <cell r="I157">
            <v>8240565240</v>
          </cell>
          <cell r="J157">
            <v>801059521</v>
          </cell>
          <cell r="K157">
            <v>0</v>
          </cell>
          <cell r="L157">
            <v>1450339400</v>
          </cell>
          <cell r="M157">
            <v>336723300</v>
          </cell>
          <cell r="N157">
            <v>646273020</v>
          </cell>
          <cell r="O157">
            <v>347753</v>
          </cell>
          <cell r="P157">
            <v>11475308234</v>
          </cell>
        </row>
        <row r="158">
          <cell r="B158" t="str">
            <v>Kab. Ciamis</v>
          </cell>
          <cell r="C158" t="str">
            <v>05-2005</v>
          </cell>
          <cell r="D158">
            <v>349</v>
          </cell>
          <cell r="E158">
            <v>2599</v>
          </cell>
          <cell r="F158">
            <v>10905</v>
          </cell>
          <cell r="G158">
            <v>4269</v>
          </cell>
          <cell r="H158">
            <v>18122</v>
          </cell>
          <cell r="I158">
            <v>19702926831</v>
          </cell>
          <cell r="J158">
            <v>2599228214</v>
          </cell>
          <cell r="K158">
            <v>0</v>
          </cell>
          <cell r="L158">
            <v>3245723030</v>
          </cell>
          <cell r="M158">
            <v>821828819</v>
          </cell>
          <cell r="N158">
            <v>1646795610</v>
          </cell>
          <cell r="O158">
            <v>904177</v>
          </cell>
          <cell r="P158">
            <v>28017406681</v>
          </cell>
        </row>
        <row r="159">
          <cell r="B159" t="str">
            <v>Kota Banjar</v>
          </cell>
          <cell r="C159" t="str">
            <v>05-2005</v>
          </cell>
          <cell r="D159">
            <v>48</v>
          </cell>
          <cell r="E159">
            <v>549</v>
          </cell>
          <cell r="F159">
            <v>1162</v>
          </cell>
          <cell r="G159">
            <v>557</v>
          </cell>
          <cell r="H159">
            <v>2316</v>
          </cell>
          <cell r="I159">
            <v>2513145220</v>
          </cell>
          <cell r="J159">
            <v>243928622</v>
          </cell>
          <cell r="K159">
            <v>0</v>
          </cell>
          <cell r="L159">
            <v>458680100</v>
          </cell>
          <cell r="M159">
            <v>41811237</v>
          </cell>
          <cell r="N159">
            <v>199797600</v>
          </cell>
          <cell r="O159">
            <v>111373</v>
          </cell>
          <cell r="P159">
            <v>3457474152</v>
          </cell>
        </row>
        <row r="160">
          <cell r="B160" t="str">
            <v>Kab. Sumedang</v>
          </cell>
          <cell r="C160" t="str">
            <v>06-2005</v>
          </cell>
          <cell r="D160">
            <v>172</v>
          </cell>
          <cell r="E160">
            <v>2142</v>
          </cell>
          <cell r="F160">
            <v>7114</v>
          </cell>
          <cell r="G160">
            <v>3195</v>
          </cell>
          <cell r="H160">
            <v>12623</v>
          </cell>
          <cell r="I160">
            <v>14642893080</v>
          </cell>
          <cell r="J160">
            <v>1439614313</v>
          </cell>
          <cell r="K160">
            <v>0</v>
          </cell>
          <cell r="L160">
            <v>2342114500</v>
          </cell>
          <cell r="M160">
            <v>587632007</v>
          </cell>
          <cell r="N160">
            <v>1141313700</v>
          </cell>
          <cell r="O160">
            <v>612681</v>
          </cell>
          <cell r="P160">
            <v>20154180281</v>
          </cell>
        </row>
        <row r="161">
          <cell r="B161" t="str">
            <v>Kab. Bogor</v>
          </cell>
          <cell r="C161" t="str">
            <v>06-2005</v>
          </cell>
          <cell r="D161">
            <v>310</v>
          </cell>
          <cell r="E161">
            <v>3229</v>
          </cell>
          <cell r="F161">
            <v>10436</v>
          </cell>
          <cell r="G161">
            <v>3214</v>
          </cell>
          <cell r="H161">
            <v>17189</v>
          </cell>
          <cell r="I161">
            <v>19313472000</v>
          </cell>
          <cell r="J161">
            <v>1998049000</v>
          </cell>
          <cell r="K161">
            <v>0</v>
          </cell>
          <cell r="L161">
            <v>3175172000</v>
          </cell>
          <cell r="M161">
            <v>465098000</v>
          </cell>
          <cell r="N161">
            <v>1601992000</v>
          </cell>
          <cell r="O161">
            <v>0</v>
          </cell>
          <cell r="P161">
            <v>26553783000</v>
          </cell>
        </row>
        <row r="162">
          <cell r="B162" t="str">
            <v>Kota Bogor</v>
          </cell>
          <cell r="C162" t="str">
            <v>06-2005</v>
          </cell>
          <cell r="D162">
            <v>199</v>
          </cell>
          <cell r="E162">
            <v>1287</v>
          </cell>
          <cell r="F162">
            <v>3784</v>
          </cell>
          <cell r="G162">
            <v>1774</v>
          </cell>
          <cell r="H162">
            <v>7044</v>
          </cell>
          <cell r="I162">
            <v>7979390000</v>
          </cell>
          <cell r="J162">
            <v>754971000</v>
          </cell>
          <cell r="K162">
            <v>0</v>
          </cell>
          <cell r="L162">
            <v>1301388000</v>
          </cell>
          <cell r="M162">
            <v>318405000</v>
          </cell>
          <cell r="N162">
            <v>633154000</v>
          </cell>
          <cell r="O162">
            <v>0</v>
          </cell>
          <cell r="P162">
            <v>10987308000</v>
          </cell>
        </row>
        <row r="163">
          <cell r="B163" t="str">
            <v>Kota Depok</v>
          </cell>
          <cell r="C163" t="str">
            <v>06-2005</v>
          </cell>
          <cell r="D163">
            <v>91</v>
          </cell>
          <cell r="E163">
            <v>1272</v>
          </cell>
          <cell r="F163">
            <v>3886</v>
          </cell>
          <cell r="G163">
            <v>1006</v>
          </cell>
          <cell r="H163">
            <v>6255</v>
          </cell>
          <cell r="I163">
            <v>6831172000</v>
          </cell>
          <cell r="J163">
            <v>659188000</v>
          </cell>
          <cell r="K163">
            <v>0</v>
          </cell>
          <cell r="L163">
            <v>1115995000</v>
          </cell>
          <cell r="M163">
            <v>144631000</v>
          </cell>
          <cell r="N163">
            <v>548781000</v>
          </cell>
          <cell r="O163">
            <v>0</v>
          </cell>
          <cell r="P163">
            <v>9299767000</v>
          </cell>
        </row>
        <row r="164">
          <cell r="B164" t="str">
            <v>Kab. Purwakarta</v>
          </cell>
          <cell r="C164" t="str">
            <v>06-2005</v>
          </cell>
          <cell r="D164">
            <v>91</v>
          </cell>
          <cell r="E164">
            <v>1293</v>
          </cell>
          <cell r="F164">
            <v>3940</v>
          </cell>
          <cell r="G164">
            <v>1592</v>
          </cell>
          <cell r="H164">
            <v>6916</v>
          </cell>
          <cell r="I164">
            <v>7833986720</v>
          </cell>
          <cell r="J164">
            <v>804875747</v>
          </cell>
          <cell r="K164">
            <v>0</v>
          </cell>
          <cell r="L164">
            <v>1268222850</v>
          </cell>
          <cell r="M164">
            <v>175347967</v>
          </cell>
          <cell r="N164">
            <v>639984210</v>
          </cell>
          <cell r="O164">
            <v>328647</v>
          </cell>
          <cell r="P164">
            <v>10722746141</v>
          </cell>
        </row>
        <row r="165">
          <cell r="B165" t="str">
            <v xml:space="preserve">Kab. Subang          </v>
          </cell>
          <cell r="C165" t="str">
            <v>06-2005</v>
          </cell>
          <cell r="D165">
            <v>185</v>
          </cell>
          <cell r="E165">
            <v>2329</v>
          </cell>
          <cell r="F165">
            <v>6035</v>
          </cell>
          <cell r="G165">
            <v>3047</v>
          </cell>
          <cell r="H165">
            <v>11596</v>
          </cell>
          <cell r="I165">
            <v>13238531260</v>
          </cell>
          <cell r="J165">
            <v>1382312340</v>
          </cell>
          <cell r="K165">
            <v>0</v>
          </cell>
          <cell r="L165">
            <v>2190714100</v>
          </cell>
          <cell r="M165">
            <v>530193773</v>
          </cell>
          <cell r="N165">
            <v>1082818740</v>
          </cell>
          <cell r="O165">
            <v>564662</v>
          </cell>
          <cell r="P165">
            <v>18425134875</v>
          </cell>
        </row>
        <row r="166">
          <cell r="B166" t="str">
            <v>Provinsi Jawa Barat</v>
          </cell>
          <cell r="C166" t="str">
            <v>05-2005</v>
          </cell>
          <cell r="D166">
            <v>247</v>
          </cell>
          <cell r="E166">
            <v>3068</v>
          </cell>
          <cell r="F166">
            <v>8980</v>
          </cell>
          <cell r="G166">
            <v>1447</v>
          </cell>
          <cell r="H166">
            <v>13742</v>
          </cell>
          <cell r="I166">
            <v>15281839840</v>
          </cell>
          <cell r="J166">
            <v>1658553053</v>
          </cell>
          <cell r="K166">
            <v>0</v>
          </cell>
          <cell r="L166">
            <v>0</v>
          </cell>
          <cell r="M166">
            <v>543738757</v>
          </cell>
          <cell r="N166">
            <v>1344240860</v>
          </cell>
          <cell r="O166">
            <v>1288037304</v>
          </cell>
          <cell r="P166">
            <v>20116409814</v>
          </cell>
        </row>
        <row r="167">
          <cell r="B167" t="str">
            <v>Kab. Bandung</v>
          </cell>
          <cell r="C167" t="str">
            <v>05-2005</v>
          </cell>
          <cell r="D167">
            <v>444</v>
          </cell>
          <cell r="E167">
            <v>4450</v>
          </cell>
          <cell r="F167">
            <v>18374</v>
          </cell>
          <cell r="G167">
            <v>5441</v>
          </cell>
          <cell r="H167">
            <v>28709</v>
          </cell>
          <cell r="I167">
            <v>33049717840</v>
          </cell>
          <cell r="J167">
            <v>3446714949</v>
          </cell>
          <cell r="K167">
            <v>0</v>
          </cell>
          <cell r="L167">
            <v>0</v>
          </cell>
          <cell r="M167">
            <v>1307804939</v>
          </cell>
          <cell r="N167">
            <v>3752302210</v>
          </cell>
          <cell r="O167">
            <v>5310447074</v>
          </cell>
          <cell r="P167">
            <v>46866987012</v>
          </cell>
        </row>
        <row r="168">
          <cell r="B168" t="str">
            <v>Kota Bandung</v>
          </cell>
          <cell r="C168" t="str">
            <v>05-2005</v>
          </cell>
          <cell r="D168">
            <v>462</v>
          </cell>
          <cell r="E168">
            <v>3420</v>
          </cell>
          <cell r="F168">
            <v>11234</v>
          </cell>
          <cell r="G168">
            <v>6633</v>
          </cell>
          <cell r="H168">
            <v>21749</v>
          </cell>
          <cell r="I168">
            <v>25486078550</v>
          </cell>
          <cell r="J168">
            <v>2440838189</v>
          </cell>
          <cell r="K168">
            <v>0</v>
          </cell>
          <cell r="L168">
            <v>0</v>
          </cell>
          <cell r="M168">
            <v>1013423589</v>
          </cell>
          <cell r="N168">
            <v>1963553040</v>
          </cell>
          <cell r="O168">
            <v>3834940255</v>
          </cell>
          <cell r="P168">
            <v>34738833623</v>
          </cell>
        </row>
        <row r="169">
          <cell r="B169" t="str">
            <v>Kota Cimahi</v>
          </cell>
          <cell r="C169" t="str">
            <v>05-2005</v>
          </cell>
          <cell r="D169">
            <v>37</v>
          </cell>
          <cell r="E169">
            <v>537</v>
          </cell>
          <cell r="F169">
            <v>2810</v>
          </cell>
          <cell r="G169">
            <v>1711</v>
          </cell>
          <cell r="H169">
            <v>5095</v>
          </cell>
          <cell r="I169">
            <v>5337719660</v>
          </cell>
          <cell r="J169">
            <v>506724755</v>
          </cell>
          <cell r="K169">
            <v>0</v>
          </cell>
          <cell r="L169">
            <v>0</v>
          </cell>
          <cell r="M169">
            <v>218087947</v>
          </cell>
          <cell r="N169">
            <v>408381480</v>
          </cell>
          <cell r="O169">
            <v>924468808</v>
          </cell>
          <cell r="P169">
            <v>7395382650</v>
          </cell>
        </row>
        <row r="170">
          <cell r="B170" t="str">
            <v xml:space="preserve">Kab. Majalengka  </v>
          </cell>
          <cell r="C170" t="str">
            <v>06-2005</v>
          </cell>
          <cell r="D170">
            <v>182</v>
          </cell>
          <cell r="E170">
            <v>2148</v>
          </cell>
          <cell r="F170">
            <v>6354</v>
          </cell>
          <cell r="G170">
            <v>3409</v>
          </cell>
          <cell r="H170">
            <v>12093</v>
          </cell>
          <cell r="I170">
            <v>13843936000</v>
          </cell>
          <cell r="J170">
            <v>1405881000</v>
          </cell>
          <cell r="K170">
            <v>0</v>
          </cell>
          <cell r="L170">
            <v>2294685000</v>
          </cell>
          <cell r="M170">
            <v>556258000</v>
          </cell>
          <cell r="N170">
            <v>1114744000</v>
          </cell>
          <cell r="O170">
            <v>578000</v>
          </cell>
          <cell r="P170">
            <v>19216082000</v>
          </cell>
        </row>
        <row r="171">
          <cell r="B171" t="str">
            <v xml:space="preserve">Kab. Karawang    </v>
          </cell>
          <cell r="C171" t="str">
            <v>06-2005</v>
          </cell>
          <cell r="D171">
            <v>244</v>
          </cell>
          <cell r="E171">
            <v>2623</v>
          </cell>
          <cell r="F171">
            <v>7214</v>
          </cell>
          <cell r="G171">
            <v>2920</v>
          </cell>
          <cell r="H171">
            <v>13001</v>
          </cell>
          <cell r="I171">
            <v>14652373960</v>
          </cell>
          <cell r="J171">
            <v>1602723365</v>
          </cell>
          <cell r="K171">
            <v>0</v>
          </cell>
          <cell r="L171">
            <v>2397127900</v>
          </cell>
          <cell r="M171">
            <v>599089779</v>
          </cell>
          <cell r="N171">
            <v>1282164890</v>
          </cell>
          <cell r="O171">
            <v>613409</v>
          </cell>
          <cell r="P171">
            <v>20534093303</v>
          </cell>
        </row>
        <row r="172">
          <cell r="B172" t="str">
            <v>Kab. Bekasi</v>
          </cell>
          <cell r="C172" t="str">
            <v>05-2005</v>
          </cell>
          <cell r="D172">
            <v>132</v>
          </cell>
          <cell r="E172">
            <v>2118</v>
          </cell>
          <cell r="F172">
            <v>4934</v>
          </cell>
          <cell r="G172">
            <v>1986</v>
          </cell>
          <cell r="H172">
            <v>9170</v>
          </cell>
          <cell r="I172">
            <v>10034350180</v>
          </cell>
          <cell r="J172">
            <v>1097095110</v>
          </cell>
          <cell r="K172">
            <v>0</v>
          </cell>
          <cell r="L172">
            <v>1837799750</v>
          </cell>
          <cell r="M172">
            <v>389348532</v>
          </cell>
          <cell r="N172">
            <v>897564700</v>
          </cell>
          <cell r="O172">
            <v>437644</v>
          </cell>
          <cell r="P172">
            <v>14256595916</v>
          </cell>
        </row>
        <row r="173">
          <cell r="B173" t="str">
            <v>Kota Bekasi</v>
          </cell>
          <cell r="C173" t="str">
            <v>05-2005</v>
          </cell>
          <cell r="D173">
            <v>103</v>
          </cell>
          <cell r="E173">
            <v>1520</v>
          </cell>
          <cell r="F173">
            <v>4780</v>
          </cell>
          <cell r="G173">
            <v>2388</v>
          </cell>
          <cell r="H173">
            <v>8791</v>
          </cell>
          <cell r="I173">
            <v>9873545240</v>
          </cell>
          <cell r="J173">
            <v>1009056564</v>
          </cell>
          <cell r="K173">
            <v>0</v>
          </cell>
          <cell r="L173">
            <v>1711672200</v>
          </cell>
          <cell r="M173">
            <v>394342280</v>
          </cell>
          <cell r="N173">
            <v>827083830</v>
          </cell>
          <cell r="O173">
            <v>430563</v>
          </cell>
          <cell r="P173">
            <v>13816130677</v>
          </cell>
        </row>
        <row r="174">
          <cell r="B174" t="str">
            <v>Kab. Garut</v>
          </cell>
          <cell r="C174" t="str">
            <v>06-2005</v>
          </cell>
          <cell r="D174">
            <v>278</v>
          </cell>
          <cell r="E174">
            <v>3481</v>
          </cell>
          <cell r="F174">
            <v>8988</v>
          </cell>
          <cell r="G174">
            <v>6242</v>
          </cell>
          <cell r="H174">
            <v>18989</v>
          </cell>
          <cell r="I174">
            <v>21879251000</v>
          </cell>
          <cell r="J174">
            <v>2303725000</v>
          </cell>
          <cell r="K174">
            <v>0</v>
          </cell>
          <cell r="L174">
            <v>3730448000</v>
          </cell>
          <cell r="M174">
            <v>881203000</v>
          </cell>
          <cell r="N174">
            <v>1839552000</v>
          </cell>
          <cell r="O174">
            <v>897000</v>
          </cell>
          <cell r="P174">
            <v>30635076000</v>
          </cell>
        </row>
        <row r="175">
          <cell r="B175" t="str">
            <v>Kab. Kuningan</v>
          </cell>
          <cell r="C175" t="str">
            <v>06-2005</v>
          </cell>
          <cell r="D175">
            <v>138</v>
          </cell>
          <cell r="E175">
            <v>2238</v>
          </cell>
          <cell r="F175">
            <v>5774</v>
          </cell>
          <cell r="G175">
            <v>3154</v>
          </cell>
          <cell r="H175">
            <v>11304</v>
          </cell>
          <cell r="I175">
            <v>13129005000</v>
          </cell>
          <cell r="J175">
            <v>1312557000</v>
          </cell>
          <cell r="K175">
            <v>0</v>
          </cell>
          <cell r="L175">
            <v>2207714000</v>
          </cell>
          <cell r="M175">
            <v>529934000</v>
          </cell>
          <cell r="N175">
            <v>1043967000</v>
          </cell>
          <cell r="O175">
            <v>556000</v>
          </cell>
          <cell r="P175">
            <v>18223733000</v>
          </cell>
        </row>
        <row r="176">
          <cell r="B176" t="str">
            <v>Provinsi Banten</v>
          </cell>
          <cell r="C176" t="str">
            <v>05-2005</v>
          </cell>
          <cell r="D176">
            <v>11</v>
          </cell>
          <cell r="E176">
            <v>962</v>
          </cell>
          <cell r="F176">
            <v>1519</v>
          </cell>
          <cell r="G176">
            <v>229</v>
          </cell>
          <cell r="H176">
            <v>2721</v>
          </cell>
          <cell r="I176">
            <v>2713855080</v>
          </cell>
          <cell r="J176">
            <v>270487120</v>
          </cell>
          <cell r="K176">
            <v>143667</v>
          </cell>
          <cell r="L176">
            <v>307176750</v>
          </cell>
          <cell r="M176">
            <v>29259334</v>
          </cell>
          <cell r="N176">
            <v>232716060</v>
          </cell>
          <cell r="O176">
            <v>0</v>
          </cell>
          <cell r="P176">
            <v>3553638011</v>
          </cell>
        </row>
        <row r="177">
          <cell r="B177" t="str">
            <v>Kab. Serang</v>
          </cell>
          <cell r="C177" t="str">
            <v>05-2005</v>
          </cell>
          <cell r="D177">
            <v>258</v>
          </cell>
          <cell r="E177">
            <v>2617</v>
          </cell>
          <cell r="F177">
            <v>7720</v>
          </cell>
          <cell r="G177">
            <v>1269</v>
          </cell>
          <cell r="H177">
            <v>11864</v>
          </cell>
          <cell r="I177">
            <v>13051379860</v>
          </cell>
          <cell r="J177">
            <v>1400306648</v>
          </cell>
          <cell r="K177">
            <v>590364</v>
          </cell>
          <cell r="L177">
            <v>2214806400</v>
          </cell>
          <cell r="M177">
            <v>510135629</v>
          </cell>
          <cell r="N177">
            <v>1164934350</v>
          </cell>
          <cell r="O177">
            <v>144516781</v>
          </cell>
          <cell r="P177">
            <v>18486670032</v>
          </cell>
        </row>
        <row r="178">
          <cell r="B178" t="str">
            <v>Kab. Pandeglang</v>
          </cell>
          <cell r="C178" t="str">
            <v>05-2005</v>
          </cell>
          <cell r="D178">
            <v>183</v>
          </cell>
          <cell r="E178">
            <v>2048</v>
          </cell>
          <cell r="F178">
            <v>6435</v>
          </cell>
          <cell r="G178">
            <v>1368</v>
          </cell>
          <cell r="H178">
            <v>10034</v>
          </cell>
          <cell r="I178">
            <v>11163532320</v>
          </cell>
          <cell r="J178">
            <v>1193661002</v>
          </cell>
          <cell r="K178">
            <v>494687</v>
          </cell>
          <cell r="L178">
            <v>1866469100</v>
          </cell>
          <cell r="M178">
            <v>437713853</v>
          </cell>
          <cell r="N178">
            <v>983401380</v>
          </cell>
          <cell r="O178">
            <v>0</v>
          </cell>
          <cell r="P178">
            <v>15645272342</v>
          </cell>
        </row>
        <row r="179">
          <cell r="B179" t="str">
            <v>Kota Cilegon</v>
          </cell>
          <cell r="C179" t="str">
            <v>06-2005</v>
          </cell>
          <cell r="D179">
            <v>26</v>
          </cell>
          <cell r="E179">
            <v>756</v>
          </cell>
          <cell r="F179">
            <v>1897</v>
          </cell>
          <cell r="G179">
            <v>360</v>
          </cell>
          <cell r="H179">
            <v>3039</v>
          </cell>
          <cell r="I179">
            <v>3215941200</v>
          </cell>
          <cell r="J179">
            <v>354786263</v>
          </cell>
          <cell r="K179">
            <v>155312</v>
          </cell>
          <cell r="L179">
            <v>583743300</v>
          </cell>
          <cell r="M179">
            <v>31316572</v>
          </cell>
          <cell r="N179">
            <v>289496000</v>
          </cell>
          <cell r="O179">
            <v>0</v>
          </cell>
          <cell r="P179">
            <v>4475438647</v>
          </cell>
        </row>
        <row r="180">
          <cell r="B180" t="str">
            <v>Kota Tangerang</v>
          </cell>
          <cell r="C180" t="str">
            <v>06-2005</v>
          </cell>
          <cell r="D180">
            <v>93</v>
          </cell>
          <cell r="E180">
            <v>1258</v>
          </cell>
          <cell r="F180">
            <v>4248</v>
          </cell>
          <cell r="G180">
            <v>1271</v>
          </cell>
          <cell r="H180">
            <v>6870</v>
          </cell>
          <cell r="I180">
            <v>7685379000</v>
          </cell>
          <cell r="J180">
            <v>795527000</v>
          </cell>
          <cell r="K180">
            <v>0</v>
          </cell>
          <cell r="L180">
            <v>1273288000</v>
          </cell>
          <cell r="M180">
            <v>303117000</v>
          </cell>
          <cell r="N180">
            <v>656263000</v>
          </cell>
          <cell r="O180">
            <v>342000</v>
          </cell>
          <cell r="P180">
            <v>10713916000</v>
          </cell>
        </row>
        <row r="181">
          <cell r="B181" t="str">
            <v>Kab. Tangerang</v>
          </cell>
          <cell r="C181" t="str">
            <v>06-2005</v>
          </cell>
          <cell r="D181">
            <v>189</v>
          </cell>
          <cell r="E181">
            <v>2492</v>
          </cell>
          <cell r="F181">
            <v>6927</v>
          </cell>
          <cell r="G181">
            <v>2700</v>
          </cell>
          <cell r="H181">
            <v>12308</v>
          </cell>
          <cell r="I181">
            <v>13701680000</v>
          </cell>
          <cell r="J181">
            <v>1516959000</v>
          </cell>
          <cell r="K181">
            <v>0</v>
          </cell>
          <cell r="L181">
            <v>314200000</v>
          </cell>
          <cell r="M181">
            <v>130700000</v>
          </cell>
          <cell r="N181">
            <v>1244071000</v>
          </cell>
          <cell r="O181">
            <v>1953335000</v>
          </cell>
          <cell r="P181">
            <v>18860945000</v>
          </cell>
        </row>
        <row r="182">
          <cell r="B182" t="str">
            <v>Kab. Lebak</v>
          </cell>
          <cell r="C182" t="str">
            <v>06-2005</v>
          </cell>
          <cell r="D182">
            <v>162</v>
          </cell>
          <cell r="E182">
            <v>2022</v>
          </cell>
          <cell r="F182">
            <v>4888</v>
          </cell>
          <cell r="G182">
            <v>1945</v>
          </cell>
          <cell r="H182">
            <v>9017</v>
          </cell>
          <cell r="I182">
            <v>9997709000</v>
          </cell>
          <cell r="J182">
            <v>1082536000</v>
          </cell>
          <cell r="K182">
            <v>0</v>
          </cell>
          <cell r="L182">
            <v>1710448000</v>
          </cell>
          <cell r="M182">
            <v>398055000</v>
          </cell>
          <cell r="N182">
            <v>870775000</v>
          </cell>
          <cell r="O182">
            <v>446000</v>
          </cell>
          <cell r="P182">
            <v>14059969000</v>
          </cell>
        </row>
        <row r="183">
          <cell r="B183" t="str">
            <v>Provinsi Jawa Tengah</v>
          </cell>
          <cell r="C183" t="str">
            <v>06-2005</v>
          </cell>
          <cell r="D183">
            <v>552</v>
          </cell>
          <cell r="E183">
            <v>6002</v>
          </cell>
          <cell r="F183">
            <v>11357</v>
          </cell>
          <cell r="G183">
            <v>957</v>
          </cell>
          <cell r="H183">
            <v>18868</v>
          </cell>
          <cell r="I183">
            <v>20444494728</v>
          </cell>
          <cell r="J183">
            <v>2122006815</v>
          </cell>
          <cell r="K183">
            <v>0</v>
          </cell>
          <cell r="L183">
            <v>1311604350</v>
          </cell>
          <cell r="M183">
            <v>712114294</v>
          </cell>
          <cell r="N183">
            <v>1763424450</v>
          </cell>
          <cell r="O183">
            <v>0</v>
          </cell>
          <cell r="P183">
            <v>26353644637</v>
          </cell>
        </row>
        <row r="184">
          <cell r="B184" t="str">
            <v xml:space="preserve">Kota Tegal </v>
          </cell>
          <cell r="C184" t="str">
            <v>06-2005</v>
          </cell>
          <cell r="D184">
            <v>83</v>
          </cell>
          <cell r="E184">
            <v>1081</v>
          </cell>
          <cell r="F184">
            <v>2052</v>
          </cell>
          <cell r="G184">
            <v>946</v>
          </cell>
          <cell r="H184">
            <v>4162</v>
          </cell>
          <cell r="I184">
            <v>4576406000</v>
          </cell>
          <cell r="J184">
            <v>430388000</v>
          </cell>
          <cell r="K184">
            <v>0</v>
          </cell>
          <cell r="L184">
            <v>700512000</v>
          </cell>
          <cell r="M184">
            <v>179702000</v>
          </cell>
          <cell r="N184">
            <v>364570000</v>
          </cell>
          <cell r="O184">
            <v>203000</v>
          </cell>
          <cell r="P184">
            <v>6251781000</v>
          </cell>
        </row>
        <row r="185">
          <cell r="B185" t="str">
            <v>Kab. Tegal</v>
          </cell>
          <cell r="C185" t="str">
            <v>06-2005</v>
          </cell>
          <cell r="D185">
            <v>148</v>
          </cell>
          <cell r="E185">
            <v>2505</v>
          </cell>
          <cell r="F185">
            <v>5940</v>
          </cell>
          <cell r="G185">
            <v>2491</v>
          </cell>
          <cell r="H185">
            <v>11084</v>
          </cell>
          <cell r="I185">
            <v>12530070000</v>
          </cell>
          <cell r="J185">
            <v>1274497000</v>
          </cell>
          <cell r="K185">
            <v>0</v>
          </cell>
          <cell r="L185">
            <v>1996202000</v>
          </cell>
          <cell r="M185">
            <v>494880000</v>
          </cell>
          <cell r="N185">
            <v>1022789000</v>
          </cell>
          <cell r="O185">
            <v>539000</v>
          </cell>
          <cell r="P185">
            <v>17318977000</v>
          </cell>
        </row>
        <row r="186">
          <cell r="B186" t="str">
            <v>Kab. Pemalang</v>
          </cell>
          <cell r="C186" t="str">
            <v>06-2005</v>
          </cell>
          <cell r="D186">
            <v>149</v>
          </cell>
          <cell r="E186">
            <v>2209</v>
          </cell>
          <cell r="F186">
            <v>4741</v>
          </cell>
          <cell r="G186">
            <v>3128</v>
          </cell>
          <cell r="H186">
            <v>10227</v>
          </cell>
          <cell r="I186">
            <v>11628342000</v>
          </cell>
          <cell r="J186">
            <v>1172073000</v>
          </cell>
          <cell r="K186">
            <v>0</v>
          </cell>
          <cell r="L186">
            <v>1893890000</v>
          </cell>
          <cell r="M186">
            <v>443081000</v>
          </cell>
          <cell r="N186">
            <v>932940000</v>
          </cell>
          <cell r="O186">
            <v>501000</v>
          </cell>
          <cell r="P186">
            <v>16070827000</v>
          </cell>
        </row>
        <row r="187">
          <cell r="B187" t="str">
            <v>Kab. Brebes</v>
          </cell>
          <cell r="C187" t="str">
            <v>06-2005</v>
          </cell>
          <cell r="D187">
            <v>171</v>
          </cell>
          <cell r="E187">
            <v>2466</v>
          </cell>
          <cell r="F187">
            <v>7260</v>
          </cell>
          <cell r="G187">
            <v>2592</v>
          </cell>
          <cell r="H187">
            <v>12489</v>
          </cell>
          <cell r="I187">
            <v>14284761000</v>
          </cell>
          <cell r="J187">
            <v>1455755000</v>
          </cell>
          <cell r="K187">
            <v>0</v>
          </cell>
          <cell r="L187">
            <v>2236742000</v>
          </cell>
          <cell r="M187">
            <v>567036000</v>
          </cell>
          <cell r="N187">
            <v>1152297000</v>
          </cell>
          <cell r="O187">
            <v>616000</v>
          </cell>
          <cell r="P187">
            <v>19697207000</v>
          </cell>
        </row>
        <row r="188">
          <cell r="B188" t="str">
            <v>Kab. Klaten</v>
          </cell>
          <cell r="C188" t="str">
            <v>06-2005</v>
          </cell>
          <cell r="D188">
            <v>187</v>
          </cell>
          <cell r="E188">
            <v>2306</v>
          </cell>
          <cell r="F188">
            <v>8131</v>
          </cell>
          <cell r="G188">
            <v>5890</v>
          </cell>
          <cell r="H188">
            <v>16514</v>
          </cell>
          <cell r="I188">
            <v>19787421000</v>
          </cell>
          <cell r="J188">
            <v>1891190000</v>
          </cell>
          <cell r="K188">
            <v>0</v>
          </cell>
          <cell r="L188">
            <v>3101462000</v>
          </cell>
          <cell r="M188">
            <v>749227000</v>
          </cell>
          <cell r="N188">
            <v>1452865000</v>
          </cell>
          <cell r="O188">
            <v>808000</v>
          </cell>
          <cell r="P188">
            <v>26982973000</v>
          </cell>
        </row>
        <row r="189">
          <cell r="B189" t="str">
            <v>Kab. Boyolali</v>
          </cell>
          <cell r="C189" t="str">
            <v>06-2005</v>
          </cell>
          <cell r="D189">
            <v>193</v>
          </cell>
          <cell r="E189">
            <v>2062</v>
          </cell>
          <cell r="F189">
            <v>6395</v>
          </cell>
          <cell r="G189">
            <v>3547</v>
          </cell>
          <cell r="H189">
            <v>12197</v>
          </cell>
          <cell r="I189">
            <v>14105544000</v>
          </cell>
          <cell r="J189">
            <v>1388307000</v>
          </cell>
          <cell r="K189">
            <v>0</v>
          </cell>
          <cell r="L189">
            <v>2244364000</v>
          </cell>
          <cell r="M189">
            <v>568289000</v>
          </cell>
          <cell r="N189">
            <v>1088355000</v>
          </cell>
          <cell r="O189">
            <v>599000</v>
          </cell>
          <cell r="P189">
            <v>19395458000</v>
          </cell>
        </row>
        <row r="190">
          <cell r="B190" t="str">
            <v>Kab. Batang</v>
          </cell>
          <cell r="C190" t="str">
            <v>06-2005</v>
          </cell>
          <cell r="D190">
            <v>61</v>
          </cell>
          <cell r="E190">
            <v>1483</v>
          </cell>
          <cell r="F190">
            <v>3584</v>
          </cell>
          <cell r="G190">
            <v>1898</v>
          </cell>
          <cell r="H190">
            <v>7026</v>
          </cell>
          <cell r="I190">
            <v>8337260000</v>
          </cell>
          <cell r="J190">
            <v>809366000</v>
          </cell>
          <cell r="K190">
            <v>0</v>
          </cell>
          <cell r="L190">
            <v>1376874000</v>
          </cell>
          <cell r="M190">
            <v>91129000</v>
          </cell>
          <cell r="N190">
            <v>651689000</v>
          </cell>
          <cell r="O190">
            <v>367000</v>
          </cell>
          <cell r="P190">
            <v>11266685000</v>
          </cell>
        </row>
        <row r="191">
          <cell r="B191" t="str">
            <v>Kab. Pekalongan</v>
          </cell>
          <cell r="C191" t="str">
            <v>06-2005</v>
          </cell>
          <cell r="D191">
            <v>95</v>
          </cell>
          <cell r="E191">
            <v>1885</v>
          </cell>
          <cell r="F191">
            <v>4450</v>
          </cell>
          <cell r="G191">
            <v>1743</v>
          </cell>
          <cell r="H191">
            <v>8173</v>
          </cell>
          <cell r="I191">
            <v>9154223000</v>
          </cell>
          <cell r="J191">
            <v>931826000</v>
          </cell>
          <cell r="K191">
            <v>0</v>
          </cell>
          <cell r="L191">
            <v>1472223000</v>
          </cell>
          <cell r="M191">
            <v>355570000</v>
          </cell>
          <cell r="N191">
            <v>750023000</v>
          </cell>
          <cell r="O191">
            <v>391000</v>
          </cell>
          <cell r="P191">
            <v>12664256000</v>
          </cell>
        </row>
        <row r="192">
          <cell r="B192" t="str">
            <v>Kota Pekalongan</v>
          </cell>
          <cell r="C192" t="str">
            <v>06-2005</v>
          </cell>
          <cell r="D192">
            <v>56</v>
          </cell>
          <cell r="E192">
            <v>919</v>
          </cell>
          <cell r="F192">
            <v>2172</v>
          </cell>
          <cell r="G192">
            <v>675</v>
          </cell>
          <cell r="H192">
            <v>3822</v>
          </cell>
          <cell r="I192">
            <v>4210142000</v>
          </cell>
          <cell r="J192">
            <v>396939000</v>
          </cell>
          <cell r="K192">
            <v>0</v>
          </cell>
          <cell r="L192">
            <v>636534000</v>
          </cell>
          <cell r="M192">
            <v>164403000</v>
          </cell>
          <cell r="N192">
            <v>338362000</v>
          </cell>
          <cell r="O192">
            <v>187000</v>
          </cell>
          <cell r="P192">
            <v>5746567000</v>
          </cell>
        </row>
        <row r="193">
          <cell r="B193" t="str">
            <v>Kab. Kudus</v>
          </cell>
          <cell r="C193" t="str">
            <v>06-2005</v>
          </cell>
          <cell r="D193">
            <v>93</v>
          </cell>
          <cell r="E193">
            <v>1554</v>
          </cell>
          <cell r="F193">
            <v>4942</v>
          </cell>
          <cell r="G193">
            <v>1654</v>
          </cell>
          <cell r="H193">
            <v>8243</v>
          </cell>
          <cell r="I193">
            <v>9322854760</v>
          </cell>
          <cell r="J193">
            <v>917684980</v>
          </cell>
          <cell r="K193">
            <v>0</v>
          </cell>
          <cell r="L193">
            <v>1429060750</v>
          </cell>
          <cell r="M193">
            <v>124883080</v>
          </cell>
          <cell r="N193">
            <v>742049490</v>
          </cell>
          <cell r="O193">
            <v>406772</v>
          </cell>
          <cell r="P193">
            <v>12536939832</v>
          </cell>
        </row>
        <row r="194">
          <cell r="B194" t="str">
            <v>Kab. Jepara</v>
          </cell>
          <cell r="C194" t="str">
            <v>06-2005</v>
          </cell>
          <cell r="D194">
            <v>101</v>
          </cell>
          <cell r="E194">
            <v>1817</v>
          </cell>
          <cell r="F194">
            <v>5235</v>
          </cell>
          <cell r="G194">
            <v>1757</v>
          </cell>
          <cell r="H194">
            <v>8910</v>
          </cell>
          <cell r="I194">
            <v>10063391800</v>
          </cell>
          <cell r="J194">
            <v>1016244454</v>
          </cell>
          <cell r="K194">
            <v>0</v>
          </cell>
          <cell r="L194">
            <v>1603172650</v>
          </cell>
          <cell r="M194">
            <v>90079863</v>
          </cell>
          <cell r="N194">
            <v>824466000</v>
          </cell>
          <cell r="O194">
            <v>446575</v>
          </cell>
          <cell r="P194">
            <v>13597801342</v>
          </cell>
        </row>
        <row r="195">
          <cell r="B195" t="str">
            <v xml:space="preserve">Kab. Demak  </v>
          </cell>
          <cell r="C195" t="str">
            <v>06-2005</v>
          </cell>
          <cell r="D195">
            <v>116</v>
          </cell>
          <cell r="E195">
            <v>1867</v>
          </cell>
          <cell r="F195">
            <v>4203</v>
          </cell>
          <cell r="G195">
            <v>2040</v>
          </cell>
          <cell r="H195">
            <v>8226</v>
          </cell>
          <cell r="I195">
            <v>9322417540</v>
          </cell>
          <cell r="J195">
            <v>932597563</v>
          </cell>
          <cell r="K195">
            <v>0</v>
          </cell>
          <cell r="L195">
            <v>1463111100</v>
          </cell>
          <cell r="M195">
            <v>346263874</v>
          </cell>
          <cell r="N195">
            <v>752550900</v>
          </cell>
          <cell r="O195">
            <v>398062</v>
          </cell>
          <cell r="P195">
            <v>12817339039</v>
          </cell>
        </row>
        <row r="196">
          <cell r="B196" t="str">
            <v>Kab. Temanggung</v>
          </cell>
          <cell r="C196" t="str">
            <v>06-2005</v>
          </cell>
          <cell r="D196">
            <v>67</v>
          </cell>
          <cell r="E196">
            <v>1570</v>
          </cell>
          <cell r="F196">
            <v>4831</v>
          </cell>
          <cell r="G196">
            <v>1561</v>
          </cell>
          <cell r="H196">
            <v>8029</v>
          </cell>
          <cell r="I196">
            <v>9091826000</v>
          </cell>
          <cell r="J196">
            <v>887030000</v>
          </cell>
          <cell r="K196">
            <v>0</v>
          </cell>
          <cell r="L196">
            <v>1468554000</v>
          </cell>
          <cell r="M196">
            <v>113318000</v>
          </cell>
          <cell r="N196">
            <v>711448000</v>
          </cell>
          <cell r="O196">
            <v>391000</v>
          </cell>
          <cell r="P196">
            <v>12272567000</v>
          </cell>
        </row>
        <row r="197">
          <cell r="B197" t="str">
            <v>Kab. Magelang</v>
          </cell>
          <cell r="C197" t="str">
            <v>06-2005</v>
          </cell>
          <cell r="D197">
            <v>130</v>
          </cell>
          <cell r="E197">
            <v>2253</v>
          </cell>
          <cell r="F197">
            <v>8185</v>
          </cell>
          <cell r="G197">
            <v>1677</v>
          </cell>
          <cell r="H197">
            <v>12245</v>
          </cell>
          <cell r="I197">
            <v>13969039000</v>
          </cell>
          <cell r="J197">
            <v>1327715000</v>
          </cell>
          <cell r="K197">
            <v>0</v>
          </cell>
          <cell r="L197">
            <v>2094301000</v>
          </cell>
          <cell r="M197">
            <v>555116000</v>
          </cell>
          <cell r="N197">
            <v>1066600000</v>
          </cell>
          <cell r="O197">
            <v>617000</v>
          </cell>
          <cell r="P197">
            <v>19013388000</v>
          </cell>
        </row>
        <row r="198">
          <cell r="B198" t="str">
            <v>Kota Magelang</v>
          </cell>
          <cell r="C198" t="str">
            <v>06-2005</v>
          </cell>
          <cell r="D198">
            <v>45</v>
          </cell>
          <cell r="E198">
            <v>877</v>
          </cell>
          <cell r="F198">
            <v>2325</v>
          </cell>
          <cell r="G198">
            <v>856</v>
          </cell>
          <cell r="H198">
            <v>4103</v>
          </cell>
          <cell r="I198">
            <v>4590075000</v>
          </cell>
          <cell r="J198">
            <v>403955000</v>
          </cell>
          <cell r="K198">
            <v>0</v>
          </cell>
          <cell r="L198">
            <v>661808000</v>
          </cell>
          <cell r="M198">
            <v>53911000</v>
          </cell>
          <cell r="N198">
            <v>339896000</v>
          </cell>
          <cell r="O198">
            <v>201000</v>
          </cell>
          <cell r="P198">
            <v>6049846000</v>
          </cell>
        </row>
        <row r="199">
          <cell r="B199" t="str">
            <v>Kab. Semarang</v>
          </cell>
          <cell r="C199" t="str">
            <v>06-2005</v>
          </cell>
          <cell r="D199">
            <v>167</v>
          </cell>
          <cell r="E199">
            <v>2127</v>
          </cell>
          <cell r="F199">
            <v>6029</v>
          </cell>
          <cell r="G199">
            <v>1662</v>
          </cell>
          <cell r="H199">
            <v>9985</v>
          </cell>
          <cell r="I199">
            <v>11306183667</v>
          </cell>
          <cell r="J199">
            <v>1114816086</v>
          </cell>
          <cell r="K199">
            <v>0</v>
          </cell>
          <cell r="L199">
            <v>1737437050</v>
          </cell>
          <cell r="M199">
            <v>447271901</v>
          </cell>
          <cell r="N199">
            <v>899360010</v>
          </cell>
          <cell r="O199">
            <v>0</v>
          </cell>
          <cell r="P199">
            <v>15505068714</v>
          </cell>
        </row>
        <row r="200">
          <cell r="B200" t="str">
            <v xml:space="preserve">Kab. Kendal </v>
          </cell>
          <cell r="C200" t="str">
            <v>06-2005</v>
          </cell>
          <cell r="D200">
            <v>129</v>
          </cell>
          <cell r="E200">
            <v>2151</v>
          </cell>
          <cell r="F200">
            <v>5835</v>
          </cell>
          <cell r="G200">
            <v>1349</v>
          </cell>
          <cell r="H200">
            <v>9464</v>
          </cell>
          <cell r="I200">
            <v>10534508323</v>
          </cell>
          <cell r="J200">
            <v>1033962114</v>
          </cell>
          <cell r="K200">
            <v>0</v>
          </cell>
          <cell r="L200">
            <v>1607940450</v>
          </cell>
          <cell r="M200">
            <v>422296118</v>
          </cell>
          <cell r="N200">
            <v>848838900</v>
          </cell>
          <cell r="O200">
            <v>465237</v>
          </cell>
          <cell r="P200">
            <v>14448011142</v>
          </cell>
        </row>
        <row r="201">
          <cell r="B201" t="str">
            <v>Kota Semarang</v>
          </cell>
          <cell r="C201" t="str">
            <v>06-2005</v>
          </cell>
          <cell r="D201">
            <v>152</v>
          </cell>
          <cell r="E201">
            <v>3380</v>
          </cell>
          <cell r="F201">
            <v>7843</v>
          </cell>
          <cell r="G201">
            <v>3816</v>
          </cell>
          <cell r="H201">
            <v>15191</v>
          </cell>
          <cell r="I201">
            <v>17275590000</v>
          </cell>
          <cell r="J201">
            <v>1599490000</v>
          </cell>
          <cell r="K201">
            <v>0</v>
          </cell>
          <cell r="L201">
            <v>2601983000</v>
          </cell>
          <cell r="M201">
            <v>693107000</v>
          </cell>
          <cell r="N201">
            <v>1316287000</v>
          </cell>
          <cell r="O201">
            <v>188744000</v>
          </cell>
          <cell r="P201">
            <v>23675201000</v>
          </cell>
        </row>
        <row r="202">
          <cell r="B202" t="str">
            <v>Kota Salatiga</v>
          </cell>
          <cell r="C202" t="str">
            <v>06-2005</v>
          </cell>
          <cell r="D202">
            <v>64</v>
          </cell>
          <cell r="E202">
            <v>958</v>
          </cell>
          <cell r="F202">
            <v>2221</v>
          </cell>
          <cell r="G202">
            <v>584</v>
          </cell>
          <cell r="H202">
            <v>3827</v>
          </cell>
          <cell r="I202">
            <v>4137352000</v>
          </cell>
          <cell r="J202">
            <v>383108000</v>
          </cell>
          <cell r="K202">
            <v>0</v>
          </cell>
          <cell r="L202">
            <v>619132000</v>
          </cell>
          <cell r="M202">
            <v>162114000</v>
          </cell>
          <cell r="N202">
            <v>323289000</v>
          </cell>
          <cell r="O202">
            <v>0</v>
          </cell>
          <cell r="P202">
            <v>5624995000</v>
          </cell>
        </row>
        <row r="203">
          <cell r="B203" t="str">
            <v>Kab. Banyumas</v>
          </cell>
          <cell r="C203" t="str">
            <v>06-2005</v>
          </cell>
          <cell r="D203">
            <v>232</v>
          </cell>
          <cell r="E203">
            <v>2761</v>
          </cell>
          <cell r="F203">
            <v>8841</v>
          </cell>
          <cell r="G203">
            <v>3050</v>
          </cell>
          <cell r="H203">
            <v>14884</v>
          </cell>
          <cell r="I203">
            <v>16966288075</v>
          </cell>
          <cell r="J203">
            <v>1686124153</v>
          </cell>
          <cell r="K203">
            <v>0</v>
          </cell>
          <cell r="L203">
            <v>2632219000</v>
          </cell>
          <cell r="M203">
            <v>674057324</v>
          </cell>
          <cell r="N203">
            <v>1338613830</v>
          </cell>
          <cell r="O203">
            <v>187257230</v>
          </cell>
          <cell r="P203">
            <v>23484559612</v>
          </cell>
        </row>
        <row r="204">
          <cell r="B204" t="str">
            <v xml:space="preserve">Kab. Purbalingga       </v>
          </cell>
          <cell r="C204" t="str">
            <v>06-2005</v>
          </cell>
          <cell r="D204">
            <v>126</v>
          </cell>
          <cell r="E204">
            <v>1988</v>
          </cell>
          <cell r="F204">
            <v>5201</v>
          </cell>
          <cell r="G204">
            <v>1522</v>
          </cell>
          <cell r="H204">
            <v>8837</v>
          </cell>
          <cell r="I204">
            <v>9880197790</v>
          </cell>
          <cell r="J204">
            <v>962153200</v>
          </cell>
          <cell r="K204">
            <v>0</v>
          </cell>
          <cell r="L204">
            <v>1454866300</v>
          </cell>
          <cell r="M204">
            <v>96002872</v>
          </cell>
          <cell r="N204">
            <v>775960920</v>
          </cell>
          <cell r="O204">
            <v>108860699</v>
          </cell>
          <cell r="P204">
            <v>13278041781</v>
          </cell>
        </row>
        <row r="205">
          <cell r="B205" t="str">
            <v>Kab. Sragen</v>
          </cell>
          <cell r="C205" t="str">
            <v>06-2005</v>
          </cell>
          <cell r="D205">
            <v>189</v>
          </cell>
          <cell r="E205">
            <v>2088</v>
          </cell>
          <cell r="F205">
            <v>6182</v>
          </cell>
          <cell r="G205">
            <v>3372</v>
          </cell>
          <cell r="H205">
            <v>11831</v>
          </cell>
          <cell r="I205">
            <v>13723515000</v>
          </cell>
          <cell r="J205">
            <v>1362698000</v>
          </cell>
          <cell r="K205">
            <v>584000</v>
          </cell>
          <cell r="L205">
            <v>2180679000</v>
          </cell>
          <cell r="M205">
            <v>552274000</v>
          </cell>
          <cell r="N205">
            <v>1066901000</v>
          </cell>
          <cell r="O205">
            <v>0</v>
          </cell>
          <cell r="P205">
            <v>18886651000</v>
          </cell>
        </row>
        <row r="206">
          <cell r="B206" t="str">
            <v>Kab. Karanganyar</v>
          </cell>
          <cell r="C206" t="str">
            <v>06-2005</v>
          </cell>
          <cell r="D206">
            <v>100</v>
          </cell>
          <cell r="E206">
            <v>1815</v>
          </cell>
          <cell r="F206">
            <v>5487</v>
          </cell>
          <cell r="G206">
            <v>3018</v>
          </cell>
          <cell r="H206">
            <v>10420</v>
          </cell>
          <cell r="I206">
            <v>12004530000</v>
          </cell>
          <cell r="J206">
            <v>1172431000</v>
          </cell>
          <cell r="K206">
            <v>508000</v>
          </cell>
          <cell r="L206">
            <v>1900845000</v>
          </cell>
          <cell r="M206">
            <v>147125000</v>
          </cell>
          <cell r="N206">
            <v>923703000</v>
          </cell>
          <cell r="O206">
            <v>0</v>
          </cell>
          <cell r="P206">
            <v>16149142000</v>
          </cell>
        </row>
        <row r="207">
          <cell r="B207" t="str">
            <v>Kab. Pati</v>
          </cell>
          <cell r="C207" t="str">
            <v>06-2005</v>
          </cell>
          <cell r="D207">
            <v>224</v>
          </cell>
          <cell r="E207">
            <v>2530</v>
          </cell>
          <cell r="F207">
            <v>5947</v>
          </cell>
          <cell r="G207">
            <v>3592</v>
          </cell>
          <cell r="H207">
            <v>12293</v>
          </cell>
          <cell r="I207">
            <v>14163777000</v>
          </cell>
          <cell r="J207">
            <v>1373397000</v>
          </cell>
          <cell r="K207">
            <v>0</v>
          </cell>
          <cell r="L207">
            <v>2257623000</v>
          </cell>
          <cell r="M207">
            <v>572370000</v>
          </cell>
          <cell r="N207">
            <v>1079478000</v>
          </cell>
          <cell r="O207">
            <v>0</v>
          </cell>
          <cell r="P207">
            <v>19446645000</v>
          </cell>
        </row>
        <row r="208">
          <cell r="B208" t="str">
            <v>Kab. Rembang</v>
          </cell>
          <cell r="C208" t="str">
            <v>06-2005</v>
          </cell>
          <cell r="D208">
            <v>105</v>
          </cell>
          <cell r="E208">
            <v>1748</v>
          </cell>
          <cell r="F208">
            <v>4029</v>
          </cell>
          <cell r="G208">
            <v>1599</v>
          </cell>
          <cell r="H208">
            <v>7481</v>
          </cell>
          <cell r="I208">
            <v>8694899000</v>
          </cell>
          <cell r="J208">
            <v>828689000</v>
          </cell>
          <cell r="K208">
            <v>0</v>
          </cell>
          <cell r="L208">
            <v>1423799000</v>
          </cell>
          <cell r="M208">
            <v>347683000</v>
          </cell>
          <cell r="N208">
            <v>682140000</v>
          </cell>
          <cell r="O208">
            <v>0</v>
          </cell>
          <cell r="P208">
            <v>11977210000</v>
          </cell>
        </row>
        <row r="209">
          <cell r="B209" t="str">
            <v>Kab. Wonogiri</v>
          </cell>
          <cell r="C209" t="str">
            <v>06-2005</v>
          </cell>
          <cell r="D209">
            <v>212</v>
          </cell>
          <cell r="E209">
            <v>2555</v>
          </cell>
          <cell r="F209">
            <v>6368</v>
          </cell>
          <cell r="G209">
            <v>3599</v>
          </cell>
          <cell r="H209">
            <v>12734</v>
          </cell>
          <cell r="I209">
            <v>14675032000</v>
          </cell>
          <cell r="J209">
            <v>1467407000</v>
          </cell>
          <cell r="K209">
            <v>0</v>
          </cell>
          <cell r="L209">
            <v>2415993000</v>
          </cell>
          <cell r="M209">
            <v>595643000</v>
          </cell>
          <cell r="N209">
            <v>1130421000</v>
          </cell>
          <cell r="O209">
            <v>620000</v>
          </cell>
          <cell r="P209">
            <v>20285116000</v>
          </cell>
        </row>
        <row r="210">
          <cell r="B210" t="str">
            <v>Kab. Purworejo</v>
          </cell>
          <cell r="C210" t="str">
            <v>06-2005</v>
          </cell>
          <cell r="D210">
            <v>109</v>
          </cell>
          <cell r="E210">
            <v>2350</v>
          </cell>
          <cell r="F210">
            <v>6251</v>
          </cell>
          <cell r="G210">
            <v>2432</v>
          </cell>
          <cell r="H210">
            <v>11142</v>
          </cell>
          <cell r="I210">
            <v>12661507000</v>
          </cell>
          <cell r="J210">
            <v>1211956000</v>
          </cell>
          <cell r="K210">
            <v>0</v>
          </cell>
          <cell r="L210">
            <v>1980491000</v>
          </cell>
          <cell r="M210">
            <v>133888000</v>
          </cell>
          <cell r="N210">
            <v>982950000</v>
          </cell>
          <cell r="O210">
            <v>551000</v>
          </cell>
          <cell r="P210">
            <v>16971343000</v>
          </cell>
        </row>
        <row r="211">
          <cell r="B211" t="str">
            <v>Kab. Grobogan</v>
          </cell>
          <cell r="C211" t="str">
            <v>06-2005</v>
          </cell>
          <cell r="D211">
            <v>153</v>
          </cell>
          <cell r="E211">
            <v>2270</v>
          </cell>
          <cell r="F211">
            <v>5982</v>
          </cell>
          <cell r="G211">
            <v>2933</v>
          </cell>
          <cell r="H211">
            <v>11338</v>
          </cell>
          <cell r="I211">
            <v>13025934000</v>
          </cell>
          <cell r="J211">
            <v>1292384000</v>
          </cell>
          <cell r="K211">
            <v>0</v>
          </cell>
          <cell r="L211">
            <v>2114057000</v>
          </cell>
          <cell r="M211">
            <v>523948000</v>
          </cell>
          <cell r="N211">
            <v>1021555000</v>
          </cell>
          <cell r="O211">
            <v>0</v>
          </cell>
          <cell r="P211">
            <v>17977878000</v>
          </cell>
        </row>
        <row r="212">
          <cell r="B212" t="str">
            <v>Kab. Blora</v>
          </cell>
          <cell r="C212" t="str">
            <v>06-2005</v>
          </cell>
          <cell r="D212">
            <v>186</v>
          </cell>
          <cell r="E212">
            <v>2059</v>
          </cell>
          <cell r="F212">
            <v>5461</v>
          </cell>
          <cell r="G212">
            <v>2132</v>
          </cell>
          <cell r="H212">
            <v>9838</v>
          </cell>
          <cell r="I212">
            <v>11150134000</v>
          </cell>
          <cell r="J212">
            <v>1075529000</v>
          </cell>
          <cell r="K212">
            <v>0</v>
          </cell>
          <cell r="L212">
            <v>1766580000</v>
          </cell>
          <cell r="M212">
            <v>117674000</v>
          </cell>
          <cell r="N212">
            <v>863011000</v>
          </cell>
          <cell r="O212">
            <v>0</v>
          </cell>
          <cell r="P212">
            <v>14972928000</v>
          </cell>
        </row>
        <row r="213">
          <cell r="B213" t="str">
            <v>Kab. Banjarnegara</v>
          </cell>
          <cell r="C213" t="str">
            <v>06-2005</v>
          </cell>
          <cell r="D213">
            <v>168</v>
          </cell>
          <cell r="E213">
            <v>1925</v>
          </cell>
          <cell r="F213">
            <v>4191</v>
          </cell>
          <cell r="G213">
            <v>3211</v>
          </cell>
          <cell r="H213">
            <v>9495</v>
          </cell>
          <cell r="I213">
            <v>10842913000</v>
          </cell>
          <cell r="J213">
            <v>1085356000</v>
          </cell>
          <cell r="K213">
            <v>0</v>
          </cell>
          <cell r="L213">
            <v>1839960000</v>
          </cell>
          <cell r="M213">
            <v>438280000</v>
          </cell>
          <cell r="N213">
            <v>863754000</v>
          </cell>
          <cell r="O213">
            <v>0</v>
          </cell>
          <cell r="P213">
            <v>15070263000</v>
          </cell>
        </row>
        <row r="214">
          <cell r="B214" t="str">
            <v xml:space="preserve">Kab. Wonosobo       </v>
          </cell>
          <cell r="C214" t="str">
            <v>06-2005</v>
          </cell>
          <cell r="D214">
            <v>90</v>
          </cell>
          <cell r="E214">
            <v>1841</v>
          </cell>
          <cell r="F214">
            <v>4707</v>
          </cell>
          <cell r="G214">
            <v>1332</v>
          </cell>
          <cell r="H214">
            <v>7970</v>
          </cell>
          <cell r="I214">
            <v>8881479000</v>
          </cell>
          <cell r="J214">
            <v>864277000</v>
          </cell>
          <cell r="K214">
            <v>0</v>
          </cell>
          <cell r="L214">
            <v>1417066000</v>
          </cell>
          <cell r="M214">
            <v>352100000</v>
          </cell>
          <cell r="N214">
            <v>705310000</v>
          </cell>
          <cell r="O214">
            <v>0</v>
          </cell>
          <cell r="P214">
            <v>12220232000</v>
          </cell>
        </row>
        <row r="215">
          <cell r="B215" t="str">
            <v xml:space="preserve">Kab. Cilacap    </v>
          </cell>
          <cell r="C215" t="str">
            <v>06-2005</v>
          </cell>
          <cell r="D215">
            <v>189</v>
          </cell>
          <cell r="E215">
            <v>2903</v>
          </cell>
          <cell r="F215">
            <v>7462</v>
          </cell>
          <cell r="G215">
            <v>4274</v>
          </cell>
          <cell r="H215">
            <v>14828</v>
          </cell>
          <cell r="I215">
            <v>16944754000</v>
          </cell>
          <cell r="J215">
            <v>1766979000</v>
          </cell>
          <cell r="K215">
            <v>0</v>
          </cell>
          <cell r="L215">
            <v>2804568000</v>
          </cell>
          <cell r="M215">
            <v>225337000</v>
          </cell>
          <cell r="N215">
            <v>1376226000</v>
          </cell>
          <cell r="O215">
            <v>709000</v>
          </cell>
          <cell r="P215">
            <v>23118573000</v>
          </cell>
        </row>
        <row r="216">
          <cell r="B216" t="str">
            <v>Kota Surakarta</v>
          </cell>
          <cell r="C216" t="str">
            <v>06-2005</v>
          </cell>
          <cell r="D216">
            <v>85</v>
          </cell>
          <cell r="E216">
            <v>1633</v>
          </cell>
          <cell r="F216">
            <v>5123</v>
          </cell>
          <cell r="G216">
            <v>2243</v>
          </cell>
          <cell r="H216">
            <v>9084</v>
          </cell>
          <cell r="I216">
            <v>10298038000</v>
          </cell>
          <cell r="J216">
            <v>984384000</v>
          </cell>
          <cell r="K216">
            <v>0</v>
          </cell>
          <cell r="L216">
            <v>1509083000</v>
          </cell>
          <cell r="M216">
            <v>405611000</v>
          </cell>
          <cell r="N216">
            <v>798679000</v>
          </cell>
          <cell r="O216">
            <v>113269000</v>
          </cell>
          <cell r="P216">
            <v>14109064000</v>
          </cell>
        </row>
        <row r="217">
          <cell r="B217" t="str">
            <v>Kab. Sukoharjo</v>
          </cell>
          <cell r="C217" t="str">
            <v>06-2005</v>
          </cell>
          <cell r="D217">
            <v>104</v>
          </cell>
          <cell r="E217">
            <v>1440</v>
          </cell>
          <cell r="F217">
            <v>5544</v>
          </cell>
          <cell r="G217">
            <v>2814</v>
          </cell>
          <cell r="H217">
            <v>9902</v>
          </cell>
          <cell r="I217">
            <v>11378255000</v>
          </cell>
          <cell r="J217">
            <v>1133610000</v>
          </cell>
          <cell r="K217">
            <v>0</v>
          </cell>
          <cell r="L217">
            <v>1862210000</v>
          </cell>
          <cell r="M217">
            <v>457921000</v>
          </cell>
          <cell r="N217">
            <v>884556000</v>
          </cell>
          <cell r="O217">
            <v>484000</v>
          </cell>
          <cell r="P217">
            <v>15717036000</v>
          </cell>
        </row>
        <row r="218">
          <cell r="B218" t="str">
            <v>Kab. Kebumen</v>
          </cell>
          <cell r="C218" t="str">
            <v>06-2005</v>
          </cell>
          <cell r="D218">
            <v>227</v>
          </cell>
          <cell r="E218">
            <v>2646</v>
          </cell>
          <cell r="F218">
            <v>6955</v>
          </cell>
          <cell r="G218">
            <v>3299</v>
          </cell>
          <cell r="H218">
            <v>13127</v>
          </cell>
          <cell r="I218">
            <v>15007266000</v>
          </cell>
          <cell r="J218">
            <v>1460586000</v>
          </cell>
          <cell r="K218">
            <v>0</v>
          </cell>
          <cell r="L218">
            <v>2384597000</v>
          </cell>
          <cell r="M218">
            <v>152943000</v>
          </cell>
          <cell r="N218">
            <v>1173570000</v>
          </cell>
          <cell r="O218">
            <v>635000</v>
          </cell>
          <cell r="P218">
            <v>20179597000</v>
          </cell>
        </row>
        <row r="219">
          <cell r="B219" t="str">
            <v>Provinsi DI Yogyakarta</v>
          </cell>
          <cell r="C219" t="str">
            <v>06-2005</v>
          </cell>
          <cell r="D219">
            <v>238</v>
          </cell>
          <cell r="E219">
            <v>2658</v>
          </cell>
          <cell r="F219">
            <v>5165</v>
          </cell>
          <cell r="G219">
            <v>756</v>
          </cell>
          <cell r="H219">
            <v>8817</v>
          </cell>
          <cell r="I219">
            <v>9624523000</v>
          </cell>
          <cell r="J219">
            <v>947164000</v>
          </cell>
          <cell r="K219">
            <v>0</v>
          </cell>
          <cell r="L219">
            <v>598113000</v>
          </cell>
          <cell r="M219">
            <v>51842000</v>
          </cell>
          <cell r="N219">
            <v>777676000</v>
          </cell>
          <cell r="O219">
            <v>449000</v>
          </cell>
          <cell r="P219">
            <v>11999767000</v>
          </cell>
        </row>
        <row r="220">
          <cell r="B220" t="str">
            <v>Kab. Bantul</v>
          </cell>
          <cell r="C220" t="str">
            <v>06-2005</v>
          </cell>
          <cell r="D220">
            <v>178</v>
          </cell>
          <cell r="E220">
            <v>2041</v>
          </cell>
          <cell r="F220">
            <v>6242</v>
          </cell>
          <cell r="G220">
            <v>3713</v>
          </cell>
          <cell r="H220">
            <v>12174</v>
          </cell>
          <cell r="I220">
            <v>14194366000</v>
          </cell>
          <cell r="J220">
            <v>1291698000</v>
          </cell>
          <cell r="K220">
            <v>0</v>
          </cell>
          <cell r="L220">
            <v>2122366000</v>
          </cell>
          <cell r="M220">
            <v>156510000</v>
          </cell>
          <cell r="N220">
            <v>1021435000</v>
          </cell>
          <cell r="O220">
            <v>600000</v>
          </cell>
          <cell r="P220">
            <v>18786975000</v>
          </cell>
        </row>
        <row r="221">
          <cell r="B221" t="str">
            <v>Kab. Sleman</v>
          </cell>
          <cell r="C221" t="str">
            <v>06-2005</v>
          </cell>
          <cell r="D221">
            <v>165</v>
          </cell>
          <cell r="E221">
            <v>2256</v>
          </cell>
          <cell r="F221">
            <v>6815</v>
          </cell>
          <cell r="G221">
            <v>3855</v>
          </cell>
          <cell r="H221">
            <v>13091</v>
          </cell>
          <cell r="I221">
            <v>15347920000</v>
          </cell>
          <cell r="J221">
            <v>1401031000</v>
          </cell>
          <cell r="K221">
            <v>0</v>
          </cell>
          <cell r="L221">
            <v>2252341000</v>
          </cell>
          <cell r="M221">
            <v>172574000</v>
          </cell>
          <cell r="N221">
            <v>1098405000</v>
          </cell>
          <cell r="O221">
            <v>652000</v>
          </cell>
          <cell r="P221">
            <v>20272923000</v>
          </cell>
        </row>
        <row r="222">
          <cell r="B222" t="str">
            <v>Kab. Kulon Progo</v>
          </cell>
          <cell r="C222" t="str">
            <v>06-2005</v>
          </cell>
          <cell r="D222">
            <v>89</v>
          </cell>
          <cell r="E222">
            <v>1630</v>
          </cell>
          <cell r="F222">
            <v>4638</v>
          </cell>
          <cell r="G222">
            <v>2476</v>
          </cell>
          <cell r="H222">
            <v>8833</v>
          </cell>
          <cell r="I222">
            <v>10125231000</v>
          </cell>
          <cell r="J222">
            <v>926371000</v>
          </cell>
          <cell r="K222">
            <v>0</v>
          </cell>
          <cell r="L222">
            <v>1547550000</v>
          </cell>
          <cell r="M222">
            <v>109977000</v>
          </cell>
          <cell r="N222">
            <v>738167000</v>
          </cell>
          <cell r="O222">
            <v>435000</v>
          </cell>
          <cell r="P222">
            <v>13447731000</v>
          </cell>
        </row>
        <row r="223">
          <cell r="B223" t="str">
            <v>Kota Yogyakarta</v>
          </cell>
          <cell r="C223" t="str">
            <v>06-2005</v>
          </cell>
          <cell r="D223">
            <v>142</v>
          </cell>
          <cell r="E223">
            <v>1660</v>
          </cell>
          <cell r="F223">
            <v>4191</v>
          </cell>
          <cell r="G223">
            <v>2289</v>
          </cell>
          <cell r="H223">
            <v>8282</v>
          </cell>
          <cell r="I223">
            <v>9584521000</v>
          </cell>
          <cell r="J223">
            <v>885796000</v>
          </cell>
          <cell r="K223">
            <v>0</v>
          </cell>
          <cell r="L223">
            <v>1384669000</v>
          </cell>
          <cell r="M223">
            <v>384684000</v>
          </cell>
          <cell r="N223">
            <v>707481000</v>
          </cell>
          <cell r="O223">
            <v>410000</v>
          </cell>
          <cell r="P223">
            <v>12947561000</v>
          </cell>
        </row>
        <row r="224">
          <cell r="B224" t="str">
            <v>Kab. Gunung Kidul</v>
          </cell>
          <cell r="C224" t="str">
            <v>06-2005</v>
          </cell>
          <cell r="D224">
            <v>149</v>
          </cell>
          <cell r="E224">
            <v>1939</v>
          </cell>
          <cell r="F224">
            <v>5579</v>
          </cell>
          <cell r="G224">
            <v>2376</v>
          </cell>
          <cell r="H224">
            <v>10043</v>
          </cell>
          <cell r="I224">
            <v>11773946000</v>
          </cell>
          <cell r="J224">
            <v>1144736000</v>
          </cell>
          <cell r="K224">
            <v>0</v>
          </cell>
          <cell r="L224">
            <v>1891297000</v>
          </cell>
          <cell r="M224">
            <v>470694000</v>
          </cell>
          <cell r="N224">
            <v>910132000</v>
          </cell>
          <cell r="O224">
            <v>499000</v>
          </cell>
          <cell r="P224">
            <v>16191304000</v>
          </cell>
        </row>
        <row r="225">
          <cell r="B225" t="str">
            <v>Kab. Pacitan</v>
          </cell>
          <cell r="C225" t="str">
            <v>06-2005</v>
          </cell>
          <cell r="D225">
            <v>117</v>
          </cell>
          <cell r="E225">
            <v>1447</v>
          </cell>
          <cell r="F225">
            <v>3834</v>
          </cell>
          <cell r="G225">
            <v>2310</v>
          </cell>
          <cell r="H225">
            <v>7708</v>
          </cell>
          <cell r="I225">
            <v>8801170160</v>
          </cell>
          <cell r="J225">
            <v>814652724</v>
          </cell>
          <cell r="K225">
            <v>0</v>
          </cell>
          <cell r="L225">
            <v>1435254250</v>
          </cell>
          <cell r="M225">
            <v>97497570</v>
          </cell>
          <cell r="N225">
            <v>645641459</v>
          </cell>
          <cell r="O225">
            <v>373561</v>
          </cell>
          <cell r="P225">
            <v>11794589724</v>
          </cell>
        </row>
        <row r="226">
          <cell r="B226" t="str">
            <v>Kab. Jember</v>
          </cell>
          <cell r="C226" t="str">
            <v>06-2005</v>
          </cell>
          <cell r="D226">
            <v>498</v>
          </cell>
          <cell r="E226">
            <v>3236</v>
          </cell>
          <cell r="F226">
            <v>10754</v>
          </cell>
          <cell r="G226">
            <v>2779</v>
          </cell>
          <cell r="H226">
            <v>17267</v>
          </cell>
          <cell r="I226">
            <v>19595410700</v>
          </cell>
          <cell r="J226">
            <v>1996862017</v>
          </cell>
          <cell r="K226">
            <v>0</v>
          </cell>
          <cell r="L226">
            <v>3019310500</v>
          </cell>
          <cell r="M226">
            <v>0</v>
          </cell>
          <cell r="N226">
            <v>1581018870</v>
          </cell>
          <cell r="O226">
            <v>774886185</v>
          </cell>
          <cell r="P226">
            <v>26967488272</v>
          </cell>
        </row>
        <row r="227">
          <cell r="B227" t="str">
            <v>Kab. Lumajang</v>
          </cell>
          <cell r="C227" t="str">
            <v>06-2005</v>
          </cell>
          <cell r="D227">
            <v>223</v>
          </cell>
          <cell r="E227">
            <v>2073</v>
          </cell>
          <cell r="F227">
            <v>4884</v>
          </cell>
          <cell r="G227">
            <v>2272</v>
          </cell>
          <cell r="H227">
            <v>9452</v>
          </cell>
          <cell r="I227">
            <v>10723006260</v>
          </cell>
          <cell r="J227">
            <v>1098258678</v>
          </cell>
          <cell r="K227">
            <v>0</v>
          </cell>
          <cell r="L227">
            <v>1692006250</v>
          </cell>
          <cell r="M227">
            <v>0</v>
          </cell>
          <cell r="N227">
            <v>865538850</v>
          </cell>
          <cell r="O227">
            <v>428516543</v>
          </cell>
          <cell r="P227">
            <v>14807326581</v>
          </cell>
        </row>
        <row r="228">
          <cell r="B228" t="str">
            <v>Kota Kediri</v>
          </cell>
          <cell r="C228" t="str">
            <v>06-2005</v>
          </cell>
          <cell r="D228">
            <v>186</v>
          </cell>
          <cell r="E228">
            <v>1304</v>
          </cell>
          <cell r="F228">
            <v>2700</v>
          </cell>
          <cell r="G228">
            <v>1236</v>
          </cell>
          <cell r="H228">
            <v>5426</v>
          </cell>
          <cell r="I228">
            <v>6054528960</v>
          </cell>
          <cell r="J228">
            <v>552141449</v>
          </cell>
          <cell r="K228">
            <v>0</v>
          </cell>
          <cell r="L228">
            <v>864735850</v>
          </cell>
          <cell r="M228">
            <v>0</v>
          </cell>
          <cell r="N228">
            <v>454539540</v>
          </cell>
          <cell r="O228">
            <v>73271687</v>
          </cell>
          <cell r="P228">
            <v>7999217486</v>
          </cell>
        </row>
        <row r="229">
          <cell r="B229" t="str">
            <v>Kab. Kediri</v>
          </cell>
          <cell r="C229" t="str">
            <v>06-2005</v>
          </cell>
          <cell r="D229">
            <v>236</v>
          </cell>
          <cell r="E229">
            <v>2429</v>
          </cell>
          <cell r="F229">
            <v>7959</v>
          </cell>
          <cell r="G229">
            <v>2837</v>
          </cell>
          <cell r="H229">
            <v>13461</v>
          </cell>
          <cell r="I229">
            <v>15772287300</v>
          </cell>
          <cell r="J229">
            <v>1587194378</v>
          </cell>
          <cell r="K229">
            <v>0</v>
          </cell>
          <cell r="L229">
            <v>2482460750</v>
          </cell>
          <cell r="M229">
            <v>0</v>
          </cell>
          <cell r="N229">
            <v>1223158500</v>
          </cell>
          <cell r="O229">
            <v>173218619</v>
          </cell>
          <cell r="P229">
            <v>21238319547</v>
          </cell>
        </row>
        <row r="230">
          <cell r="B230" t="str">
            <v>Kab. Nganjuk</v>
          </cell>
          <cell r="C230" t="str">
            <v>06-2005</v>
          </cell>
          <cell r="D230">
            <v>259</v>
          </cell>
          <cell r="E230">
            <v>2071</v>
          </cell>
          <cell r="F230">
            <v>6599</v>
          </cell>
          <cell r="G230">
            <v>3011</v>
          </cell>
          <cell r="H230">
            <v>11940</v>
          </cell>
          <cell r="I230">
            <v>13700230470</v>
          </cell>
          <cell r="J230">
            <v>1313486648</v>
          </cell>
          <cell r="K230">
            <v>0</v>
          </cell>
          <cell r="L230">
            <v>2281612805</v>
          </cell>
          <cell r="M230">
            <v>0</v>
          </cell>
          <cell r="N230">
            <v>1033230420</v>
          </cell>
          <cell r="O230">
            <v>165214556</v>
          </cell>
          <cell r="P230">
            <v>18493774899</v>
          </cell>
        </row>
        <row r="231">
          <cell r="B231" t="str">
            <v>Kab. Trenggalek</v>
          </cell>
          <cell r="C231" t="str">
            <v>06-2005</v>
          </cell>
          <cell r="D231">
            <v>131</v>
          </cell>
          <cell r="E231">
            <v>1254</v>
          </cell>
          <cell r="F231">
            <v>5788</v>
          </cell>
          <cell r="G231">
            <v>2072</v>
          </cell>
          <cell r="H231">
            <v>9245</v>
          </cell>
          <cell r="I231">
            <v>10744428400</v>
          </cell>
          <cell r="J231">
            <v>983541882</v>
          </cell>
          <cell r="K231">
            <v>0</v>
          </cell>
          <cell r="L231">
            <v>1781140200</v>
          </cell>
          <cell r="M231">
            <v>0</v>
          </cell>
          <cell r="N231">
            <v>775088310</v>
          </cell>
          <cell r="O231">
            <v>121874053</v>
          </cell>
          <cell r="P231">
            <v>14406072845</v>
          </cell>
        </row>
        <row r="232">
          <cell r="B232" t="str">
            <v>Kota Malang</v>
          </cell>
          <cell r="C232" t="str">
            <v>06-2005</v>
          </cell>
          <cell r="D232">
            <v>287</v>
          </cell>
          <cell r="E232">
            <v>1812</v>
          </cell>
          <cell r="F232">
            <v>4466</v>
          </cell>
          <cell r="G232">
            <v>1791</v>
          </cell>
          <cell r="H232">
            <v>8356</v>
          </cell>
          <cell r="I232">
            <v>9295623960</v>
          </cell>
          <cell r="J232">
            <v>858229298</v>
          </cell>
          <cell r="K232">
            <v>363394311</v>
          </cell>
          <cell r="L232">
            <v>1374804750</v>
          </cell>
          <cell r="M232">
            <v>0</v>
          </cell>
          <cell r="N232">
            <v>730525020</v>
          </cell>
          <cell r="O232">
            <v>407554</v>
          </cell>
          <cell r="P232">
            <v>12622984893</v>
          </cell>
        </row>
        <row r="233">
          <cell r="B233" t="str">
            <v>Kab. Malang</v>
          </cell>
          <cell r="C233" t="str">
            <v>06-2005</v>
          </cell>
          <cell r="D233">
            <v>256</v>
          </cell>
          <cell r="E233">
            <v>2926</v>
          </cell>
          <cell r="F233">
            <v>10588</v>
          </cell>
          <cell r="G233">
            <v>3444</v>
          </cell>
          <cell r="H233">
            <v>17214</v>
          </cell>
          <cell r="I233">
            <v>19888859280</v>
          </cell>
          <cell r="J233">
            <v>2005742306</v>
          </cell>
          <cell r="K233">
            <v>803624873</v>
          </cell>
          <cell r="L233">
            <v>3221901600</v>
          </cell>
          <cell r="M233">
            <v>0</v>
          </cell>
          <cell r="N233">
            <v>1571931690</v>
          </cell>
          <cell r="O233">
            <v>845589</v>
          </cell>
          <cell r="P233">
            <v>27492905338</v>
          </cell>
        </row>
        <row r="234">
          <cell r="B234" t="str">
            <v>Kota Batu</v>
          </cell>
          <cell r="C234" t="str">
            <v>06-2005</v>
          </cell>
          <cell r="D234">
            <v>26</v>
          </cell>
          <cell r="E234">
            <v>329</v>
          </cell>
          <cell r="F234">
            <v>1260</v>
          </cell>
          <cell r="G234">
            <v>362</v>
          </cell>
          <cell r="H234">
            <v>1977</v>
          </cell>
          <cell r="I234">
            <v>2124038760</v>
          </cell>
          <cell r="J234">
            <v>200778679</v>
          </cell>
          <cell r="K234">
            <v>88035624</v>
          </cell>
          <cell r="L234">
            <v>361581750</v>
          </cell>
          <cell r="M234">
            <v>0</v>
          </cell>
          <cell r="N234">
            <v>167781840</v>
          </cell>
          <cell r="O234">
            <v>95805</v>
          </cell>
          <cell r="P234">
            <v>2942312458</v>
          </cell>
        </row>
        <row r="235">
          <cell r="B235" t="str">
            <v xml:space="preserve">Kota Pasuruan </v>
          </cell>
          <cell r="C235" t="str">
            <v>06-2005</v>
          </cell>
          <cell r="D235">
            <v>80</v>
          </cell>
          <cell r="E235">
            <v>667</v>
          </cell>
          <cell r="F235">
            <v>1618</v>
          </cell>
          <cell r="G235">
            <v>617</v>
          </cell>
          <cell r="H235">
            <v>2982</v>
          </cell>
          <cell r="I235">
            <v>3269329860</v>
          </cell>
          <cell r="J235">
            <v>316989115</v>
          </cell>
          <cell r="K235">
            <v>30403277</v>
          </cell>
          <cell r="L235">
            <v>509690800</v>
          </cell>
          <cell r="M235">
            <v>0</v>
          </cell>
          <cell r="N235">
            <v>264370740</v>
          </cell>
          <cell r="O235">
            <v>147790</v>
          </cell>
          <cell r="P235">
            <v>4390931582</v>
          </cell>
        </row>
        <row r="236">
          <cell r="B236" t="str">
            <v>Kab. Pasuruan</v>
          </cell>
          <cell r="C236" t="str">
            <v>06-2005</v>
          </cell>
          <cell r="D236">
            <v>193</v>
          </cell>
          <cell r="E236">
            <v>2167</v>
          </cell>
          <cell r="F236">
            <v>5374</v>
          </cell>
          <cell r="G236">
            <v>2718</v>
          </cell>
          <cell r="H236">
            <v>10452</v>
          </cell>
          <cell r="I236">
            <v>11888552320</v>
          </cell>
          <cell r="J236">
            <v>1205323062</v>
          </cell>
          <cell r="K236">
            <v>0</v>
          </cell>
          <cell r="L236">
            <v>290260000</v>
          </cell>
          <cell r="M236">
            <v>0</v>
          </cell>
          <cell r="N236">
            <v>956320380</v>
          </cell>
          <cell r="O236">
            <v>1728188308</v>
          </cell>
          <cell r="P236">
            <v>16068644070</v>
          </cell>
        </row>
        <row r="237">
          <cell r="B237" t="str">
            <v>Kota Blitar</v>
          </cell>
          <cell r="C237" t="str">
            <v>06-2005</v>
          </cell>
          <cell r="D237">
            <v>66</v>
          </cell>
          <cell r="E237">
            <v>681</v>
          </cell>
          <cell r="F237">
            <v>1780</v>
          </cell>
          <cell r="G237">
            <v>822</v>
          </cell>
          <cell r="H237">
            <v>3349</v>
          </cell>
          <cell r="I237">
            <v>3744799890</v>
          </cell>
          <cell r="J237">
            <v>345053017</v>
          </cell>
          <cell r="K237">
            <v>45604895</v>
          </cell>
          <cell r="L237">
            <v>614653000</v>
          </cell>
          <cell r="M237">
            <v>0</v>
          </cell>
          <cell r="N237">
            <v>285433740</v>
          </cell>
          <cell r="O237">
            <v>0</v>
          </cell>
          <cell r="P237">
            <v>5035544542</v>
          </cell>
        </row>
        <row r="238">
          <cell r="B238" t="str">
            <v>Kab. Blitar</v>
          </cell>
          <cell r="C238" t="str">
            <v>06-2005</v>
          </cell>
          <cell r="D238">
            <v>159</v>
          </cell>
          <cell r="E238">
            <v>1808</v>
          </cell>
          <cell r="F238">
            <v>7486</v>
          </cell>
          <cell r="G238">
            <v>3343</v>
          </cell>
          <cell r="H238">
            <v>12796</v>
          </cell>
          <cell r="I238">
            <v>14903137814</v>
          </cell>
          <cell r="J238">
            <v>1435278393</v>
          </cell>
          <cell r="K238">
            <v>176130960</v>
          </cell>
          <cell r="L238">
            <v>2471046000</v>
          </cell>
          <cell r="M238">
            <v>0</v>
          </cell>
          <cell r="N238">
            <v>1113901710</v>
          </cell>
          <cell r="O238">
            <v>634119</v>
          </cell>
          <cell r="P238">
            <v>20100128996</v>
          </cell>
        </row>
        <row r="239">
          <cell r="B239" t="str">
            <v>Kab. Tulungagung</v>
          </cell>
          <cell r="C239" t="str">
            <v>06-2005</v>
          </cell>
          <cell r="D239">
            <v>223</v>
          </cell>
          <cell r="E239">
            <v>2073</v>
          </cell>
          <cell r="F239">
            <v>7240</v>
          </cell>
          <cell r="G239">
            <v>3046</v>
          </cell>
          <cell r="H239">
            <v>12582</v>
          </cell>
          <cell r="I239">
            <v>14456262980</v>
          </cell>
          <cell r="J239">
            <v>1360925935</v>
          </cell>
          <cell r="K239">
            <v>577428000</v>
          </cell>
          <cell r="L239">
            <v>2347167700</v>
          </cell>
          <cell r="M239">
            <v>0</v>
          </cell>
          <cell r="N239">
            <v>1077432630</v>
          </cell>
          <cell r="O239">
            <v>625118</v>
          </cell>
          <cell r="P239">
            <v>19819842363</v>
          </cell>
        </row>
        <row r="240">
          <cell r="B240" t="str">
            <v>Kab. Banyuwangi</v>
          </cell>
          <cell r="C240" t="str">
            <v>05-2005</v>
          </cell>
          <cell r="D240">
            <v>254</v>
          </cell>
          <cell r="E240">
            <v>2441</v>
          </cell>
          <cell r="F240">
            <v>7969</v>
          </cell>
          <cell r="G240">
            <v>3021</v>
          </cell>
          <cell r="H240">
            <v>13685</v>
          </cell>
          <cell r="I240">
            <v>15764275700</v>
          </cell>
          <cell r="J240">
            <v>1624427893</v>
          </cell>
          <cell r="K240">
            <v>0</v>
          </cell>
          <cell r="L240">
            <v>2547931750</v>
          </cell>
          <cell r="M240">
            <v>0</v>
          </cell>
          <cell r="N240">
            <v>1251082020</v>
          </cell>
          <cell r="O240">
            <v>635594918</v>
          </cell>
          <cell r="P240">
            <v>21823312281</v>
          </cell>
        </row>
        <row r="241">
          <cell r="B241" t="str">
            <v>Kab. Bojonegoro</v>
          </cell>
          <cell r="C241" t="str">
            <v>06-2005</v>
          </cell>
          <cell r="D241">
            <v>229</v>
          </cell>
          <cell r="E241">
            <v>2096</v>
          </cell>
          <cell r="F241">
            <v>5803</v>
          </cell>
          <cell r="G241">
            <v>2969</v>
          </cell>
          <cell r="H241">
            <v>11097</v>
          </cell>
          <cell r="I241">
            <v>12623717040</v>
          </cell>
          <cell r="J241">
            <v>1217256397</v>
          </cell>
          <cell r="K241">
            <v>139159255</v>
          </cell>
          <cell r="L241">
            <v>2109260050</v>
          </cell>
          <cell r="M241">
            <v>0</v>
          </cell>
          <cell r="N241">
            <v>969078540</v>
          </cell>
          <cell r="O241">
            <v>0</v>
          </cell>
          <cell r="P241">
            <v>17058471282</v>
          </cell>
        </row>
        <row r="242">
          <cell r="B242" t="str">
            <v>Kab. Lamongan</v>
          </cell>
          <cell r="C242" t="str">
            <v>06-2005</v>
          </cell>
          <cell r="D242">
            <v>138</v>
          </cell>
          <cell r="E242">
            <v>1918</v>
          </cell>
          <cell r="F242">
            <v>5968</v>
          </cell>
          <cell r="G242">
            <v>2854</v>
          </cell>
          <cell r="H242">
            <v>10878</v>
          </cell>
          <cell r="I242">
            <v>12622106898</v>
          </cell>
          <cell r="J242">
            <v>1255075785</v>
          </cell>
          <cell r="K242">
            <v>138199498</v>
          </cell>
          <cell r="L242">
            <v>2109260050</v>
          </cell>
          <cell r="M242">
            <v>0</v>
          </cell>
          <cell r="N242">
            <v>973772580</v>
          </cell>
          <cell r="O242">
            <v>0</v>
          </cell>
          <cell r="P242">
            <v>17098414811</v>
          </cell>
        </row>
        <row r="243">
          <cell r="B243" t="str">
            <v>Kab. Sidoarjo</v>
          </cell>
          <cell r="C243" t="str">
            <v>06-2005</v>
          </cell>
          <cell r="D243">
            <v>231</v>
          </cell>
          <cell r="E243">
            <v>2104</v>
          </cell>
          <cell r="F243">
            <v>7420</v>
          </cell>
          <cell r="G243">
            <v>3114</v>
          </cell>
          <cell r="H243">
            <v>12869</v>
          </cell>
          <cell r="I243">
            <v>15249718700</v>
          </cell>
          <cell r="J243">
            <v>1458193129</v>
          </cell>
          <cell r="K243">
            <v>0</v>
          </cell>
          <cell r="L243">
            <v>2430748250</v>
          </cell>
          <cell r="M243">
            <v>589673655</v>
          </cell>
          <cell r="N243">
            <v>1181513940</v>
          </cell>
          <cell r="O243">
            <v>0</v>
          </cell>
          <cell r="P243">
            <v>20909847674</v>
          </cell>
        </row>
        <row r="244">
          <cell r="B244" t="str">
            <v>Kab. Tuban</v>
          </cell>
          <cell r="C244" t="str">
            <v>06-2005</v>
          </cell>
          <cell r="D244">
            <v>160</v>
          </cell>
          <cell r="E244">
            <v>1593</v>
          </cell>
          <cell r="F244">
            <v>4625</v>
          </cell>
          <cell r="G244">
            <v>3173</v>
          </cell>
          <cell r="H244">
            <v>9551</v>
          </cell>
          <cell r="I244">
            <v>11035985136</v>
          </cell>
          <cell r="J244">
            <v>1042339725</v>
          </cell>
          <cell r="K244">
            <v>0</v>
          </cell>
          <cell r="L244">
            <v>1859525950</v>
          </cell>
          <cell r="M244">
            <v>452196756</v>
          </cell>
          <cell r="N244">
            <v>821366730</v>
          </cell>
          <cell r="O244">
            <v>120778608</v>
          </cell>
          <cell r="P244">
            <v>15332192905</v>
          </cell>
        </row>
        <row r="245">
          <cell r="B245" t="str">
            <v>Provinsi Jawa Timur</v>
          </cell>
          <cell r="C245" t="str">
            <v>06-2005</v>
          </cell>
          <cell r="D245">
            <v>527</v>
          </cell>
          <cell r="E245">
            <v>7244</v>
          </cell>
          <cell r="F245">
            <v>13546</v>
          </cell>
          <cell r="G245">
            <v>1468</v>
          </cell>
          <cell r="H245">
            <v>22785</v>
          </cell>
          <cell r="I245">
            <v>24743362580</v>
          </cell>
          <cell r="J245">
            <v>2602423159</v>
          </cell>
          <cell r="K245">
            <v>1146273</v>
          </cell>
          <cell r="L245">
            <v>1964034500</v>
          </cell>
          <cell r="M245">
            <v>0</v>
          </cell>
          <cell r="N245">
            <v>2133560850</v>
          </cell>
          <cell r="O245">
            <v>910486724</v>
          </cell>
          <cell r="P245">
            <v>32355014086</v>
          </cell>
        </row>
        <row r="246">
          <cell r="B246" t="str">
            <v>Kota Surabaya</v>
          </cell>
          <cell r="C246" t="str">
            <v>06-2005</v>
          </cell>
          <cell r="D246">
            <v>617</v>
          </cell>
          <cell r="E246">
            <v>3538</v>
          </cell>
          <cell r="F246">
            <v>8999</v>
          </cell>
          <cell r="G246">
            <v>4563</v>
          </cell>
          <cell r="H246">
            <v>17717</v>
          </cell>
          <cell r="I246">
            <v>20329359280</v>
          </cell>
          <cell r="J246">
            <v>1917160085</v>
          </cell>
          <cell r="K246">
            <v>111781365</v>
          </cell>
          <cell r="L246">
            <v>3880088950</v>
          </cell>
          <cell r="M246">
            <v>0</v>
          </cell>
          <cell r="N246">
            <v>1545482500</v>
          </cell>
          <cell r="O246">
            <v>826927199</v>
          </cell>
          <cell r="P246">
            <v>28610799379</v>
          </cell>
        </row>
        <row r="247">
          <cell r="B247" t="str">
            <v>Kab. Gresik</v>
          </cell>
          <cell r="C247" t="str">
            <v>06-2005</v>
          </cell>
          <cell r="D247">
            <v>108</v>
          </cell>
          <cell r="E247">
            <v>1592</v>
          </cell>
          <cell r="F247">
            <v>4896</v>
          </cell>
          <cell r="G247">
            <v>1963</v>
          </cell>
          <cell r="H247">
            <v>8559</v>
          </cell>
          <cell r="I247">
            <v>9649426550</v>
          </cell>
          <cell r="J247">
            <v>1024070011</v>
          </cell>
          <cell r="K247">
            <v>417723</v>
          </cell>
          <cell r="L247">
            <v>1557438850</v>
          </cell>
          <cell r="M247">
            <v>0</v>
          </cell>
          <cell r="N247">
            <v>810173250</v>
          </cell>
          <cell r="O247">
            <v>380158541</v>
          </cell>
          <cell r="P247">
            <v>13421684925</v>
          </cell>
        </row>
        <row r="248">
          <cell r="B248" t="str">
            <v>Kab. Jombang</v>
          </cell>
          <cell r="C248" t="str">
            <v>06-2005</v>
          </cell>
          <cell r="D248">
            <v>206</v>
          </cell>
          <cell r="E248">
            <v>2167</v>
          </cell>
          <cell r="F248">
            <v>5744</v>
          </cell>
          <cell r="G248">
            <v>2743</v>
          </cell>
          <cell r="H248">
            <v>10860</v>
          </cell>
          <cell r="I248">
            <v>12271450405</v>
          </cell>
          <cell r="J248">
            <v>1231672209</v>
          </cell>
          <cell r="K248">
            <v>0</v>
          </cell>
          <cell r="L248">
            <v>1931849600</v>
          </cell>
          <cell r="M248">
            <v>0</v>
          </cell>
          <cell r="N248">
            <v>978617070</v>
          </cell>
          <cell r="O248">
            <v>488158541</v>
          </cell>
          <cell r="P248">
            <v>16901747825</v>
          </cell>
        </row>
        <row r="249">
          <cell r="B249" t="str">
            <v>Kab. Mojokerto</v>
          </cell>
          <cell r="C249" t="str">
            <v>06-2005</v>
          </cell>
          <cell r="D249">
            <v>140</v>
          </cell>
          <cell r="E249">
            <v>1821</v>
          </cell>
          <cell r="F249">
            <v>4953</v>
          </cell>
          <cell r="G249">
            <v>1969</v>
          </cell>
          <cell r="H249">
            <v>8883</v>
          </cell>
          <cell r="I249">
            <v>10044069170</v>
          </cell>
          <cell r="J249">
            <v>1011144653</v>
          </cell>
          <cell r="K249">
            <v>0</v>
          </cell>
          <cell r="L249">
            <v>1614301250</v>
          </cell>
          <cell r="M249">
            <v>0</v>
          </cell>
          <cell r="N249">
            <v>805509300</v>
          </cell>
          <cell r="O249">
            <v>400586387</v>
          </cell>
          <cell r="P249">
            <v>13875610760</v>
          </cell>
        </row>
        <row r="250">
          <cell r="B250" t="str">
            <v>Kota Mojokerto</v>
          </cell>
          <cell r="C250" t="str">
            <v>06-2005</v>
          </cell>
          <cell r="D250">
            <v>98</v>
          </cell>
          <cell r="E250">
            <v>796</v>
          </cell>
          <cell r="F250">
            <v>1403</v>
          </cell>
          <cell r="G250">
            <v>626</v>
          </cell>
          <cell r="H250">
            <v>2923</v>
          </cell>
          <cell r="I250">
            <v>3148571900</v>
          </cell>
          <cell r="J250">
            <v>298683874</v>
          </cell>
          <cell r="K250">
            <v>0</v>
          </cell>
          <cell r="L250">
            <v>501588550</v>
          </cell>
          <cell r="M250">
            <v>0</v>
          </cell>
          <cell r="N250">
            <v>251642670</v>
          </cell>
          <cell r="O250">
            <v>124945315</v>
          </cell>
          <cell r="P250">
            <v>4325432309</v>
          </cell>
        </row>
        <row r="251">
          <cell r="B251" t="str">
            <v>Kota Probollinggo</v>
          </cell>
          <cell r="C251" t="str">
            <v>06-2005</v>
          </cell>
          <cell r="D251">
            <v>53</v>
          </cell>
          <cell r="E251">
            <v>813</v>
          </cell>
          <cell r="F251">
            <v>1524</v>
          </cell>
          <cell r="G251">
            <v>864</v>
          </cell>
          <cell r="H251">
            <v>3254</v>
          </cell>
          <cell r="I251">
            <v>3550507500</v>
          </cell>
          <cell r="J251">
            <v>341722723</v>
          </cell>
          <cell r="K251">
            <v>0</v>
          </cell>
          <cell r="L251">
            <v>610285950</v>
          </cell>
          <cell r="M251">
            <v>143317734</v>
          </cell>
          <cell r="N251">
            <v>283538100</v>
          </cell>
          <cell r="O251">
            <v>0</v>
          </cell>
          <cell r="P251">
            <v>4929372007</v>
          </cell>
        </row>
        <row r="252">
          <cell r="B252" t="str">
            <v xml:space="preserve">Kab. Probolinggo    </v>
          </cell>
          <cell r="C252" t="str">
            <v>06-2005</v>
          </cell>
          <cell r="D252">
            <v>203</v>
          </cell>
          <cell r="E252">
            <v>2132</v>
          </cell>
          <cell r="F252">
            <v>4882</v>
          </cell>
          <cell r="G252">
            <v>1760</v>
          </cell>
          <cell r="H252">
            <v>8977</v>
          </cell>
          <cell r="I252">
            <v>10017970520</v>
          </cell>
          <cell r="J252">
            <v>1041541978</v>
          </cell>
          <cell r="K252">
            <v>0</v>
          </cell>
          <cell r="L252">
            <v>1609682550</v>
          </cell>
          <cell r="M252">
            <v>0</v>
          </cell>
          <cell r="N252">
            <v>832048680</v>
          </cell>
          <cell r="O252">
            <v>402586019</v>
          </cell>
          <cell r="P252">
            <v>13903829747</v>
          </cell>
        </row>
        <row r="253">
          <cell r="B253" t="str">
            <v>Kab. Situbondo</v>
          </cell>
          <cell r="C253" t="str">
            <v>06-2005</v>
          </cell>
          <cell r="D253">
            <v>131</v>
          </cell>
          <cell r="E253">
            <v>1478</v>
          </cell>
          <cell r="F253">
            <v>4036</v>
          </cell>
          <cell r="G253">
            <v>1341</v>
          </cell>
          <cell r="H253">
            <v>6986</v>
          </cell>
          <cell r="I253">
            <v>7877753000</v>
          </cell>
          <cell r="J253">
            <v>792578655</v>
          </cell>
          <cell r="K253">
            <v>0</v>
          </cell>
          <cell r="L253">
            <v>1227280050</v>
          </cell>
          <cell r="M253">
            <v>0</v>
          </cell>
          <cell r="N253">
            <v>629061540</v>
          </cell>
          <cell r="O253">
            <v>312722630</v>
          </cell>
          <cell r="P253">
            <v>10839395875</v>
          </cell>
        </row>
        <row r="254">
          <cell r="B254" t="str">
            <v>Kab. Bondowoso</v>
          </cell>
          <cell r="C254" t="str">
            <v>06-2005</v>
          </cell>
          <cell r="D254">
            <v>182</v>
          </cell>
          <cell r="E254">
            <v>1876</v>
          </cell>
          <cell r="F254">
            <v>4980</v>
          </cell>
          <cell r="G254">
            <v>1004</v>
          </cell>
          <cell r="H254">
            <v>8042</v>
          </cell>
          <cell r="I254">
            <v>8793004040</v>
          </cell>
          <cell r="J254">
            <v>862630956</v>
          </cell>
          <cell r="K254">
            <v>0</v>
          </cell>
          <cell r="L254">
            <v>1394116650</v>
          </cell>
          <cell r="M254">
            <v>0</v>
          </cell>
          <cell r="N254">
            <v>706510476</v>
          </cell>
          <cell r="O254">
            <v>347766983</v>
          </cell>
          <cell r="P254">
            <v>12104029105</v>
          </cell>
        </row>
        <row r="255">
          <cell r="B255" t="str">
            <v>Kab. Pamekasan</v>
          </cell>
          <cell r="C255" t="str">
            <v>06-2005</v>
          </cell>
          <cell r="D255">
            <v>193</v>
          </cell>
          <cell r="E255">
            <v>1864</v>
          </cell>
          <cell r="F255">
            <v>5167</v>
          </cell>
          <cell r="G255">
            <v>969</v>
          </cell>
          <cell r="H255">
            <v>8193</v>
          </cell>
          <cell r="I255">
            <v>9065806400</v>
          </cell>
          <cell r="J255">
            <v>908188557</v>
          </cell>
          <cell r="K255">
            <v>0</v>
          </cell>
          <cell r="L255">
            <v>1401527900</v>
          </cell>
          <cell r="M255">
            <v>355733986</v>
          </cell>
          <cell r="N255">
            <v>749933070</v>
          </cell>
          <cell r="O255">
            <v>0</v>
          </cell>
          <cell r="P255">
            <v>12481189913</v>
          </cell>
        </row>
        <row r="256">
          <cell r="B256" t="str">
            <v>Kab. Sumenep</v>
          </cell>
          <cell r="C256" t="str">
            <v>06-2005</v>
          </cell>
          <cell r="D256">
            <v>200</v>
          </cell>
          <cell r="E256">
            <v>2312</v>
          </cell>
          <cell r="F256">
            <v>6099</v>
          </cell>
          <cell r="G256">
            <v>1370</v>
          </cell>
          <cell r="H256">
            <v>9981</v>
          </cell>
          <cell r="I256">
            <v>11958060044</v>
          </cell>
          <cell r="J256">
            <v>0</v>
          </cell>
          <cell r="K256">
            <v>0</v>
          </cell>
          <cell r="L256">
            <v>1695061484</v>
          </cell>
          <cell r="M256">
            <v>421371367</v>
          </cell>
          <cell r="N256">
            <v>930142080</v>
          </cell>
          <cell r="O256">
            <v>0</v>
          </cell>
          <cell r="P256">
            <v>15004634975</v>
          </cell>
        </row>
        <row r="257">
          <cell r="B257" t="str">
            <v>Kab. Bangkalan</v>
          </cell>
          <cell r="C257" t="str">
            <v>06-2005</v>
          </cell>
          <cell r="D257">
            <v>135</v>
          </cell>
          <cell r="E257">
            <v>1964</v>
          </cell>
          <cell r="F257">
            <v>4798</v>
          </cell>
          <cell r="G257">
            <v>1367</v>
          </cell>
          <cell r="H257">
            <v>8264</v>
          </cell>
          <cell r="I257">
            <v>9120372300</v>
          </cell>
          <cell r="J257">
            <v>862755719</v>
          </cell>
          <cell r="K257">
            <v>0</v>
          </cell>
          <cell r="L257">
            <v>1464793100</v>
          </cell>
          <cell r="M257">
            <v>362247556</v>
          </cell>
          <cell r="N257">
            <v>725921250</v>
          </cell>
          <cell r="O257">
            <v>0</v>
          </cell>
          <cell r="P257">
            <v>12536089925</v>
          </cell>
        </row>
        <row r="258">
          <cell r="B258" t="str">
            <v>Kab. Sampang</v>
          </cell>
          <cell r="C258" t="str">
            <v>06-2005</v>
          </cell>
          <cell r="D258">
            <v>170</v>
          </cell>
          <cell r="E258">
            <v>1895</v>
          </cell>
          <cell r="F258">
            <v>3589</v>
          </cell>
          <cell r="G258">
            <v>632</v>
          </cell>
          <cell r="H258">
            <v>6286</v>
          </cell>
          <cell r="I258">
            <v>6653077920</v>
          </cell>
          <cell r="J258">
            <v>638355710</v>
          </cell>
          <cell r="K258">
            <v>0</v>
          </cell>
          <cell r="L258">
            <v>1160363850</v>
          </cell>
          <cell r="M258">
            <v>263871977</v>
          </cell>
          <cell r="N258">
            <v>551128440</v>
          </cell>
          <cell r="O258">
            <v>0</v>
          </cell>
          <cell r="P258">
            <v>9266797897</v>
          </cell>
        </row>
        <row r="259">
          <cell r="B259" t="str">
            <v>Kota Madiun</v>
          </cell>
          <cell r="C259" t="str">
            <v>06-2005</v>
          </cell>
          <cell r="D259">
            <v>161</v>
          </cell>
          <cell r="E259">
            <v>843</v>
          </cell>
          <cell r="F259">
            <v>2377</v>
          </cell>
          <cell r="G259">
            <v>1233</v>
          </cell>
          <cell r="H259">
            <v>4614</v>
          </cell>
          <cell r="I259">
            <v>5165248280</v>
          </cell>
          <cell r="J259">
            <v>471968222</v>
          </cell>
          <cell r="K259">
            <v>0</v>
          </cell>
          <cell r="L259">
            <v>821369250</v>
          </cell>
          <cell r="M259">
            <v>0</v>
          </cell>
          <cell r="N259">
            <v>386927310</v>
          </cell>
          <cell r="O259">
            <v>0</v>
          </cell>
          <cell r="P259">
            <v>6845513062</v>
          </cell>
        </row>
        <row r="260">
          <cell r="B260" t="str">
            <v>Kab. Madiun</v>
          </cell>
          <cell r="C260" t="str">
            <v>06-2005</v>
          </cell>
          <cell r="D260">
            <v>220</v>
          </cell>
          <cell r="E260">
            <v>1741</v>
          </cell>
          <cell r="F260">
            <v>5472</v>
          </cell>
          <cell r="G260">
            <v>1870</v>
          </cell>
          <cell r="H260">
            <v>9303</v>
          </cell>
          <cell r="I260">
            <v>10438893690</v>
          </cell>
          <cell r="J260">
            <v>968017526</v>
          </cell>
          <cell r="K260">
            <v>0</v>
          </cell>
          <cell r="L260">
            <v>1664647050</v>
          </cell>
          <cell r="M260">
            <v>0</v>
          </cell>
          <cell r="N260">
            <v>782099280</v>
          </cell>
          <cell r="O260">
            <v>0</v>
          </cell>
          <cell r="P260">
            <v>13853657546</v>
          </cell>
        </row>
        <row r="261">
          <cell r="B261" t="str">
            <v>Kab. Magetan</v>
          </cell>
          <cell r="C261" t="str">
            <v>06-2005</v>
          </cell>
          <cell r="D261">
            <v>283</v>
          </cell>
          <cell r="E261">
            <v>1663</v>
          </cell>
          <cell r="F261">
            <v>5710</v>
          </cell>
          <cell r="G261">
            <v>2557</v>
          </cell>
          <cell r="H261">
            <v>10213</v>
          </cell>
          <cell r="I261">
            <v>11647359070</v>
          </cell>
          <cell r="J261">
            <v>1062555010</v>
          </cell>
          <cell r="K261">
            <v>0</v>
          </cell>
          <cell r="L261">
            <v>1875653950</v>
          </cell>
          <cell r="M261">
            <v>0</v>
          </cell>
          <cell r="N261">
            <v>851035470</v>
          </cell>
          <cell r="O261">
            <v>0</v>
          </cell>
          <cell r="P261">
            <v>15436603500</v>
          </cell>
        </row>
        <row r="262">
          <cell r="B262" t="str">
            <v>Kab. Ngawi</v>
          </cell>
          <cell r="C262" t="str">
            <v>06-2005</v>
          </cell>
          <cell r="D262">
            <v>293</v>
          </cell>
          <cell r="E262">
            <v>2183</v>
          </cell>
          <cell r="F262">
            <v>5983</v>
          </cell>
          <cell r="G262">
            <v>2539</v>
          </cell>
          <cell r="H262">
            <v>10998</v>
          </cell>
          <cell r="I262">
            <v>12399217440</v>
          </cell>
          <cell r="J262">
            <v>1193243441</v>
          </cell>
          <cell r="K262">
            <v>0</v>
          </cell>
          <cell r="L262">
            <v>1900334425</v>
          </cell>
          <cell r="M262">
            <v>0</v>
          </cell>
          <cell r="N262">
            <v>948617340</v>
          </cell>
          <cell r="O262">
            <v>0</v>
          </cell>
          <cell r="P262">
            <v>16441412646</v>
          </cell>
        </row>
        <row r="263">
          <cell r="B263" t="str">
            <v>Kab. Ponorogo</v>
          </cell>
          <cell r="C263" t="str">
            <v>06-2005</v>
          </cell>
          <cell r="D263">
            <v>189</v>
          </cell>
          <cell r="E263">
            <v>1844</v>
          </cell>
          <cell r="F263">
            <v>6479</v>
          </cell>
          <cell r="G263">
            <v>2307</v>
          </cell>
          <cell r="H263">
            <v>10819</v>
          </cell>
          <cell r="I263">
            <v>12312546680</v>
          </cell>
          <cell r="J263">
            <v>1167424536</v>
          </cell>
          <cell r="K263">
            <v>0</v>
          </cell>
          <cell r="L263">
            <v>1986191600</v>
          </cell>
          <cell r="M263">
            <v>0</v>
          </cell>
          <cell r="N263">
            <v>921957600</v>
          </cell>
          <cell r="O263">
            <v>0</v>
          </cell>
          <cell r="P263">
            <v>16388120416</v>
          </cell>
        </row>
        <row r="264">
          <cell r="B264" t="str">
            <v>Provinsi Kalimantan Barat</v>
          </cell>
          <cell r="C264" t="str">
            <v>06-2005</v>
          </cell>
          <cell r="D264">
            <v>68</v>
          </cell>
          <cell r="E264">
            <v>1682</v>
          </cell>
          <cell r="F264">
            <v>3673</v>
          </cell>
          <cell r="G264">
            <v>349</v>
          </cell>
          <cell r="H264">
            <v>5772</v>
          </cell>
          <cell r="I264">
            <v>6242418680</v>
          </cell>
          <cell r="J264">
            <v>636762418</v>
          </cell>
          <cell r="K264">
            <v>0</v>
          </cell>
          <cell r="L264">
            <v>616190300</v>
          </cell>
          <cell r="M264">
            <v>214156649</v>
          </cell>
          <cell r="N264">
            <v>542191710</v>
          </cell>
          <cell r="O264">
            <v>287680</v>
          </cell>
          <cell r="P264">
            <v>8252007437</v>
          </cell>
        </row>
        <row r="265">
          <cell r="B265" t="str">
            <v>Kota Pontianak</v>
          </cell>
          <cell r="C265" t="str">
            <v>06-2005</v>
          </cell>
          <cell r="D265">
            <v>58</v>
          </cell>
          <cell r="E265">
            <v>1124</v>
          </cell>
          <cell r="F265">
            <v>4271</v>
          </cell>
          <cell r="G265">
            <v>1266</v>
          </cell>
          <cell r="H265">
            <v>6719</v>
          </cell>
          <cell r="I265">
            <v>7627177430</v>
          </cell>
          <cell r="J265">
            <v>656214599</v>
          </cell>
          <cell r="K265">
            <v>0</v>
          </cell>
          <cell r="L265">
            <v>1212115500</v>
          </cell>
          <cell r="M265">
            <v>306077447</v>
          </cell>
          <cell r="N265">
            <v>564157410</v>
          </cell>
          <cell r="O265">
            <v>342052</v>
          </cell>
          <cell r="P265">
            <v>10366084438</v>
          </cell>
        </row>
        <row r="266">
          <cell r="B266" t="str">
            <v>Kab. Pontianak</v>
          </cell>
          <cell r="C266" t="str">
            <v>06-2005</v>
          </cell>
          <cell r="D266">
            <v>129</v>
          </cell>
          <cell r="E266">
            <v>2229</v>
          </cell>
          <cell r="F266">
            <v>5770</v>
          </cell>
          <cell r="G266">
            <v>902</v>
          </cell>
          <cell r="H266">
            <v>9030</v>
          </cell>
          <cell r="I266">
            <v>9751634100</v>
          </cell>
          <cell r="J266">
            <v>946660280</v>
          </cell>
          <cell r="K266">
            <v>0</v>
          </cell>
          <cell r="L266">
            <v>1507691000</v>
          </cell>
          <cell r="M266">
            <v>376665022</v>
          </cell>
          <cell r="N266">
            <v>818026740</v>
          </cell>
          <cell r="O266">
            <v>441827</v>
          </cell>
          <cell r="P266">
            <v>13401118969</v>
          </cell>
        </row>
        <row r="267">
          <cell r="B267" t="str">
            <v>Kota Singkawang</v>
          </cell>
          <cell r="C267" t="str">
            <v>06-2005</v>
          </cell>
          <cell r="D267">
            <v>23</v>
          </cell>
          <cell r="E267">
            <v>594</v>
          </cell>
          <cell r="F267">
            <v>2124</v>
          </cell>
          <cell r="G267">
            <v>315</v>
          </cell>
          <cell r="H267">
            <v>3056</v>
          </cell>
          <cell r="I267">
            <v>3405834780</v>
          </cell>
          <cell r="J267">
            <v>311311879</v>
          </cell>
          <cell r="K267">
            <v>0</v>
          </cell>
          <cell r="L267">
            <v>531653000</v>
          </cell>
          <cell r="M267">
            <v>133810997</v>
          </cell>
          <cell r="N267">
            <v>270870180</v>
          </cell>
          <cell r="O267">
            <v>156462</v>
          </cell>
          <cell r="P267">
            <v>4653637298</v>
          </cell>
        </row>
        <row r="268">
          <cell r="B268" t="str">
            <v>Kab. Sambas</v>
          </cell>
          <cell r="C268" t="str">
            <v>06-2005</v>
          </cell>
          <cell r="D268">
            <v>87</v>
          </cell>
          <cell r="E268">
            <v>1657</v>
          </cell>
          <cell r="F268">
            <v>4465</v>
          </cell>
          <cell r="G268">
            <v>464</v>
          </cell>
          <cell r="H268">
            <v>6673</v>
          </cell>
          <cell r="I268">
            <v>7202807260</v>
          </cell>
          <cell r="J268">
            <v>741949595</v>
          </cell>
          <cell r="K268">
            <v>0</v>
          </cell>
          <cell r="L268">
            <v>1169216250</v>
          </cell>
          <cell r="M268">
            <v>279145093</v>
          </cell>
          <cell r="N268">
            <v>627226050</v>
          </cell>
          <cell r="O268">
            <v>333949</v>
          </cell>
          <cell r="P268">
            <v>10020678197</v>
          </cell>
        </row>
        <row r="269">
          <cell r="B269" t="str">
            <v>Kab. Bengkayang</v>
          </cell>
          <cell r="C269" t="str">
            <v>06-2005</v>
          </cell>
          <cell r="D269">
            <v>53</v>
          </cell>
          <cell r="E269">
            <v>940</v>
          </cell>
          <cell r="F269">
            <v>1662</v>
          </cell>
          <cell r="G269">
            <v>171</v>
          </cell>
          <cell r="H269">
            <v>2826</v>
          </cell>
          <cell r="I269">
            <v>2902704100</v>
          </cell>
          <cell r="J269">
            <v>310531829</v>
          </cell>
          <cell r="K269">
            <v>0</v>
          </cell>
          <cell r="L269">
            <v>509785700</v>
          </cell>
          <cell r="M269">
            <v>110994457</v>
          </cell>
          <cell r="N269">
            <v>273698640</v>
          </cell>
          <cell r="O269">
            <v>144476</v>
          </cell>
          <cell r="P269">
            <v>4107859202</v>
          </cell>
        </row>
        <row r="270">
          <cell r="B270" t="str">
            <v>Kab. Sanggau</v>
          </cell>
          <cell r="C270" t="str">
            <v>06-2005</v>
          </cell>
          <cell r="D270">
            <v>114</v>
          </cell>
          <cell r="E270">
            <v>1406</v>
          </cell>
          <cell r="F270">
            <v>3275</v>
          </cell>
          <cell r="G270">
            <v>737</v>
          </cell>
          <cell r="H270">
            <v>5532</v>
          </cell>
          <cell r="I270">
            <v>5988457020</v>
          </cell>
          <cell r="J270">
            <v>644123737</v>
          </cell>
          <cell r="K270">
            <v>0</v>
          </cell>
          <cell r="L270">
            <v>959547500</v>
          </cell>
          <cell r="M270">
            <v>132416617</v>
          </cell>
          <cell r="N270">
            <v>544298010</v>
          </cell>
          <cell r="O270">
            <v>66593828</v>
          </cell>
          <cell r="P270">
            <v>8335436712</v>
          </cell>
        </row>
        <row r="271">
          <cell r="B271" t="str">
            <v>Kab. Landak</v>
          </cell>
          <cell r="C271" t="str">
            <v>06-2005</v>
          </cell>
          <cell r="D271">
            <v>77</v>
          </cell>
          <cell r="E271">
            <v>944</v>
          </cell>
          <cell r="F271">
            <v>2099</v>
          </cell>
          <cell r="G271">
            <v>472</v>
          </cell>
          <cell r="H271">
            <v>3592</v>
          </cell>
          <cell r="I271">
            <v>3875193660</v>
          </cell>
          <cell r="J271">
            <v>448943850</v>
          </cell>
          <cell r="K271">
            <v>0</v>
          </cell>
          <cell r="L271">
            <v>685038600</v>
          </cell>
          <cell r="M271">
            <v>147945043</v>
          </cell>
          <cell r="N271">
            <v>318352200</v>
          </cell>
          <cell r="O271">
            <v>178962</v>
          </cell>
          <cell r="P271">
            <v>5475652315</v>
          </cell>
        </row>
        <row r="272">
          <cell r="B272" t="str">
            <v>Kab. Sekadau</v>
          </cell>
          <cell r="C272" t="str">
            <v>06-2005</v>
          </cell>
          <cell r="D272">
            <v>44</v>
          </cell>
          <cell r="E272">
            <v>406</v>
          </cell>
          <cell r="F272">
            <v>1185</v>
          </cell>
          <cell r="G272">
            <v>168</v>
          </cell>
          <cell r="H272">
            <v>1803</v>
          </cell>
          <cell r="I272">
            <v>1968684340</v>
          </cell>
          <cell r="J272">
            <v>232349297</v>
          </cell>
          <cell r="K272">
            <v>0</v>
          </cell>
          <cell r="L272">
            <v>350803385</v>
          </cell>
          <cell r="M272">
            <v>99242989</v>
          </cell>
          <cell r="N272">
            <v>192305190</v>
          </cell>
          <cell r="O272">
            <v>89685</v>
          </cell>
          <cell r="P272">
            <v>2843474886</v>
          </cell>
        </row>
        <row r="273">
          <cell r="B273" t="str">
            <v>Kab. Sintang</v>
          </cell>
          <cell r="C273" t="str">
            <v>06-2005</v>
          </cell>
          <cell r="D273">
            <v>49</v>
          </cell>
          <cell r="E273">
            <v>1328</v>
          </cell>
          <cell r="F273">
            <v>3003</v>
          </cell>
          <cell r="G273">
            <v>426</v>
          </cell>
          <cell r="H273">
            <v>4806</v>
          </cell>
          <cell r="I273">
            <v>5053799040</v>
          </cell>
          <cell r="J273">
            <v>537842179</v>
          </cell>
          <cell r="K273">
            <v>0</v>
          </cell>
          <cell r="L273">
            <v>832330100</v>
          </cell>
          <cell r="M273">
            <v>192923810</v>
          </cell>
          <cell r="N273">
            <v>462393030</v>
          </cell>
          <cell r="O273">
            <v>237586</v>
          </cell>
          <cell r="P273">
            <v>7079525745</v>
          </cell>
        </row>
        <row r="274">
          <cell r="B274" t="str">
            <v>Kab. Melawi</v>
          </cell>
          <cell r="C274" t="str">
            <v>06-2005</v>
          </cell>
          <cell r="D274">
            <v>32</v>
          </cell>
          <cell r="E274">
            <v>592</v>
          </cell>
          <cell r="F274">
            <v>1136</v>
          </cell>
          <cell r="G274">
            <v>201</v>
          </cell>
          <cell r="H274">
            <v>1961</v>
          </cell>
          <cell r="I274">
            <v>2026602580</v>
          </cell>
          <cell r="J274">
            <v>216813443</v>
          </cell>
          <cell r="K274">
            <v>0</v>
          </cell>
          <cell r="L274">
            <v>352710200</v>
          </cell>
          <cell r="M274">
            <v>78406705</v>
          </cell>
          <cell r="N274">
            <v>186136740</v>
          </cell>
          <cell r="O274">
            <v>96812</v>
          </cell>
          <cell r="P274">
            <v>2860766480</v>
          </cell>
        </row>
        <row r="275">
          <cell r="B275" t="str">
            <v>Kab. Kapuas Hulu</v>
          </cell>
          <cell r="C275" t="str">
            <v>06-2005</v>
          </cell>
          <cell r="D275">
            <v>71</v>
          </cell>
          <cell r="E275">
            <v>1381</v>
          </cell>
          <cell r="F275">
            <v>2694</v>
          </cell>
          <cell r="G275">
            <v>564</v>
          </cell>
          <cell r="H275">
            <v>4710</v>
          </cell>
          <cell r="I275">
            <v>4909789490</v>
          </cell>
          <cell r="J275">
            <v>507303099</v>
          </cell>
          <cell r="K275">
            <v>0</v>
          </cell>
          <cell r="L275">
            <v>829518820</v>
          </cell>
          <cell r="M275">
            <v>190042040</v>
          </cell>
          <cell r="N275">
            <v>436244820</v>
          </cell>
          <cell r="O275">
            <v>222750</v>
          </cell>
          <cell r="P275">
            <v>6873121019</v>
          </cell>
        </row>
        <row r="276">
          <cell r="B276" t="str">
            <v>Kab. Ketapang</v>
          </cell>
          <cell r="C276" t="str">
            <v>06-2005</v>
          </cell>
          <cell r="D276">
            <v>102</v>
          </cell>
          <cell r="E276">
            <v>1931</v>
          </cell>
          <cell r="F276">
            <v>3560</v>
          </cell>
          <cell r="G276">
            <v>636</v>
          </cell>
          <cell r="H276">
            <v>6229</v>
          </cell>
          <cell r="I276">
            <v>6512253310</v>
          </cell>
          <cell r="J276">
            <v>671282068</v>
          </cell>
          <cell r="K276">
            <v>0</v>
          </cell>
          <cell r="L276">
            <v>1046549350</v>
          </cell>
          <cell r="M276">
            <v>237693979</v>
          </cell>
          <cell r="N276">
            <v>577667820</v>
          </cell>
          <cell r="O276">
            <v>302364</v>
          </cell>
          <cell r="P276">
            <v>9045748891</v>
          </cell>
        </row>
        <row r="277">
          <cell r="B277" t="str">
            <v>Provinsi Kalimantan Tengah</v>
          </cell>
          <cell r="C277" t="str">
            <v>06-2005</v>
          </cell>
          <cell r="D277">
            <v>31</v>
          </cell>
          <cell r="E277">
            <v>1138</v>
          </cell>
          <cell r="F277">
            <v>2842</v>
          </cell>
          <cell r="G277">
            <v>305</v>
          </cell>
          <cell r="H277">
            <v>4316</v>
          </cell>
          <cell r="I277">
            <v>4778365000</v>
          </cell>
          <cell r="J277">
            <v>444633000</v>
          </cell>
          <cell r="K277">
            <v>0</v>
          </cell>
          <cell r="L277">
            <v>512701000</v>
          </cell>
          <cell r="M277">
            <v>191200000</v>
          </cell>
          <cell r="N277">
            <v>385706000</v>
          </cell>
          <cell r="O277">
            <v>0</v>
          </cell>
          <cell r="P277">
            <v>6312605000</v>
          </cell>
        </row>
        <row r="278">
          <cell r="B278" t="str">
            <v>Kota Palangkaraya</v>
          </cell>
          <cell r="C278" t="str">
            <v>06-2005</v>
          </cell>
          <cell r="D278">
            <v>71</v>
          </cell>
          <cell r="E278">
            <v>926</v>
          </cell>
          <cell r="F278">
            <v>2906</v>
          </cell>
          <cell r="G278">
            <v>1431</v>
          </cell>
          <cell r="H278">
            <v>5334</v>
          </cell>
          <cell r="I278">
            <v>6066454000</v>
          </cell>
          <cell r="J278">
            <v>502962000</v>
          </cell>
          <cell r="K278">
            <v>0</v>
          </cell>
          <cell r="L278">
            <v>997251000</v>
          </cell>
          <cell r="M278">
            <v>252482000</v>
          </cell>
          <cell r="N278">
            <v>436969000</v>
          </cell>
          <cell r="O278">
            <v>0</v>
          </cell>
          <cell r="P278">
            <v>8256118000</v>
          </cell>
        </row>
        <row r="279">
          <cell r="B279" t="str">
            <v>Kab. Pulang Pisau</v>
          </cell>
          <cell r="C279" t="str">
            <v>06-2005</v>
          </cell>
          <cell r="D279">
            <v>70</v>
          </cell>
          <cell r="E279">
            <v>584</v>
          </cell>
          <cell r="F279">
            <v>1673</v>
          </cell>
          <cell r="G279">
            <v>406</v>
          </cell>
          <cell r="H279">
            <v>2733</v>
          </cell>
          <cell r="I279">
            <v>3041853000</v>
          </cell>
          <cell r="J279">
            <v>300599000</v>
          </cell>
          <cell r="K279">
            <v>0</v>
          </cell>
          <cell r="L279">
            <v>586689000</v>
          </cell>
          <cell r="M279">
            <v>123411000</v>
          </cell>
          <cell r="N279">
            <v>261633000</v>
          </cell>
          <cell r="O279">
            <v>32475000</v>
          </cell>
          <cell r="P279">
            <v>4346660000</v>
          </cell>
        </row>
        <row r="280">
          <cell r="B280" t="str">
            <v>Kab. Kapuas</v>
          </cell>
          <cell r="C280" t="str">
            <v>06-2005</v>
          </cell>
          <cell r="D280">
            <v>140</v>
          </cell>
          <cell r="E280">
            <v>1877</v>
          </cell>
          <cell r="F280">
            <v>4165</v>
          </cell>
          <cell r="G280">
            <v>842</v>
          </cell>
          <cell r="H280">
            <v>7024</v>
          </cell>
          <cell r="I280">
            <v>7686719000</v>
          </cell>
          <cell r="J280">
            <v>731217000</v>
          </cell>
          <cell r="K280">
            <v>0</v>
          </cell>
          <cell r="L280">
            <v>1239495000</v>
          </cell>
          <cell r="M280">
            <v>107288000</v>
          </cell>
          <cell r="N280">
            <v>635892000</v>
          </cell>
          <cell r="O280">
            <v>74075000</v>
          </cell>
          <cell r="P280">
            <v>10474686000</v>
          </cell>
        </row>
        <row r="281">
          <cell r="B281" t="str">
            <v>Kab. Gunung Mas</v>
          </cell>
          <cell r="C281" t="str">
            <v>06-2005</v>
          </cell>
          <cell r="D281">
            <v>50</v>
          </cell>
          <cell r="E281">
            <v>510</v>
          </cell>
          <cell r="F281">
            <v>1184</v>
          </cell>
          <cell r="G281">
            <v>406</v>
          </cell>
          <cell r="H281">
            <v>2150</v>
          </cell>
          <cell r="I281">
            <v>2313873000</v>
          </cell>
          <cell r="J281">
            <v>254034000</v>
          </cell>
          <cell r="K281">
            <v>0</v>
          </cell>
          <cell r="L281">
            <v>462161000</v>
          </cell>
          <cell r="M281">
            <v>25010000</v>
          </cell>
          <cell r="N281">
            <v>216364000</v>
          </cell>
          <cell r="O281">
            <v>93000000</v>
          </cell>
          <cell r="P281">
            <v>3364442000</v>
          </cell>
        </row>
        <row r="282">
          <cell r="B282" t="str">
            <v>Kab. Barito Utara</v>
          </cell>
          <cell r="C282" t="str">
            <v>06-2005</v>
          </cell>
          <cell r="D282">
            <v>98</v>
          </cell>
          <cell r="E282">
            <v>812</v>
          </cell>
          <cell r="F282">
            <v>1893</v>
          </cell>
          <cell r="G282">
            <v>333</v>
          </cell>
          <cell r="H282">
            <v>3136</v>
          </cell>
          <cell r="I282">
            <v>3352858000</v>
          </cell>
          <cell r="J282">
            <v>330131000</v>
          </cell>
          <cell r="K282">
            <v>0</v>
          </cell>
          <cell r="L282">
            <v>543784000</v>
          </cell>
          <cell r="M282">
            <v>135082000</v>
          </cell>
          <cell r="N282">
            <v>284509000</v>
          </cell>
          <cell r="O282">
            <v>72675000</v>
          </cell>
          <cell r="P282">
            <v>4719039000</v>
          </cell>
        </row>
        <row r="283">
          <cell r="B283" t="str">
            <v>Kab. Barito Timur</v>
          </cell>
          <cell r="C283" t="str">
            <v>06-2005</v>
          </cell>
          <cell r="D283">
            <v>42</v>
          </cell>
          <cell r="E283">
            <v>503</v>
          </cell>
          <cell r="F283">
            <v>1367</v>
          </cell>
          <cell r="G283">
            <v>398</v>
          </cell>
          <cell r="H283">
            <v>2310</v>
          </cell>
          <cell r="I283">
            <v>2585767000</v>
          </cell>
          <cell r="J283">
            <v>264904000</v>
          </cell>
          <cell r="K283">
            <v>0</v>
          </cell>
          <cell r="L283">
            <v>463930000</v>
          </cell>
          <cell r="M283">
            <v>106803000</v>
          </cell>
          <cell r="N283">
            <v>223255000</v>
          </cell>
          <cell r="O283">
            <v>2375000</v>
          </cell>
          <cell r="P283">
            <v>3647034000</v>
          </cell>
        </row>
        <row r="284">
          <cell r="B284" t="str">
            <v>Kab. Murung Raya</v>
          </cell>
          <cell r="C284" t="str">
            <v>06-2005</v>
          </cell>
          <cell r="D284">
            <v>42</v>
          </cell>
          <cell r="E284">
            <v>623</v>
          </cell>
          <cell r="F284">
            <v>840</v>
          </cell>
          <cell r="G284">
            <v>129</v>
          </cell>
          <cell r="H284">
            <v>1634</v>
          </cell>
          <cell r="I284">
            <v>1553452000</v>
          </cell>
          <cell r="J284">
            <v>158000000</v>
          </cell>
          <cell r="K284">
            <v>0</v>
          </cell>
          <cell r="L284">
            <v>305326000</v>
          </cell>
          <cell r="M284">
            <v>76139000</v>
          </cell>
          <cell r="N284">
            <v>145904000</v>
          </cell>
          <cell r="O284">
            <v>80750000</v>
          </cell>
          <cell r="P284">
            <v>2319571000</v>
          </cell>
        </row>
        <row r="285">
          <cell r="B285" t="str">
            <v>Kab. Kotawaringin Barat</v>
          </cell>
          <cell r="C285" t="str">
            <v>06-2005</v>
          </cell>
          <cell r="D285">
            <v>49</v>
          </cell>
          <cell r="E285">
            <v>1080</v>
          </cell>
          <cell r="F285">
            <v>2229</v>
          </cell>
          <cell r="G285">
            <v>346</v>
          </cell>
          <cell r="H285">
            <v>3704</v>
          </cell>
          <cell r="I285">
            <v>3775651000</v>
          </cell>
          <cell r="J285">
            <v>365537000</v>
          </cell>
          <cell r="K285">
            <v>0</v>
          </cell>
          <cell r="L285">
            <v>633662000</v>
          </cell>
          <cell r="M285">
            <v>148958000</v>
          </cell>
          <cell r="N285">
            <v>325363000</v>
          </cell>
          <cell r="O285">
            <v>17007000</v>
          </cell>
          <cell r="P285">
            <v>5266178000</v>
          </cell>
        </row>
        <row r="286">
          <cell r="B286" t="str">
            <v>Kab. Sukamara</v>
          </cell>
          <cell r="C286" t="str">
            <v>06-2005</v>
          </cell>
          <cell r="D286">
            <v>10</v>
          </cell>
          <cell r="E286">
            <v>385</v>
          </cell>
          <cell r="F286">
            <v>491</v>
          </cell>
          <cell r="G286">
            <v>70</v>
          </cell>
          <cell r="H286">
            <v>956</v>
          </cell>
          <cell r="I286">
            <v>885250000</v>
          </cell>
          <cell r="J286">
            <v>79851000</v>
          </cell>
          <cell r="K286">
            <v>0</v>
          </cell>
          <cell r="L286">
            <v>170151000</v>
          </cell>
          <cell r="M286">
            <v>37022000</v>
          </cell>
          <cell r="N286">
            <v>75436000</v>
          </cell>
          <cell r="O286">
            <v>39485000</v>
          </cell>
          <cell r="P286">
            <v>1287195000</v>
          </cell>
        </row>
        <row r="287">
          <cell r="B287" t="str">
            <v>Kab. Lamandau</v>
          </cell>
          <cell r="C287" t="str">
            <v>06-2005</v>
          </cell>
          <cell r="D287">
            <v>19</v>
          </cell>
          <cell r="E287">
            <v>464</v>
          </cell>
          <cell r="F287">
            <v>629</v>
          </cell>
          <cell r="G287">
            <v>84</v>
          </cell>
          <cell r="H287">
            <v>1196</v>
          </cell>
          <cell r="I287">
            <v>1126000000</v>
          </cell>
          <cell r="J287">
            <v>114643000</v>
          </cell>
          <cell r="K287">
            <v>0</v>
          </cell>
          <cell r="L287">
            <v>217087000</v>
          </cell>
          <cell r="M287">
            <v>53326000</v>
          </cell>
          <cell r="N287">
            <v>105857000</v>
          </cell>
          <cell r="O287">
            <v>45108000</v>
          </cell>
          <cell r="P287">
            <v>1662021000</v>
          </cell>
        </row>
        <row r="288">
          <cell r="B288" t="str">
            <v>Kab. Kotawaringin Timur</v>
          </cell>
          <cell r="C288" t="str">
            <v>06-2005</v>
          </cell>
          <cell r="D288">
            <v>74</v>
          </cell>
          <cell r="E288">
            <v>1158</v>
          </cell>
          <cell r="F288">
            <v>2887</v>
          </cell>
          <cell r="G288">
            <v>709</v>
          </cell>
          <cell r="H288">
            <v>4828</v>
          </cell>
          <cell r="I288">
            <v>5245993000</v>
          </cell>
          <cell r="J288">
            <v>527256000</v>
          </cell>
          <cell r="K288">
            <v>0</v>
          </cell>
          <cell r="L288">
            <v>876165000</v>
          </cell>
          <cell r="M288">
            <v>207933000</v>
          </cell>
          <cell r="N288">
            <v>441721000</v>
          </cell>
          <cell r="O288">
            <v>57968000</v>
          </cell>
          <cell r="P288">
            <v>7357036000</v>
          </cell>
        </row>
        <row r="289">
          <cell r="B289" t="str">
            <v>Kab. Katingan</v>
          </cell>
          <cell r="C289" t="str">
            <v>06-2005</v>
          </cell>
          <cell r="D289">
            <v>61</v>
          </cell>
          <cell r="E289">
            <v>774</v>
          </cell>
          <cell r="F289">
            <v>1626</v>
          </cell>
          <cell r="G289">
            <v>272</v>
          </cell>
          <cell r="H289">
            <v>2733</v>
          </cell>
          <cell r="I289">
            <v>2869417000</v>
          </cell>
          <cell r="J289">
            <v>302248000</v>
          </cell>
          <cell r="K289">
            <v>0</v>
          </cell>
          <cell r="L289">
            <v>529512000</v>
          </cell>
          <cell r="M289">
            <v>113756000</v>
          </cell>
          <cell r="N289">
            <v>256457000</v>
          </cell>
          <cell r="O289">
            <v>132000</v>
          </cell>
          <cell r="P289">
            <v>4071522000</v>
          </cell>
        </row>
        <row r="290">
          <cell r="B290" t="str">
            <v>Kab. Seruyan</v>
          </cell>
          <cell r="C290" t="str">
            <v>06-2005</v>
          </cell>
          <cell r="D290">
            <v>18</v>
          </cell>
          <cell r="E290">
            <v>507</v>
          </cell>
          <cell r="F290">
            <v>632</v>
          </cell>
          <cell r="G290">
            <v>133</v>
          </cell>
          <cell r="H290">
            <v>1290</v>
          </cell>
          <cell r="I290">
            <v>1308584000</v>
          </cell>
          <cell r="J290">
            <v>135241000</v>
          </cell>
          <cell r="K290">
            <v>0</v>
          </cell>
          <cell r="L290">
            <v>257480000</v>
          </cell>
          <cell r="M290">
            <v>51717000</v>
          </cell>
          <cell r="N290">
            <v>118254000</v>
          </cell>
          <cell r="O290">
            <v>14500000</v>
          </cell>
          <cell r="P290">
            <v>1885776000</v>
          </cell>
        </row>
        <row r="291">
          <cell r="B291" t="str">
            <v>Kab. Barito Selatan</v>
          </cell>
          <cell r="C291" t="str">
            <v>06-2005</v>
          </cell>
          <cell r="D291">
            <v>60</v>
          </cell>
          <cell r="E291">
            <v>949</v>
          </cell>
          <cell r="F291">
            <v>1994</v>
          </cell>
          <cell r="G291">
            <v>467</v>
          </cell>
          <cell r="H291">
            <v>3470</v>
          </cell>
          <cell r="I291">
            <v>3709039000</v>
          </cell>
          <cell r="J291">
            <v>354044000</v>
          </cell>
          <cell r="K291">
            <v>0</v>
          </cell>
          <cell r="L291">
            <v>631761000</v>
          </cell>
          <cell r="M291">
            <v>150859000</v>
          </cell>
          <cell r="N291">
            <v>304692000</v>
          </cell>
          <cell r="O291">
            <v>9050000</v>
          </cell>
          <cell r="P291">
            <v>5159445000</v>
          </cell>
        </row>
        <row r="292">
          <cell r="B292" t="str">
            <v>Provinsi Kalimantan Selatan</v>
          </cell>
          <cell r="C292" t="str">
            <v>05-2005</v>
          </cell>
          <cell r="D292">
            <v>84</v>
          </cell>
          <cell r="E292">
            <v>1643</v>
          </cell>
          <cell r="F292">
            <v>3775</v>
          </cell>
          <cell r="G292">
            <v>398</v>
          </cell>
          <cell r="H292">
            <v>5900</v>
          </cell>
          <cell r="I292">
            <v>6404281050</v>
          </cell>
          <cell r="J292">
            <v>638109722</v>
          </cell>
          <cell r="K292">
            <v>0</v>
          </cell>
          <cell r="L292">
            <v>723297400</v>
          </cell>
          <cell r="M292">
            <v>46157209</v>
          </cell>
          <cell r="N292">
            <v>531750480</v>
          </cell>
          <cell r="O292">
            <v>294435</v>
          </cell>
          <cell r="P292">
            <v>8343890296</v>
          </cell>
        </row>
        <row r="293">
          <cell r="B293" t="str">
            <v xml:space="preserve">Kota Banjarmasin </v>
          </cell>
          <cell r="C293" t="str">
            <v>05-2005</v>
          </cell>
          <cell r="D293">
            <v>66</v>
          </cell>
          <cell r="E293">
            <v>950</v>
          </cell>
          <cell r="F293">
            <v>3859</v>
          </cell>
          <cell r="G293">
            <v>2365</v>
          </cell>
          <cell r="H293">
            <v>7240</v>
          </cell>
          <cell r="I293">
            <v>8545773900</v>
          </cell>
          <cell r="J293">
            <v>714782282</v>
          </cell>
          <cell r="K293">
            <v>0</v>
          </cell>
          <cell r="L293">
            <v>1455349450</v>
          </cell>
          <cell r="M293">
            <v>357196013</v>
          </cell>
          <cell r="N293">
            <v>589222380</v>
          </cell>
          <cell r="O293">
            <v>368288</v>
          </cell>
          <cell r="P293">
            <v>11662692313</v>
          </cell>
        </row>
        <row r="294">
          <cell r="B294" t="str">
            <v>Kota Banjar Baru</v>
          </cell>
          <cell r="C294" t="str">
            <v>05-2005</v>
          </cell>
          <cell r="D294">
            <v>25</v>
          </cell>
          <cell r="E294">
            <v>419</v>
          </cell>
          <cell r="F294">
            <v>1581</v>
          </cell>
          <cell r="G294">
            <v>720</v>
          </cell>
          <cell r="H294">
            <v>2745</v>
          </cell>
          <cell r="I294">
            <v>3156856660</v>
          </cell>
          <cell r="J294">
            <v>243871166</v>
          </cell>
          <cell r="K294">
            <v>0</v>
          </cell>
          <cell r="L294">
            <v>570432150</v>
          </cell>
          <cell r="M294">
            <v>36762124</v>
          </cell>
          <cell r="N294">
            <v>210419370</v>
          </cell>
          <cell r="O294">
            <v>137315</v>
          </cell>
          <cell r="P294">
            <v>4218478785</v>
          </cell>
        </row>
        <row r="295">
          <cell r="B295" t="str">
            <v xml:space="preserve">Kab. Banjar </v>
          </cell>
          <cell r="C295" t="str">
            <v>05-2005</v>
          </cell>
          <cell r="D295">
            <v>59</v>
          </cell>
          <cell r="E295">
            <v>1298</v>
          </cell>
          <cell r="F295">
            <v>3543</v>
          </cell>
          <cell r="G295">
            <v>1186</v>
          </cell>
          <cell r="H295">
            <v>6086</v>
          </cell>
          <cell r="I295">
            <v>6694570820</v>
          </cell>
          <cell r="J295">
            <v>605731398</v>
          </cell>
          <cell r="K295">
            <v>0</v>
          </cell>
          <cell r="L295">
            <v>1169206150</v>
          </cell>
          <cell r="M295">
            <v>66620468</v>
          </cell>
          <cell r="N295">
            <v>512793780</v>
          </cell>
          <cell r="O295">
            <v>302328</v>
          </cell>
          <cell r="P295">
            <v>9049224944</v>
          </cell>
        </row>
        <row r="296">
          <cell r="B296" t="str">
            <v>Kab. Barito Kuala</v>
          </cell>
          <cell r="C296" t="str">
            <v>05-2005</v>
          </cell>
          <cell r="D296">
            <v>73</v>
          </cell>
          <cell r="E296">
            <v>954</v>
          </cell>
          <cell r="F296">
            <v>2389</v>
          </cell>
          <cell r="G296">
            <v>622</v>
          </cell>
          <cell r="H296">
            <v>4038</v>
          </cell>
          <cell r="I296">
            <v>4302101140</v>
          </cell>
          <cell r="J296">
            <v>412078303</v>
          </cell>
          <cell r="K296">
            <v>0</v>
          </cell>
          <cell r="L296">
            <v>790454700</v>
          </cell>
          <cell r="M296">
            <v>39419965</v>
          </cell>
          <cell r="N296">
            <v>350307780</v>
          </cell>
          <cell r="O296">
            <v>191436</v>
          </cell>
          <cell r="P296">
            <v>5894553324</v>
          </cell>
        </row>
        <row r="297">
          <cell r="B297" t="str">
            <v>Kab. Tapin</v>
          </cell>
          <cell r="C297" t="str">
            <v>05-2005</v>
          </cell>
          <cell r="D297">
            <v>71</v>
          </cell>
          <cell r="E297">
            <v>851</v>
          </cell>
          <cell r="F297">
            <v>2029</v>
          </cell>
          <cell r="G297">
            <v>729</v>
          </cell>
          <cell r="H297">
            <v>3680</v>
          </cell>
          <cell r="I297">
            <v>4053390020</v>
          </cell>
          <cell r="J297">
            <v>372192946</v>
          </cell>
          <cell r="K297">
            <v>0</v>
          </cell>
          <cell r="L297">
            <v>672265150</v>
          </cell>
          <cell r="M297">
            <v>105820932</v>
          </cell>
          <cell r="N297">
            <v>317479590</v>
          </cell>
          <cell r="O297">
            <v>177385</v>
          </cell>
          <cell r="P297">
            <v>5521326023</v>
          </cell>
        </row>
        <row r="298">
          <cell r="B298" t="str">
            <v>Kab. Hulu Sungai Selatan</v>
          </cell>
          <cell r="C298" t="str">
            <v>06-2005</v>
          </cell>
          <cell r="D298">
            <v>66</v>
          </cell>
          <cell r="E298">
            <v>1065</v>
          </cell>
          <cell r="F298">
            <v>3057</v>
          </cell>
          <cell r="G298">
            <v>956</v>
          </cell>
          <cell r="H298">
            <v>5144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7595909573</v>
          </cell>
        </row>
        <row r="299">
          <cell r="B299" t="str">
            <v>Kab. Hulu Sungai Tengah</v>
          </cell>
          <cell r="C299" t="str">
            <v>06-2005</v>
          </cell>
          <cell r="D299">
            <v>64</v>
          </cell>
          <cell r="E299">
            <v>822</v>
          </cell>
          <cell r="F299">
            <v>2848</v>
          </cell>
          <cell r="G299">
            <v>1099</v>
          </cell>
          <cell r="H299">
            <v>4833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7479863004</v>
          </cell>
        </row>
        <row r="300">
          <cell r="B300" t="str">
            <v>Kab. Hulu Sungai Utara</v>
          </cell>
          <cell r="C300" t="str">
            <v>06-2005</v>
          </cell>
          <cell r="D300">
            <v>39</v>
          </cell>
          <cell r="E300">
            <v>733</v>
          </cell>
          <cell r="F300">
            <v>2091</v>
          </cell>
          <cell r="G300">
            <v>838</v>
          </cell>
          <cell r="H300">
            <v>3701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5554037038</v>
          </cell>
        </row>
        <row r="301">
          <cell r="B301" t="str">
            <v>Kab. Kota Baru</v>
          </cell>
          <cell r="C301" t="str">
            <v>06-2005</v>
          </cell>
          <cell r="D301">
            <v>7</v>
          </cell>
          <cell r="E301">
            <v>1048</v>
          </cell>
          <cell r="F301">
            <v>2030</v>
          </cell>
          <cell r="G301">
            <v>314</v>
          </cell>
          <cell r="H301">
            <v>3399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4895180566</v>
          </cell>
        </row>
        <row r="302">
          <cell r="B302" t="str">
            <v>Kab. Tanah Bumbu</v>
          </cell>
          <cell r="C302" t="str">
            <v>06-2005</v>
          </cell>
          <cell r="D302">
            <v>50</v>
          </cell>
          <cell r="E302">
            <v>523</v>
          </cell>
          <cell r="F302">
            <v>1377</v>
          </cell>
          <cell r="G302">
            <v>280</v>
          </cell>
          <cell r="H302">
            <v>2230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2966314400</v>
          </cell>
        </row>
        <row r="303">
          <cell r="B303" t="str">
            <v>Kab. Balangan</v>
          </cell>
          <cell r="C303" t="str">
            <v>06-2005</v>
          </cell>
          <cell r="D303">
            <v>44</v>
          </cell>
          <cell r="E303">
            <v>376</v>
          </cell>
          <cell r="F303">
            <v>938</v>
          </cell>
          <cell r="G303">
            <v>306</v>
          </cell>
          <cell r="H303">
            <v>1664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2452997137</v>
          </cell>
        </row>
        <row r="304">
          <cell r="B304" t="str">
            <v>Kab. Tabalong</v>
          </cell>
          <cell r="C304" t="str">
            <v>06-2005</v>
          </cell>
          <cell r="D304">
            <v>44</v>
          </cell>
          <cell r="E304">
            <v>903</v>
          </cell>
          <cell r="F304">
            <v>2260</v>
          </cell>
          <cell r="G304">
            <v>901</v>
          </cell>
          <cell r="H304">
            <v>4108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6264705992</v>
          </cell>
        </row>
        <row r="305">
          <cell r="B305" t="str">
            <v>Kab. Tanah Laut</v>
          </cell>
          <cell r="C305" t="str">
            <v>06-2005</v>
          </cell>
          <cell r="D305">
            <v>74</v>
          </cell>
          <cell r="E305">
            <v>793</v>
          </cell>
          <cell r="F305">
            <v>2386</v>
          </cell>
          <cell r="G305">
            <v>442</v>
          </cell>
          <cell r="H305">
            <v>3695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5629164697</v>
          </cell>
        </row>
        <row r="306">
          <cell r="B306" t="str">
            <v>Provinsi Kalimantan Timur</v>
          </cell>
          <cell r="C306" t="str">
            <v>06-2005</v>
          </cell>
          <cell r="D306">
            <v>95</v>
          </cell>
          <cell r="E306">
            <v>1745</v>
          </cell>
          <cell r="F306">
            <v>3942</v>
          </cell>
          <cell r="G306">
            <v>539</v>
          </cell>
          <cell r="H306">
            <v>6321</v>
          </cell>
          <cell r="I306">
            <v>6966967523</v>
          </cell>
          <cell r="J306">
            <v>730153418</v>
          </cell>
          <cell r="K306">
            <v>0</v>
          </cell>
          <cell r="L306">
            <v>706660350</v>
          </cell>
          <cell r="M306">
            <v>47333758</v>
          </cell>
          <cell r="N306">
            <v>602151080</v>
          </cell>
          <cell r="O306">
            <v>0</v>
          </cell>
          <cell r="P306">
            <v>9053266129</v>
          </cell>
        </row>
        <row r="307">
          <cell r="B307" t="str">
            <v>Kota Samarinda</v>
          </cell>
          <cell r="C307" t="str">
            <v>06-2005</v>
          </cell>
          <cell r="D307">
            <v>80</v>
          </cell>
          <cell r="E307">
            <v>1340</v>
          </cell>
          <cell r="F307">
            <v>5223</v>
          </cell>
          <cell r="G307">
            <v>1586</v>
          </cell>
          <cell r="H307">
            <v>8229</v>
          </cell>
          <cell r="I307">
            <v>9174572940</v>
          </cell>
          <cell r="J307">
            <v>904324616</v>
          </cell>
          <cell r="K307">
            <v>0</v>
          </cell>
          <cell r="L307">
            <v>1449149950</v>
          </cell>
          <cell r="M307">
            <v>360249330</v>
          </cell>
          <cell r="N307">
            <v>755048370</v>
          </cell>
          <cell r="O307">
            <v>0</v>
          </cell>
          <cell r="P307">
            <v>12643345206</v>
          </cell>
        </row>
        <row r="308">
          <cell r="B308" t="str">
            <v>Kab. Kutai Barat</v>
          </cell>
          <cell r="C308" t="str">
            <v>06-2005</v>
          </cell>
          <cell r="D308">
            <v>71</v>
          </cell>
          <cell r="E308">
            <v>1110</v>
          </cell>
          <cell r="F308">
            <v>1674</v>
          </cell>
          <cell r="G308">
            <v>308</v>
          </cell>
          <cell r="H308">
            <v>3163</v>
          </cell>
          <cell r="I308">
            <v>3269666266</v>
          </cell>
          <cell r="J308">
            <v>636354690</v>
          </cell>
          <cell r="K308">
            <v>0</v>
          </cell>
          <cell r="L308">
            <v>572646000</v>
          </cell>
          <cell r="M308">
            <v>126177794</v>
          </cell>
          <cell r="N308">
            <v>310709340</v>
          </cell>
          <cell r="O308">
            <v>0</v>
          </cell>
          <cell r="P308">
            <v>4915554090</v>
          </cell>
        </row>
        <row r="309">
          <cell r="B309" t="str">
            <v>Kab. Kutai</v>
          </cell>
          <cell r="C309" t="str">
            <v>06-2005</v>
          </cell>
          <cell r="D309">
            <v>222</v>
          </cell>
          <cell r="E309">
            <v>2777</v>
          </cell>
          <cell r="F309">
            <v>6022</v>
          </cell>
          <cell r="G309">
            <v>1112</v>
          </cell>
          <cell r="H309">
            <v>10133</v>
          </cell>
          <cell r="I309">
            <v>10646500940</v>
          </cell>
          <cell r="J309">
            <v>1123411748</v>
          </cell>
          <cell r="K309">
            <v>0</v>
          </cell>
          <cell r="L309">
            <v>1565078150</v>
          </cell>
          <cell r="M309">
            <v>793788701</v>
          </cell>
          <cell r="N309">
            <v>972749520</v>
          </cell>
          <cell r="O309">
            <v>0</v>
          </cell>
          <cell r="P309">
            <v>15101529059</v>
          </cell>
        </row>
        <row r="310">
          <cell r="B310" t="str">
            <v>Kab. Kutai Timur</v>
          </cell>
          <cell r="C310" t="str">
            <v>06-2005</v>
          </cell>
          <cell r="D310">
            <v>32</v>
          </cell>
          <cell r="E310">
            <v>794</v>
          </cell>
          <cell r="F310">
            <v>1289</v>
          </cell>
          <cell r="G310">
            <v>210</v>
          </cell>
          <cell r="H310">
            <v>2325</v>
          </cell>
          <cell r="I310">
            <v>2358263375</v>
          </cell>
          <cell r="J310">
            <v>269887991</v>
          </cell>
          <cell r="K310">
            <v>0</v>
          </cell>
          <cell r="L310">
            <v>407362650</v>
          </cell>
          <cell r="M310">
            <v>99731159</v>
          </cell>
          <cell r="N310">
            <v>232415180</v>
          </cell>
          <cell r="O310">
            <v>0</v>
          </cell>
          <cell r="P310">
            <v>3367660355</v>
          </cell>
        </row>
        <row r="311">
          <cell r="B311" t="str">
            <v>Kota Bontang</v>
          </cell>
          <cell r="C311" t="str">
            <v>06-2005</v>
          </cell>
          <cell r="D311">
            <v>17</v>
          </cell>
          <cell r="E311">
            <v>567</v>
          </cell>
          <cell r="F311">
            <v>926</v>
          </cell>
          <cell r="G311">
            <v>148</v>
          </cell>
          <cell r="H311">
            <v>1658</v>
          </cell>
          <cell r="I311">
            <v>1599347029</v>
          </cell>
          <cell r="J311">
            <v>186132626</v>
          </cell>
          <cell r="K311">
            <v>0</v>
          </cell>
          <cell r="L311">
            <v>262103950</v>
          </cell>
          <cell r="M311">
            <v>60527942</v>
          </cell>
          <cell r="N311">
            <v>154532700</v>
          </cell>
          <cell r="O311">
            <v>0</v>
          </cell>
          <cell r="P311">
            <v>2262644247</v>
          </cell>
        </row>
        <row r="312">
          <cell r="B312" t="str">
            <v>Kota Balikpapan</v>
          </cell>
          <cell r="C312" t="str">
            <v>06-2005</v>
          </cell>
          <cell r="D312">
            <v>47</v>
          </cell>
          <cell r="E312">
            <v>766</v>
          </cell>
          <cell r="F312">
            <v>2948</v>
          </cell>
          <cell r="G312">
            <v>1119</v>
          </cell>
          <cell r="H312">
            <v>4880</v>
          </cell>
          <cell r="I312">
            <v>5556794729</v>
          </cell>
          <cell r="J312">
            <v>576570292</v>
          </cell>
          <cell r="K312">
            <v>0</v>
          </cell>
          <cell r="L312">
            <v>909925750</v>
          </cell>
          <cell r="M312">
            <v>221674256</v>
          </cell>
          <cell r="N312">
            <v>455351970</v>
          </cell>
          <cell r="O312">
            <v>0</v>
          </cell>
          <cell r="P312">
            <v>7720316997</v>
          </cell>
        </row>
        <row r="313">
          <cell r="B313" t="str">
            <v>Kab. Pasir</v>
          </cell>
          <cell r="C313" t="str">
            <v>06-2005</v>
          </cell>
          <cell r="D313">
            <v>78</v>
          </cell>
          <cell r="E313">
            <v>1143</v>
          </cell>
          <cell r="F313">
            <v>2235</v>
          </cell>
          <cell r="G313">
            <v>305</v>
          </cell>
          <cell r="H313">
            <v>3761</v>
          </cell>
          <cell r="I313">
            <v>3932005677</v>
          </cell>
          <cell r="J313">
            <v>404998456</v>
          </cell>
          <cell r="K313">
            <v>0</v>
          </cell>
          <cell r="L313">
            <v>652112400</v>
          </cell>
          <cell r="M313">
            <v>139001192</v>
          </cell>
          <cell r="N313">
            <v>165103830</v>
          </cell>
          <cell r="O313">
            <v>0</v>
          </cell>
          <cell r="P313">
            <v>5293221555</v>
          </cell>
        </row>
        <row r="314">
          <cell r="B314" t="str">
            <v>Kab. Penajam Paser Utara</v>
          </cell>
          <cell r="C314" t="str">
            <v>06-2005</v>
          </cell>
          <cell r="D314">
            <v>23</v>
          </cell>
          <cell r="E314">
            <v>578</v>
          </cell>
          <cell r="F314">
            <v>1108</v>
          </cell>
          <cell r="G314">
            <v>147</v>
          </cell>
          <cell r="H314">
            <v>1856</v>
          </cell>
          <cell r="I314">
            <v>1834809530</v>
          </cell>
          <cell r="J314">
            <v>183484520</v>
          </cell>
          <cell r="K314">
            <v>0</v>
          </cell>
          <cell r="L314">
            <v>308306400</v>
          </cell>
          <cell r="M314">
            <v>139001192</v>
          </cell>
          <cell r="N314">
            <v>165103830</v>
          </cell>
          <cell r="O314">
            <v>0</v>
          </cell>
          <cell r="P314">
            <v>2630705472</v>
          </cell>
        </row>
        <row r="315">
          <cell r="B315" t="str">
            <v>Kab. Malinau</v>
          </cell>
          <cell r="C315" t="str">
            <v>06-2005</v>
          </cell>
          <cell r="D315">
            <v>26</v>
          </cell>
          <cell r="E315">
            <v>686</v>
          </cell>
          <cell r="F315">
            <v>725</v>
          </cell>
          <cell r="G315">
            <v>115</v>
          </cell>
          <cell r="H315">
            <v>1552</v>
          </cell>
          <cell r="I315">
            <v>1473685420</v>
          </cell>
          <cell r="J315">
            <v>155426870</v>
          </cell>
          <cell r="K315">
            <v>0</v>
          </cell>
          <cell r="L315">
            <v>252111320</v>
          </cell>
          <cell r="M315">
            <v>57812360</v>
          </cell>
          <cell r="N315">
            <v>142500300</v>
          </cell>
          <cell r="O315">
            <v>76115</v>
          </cell>
          <cell r="P315">
            <v>2081612385</v>
          </cell>
        </row>
        <row r="316">
          <cell r="B316" t="str">
            <v>Kab. Berau</v>
          </cell>
          <cell r="C316" t="str">
            <v>06-2005</v>
          </cell>
          <cell r="D316">
            <v>89</v>
          </cell>
          <cell r="E316">
            <v>1225</v>
          </cell>
          <cell r="F316">
            <v>1774</v>
          </cell>
          <cell r="G316">
            <v>233</v>
          </cell>
          <cell r="H316">
            <v>3321</v>
          </cell>
          <cell r="I316">
            <v>3378775860</v>
          </cell>
          <cell r="J316">
            <v>350861522</v>
          </cell>
          <cell r="K316">
            <v>0</v>
          </cell>
          <cell r="L316">
            <v>564638900</v>
          </cell>
          <cell r="M316">
            <v>256310356</v>
          </cell>
          <cell r="N316">
            <v>309593010</v>
          </cell>
          <cell r="O316">
            <v>161213</v>
          </cell>
          <cell r="P316">
            <v>4860340861</v>
          </cell>
        </row>
        <row r="317">
          <cell r="B317" t="str">
            <v>Kab. Bulungan</v>
          </cell>
          <cell r="C317" t="str">
            <v>06-2005</v>
          </cell>
          <cell r="D317">
            <v>70</v>
          </cell>
          <cell r="E317">
            <v>1119</v>
          </cell>
          <cell r="F317">
            <v>1492</v>
          </cell>
          <cell r="G317">
            <v>172</v>
          </cell>
          <cell r="H317">
            <v>2853</v>
          </cell>
          <cell r="I317">
            <v>2901658740</v>
          </cell>
          <cell r="J317">
            <v>288156985</v>
          </cell>
          <cell r="K317">
            <v>0</v>
          </cell>
          <cell r="L317">
            <v>496789300</v>
          </cell>
          <cell r="M317">
            <v>111364856</v>
          </cell>
          <cell r="N317">
            <v>258465950</v>
          </cell>
          <cell r="O317">
            <v>135789</v>
          </cell>
          <cell r="P317">
            <v>4056571620</v>
          </cell>
        </row>
        <row r="318">
          <cell r="B318" t="str">
            <v>Kota Tarakan</v>
          </cell>
          <cell r="C318" t="str">
            <v>06-2005</v>
          </cell>
          <cell r="D318">
            <v>17</v>
          </cell>
          <cell r="E318">
            <v>539</v>
          </cell>
          <cell r="F318">
            <v>1083</v>
          </cell>
          <cell r="G318">
            <v>277</v>
          </cell>
          <cell r="H318">
            <v>1916</v>
          </cell>
          <cell r="I318">
            <v>2002032580</v>
          </cell>
          <cell r="J318">
            <v>203467754</v>
          </cell>
          <cell r="K318">
            <v>0</v>
          </cell>
          <cell r="L318">
            <v>365789500</v>
          </cell>
          <cell r="M318">
            <v>82226354</v>
          </cell>
          <cell r="N318">
            <v>175236900</v>
          </cell>
          <cell r="O318">
            <v>93452</v>
          </cell>
          <cell r="P318">
            <v>2828846540</v>
          </cell>
        </row>
        <row r="319">
          <cell r="B319" t="str">
            <v>Kab. Nunukan</v>
          </cell>
          <cell r="C319" t="str">
            <v>06-2005</v>
          </cell>
          <cell r="D319">
            <v>45</v>
          </cell>
          <cell r="E319">
            <v>706</v>
          </cell>
          <cell r="F319">
            <v>819</v>
          </cell>
          <cell r="G319">
            <v>180</v>
          </cell>
          <cell r="H319">
            <v>1750</v>
          </cell>
          <cell r="I319">
            <v>1686915700</v>
          </cell>
          <cell r="J319">
            <v>176575012</v>
          </cell>
          <cell r="K319">
            <v>0</v>
          </cell>
          <cell r="L319">
            <v>315471350</v>
          </cell>
          <cell r="M319">
            <v>162536391</v>
          </cell>
          <cell r="N319">
            <v>159507090</v>
          </cell>
          <cell r="O319">
            <v>83396</v>
          </cell>
          <cell r="P319">
            <v>2501088939</v>
          </cell>
        </row>
        <row r="320">
          <cell r="B320" t="str">
            <v>Provinsi Sulawesi Utara</v>
          </cell>
          <cell r="C320" t="str">
            <v>06-2005</v>
          </cell>
          <cell r="D320">
            <v>76</v>
          </cell>
          <cell r="E320">
            <v>1564</v>
          </cell>
          <cell r="F320">
            <v>3809</v>
          </cell>
          <cell r="G320">
            <v>396</v>
          </cell>
          <cell r="H320">
            <v>5845</v>
          </cell>
          <cell r="I320">
            <v>6376864360</v>
          </cell>
          <cell r="J320">
            <v>581558613</v>
          </cell>
          <cell r="K320">
            <v>0</v>
          </cell>
          <cell r="L320">
            <v>573933158</v>
          </cell>
          <cell r="M320">
            <v>109360703</v>
          </cell>
          <cell r="N320">
            <v>483606480</v>
          </cell>
          <cell r="O320">
            <v>0</v>
          </cell>
          <cell r="P320">
            <v>8125323314</v>
          </cell>
        </row>
        <row r="321">
          <cell r="B321" t="str">
            <v>Kota Manado</v>
          </cell>
          <cell r="C321" t="str">
            <v>05-2005</v>
          </cell>
          <cell r="D321">
            <v>110</v>
          </cell>
          <cell r="E321">
            <v>1514</v>
          </cell>
          <cell r="F321">
            <v>4885</v>
          </cell>
          <cell r="G321">
            <v>1631</v>
          </cell>
          <cell r="H321">
            <v>8140</v>
          </cell>
          <cell r="I321">
            <v>9118175400</v>
          </cell>
          <cell r="J321">
            <v>800392167</v>
          </cell>
          <cell r="K321">
            <v>0</v>
          </cell>
          <cell r="L321">
            <v>1386665031</v>
          </cell>
          <cell r="M321">
            <v>198150238</v>
          </cell>
          <cell r="N321">
            <v>653825810</v>
          </cell>
          <cell r="O321">
            <v>0</v>
          </cell>
          <cell r="P321">
            <v>12157208646</v>
          </cell>
        </row>
        <row r="322">
          <cell r="B322" t="str">
            <v>Kota Bitung</v>
          </cell>
          <cell r="C322" t="str">
            <v>06-2005</v>
          </cell>
          <cell r="D322">
            <v>59</v>
          </cell>
          <cell r="E322">
            <v>1003</v>
          </cell>
          <cell r="F322">
            <v>2077</v>
          </cell>
          <cell r="G322">
            <v>531</v>
          </cell>
          <cell r="H322">
            <v>3670</v>
          </cell>
          <cell r="I322">
            <v>3855222160</v>
          </cell>
          <cell r="J322">
            <v>372364705</v>
          </cell>
          <cell r="K322">
            <v>0</v>
          </cell>
          <cell r="L322">
            <v>691386005</v>
          </cell>
          <cell r="M322">
            <v>163295857</v>
          </cell>
          <cell r="N322">
            <v>317088420</v>
          </cell>
          <cell r="O322">
            <v>0</v>
          </cell>
          <cell r="P322">
            <v>5399357147</v>
          </cell>
        </row>
        <row r="323">
          <cell r="B323" t="str">
            <v xml:space="preserve">Kab. Minahasa </v>
          </cell>
          <cell r="C323" t="str">
            <v>06-2005</v>
          </cell>
          <cell r="D323">
            <v>106</v>
          </cell>
          <cell r="E323">
            <v>1046</v>
          </cell>
          <cell r="F323">
            <v>3690</v>
          </cell>
          <cell r="G323">
            <v>1273</v>
          </cell>
          <cell r="H323">
            <v>6115</v>
          </cell>
          <cell r="I323">
            <v>6879071260</v>
          </cell>
          <cell r="J323">
            <v>684535095</v>
          </cell>
          <cell r="K323">
            <v>0</v>
          </cell>
          <cell r="L323">
            <v>1211336376</v>
          </cell>
          <cell r="M323">
            <v>283102721</v>
          </cell>
          <cell r="N323">
            <v>527959140</v>
          </cell>
          <cell r="O323">
            <v>0</v>
          </cell>
          <cell r="P323">
            <v>9586004592</v>
          </cell>
        </row>
        <row r="324">
          <cell r="B324" t="str">
            <v>Kab. Minahasa Selatan</v>
          </cell>
          <cell r="C324" t="str">
            <v>06-2005</v>
          </cell>
          <cell r="D324">
            <v>57</v>
          </cell>
          <cell r="E324">
            <v>847</v>
          </cell>
          <cell r="F324">
            <v>3160</v>
          </cell>
          <cell r="G324">
            <v>1004</v>
          </cell>
          <cell r="H324">
            <v>5068</v>
          </cell>
          <cell r="I324">
            <v>5837624900</v>
          </cell>
          <cell r="J324">
            <v>624284335</v>
          </cell>
          <cell r="K324">
            <v>0</v>
          </cell>
          <cell r="L324">
            <v>1065283325</v>
          </cell>
          <cell r="M324">
            <v>241177974</v>
          </cell>
          <cell r="N324">
            <v>476867670</v>
          </cell>
          <cell r="O324">
            <v>0</v>
          </cell>
          <cell r="P324">
            <v>8245238204</v>
          </cell>
        </row>
        <row r="325">
          <cell r="B325" t="str">
            <v>Kota Tomohon</v>
          </cell>
          <cell r="C325" t="str">
            <v>06-2005</v>
          </cell>
          <cell r="D325">
            <v>14</v>
          </cell>
          <cell r="E325">
            <v>293</v>
          </cell>
          <cell r="F325">
            <v>1182</v>
          </cell>
          <cell r="G325">
            <v>361</v>
          </cell>
          <cell r="H325">
            <v>1850</v>
          </cell>
          <cell r="I325">
            <v>2109522670</v>
          </cell>
          <cell r="J325">
            <v>206180116</v>
          </cell>
          <cell r="K325">
            <v>0</v>
          </cell>
          <cell r="L325">
            <v>381649495</v>
          </cell>
          <cell r="M325">
            <v>86795400</v>
          </cell>
          <cell r="N325">
            <v>160379700</v>
          </cell>
          <cell r="O325">
            <v>0</v>
          </cell>
          <cell r="P325">
            <v>2944527381</v>
          </cell>
        </row>
        <row r="326">
          <cell r="B326" t="str">
            <v>Kab. Minahasa Utara</v>
          </cell>
          <cell r="C326" t="str">
            <v>06-2005</v>
          </cell>
          <cell r="D326">
            <v>66</v>
          </cell>
          <cell r="E326">
            <v>1089</v>
          </cell>
          <cell r="F326">
            <v>2560</v>
          </cell>
          <cell r="G326">
            <v>690</v>
          </cell>
          <cell r="H326">
            <v>4405</v>
          </cell>
          <cell r="I326">
            <v>5015135473</v>
          </cell>
          <cell r="J326">
            <v>524049458</v>
          </cell>
          <cell r="K326">
            <v>0</v>
          </cell>
          <cell r="L326">
            <v>708625888</v>
          </cell>
          <cell r="M326">
            <v>180817119</v>
          </cell>
          <cell r="N326">
            <v>381962480</v>
          </cell>
          <cell r="O326">
            <v>0</v>
          </cell>
          <cell r="P326">
            <v>6810590418</v>
          </cell>
        </row>
        <row r="327">
          <cell r="B327" t="str">
            <v>Kab. Sangihe</v>
          </cell>
          <cell r="C327" t="str">
            <v>06-2005</v>
          </cell>
          <cell r="D327">
            <v>128</v>
          </cell>
          <cell r="E327">
            <v>2249</v>
          </cell>
          <cell r="F327">
            <v>3280</v>
          </cell>
          <cell r="G327">
            <v>443</v>
          </cell>
          <cell r="H327">
            <v>6100</v>
          </cell>
          <cell r="I327">
            <v>6391457700</v>
          </cell>
          <cell r="J327">
            <v>585507899</v>
          </cell>
          <cell r="K327">
            <v>0</v>
          </cell>
          <cell r="L327">
            <v>191625000</v>
          </cell>
          <cell r="M327">
            <v>219726430</v>
          </cell>
          <cell r="N327">
            <v>432728780</v>
          </cell>
          <cell r="O327">
            <v>741638500</v>
          </cell>
          <cell r="P327">
            <v>7850754560</v>
          </cell>
        </row>
        <row r="328">
          <cell r="B328" t="str">
            <v>Kab. Kepulauan Talaud</v>
          </cell>
          <cell r="C328" t="str">
            <v>06-2005</v>
          </cell>
          <cell r="D328">
            <v>24</v>
          </cell>
          <cell r="E328">
            <v>740</v>
          </cell>
          <cell r="F328">
            <v>1344</v>
          </cell>
          <cell r="G328">
            <v>199</v>
          </cell>
          <cell r="H328">
            <v>2307</v>
          </cell>
          <cell r="I328">
            <v>2527041040</v>
          </cell>
          <cell r="J328">
            <v>257976621</v>
          </cell>
          <cell r="K328">
            <v>0</v>
          </cell>
          <cell r="L328">
            <v>473514350</v>
          </cell>
          <cell r="M328">
            <v>52184014</v>
          </cell>
          <cell r="N328">
            <v>219173700</v>
          </cell>
          <cell r="O328">
            <v>115789</v>
          </cell>
          <cell r="P328">
            <v>3726560968</v>
          </cell>
        </row>
        <row r="329">
          <cell r="B329" t="str">
            <v>Kab. Bolaang Mongondow</v>
          </cell>
          <cell r="C329" t="str">
            <v>06-2005</v>
          </cell>
          <cell r="D329">
            <v>108</v>
          </cell>
          <cell r="E329">
            <v>2084</v>
          </cell>
          <cell r="F329">
            <v>4904</v>
          </cell>
          <cell r="G329">
            <v>1053</v>
          </cell>
          <cell r="H329">
            <v>8149</v>
          </cell>
          <cell r="I329">
            <v>8842195000</v>
          </cell>
          <cell r="J329">
            <v>930043000</v>
          </cell>
          <cell r="K329">
            <v>0</v>
          </cell>
          <cell r="L329">
            <v>1440171000</v>
          </cell>
          <cell r="M329">
            <v>345967000</v>
          </cell>
          <cell r="N329">
            <v>772019000</v>
          </cell>
          <cell r="O329">
            <v>404000</v>
          </cell>
          <cell r="P329">
            <v>12330799000</v>
          </cell>
        </row>
        <row r="330">
          <cell r="B330" t="str">
            <v>Provinsi Gorontalo</v>
          </cell>
          <cell r="C330" t="str">
            <v>06-2005</v>
          </cell>
          <cell r="D330">
            <v>66</v>
          </cell>
          <cell r="E330">
            <v>1736</v>
          </cell>
          <cell r="F330">
            <v>3851</v>
          </cell>
          <cell r="G330">
            <v>753</v>
          </cell>
          <cell r="H330">
            <v>6406</v>
          </cell>
          <cell r="I330">
            <v>6935169000</v>
          </cell>
          <cell r="J330">
            <v>650841000</v>
          </cell>
          <cell r="K330">
            <v>0</v>
          </cell>
          <cell r="L330">
            <v>1135770000</v>
          </cell>
          <cell r="M330">
            <v>140745000</v>
          </cell>
          <cell r="N330">
            <v>549804000</v>
          </cell>
          <cell r="O330">
            <v>309000</v>
          </cell>
          <cell r="P330">
            <v>9412638000</v>
          </cell>
        </row>
        <row r="331">
          <cell r="B331" t="str">
            <v>Kota Gorontalo</v>
          </cell>
          <cell r="C331" t="str">
            <v>06-2005</v>
          </cell>
          <cell r="D331">
            <v>25</v>
          </cell>
          <cell r="E331">
            <v>887</v>
          </cell>
          <cell r="F331">
            <v>2678</v>
          </cell>
          <cell r="G331">
            <v>734</v>
          </cell>
          <cell r="H331">
            <v>4324</v>
          </cell>
          <cell r="I331">
            <v>4780789000</v>
          </cell>
          <cell r="J331">
            <v>426833000</v>
          </cell>
          <cell r="K331">
            <v>0</v>
          </cell>
          <cell r="L331">
            <v>825105000</v>
          </cell>
          <cell r="M331">
            <v>221218000</v>
          </cell>
          <cell r="N331">
            <v>356747000</v>
          </cell>
          <cell r="O331">
            <v>210000</v>
          </cell>
          <cell r="P331">
            <v>6610902000</v>
          </cell>
        </row>
        <row r="332">
          <cell r="B332" t="str">
            <v xml:space="preserve">Kab. Gorontalo   </v>
          </cell>
          <cell r="C332" t="str">
            <v>06-2005</v>
          </cell>
          <cell r="D332">
            <v>62</v>
          </cell>
          <cell r="E332">
            <v>1721</v>
          </cell>
          <cell r="F332">
            <v>3838</v>
          </cell>
          <cell r="G332">
            <v>762</v>
          </cell>
          <cell r="H332">
            <v>6383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9399061266</v>
          </cell>
        </row>
        <row r="333">
          <cell r="B333" t="str">
            <v>Kab. Boalemo</v>
          </cell>
          <cell r="C333" t="str">
            <v>06-2005</v>
          </cell>
          <cell r="D333">
            <v>11</v>
          </cell>
          <cell r="E333">
            <v>606</v>
          </cell>
          <cell r="F333">
            <v>847</v>
          </cell>
          <cell r="G333">
            <v>124</v>
          </cell>
          <cell r="H333">
            <v>1588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2203981486</v>
          </cell>
        </row>
        <row r="334">
          <cell r="B334" t="str">
            <v>Kab. Pohuwato</v>
          </cell>
          <cell r="C334" t="str">
            <v>06-2005</v>
          </cell>
          <cell r="D334">
            <v>34</v>
          </cell>
          <cell r="E334">
            <v>566</v>
          </cell>
          <cell r="F334">
            <v>735</v>
          </cell>
          <cell r="G334">
            <v>87</v>
          </cell>
          <cell r="H334">
            <v>1422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1940898789</v>
          </cell>
        </row>
        <row r="335">
          <cell r="B335" t="str">
            <v>Kab. Bone Bolango</v>
          </cell>
          <cell r="C335" t="str">
            <v>06-2005</v>
          </cell>
          <cell r="D335">
            <v>17</v>
          </cell>
          <cell r="E335">
            <v>496</v>
          </cell>
          <cell r="F335">
            <v>1542</v>
          </cell>
          <cell r="G335">
            <v>439</v>
          </cell>
          <cell r="H335">
            <v>2494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3833154425</v>
          </cell>
        </row>
        <row r="336">
          <cell r="B336" t="str">
            <v>Provinsi Sulawesi Tengah</v>
          </cell>
          <cell r="C336" t="str">
            <v>06-2005</v>
          </cell>
          <cell r="D336">
            <v>83</v>
          </cell>
          <cell r="E336">
            <v>1653</v>
          </cell>
          <cell r="F336">
            <v>3774</v>
          </cell>
          <cell r="G336">
            <v>320</v>
          </cell>
          <cell r="H336">
            <v>5830</v>
          </cell>
          <cell r="I336">
            <v>6327197898</v>
          </cell>
          <cell r="J336">
            <v>624348740</v>
          </cell>
          <cell r="K336">
            <v>0</v>
          </cell>
          <cell r="L336">
            <v>574972662</v>
          </cell>
          <cell r="M336">
            <v>279447743</v>
          </cell>
          <cell r="N336">
            <v>543816570</v>
          </cell>
          <cell r="O336">
            <v>302554</v>
          </cell>
          <cell r="P336">
            <v>8350086167</v>
          </cell>
        </row>
        <row r="337">
          <cell r="B337" t="str">
            <v>Kab. Donggala</v>
          </cell>
          <cell r="C337" t="str">
            <v>06-2005</v>
          </cell>
          <cell r="D337">
            <v>219</v>
          </cell>
          <cell r="E337">
            <v>2686</v>
          </cell>
          <cell r="F337">
            <v>5172</v>
          </cell>
          <cell r="G337">
            <v>458</v>
          </cell>
          <cell r="H337">
            <v>8535</v>
          </cell>
          <cell r="I337">
            <v>8912411260</v>
          </cell>
          <cell r="J337">
            <v>942072977</v>
          </cell>
          <cell r="K337">
            <v>0</v>
          </cell>
          <cell r="L337">
            <v>1442669850</v>
          </cell>
          <cell r="M337">
            <v>336967659</v>
          </cell>
          <cell r="N337">
            <v>823202220</v>
          </cell>
          <cell r="O337">
            <v>432991</v>
          </cell>
          <cell r="P337">
            <v>12457756957</v>
          </cell>
        </row>
        <row r="338">
          <cell r="B338" t="str">
            <v>Kota Palu</v>
          </cell>
          <cell r="C338" t="str">
            <v>06-2005</v>
          </cell>
          <cell r="D338">
            <v>103</v>
          </cell>
          <cell r="E338">
            <v>1399</v>
          </cell>
          <cell r="F338">
            <v>4149</v>
          </cell>
          <cell r="G338">
            <v>785</v>
          </cell>
          <cell r="H338">
            <v>6436</v>
          </cell>
          <cell r="I338">
            <v>7251830780</v>
          </cell>
          <cell r="J338">
            <v>611352859</v>
          </cell>
          <cell r="K338">
            <v>0</v>
          </cell>
          <cell r="L338">
            <v>1259192020</v>
          </cell>
          <cell r="M338">
            <v>280408424</v>
          </cell>
          <cell r="N338">
            <v>556273830</v>
          </cell>
          <cell r="O338">
            <v>344545</v>
          </cell>
          <cell r="P338">
            <v>9959402458</v>
          </cell>
        </row>
        <row r="339">
          <cell r="B339" t="str">
            <v>Kab. Parigi Moutong</v>
          </cell>
          <cell r="C339" t="str">
            <v>06-2005</v>
          </cell>
          <cell r="D339">
            <v>110</v>
          </cell>
          <cell r="E339">
            <v>1131</v>
          </cell>
          <cell r="F339">
            <v>2557</v>
          </cell>
          <cell r="G339">
            <v>230</v>
          </cell>
          <cell r="H339">
            <v>4028</v>
          </cell>
          <cell r="I339">
            <v>4196706600</v>
          </cell>
          <cell r="J339">
            <v>458138341</v>
          </cell>
          <cell r="K339">
            <v>0</v>
          </cell>
          <cell r="L339">
            <v>775517200</v>
          </cell>
          <cell r="M339">
            <v>156824983</v>
          </cell>
          <cell r="N339">
            <v>393547110</v>
          </cell>
          <cell r="O339">
            <v>188718</v>
          </cell>
          <cell r="P339">
            <v>5980922952</v>
          </cell>
        </row>
        <row r="340">
          <cell r="B340" t="str">
            <v>Kab. Poso</v>
          </cell>
          <cell r="C340" t="str">
            <v>06-2005</v>
          </cell>
          <cell r="D340">
            <v>84</v>
          </cell>
          <cell r="E340">
            <v>1405</v>
          </cell>
          <cell r="F340">
            <v>3367</v>
          </cell>
          <cell r="G340">
            <v>464</v>
          </cell>
          <cell r="H340">
            <v>5320</v>
          </cell>
          <cell r="I340">
            <v>6289545470</v>
          </cell>
          <cell r="J340">
            <v>616420484</v>
          </cell>
          <cell r="K340">
            <v>0</v>
          </cell>
          <cell r="L340">
            <v>940580390</v>
          </cell>
          <cell r="M340">
            <v>48767835</v>
          </cell>
          <cell r="N340">
            <v>539589420</v>
          </cell>
          <cell r="O340">
            <v>69166899</v>
          </cell>
          <cell r="P340">
            <v>8504070498</v>
          </cell>
        </row>
        <row r="341">
          <cell r="B341" t="str">
            <v>Kab. Tojo Una Una</v>
          </cell>
          <cell r="C341" t="str">
            <v>06-2005</v>
          </cell>
          <cell r="D341">
            <v>53</v>
          </cell>
          <cell r="E341">
            <v>676</v>
          </cell>
          <cell r="F341">
            <v>1196</v>
          </cell>
          <cell r="G341">
            <v>116</v>
          </cell>
          <cell r="H341">
            <v>2041</v>
          </cell>
          <cell r="I341">
            <v>2066052250</v>
          </cell>
          <cell r="J341">
            <v>214708876</v>
          </cell>
          <cell r="K341">
            <v>0</v>
          </cell>
          <cell r="L341">
            <v>383219150</v>
          </cell>
          <cell r="M341">
            <v>80513674</v>
          </cell>
          <cell r="N341">
            <v>189897990</v>
          </cell>
          <cell r="O341">
            <v>102009</v>
          </cell>
          <cell r="P341">
            <v>2934493949</v>
          </cell>
        </row>
        <row r="342">
          <cell r="B342" t="str">
            <v>Kab. Morowali</v>
          </cell>
          <cell r="C342" t="str">
            <v>06-2005</v>
          </cell>
          <cell r="D342">
            <v>61</v>
          </cell>
          <cell r="E342">
            <v>980</v>
          </cell>
          <cell r="F342">
            <v>1949</v>
          </cell>
          <cell r="G342">
            <v>291</v>
          </cell>
          <cell r="H342">
            <v>3281</v>
          </cell>
          <cell r="I342">
            <v>3665333900</v>
          </cell>
          <cell r="J342">
            <v>387826410</v>
          </cell>
          <cell r="K342">
            <v>0</v>
          </cell>
          <cell r="L342">
            <v>653770800</v>
          </cell>
          <cell r="M342">
            <v>141116486</v>
          </cell>
          <cell r="N342">
            <v>317299050</v>
          </cell>
          <cell r="O342">
            <v>168571</v>
          </cell>
          <cell r="P342">
            <v>5165515217</v>
          </cell>
        </row>
        <row r="343">
          <cell r="B343" t="str">
            <v>Kab. Banggai</v>
          </cell>
          <cell r="C343" t="str">
            <v>06-2005</v>
          </cell>
          <cell r="D343">
            <v>129</v>
          </cell>
          <cell r="E343">
            <v>1418</v>
          </cell>
          <cell r="F343">
            <v>3945</v>
          </cell>
          <cell r="G343">
            <v>480</v>
          </cell>
          <cell r="H343">
            <v>5972</v>
          </cell>
          <cell r="I343">
            <v>6416764400</v>
          </cell>
          <cell r="J343">
            <v>647671870</v>
          </cell>
          <cell r="K343">
            <v>0</v>
          </cell>
          <cell r="L343">
            <v>1090196350</v>
          </cell>
          <cell r="M343">
            <v>250611934</v>
          </cell>
          <cell r="N343">
            <v>556875630</v>
          </cell>
          <cell r="O343">
            <v>296203</v>
          </cell>
          <cell r="P343">
            <v>8962416387</v>
          </cell>
        </row>
        <row r="344">
          <cell r="B344" t="str">
            <v>Kab. Banggai Kepulauan</v>
          </cell>
          <cell r="C344" t="str">
            <v>06-2005</v>
          </cell>
          <cell r="D344">
            <v>73</v>
          </cell>
          <cell r="E344">
            <v>790</v>
          </cell>
          <cell r="F344">
            <v>1380</v>
          </cell>
          <cell r="G344">
            <v>132</v>
          </cell>
          <cell r="H344">
            <v>2375</v>
          </cell>
          <cell r="I344">
            <v>2408346564</v>
          </cell>
          <cell r="J344">
            <v>260954036</v>
          </cell>
          <cell r="K344">
            <v>0</v>
          </cell>
          <cell r="L344">
            <v>443672064</v>
          </cell>
          <cell r="M344">
            <v>95300111</v>
          </cell>
          <cell r="N344">
            <v>223207590</v>
          </cell>
          <cell r="O344">
            <v>115299</v>
          </cell>
          <cell r="P344">
            <v>3431595664</v>
          </cell>
        </row>
        <row r="345">
          <cell r="B345" t="str">
            <v>Kab. Toli-toli</v>
          </cell>
          <cell r="C345" t="str">
            <v>06-2005</v>
          </cell>
          <cell r="D345">
            <v>79</v>
          </cell>
          <cell r="E345">
            <v>1404</v>
          </cell>
          <cell r="F345">
            <v>2242</v>
          </cell>
          <cell r="G345">
            <v>311</v>
          </cell>
          <cell r="H345">
            <v>4036</v>
          </cell>
          <cell r="I345">
            <v>4105540540</v>
          </cell>
          <cell r="J345">
            <v>400923456</v>
          </cell>
          <cell r="K345">
            <v>0</v>
          </cell>
          <cell r="L345">
            <v>717929550</v>
          </cell>
          <cell r="M345">
            <v>163127157</v>
          </cell>
          <cell r="N345">
            <v>361019820</v>
          </cell>
          <cell r="O345">
            <v>198115</v>
          </cell>
          <cell r="P345">
            <v>5748738638</v>
          </cell>
        </row>
        <row r="346">
          <cell r="B346" t="str">
            <v xml:space="preserve">Kab. Buol </v>
          </cell>
          <cell r="C346" t="str">
            <v>06-2005</v>
          </cell>
          <cell r="D346">
            <v>69</v>
          </cell>
          <cell r="E346">
            <v>935</v>
          </cell>
          <cell r="F346">
            <v>1441</v>
          </cell>
          <cell r="G346">
            <v>123</v>
          </cell>
          <cell r="H346">
            <v>2568</v>
          </cell>
          <cell r="I346">
            <v>2593519680</v>
          </cell>
          <cell r="J346">
            <v>266299895</v>
          </cell>
          <cell r="K346">
            <v>0</v>
          </cell>
          <cell r="L346">
            <v>432000350</v>
          </cell>
          <cell r="M346">
            <v>103186922</v>
          </cell>
          <cell r="N346">
            <v>239335860</v>
          </cell>
          <cell r="O346">
            <v>128436</v>
          </cell>
          <cell r="P346">
            <v>3634471143</v>
          </cell>
        </row>
        <row r="347">
          <cell r="B347" t="str">
            <v>Provinsi Sulawesi Selatan</v>
          </cell>
          <cell r="C347" t="str">
            <v>06-2005</v>
          </cell>
          <cell r="D347">
            <v>129</v>
          </cell>
          <cell r="E347">
            <v>2078</v>
          </cell>
          <cell r="F347">
            <v>6381</v>
          </cell>
          <cell r="G347">
            <v>832</v>
          </cell>
          <cell r="H347">
            <v>9420</v>
          </cell>
          <cell r="I347">
            <v>10546154881</v>
          </cell>
          <cell r="J347">
            <v>1034607727</v>
          </cell>
          <cell r="K347">
            <v>0</v>
          </cell>
          <cell r="L347">
            <v>1085378400</v>
          </cell>
          <cell r="M347">
            <v>397679840</v>
          </cell>
          <cell r="N347">
            <v>873572880</v>
          </cell>
          <cell r="O347">
            <v>0</v>
          </cell>
          <cell r="P347">
            <v>13937393728</v>
          </cell>
        </row>
        <row r="348">
          <cell r="B348" t="str">
            <v>Kota Makassar</v>
          </cell>
          <cell r="C348" t="str">
            <v>06-2005</v>
          </cell>
          <cell r="D348">
            <v>145</v>
          </cell>
          <cell r="E348">
            <v>1567</v>
          </cell>
          <cell r="F348">
            <v>7892</v>
          </cell>
          <cell r="G348">
            <v>4298</v>
          </cell>
          <cell r="H348">
            <v>13902</v>
          </cell>
          <cell r="I348">
            <v>16248814298</v>
          </cell>
          <cell r="J348">
            <v>1365330691</v>
          </cell>
          <cell r="K348">
            <v>0</v>
          </cell>
          <cell r="L348">
            <v>2759948705</v>
          </cell>
          <cell r="M348">
            <v>666859616</v>
          </cell>
          <cell r="N348">
            <v>1162677600</v>
          </cell>
          <cell r="O348">
            <v>0</v>
          </cell>
          <cell r="P348">
            <v>22203630910</v>
          </cell>
        </row>
        <row r="349">
          <cell r="B349" t="str">
            <v>Kab. G o w a</v>
          </cell>
          <cell r="C349" t="str">
            <v>06-2005</v>
          </cell>
          <cell r="D349">
            <v>133</v>
          </cell>
          <cell r="E349">
            <v>1252</v>
          </cell>
          <cell r="F349">
            <v>4287</v>
          </cell>
          <cell r="G349">
            <v>2034</v>
          </cell>
          <cell r="H349">
            <v>7706</v>
          </cell>
          <cell r="I349">
            <v>8686642420</v>
          </cell>
          <cell r="J349">
            <v>822364145</v>
          </cell>
          <cell r="K349">
            <v>0</v>
          </cell>
          <cell r="L349">
            <v>1509325820</v>
          </cell>
          <cell r="M349">
            <v>350420614</v>
          </cell>
          <cell r="N349">
            <v>690415050</v>
          </cell>
          <cell r="O349">
            <v>0</v>
          </cell>
          <cell r="P349">
            <v>12059168049</v>
          </cell>
        </row>
        <row r="350">
          <cell r="B350" t="str">
            <v xml:space="preserve">Kab. Takalar </v>
          </cell>
          <cell r="C350" t="str">
            <v>06-2005</v>
          </cell>
          <cell r="D350">
            <v>80</v>
          </cell>
          <cell r="E350">
            <v>935</v>
          </cell>
          <cell r="F350">
            <v>2783</v>
          </cell>
          <cell r="G350">
            <v>988</v>
          </cell>
          <cell r="H350">
            <v>4786</v>
          </cell>
          <cell r="I350">
            <v>5271213640</v>
          </cell>
          <cell r="J350">
            <v>496540777</v>
          </cell>
          <cell r="K350">
            <v>0</v>
          </cell>
          <cell r="L350">
            <v>934003144</v>
          </cell>
          <cell r="M350">
            <v>213003322</v>
          </cell>
          <cell r="N350">
            <v>420658200</v>
          </cell>
          <cell r="O350">
            <v>0</v>
          </cell>
          <cell r="P350">
            <v>7335419083</v>
          </cell>
        </row>
        <row r="351">
          <cell r="B351" t="str">
            <v xml:space="preserve">Kab. M a r o s </v>
          </cell>
          <cell r="C351" t="str">
            <v>06-2005</v>
          </cell>
          <cell r="D351">
            <v>79</v>
          </cell>
          <cell r="E351">
            <v>1133</v>
          </cell>
          <cell r="F351">
            <v>3152</v>
          </cell>
          <cell r="G351">
            <v>1088</v>
          </cell>
          <cell r="H351">
            <v>5452</v>
          </cell>
          <cell r="I351">
            <v>6009633360</v>
          </cell>
          <cell r="J351">
            <v>548046044</v>
          </cell>
          <cell r="K351">
            <v>0</v>
          </cell>
          <cell r="L351">
            <v>1042783350</v>
          </cell>
          <cell r="M351">
            <v>242540077</v>
          </cell>
          <cell r="N351">
            <v>468922560</v>
          </cell>
          <cell r="O351">
            <v>0</v>
          </cell>
          <cell r="P351">
            <v>8311925391</v>
          </cell>
        </row>
        <row r="352">
          <cell r="B352" t="str">
            <v>Kab. Mamasa</v>
          </cell>
          <cell r="C352" t="str">
            <v>05-2005</v>
          </cell>
          <cell r="D352">
            <v>39</v>
          </cell>
          <cell r="E352">
            <v>522</v>
          </cell>
          <cell r="F352">
            <v>995</v>
          </cell>
          <cell r="G352">
            <v>237</v>
          </cell>
          <cell r="H352">
            <v>1793</v>
          </cell>
          <cell r="I352">
            <v>1813322000</v>
          </cell>
          <cell r="J352">
            <v>193131000</v>
          </cell>
          <cell r="K352">
            <v>0</v>
          </cell>
          <cell r="L352">
            <v>391098000</v>
          </cell>
          <cell r="M352">
            <v>73461000</v>
          </cell>
          <cell r="N352">
            <v>167872000</v>
          </cell>
          <cell r="O352">
            <v>0</v>
          </cell>
          <cell r="P352">
            <v>2638884000</v>
          </cell>
        </row>
        <row r="353">
          <cell r="B353" t="str">
            <v>Kab. Mamuju Utara</v>
          </cell>
          <cell r="C353" t="str">
            <v>05-2005</v>
          </cell>
          <cell r="D353">
            <v>11</v>
          </cell>
          <cell r="E353">
            <v>455</v>
          </cell>
          <cell r="F353">
            <v>423</v>
          </cell>
          <cell r="G353">
            <v>44</v>
          </cell>
          <cell r="H353">
            <v>933</v>
          </cell>
          <cell r="I353">
            <v>797712000</v>
          </cell>
          <cell r="J353">
            <v>74493000</v>
          </cell>
          <cell r="K353">
            <v>0</v>
          </cell>
          <cell r="L353">
            <v>175073000</v>
          </cell>
          <cell r="M353">
            <v>31864000</v>
          </cell>
          <cell r="N353">
            <v>77662000</v>
          </cell>
          <cell r="O353">
            <v>0</v>
          </cell>
          <cell r="P353">
            <v>1156804000</v>
          </cell>
        </row>
        <row r="354">
          <cell r="B354" t="str">
            <v>Kab. Selayar</v>
          </cell>
          <cell r="C354" t="str">
            <v>06-2005</v>
          </cell>
          <cell r="D354">
            <v>50</v>
          </cell>
          <cell r="E354">
            <v>747</v>
          </cell>
          <cell r="F354">
            <v>1567</v>
          </cell>
          <cell r="G354">
            <v>458</v>
          </cell>
          <cell r="H354">
            <v>2822</v>
          </cell>
          <cell r="I354">
            <v>3009696000</v>
          </cell>
          <cell r="J354">
            <v>252282000</v>
          </cell>
          <cell r="K354">
            <v>0</v>
          </cell>
          <cell r="L354">
            <v>501057000</v>
          </cell>
          <cell r="M354">
            <v>122719000</v>
          </cell>
          <cell r="N354">
            <v>221734000</v>
          </cell>
          <cell r="O354">
            <v>0</v>
          </cell>
          <cell r="P354">
            <v>4107488000</v>
          </cell>
        </row>
        <row r="355">
          <cell r="B355" t="str">
            <v>Kab. Tana Toraja</v>
          </cell>
          <cell r="C355" t="str">
            <v>06-2005</v>
          </cell>
          <cell r="D355">
            <v>82</v>
          </cell>
          <cell r="E355">
            <v>1112</v>
          </cell>
          <cell r="F355">
            <v>4033</v>
          </cell>
          <cell r="G355">
            <v>2048</v>
          </cell>
          <cell r="H355">
            <v>7275</v>
          </cell>
          <cell r="I355">
            <v>8150707740</v>
          </cell>
          <cell r="J355">
            <v>843218925</v>
          </cell>
          <cell r="K355">
            <v>0</v>
          </cell>
          <cell r="L355">
            <v>1676840000</v>
          </cell>
          <cell r="M355">
            <v>359757550</v>
          </cell>
          <cell r="N355">
            <v>678831400</v>
          </cell>
          <cell r="O355">
            <v>0</v>
          </cell>
          <cell r="P355">
            <v>11709355615</v>
          </cell>
        </row>
        <row r="356">
          <cell r="B356" t="str">
            <v>Kab. Pangkajene Kepulauan</v>
          </cell>
          <cell r="C356" t="str">
            <v>06-2005</v>
          </cell>
          <cell r="D356">
            <v>91</v>
          </cell>
          <cell r="E356">
            <v>1117</v>
          </cell>
          <cell r="F356">
            <v>2691</v>
          </cell>
          <cell r="G356">
            <v>1059</v>
          </cell>
          <cell r="H356">
            <v>4958</v>
          </cell>
          <cell r="I356">
            <v>5519710200</v>
          </cell>
          <cell r="J356">
            <v>507434165</v>
          </cell>
          <cell r="K356">
            <v>0</v>
          </cell>
          <cell r="L356">
            <v>961116450</v>
          </cell>
          <cell r="M356">
            <v>223444340</v>
          </cell>
          <cell r="N356">
            <v>428331150</v>
          </cell>
          <cell r="O356">
            <v>0</v>
          </cell>
          <cell r="P356">
            <v>7640036305</v>
          </cell>
        </row>
        <row r="357">
          <cell r="B357" t="str">
            <v xml:space="preserve">Kab. Bone </v>
          </cell>
          <cell r="C357" t="str">
            <v>05-2005</v>
          </cell>
          <cell r="D357">
            <v>122</v>
          </cell>
          <cell r="E357">
            <v>1675</v>
          </cell>
          <cell r="F357">
            <v>5872</v>
          </cell>
          <cell r="G357">
            <v>2527</v>
          </cell>
          <cell r="H357">
            <v>10196</v>
          </cell>
          <cell r="I357">
            <v>11631273000</v>
          </cell>
          <cell r="J357">
            <v>1018055000</v>
          </cell>
          <cell r="K357">
            <v>0</v>
          </cell>
          <cell r="L357">
            <v>2133418000</v>
          </cell>
          <cell r="M357">
            <v>483767000</v>
          </cell>
          <cell r="N357">
            <v>865118000</v>
          </cell>
          <cell r="O357">
            <v>0</v>
          </cell>
          <cell r="P357">
            <v>16131631000</v>
          </cell>
        </row>
        <row r="358">
          <cell r="B358" t="str">
            <v>Kab. Soppeng</v>
          </cell>
          <cell r="C358" t="str">
            <v>05-2005</v>
          </cell>
          <cell r="D358">
            <v>66</v>
          </cell>
          <cell r="E358">
            <v>1052</v>
          </cell>
          <cell r="F358">
            <v>3096</v>
          </cell>
          <cell r="G358">
            <v>1417</v>
          </cell>
          <cell r="H358">
            <v>5631</v>
          </cell>
          <cell r="I358">
            <v>6334200000</v>
          </cell>
          <cell r="J358">
            <v>527593000</v>
          </cell>
          <cell r="K358">
            <v>0</v>
          </cell>
          <cell r="L358">
            <v>1127313000</v>
          </cell>
          <cell r="M358">
            <v>527935000</v>
          </cell>
          <cell r="N358">
            <v>446084000</v>
          </cell>
          <cell r="O358">
            <v>0</v>
          </cell>
          <cell r="P358">
            <v>8963125000</v>
          </cell>
        </row>
        <row r="359">
          <cell r="B359" t="str">
            <v>Kab. Wajo</v>
          </cell>
          <cell r="C359" t="str">
            <v>05-2005</v>
          </cell>
          <cell r="D359">
            <v>89</v>
          </cell>
          <cell r="E359">
            <v>899</v>
          </cell>
          <cell r="F359">
            <v>3098</v>
          </cell>
          <cell r="G359">
            <v>1352</v>
          </cell>
          <cell r="H359">
            <v>5438</v>
          </cell>
          <cell r="I359">
            <v>6217890000</v>
          </cell>
          <cell r="J359">
            <v>563864000</v>
          </cell>
          <cell r="K359">
            <v>0</v>
          </cell>
          <cell r="L359">
            <v>1160348000</v>
          </cell>
          <cell r="M359">
            <v>249378000</v>
          </cell>
          <cell r="N359">
            <v>463887000</v>
          </cell>
          <cell r="O359">
            <v>0</v>
          </cell>
          <cell r="P359">
            <v>8655367000</v>
          </cell>
        </row>
        <row r="360">
          <cell r="B360" t="str">
            <v>Kota Palopo</v>
          </cell>
          <cell r="C360" t="str">
            <v>06-2005</v>
          </cell>
          <cell r="D360">
            <v>17</v>
          </cell>
          <cell r="E360">
            <v>313</v>
          </cell>
          <cell r="F360">
            <v>1476</v>
          </cell>
          <cell r="G360">
            <v>719</v>
          </cell>
          <cell r="H360">
            <v>2525</v>
          </cell>
          <cell r="I360">
            <v>2911224380</v>
          </cell>
          <cell r="J360">
            <v>269454720</v>
          </cell>
          <cell r="K360">
            <v>0</v>
          </cell>
          <cell r="L360">
            <v>602406600</v>
          </cell>
          <cell r="M360">
            <v>122304493</v>
          </cell>
          <cell r="N360">
            <v>227149410</v>
          </cell>
          <cell r="O360">
            <v>122078</v>
          </cell>
          <cell r="P360">
            <v>4132661681</v>
          </cell>
        </row>
        <row r="361">
          <cell r="B361" t="str">
            <v>Kab. Luwu</v>
          </cell>
          <cell r="C361" t="str">
            <v>06-2005</v>
          </cell>
          <cell r="D361">
            <v>71</v>
          </cell>
          <cell r="E361">
            <v>1024</v>
          </cell>
          <cell r="F361">
            <v>2877</v>
          </cell>
          <cell r="G361">
            <v>864</v>
          </cell>
          <cell r="H361">
            <v>4836</v>
          </cell>
          <cell r="I361">
            <v>5287674780</v>
          </cell>
          <cell r="J361">
            <v>550963799</v>
          </cell>
          <cell r="K361">
            <v>0</v>
          </cell>
          <cell r="L361">
            <v>937184400</v>
          </cell>
          <cell r="M361">
            <v>208053642</v>
          </cell>
          <cell r="N361">
            <v>466725990</v>
          </cell>
          <cell r="O361">
            <v>235926</v>
          </cell>
          <cell r="P361">
            <v>7450838537</v>
          </cell>
        </row>
        <row r="362">
          <cell r="B362" t="str">
            <v>Kab. Luwu Timur</v>
          </cell>
          <cell r="C362" t="str">
            <v>06-2005</v>
          </cell>
          <cell r="D362">
            <v>26</v>
          </cell>
          <cell r="E362">
            <v>512</v>
          </cell>
          <cell r="F362">
            <v>1286</v>
          </cell>
          <cell r="G362">
            <v>273</v>
          </cell>
          <cell r="H362">
            <v>2097</v>
          </cell>
          <cell r="I362">
            <v>2166961540</v>
          </cell>
          <cell r="J362">
            <v>220377624</v>
          </cell>
          <cell r="K362">
            <v>0</v>
          </cell>
          <cell r="L362">
            <v>375309600</v>
          </cell>
          <cell r="M362">
            <v>83985547</v>
          </cell>
          <cell r="N362">
            <v>190529880</v>
          </cell>
          <cell r="O362">
            <v>104093</v>
          </cell>
          <cell r="P362">
            <v>3037268284</v>
          </cell>
        </row>
        <row r="363">
          <cell r="B363" t="str">
            <v>Kab. Luwu Utara</v>
          </cell>
          <cell r="C363" t="str">
            <v>06-2005</v>
          </cell>
          <cell r="D363">
            <v>64</v>
          </cell>
          <cell r="E363">
            <v>796</v>
          </cell>
          <cell r="F363">
            <v>1926</v>
          </cell>
          <cell r="G363">
            <v>487</v>
          </cell>
          <cell r="H363">
            <v>3273</v>
          </cell>
          <cell r="I363">
            <v>3467172520</v>
          </cell>
          <cell r="J363">
            <v>348077051</v>
          </cell>
          <cell r="K363">
            <v>0</v>
          </cell>
          <cell r="L363">
            <v>620729650</v>
          </cell>
          <cell r="M363">
            <v>136529071</v>
          </cell>
          <cell r="N363">
            <v>299154780</v>
          </cell>
          <cell r="O363">
            <v>161230</v>
          </cell>
          <cell r="P363">
            <v>4871824302</v>
          </cell>
        </row>
        <row r="364">
          <cell r="B364" t="str">
            <v>Kab. Sinjai</v>
          </cell>
          <cell r="C364" t="str">
            <v>05-2005</v>
          </cell>
          <cell r="D364">
            <v>127</v>
          </cell>
          <cell r="E364">
            <v>1115</v>
          </cell>
          <cell r="F364">
            <v>3591</v>
          </cell>
          <cell r="G364">
            <v>1597</v>
          </cell>
          <cell r="H364">
            <v>6430</v>
          </cell>
          <cell r="I364">
            <v>7301893785</v>
          </cell>
          <cell r="J364">
            <v>675245478</v>
          </cell>
          <cell r="K364">
            <v>0</v>
          </cell>
          <cell r="L364">
            <v>1265386250</v>
          </cell>
          <cell r="M364">
            <v>297808371</v>
          </cell>
          <cell r="N364">
            <v>552271860</v>
          </cell>
          <cell r="O364">
            <v>79726884</v>
          </cell>
          <cell r="P364">
            <v>10172332628</v>
          </cell>
        </row>
        <row r="365">
          <cell r="B365" t="str">
            <v xml:space="preserve">Kab. Bulukumba   </v>
          </cell>
          <cell r="C365" t="str">
            <v>05-2005</v>
          </cell>
          <cell r="D365">
            <v>77</v>
          </cell>
          <cell r="E365">
            <v>788</v>
          </cell>
          <cell r="F365">
            <v>2440</v>
          </cell>
          <cell r="G365">
            <v>1006</v>
          </cell>
          <cell r="H365">
            <v>4311</v>
          </cell>
          <cell r="I365">
            <v>4880153119</v>
          </cell>
          <cell r="J365">
            <v>447379716</v>
          </cell>
          <cell r="K365">
            <v>0</v>
          </cell>
          <cell r="L365">
            <v>829613500</v>
          </cell>
          <cell r="M365">
            <v>197753670</v>
          </cell>
          <cell r="N365">
            <v>375071850</v>
          </cell>
          <cell r="O365">
            <v>52961403</v>
          </cell>
          <cell r="P365">
            <v>6782933258</v>
          </cell>
        </row>
        <row r="366">
          <cell r="B366" t="str">
            <v>Kab. Bantaeng</v>
          </cell>
          <cell r="C366" t="str">
            <v>05-2005</v>
          </cell>
          <cell r="D366">
            <v>109</v>
          </cell>
          <cell r="E366">
            <v>510</v>
          </cell>
          <cell r="F366">
            <v>1647</v>
          </cell>
          <cell r="G366">
            <v>472</v>
          </cell>
          <cell r="H366">
            <v>2738</v>
          </cell>
          <cell r="I366">
            <v>3023063416</v>
          </cell>
          <cell r="J366">
            <v>278956768</v>
          </cell>
          <cell r="K366">
            <v>0</v>
          </cell>
          <cell r="L366">
            <v>541868400</v>
          </cell>
          <cell r="M366">
            <v>125490403</v>
          </cell>
          <cell r="N366">
            <v>238703970</v>
          </cell>
          <cell r="O366">
            <v>0</v>
          </cell>
          <cell r="P366">
            <v>4208082957</v>
          </cell>
        </row>
        <row r="367">
          <cell r="B367" t="str">
            <v>Kab. Jeneponto</v>
          </cell>
          <cell r="C367" t="str">
            <v>05-2005</v>
          </cell>
          <cell r="D367">
            <v>88</v>
          </cell>
          <cell r="E367">
            <v>910</v>
          </cell>
          <cell r="F367">
            <v>2693</v>
          </cell>
          <cell r="G367">
            <v>867</v>
          </cell>
          <cell r="H367">
            <v>4558</v>
          </cell>
          <cell r="I367">
            <v>5018472754</v>
          </cell>
          <cell r="J367">
            <v>492348268</v>
          </cell>
          <cell r="K367">
            <v>0</v>
          </cell>
          <cell r="L367">
            <v>840341250</v>
          </cell>
          <cell r="M367">
            <v>198647342</v>
          </cell>
          <cell r="N367">
            <v>417589020</v>
          </cell>
          <cell r="O367">
            <v>0</v>
          </cell>
          <cell r="P367">
            <v>6967398634</v>
          </cell>
        </row>
        <row r="368">
          <cell r="B368" t="str">
            <v>Kota Pare-Pare</v>
          </cell>
          <cell r="C368" t="str">
            <v>06-2005</v>
          </cell>
          <cell r="D368">
            <v>49</v>
          </cell>
          <cell r="E368">
            <v>633</v>
          </cell>
          <cell r="F368">
            <v>1916</v>
          </cell>
          <cell r="G368">
            <v>943</v>
          </cell>
          <cell r="H368">
            <v>3541</v>
          </cell>
          <cell r="I368">
            <v>3909376703</v>
          </cell>
          <cell r="J368">
            <v>343252638</v>
          </cell>
          <cell r="K368">
            <v>0</v>
          </cell>
          <cell r="L368">
            <v>684956950</v>
          </cell>
          <cell r="M368">
            <v>160028539</v>
          </cell>
          <cell r="N368">
            <v>295243080</v>
          </cell>
          <cell r="O368">
            <v>0</v>
          </cell>
          <cell r="P368">
            <v>5392857910</v>
          </cell>
        </row>
        <row r="369">
          <cell r="B369" t="str">
            <v>Kab. Pinrang</v>
          </cell>
          <cell r="C369" t="str">
            <v>06-2005</v>
          </cell>
          <cell r="D369">
            <v>66</v>
          </cell>
          <cell r="E369">
            <v>1098</v>
          </cell>
          <cell r="F369">
            <v>3245</v>
          </cell>
          <cell r="G369">
            <v>1302</v>
          </cell>
          <cell r="H369">
            <v>5711</v>
          </cell>
          <cell r="I369">
            <v>6345919860</v>
          </cell>
          <cell r="J369">
            <v>602297351</v>
          </cell>
          <cell r="K369">
            <v>0</v>
          </cell>
          <cell r="L369">
            <v>1064036155</v>
          </cell>
          <cell r="M369">
            <v>254751409</v>
          </cell>
          <cell r="N369">
            <v>501299400</v>
          </cell>
          <cell r="O369">
            <v>0</v>
          </cell>
          <cell r="P369">
            <v>8768304175</v>
          </cell>
        </row>
        <row r="370">
          <cell r="B370" t="str">
            <v xml:space="preserve">Kab. Sidenreng Rappang </v>
          </cell>
          <cell r="C370" t="str">
            <v>06-2005</v>
          </cell>
          <cell r="D370">
            <v>94</v>
          </cell>
          <cell r="E370">
            <v>977</v>
          </cell>
          <cell r="F370">
            <v>2628</v>
          </cell>
          <cell r="G370">
            <v>1239</v>
          </cell>
          <cell r="H370">
            <v>4938</v>
          </cell>
          <cell r="I370">
            <v>5433687681</v>
          </cell>
          <cell r="J370">
            <v>499140334</v>
          </cell>
          <cell r="K370">
            <v>0</v>
          </cell>
          <cell r="L370">
            <v>957882500</v>
          </cell>
          <cell r="M370">
            <v>221103964</v>
          </cell>
          <cell r="N370">
            <v>417498750</v>
          </cell>
          <cell r="O370">
            <v>0</v>
          </cell>
          <cell r="P370">
            <v>7529313229</v>
          </cell>
        </row>
        <row r="371">
          <cell r="B371" t="str">
            <v>Kab. Barru</v>
          </cell>
          <cell r="C371" t="str">
            <v>06-2005</v>
          </cell>
          <cell r="D371">
            <v>70</v>
          </cell>
          <cell r="E371">
            <v>642</v>
          </cell>
          <cell r="F371">
            <v>1982</v>
          </cell>
          <cell r="G371">
            <v>980</v>
          </cell>
          <cell r="H371">
            <v>3674</v>
          </cell>
          <cell r="I371">
            <v>4325291020</v>
          </cell>
          <cell r="J371">
            <v>383152170</v>
          </cell>
          <cell r="K371">
            <v>0</v>
          </cell>
          <cell r="L371">
            <v>703324691</v>
          </cell>
          <cell r="M371">
            <v>172983722</v>
          </cell>
          <cell r="N371">
            <v>326867670</v>
          </cell>
          <cell r="O371">
            <v>0</v>
          </cell>
          <cell r="P371">
            <v>5911619273</v>
          </cell>
        </row>
        <row r="372">
          <cell r="B372" t="str">
            <v>Kab. Enrekang</v>
          </cell>
          <cell r="C372" t="str">
            <v>06-2005</v>
          </cell>
          <cell r="D372">
            <v>66</v>
          </cell>
          <cell r="E372">
            <v>587</v>
          </cell>
          <cell r="F372">
            <v>2089</v>
          </cell>
          <cell r="G372">
            <v>856</v>
          </cell>
          <cell r="H372">
            <v>3598</v>
          </cell>
          <cell r="I372">
            <v>4062177662</v>
          </cell>
          <cell r="J372">
            <v>429319150</v>
          </cell>
          <cell r="K372">
            <v>0</v>
          </cell>
          <cell r="L372">
            <v>725163050</v>
          </cell>
          <cell r="M372">
            <v>160469876</v>
          </cell>
          <cell r="N372">
            <v>353948670</v>
          </cell>
          <cell r="O372">
            <v>0</v>
          </cell>
          <cell r="P372">
            <v>5731078408</v>
          </cell>
        </row>
        <row r="373">
          <cell r="B373" t="str">
            <v>Kab. Mamuju</v>
          </cell>
          <cell r="C373" t="str">
            <v>05-2005</v>
          </cell>
          <cell r="D373">
            <v>94</v>
          </cell>
          <cell r="E373">
            <v>1321</v>
          </cell>
          <cell r="F373">
            <v>2671</v>
          </cell>
          <cell r="G373">
            <v>418</v>
          </cell>
          <cell r="H373">
            <v>4504</v>
          </cell>
          <cell r="I373">
            <v>4653027000</v>
          </cell>
          <cell r="J373">
            <v>472371000</v>
          </cell>
          <cell r="K373">
            <v>0</v>
          </cell>
          <cell r="L373">
            <v>802106000</v>
          </cell>
          <cell r="M373">
            <v>170901000</v>
          </cell>
          <cell r="N373">
            <v>425563000</v>
          </cell>
          <cell r="O373">
            <v>0</v>
          </cell>
          <cell r="P373">
            <v>6523968000</v>
          </cell>
        </row>
        <row r="374">
          <cell r="B374" t="str">
            <v xml:space="preserve">Kab. Majene    </v>
          </cell>
          <cell r="C374" t="str">
            <v>05-2005</v>
          </cell>
          <cell r="D374">
            <v>34</v>
          </cell>
          <cell r="E374">
            <v>651</v>
          </cell>
          <cell r="F374">
            <v>2004</v>
          </cell>
          <cell r="G374">
            <v>642</v>
          </cell>
          <cell r="H374">
            <v>3331</v>
          </cell>
          <cell r="I374">
            <v>3738171000</v>
          </cell>
          <cell r="J374">
            <v>344197000</v>
          </cell>
          <cell r="K374">
            <v>0</v>
          </cell>
          <cell r="L374">
            <v>685039000</v>
          </cell>
          <cell r="M374">
            <v>152886000</v>
          </cell>
          <cell r="N374">
            <v>292264000</v>
          </cell>
          <cell r="O374">
            <v>0</v>
          </cell>
          <cell r="P374">
            <v>5212557000</v>
          </cell>
        </row>
        <row r="375">
          <cell r="B375" t="str">
            <v>Kab. Polewali Mamasa</v>
          </cell>
          <cell r="C375" t="str">
            <v>05-2005</v>
          </cell>
          <cell r="D375">
            <v>1161</v>
          </cell>
          <cell r="E375">
            <v>3127</v>
          </cell>
          <cell r="F375">
            <v>970</v>
          </cell>
          <cell r="G375">
            <v>110</v>
          </cell>
          <cell r="H375">
            <v>5368</v>
          </cell>
          <cell r="I375">
            <v>6020571000</v>
          </cell>
          <cell r="J375">
            <v>573833000</v>
          </cell>
          <cell r="K375">
            <v>0</v>
          </cell>
          <cell r="L375">
            <v>1063491000</v>
          </cell>
          <cell r="M375">
            <v>242901000</v>
          </cell>
          <cell r="N375">
            <v>485442000</v>
          </cell>
          <cell r="O375">
            <v>0</v>
          </cell>
          <cell r="P375">
            <v>8386238000</v>
          </cell>
        </row>
        <row r="376">
          <cell r="B376" t="str">
            <v>Provinsi Sulawesi Tenggara</v>
          </cell>
          <cell r="C376" t="str">
            <v>06-2005</v>
          </cell>
          <cell r="D376">
            <v>93</v>
          </cell>
          <cell r="E376">
            <v>1710</v>
          </cell>
          <cell r="F376">
            <v>3592</v>
          </cell>
          <cell r="G376">
            <v>331</v>
          </cell>
          <cell r="H376">
            <v>5726</v>
          </cell>
          <cell r="I376">
            <v>6170314360</v>
          </cell>
          <cell r="J376">
            <v>640947170</v>
          </cell>
          <cell r="K376">
            <v>0</v>
          </cell>
          <cell r="L376">
            <v>548299350</v>
          </cell>
          <cell r="M376">
            <v>218344568</v>
          </cell>
          <cell r="N376">
            <v>554137440</v>
          </cell>
          <cell r="O376">
            <v>0</v>
          </cell>
          <cell r="P376">
            <v>8132042888</v>
          </cell>
        </row>
        <row r="377">
          <cell r="B377" t="str">
            <v>Kab. Konawe</v>
          </cell>
          <cell r="C377" t="str">
            <v>06-2005</v>
          </cell>
          <cell r="D377">
            <v>103</v>
          </cell>
          <cell r="E377">
            <v>1823</v>
          </cell>
          <cell r="F377">
            <v>4529</v>
          </cell>
          <cell r="G377">
            <v>622</v>
          </cell>
          <cell r="H377">
            <v>7077</v>
          </cell>
          <cell r="I377">
            <v>7602805460</v>
          </cell>
          <cell r="J377">
            <v>1174605316</v>
          </cell>
          <cell r="K377">
            <v>0</v>
          </cell>
          <cell r="L377">
            <v>1323955050</v>
          </cell>
          <cell r="M377">
            <v>289319808</v>
          </cell>
          <cell r="N377">
            <v>753664230</v>
          </cell>
          <cell r="O377">
            <v>0</v>
          </cell>
          <cell r="P377">
            <v>11144349864</v>
          </cell>
        </row>
        <row r="378">
          <cell r="B378" t="str">
            <v>Kab. Konawe Selatan</v>
          </cell>
          <cell r="C378" t="str">
            <v>06-2005</v>
          </cell>
          <cell r="D378">
            <v>61</v>
          </cell>
          <cell r="E378">
            <v>1039</v>
          </cell>
          <cell r="F378">
            <v>2212</v>
          </cell>
          <cell r="G378">
            <v>261</v>
          </cell>
          <cell r="H378">
            <v>3573</v>
          </cell>
          <cell r="I378">
            <v>3745331040</v>
          </cell>
          <cell r="J378">
            <v>425998483</v>
          </cell>
          <cell r="K378">
            <v>0</v>
          </cell>
          <cell r="L378">
            <v>643629900</v>
          </cell>
          <cell r="M378">
            <v>140091598</v>
          </cell>
          <cell r="N378">
            <v>375884280</v>
          </cell>
          <cell r="O378">
            <v>0</v>
          </cell>
          <cell r="P378">
            <v>5330935301</v>
          </cell>
        </row>
        <row r="379">
          <cell r="B379" t="str">
            <v>Kota Kendari</v>
          </cell>
          <cell r="C379" t="str">
            <v>06-2005</v>
          </cell>
          <cell r="D379">
            <v>44</v>
          </cell>
          <cell r="E379">
            <v>1162</v>
          </cell>
          <cell r="F379">
            <v>3398</v>
          </cell>
          <cell r="G379">
            <v>818</v>
          </cell>
          <cell r="H379">
            <v>5422</v>
          </cell>
          <cell r="I379">
            <v>5861111080</v>
          </cell>
          <cell r="J379">
            <v>517113670</v>
          </cell>
          <cell r="K379">
            <v>0</v>
          </cell>
          <cell r="L379">
            <v>966590050</v>
          </cell>
          <cell r="M379">
            <v>231328608</v>
          </cell>
          <cell r="N379">
            <v>466304730</v>
          </cell>
          <cell r="O379">
            <v>0</v>
          </cell>
          <cell r="P379">
            <v>8042448138</v>
          </cell>
        </row>
        <row r="380">
          <cell r="B380" t="str">
            <v>Kab. Buton</v>
          </cell>
          <cell r="C380" t="str">
            <v>06-2005</v>
          </cell>
          <cell r="D380">
            <v>53</v>
          </cell>
          <cell r="E380">
            <v>1539</v>
          </cell>
          <cell r="F380">
            <v>3048</v>
          </cell>
          <cell r="G380">
            <v>467</v>
          </cell>
          <cell r="H380">
            <v>5107</v>
          </cell>
          <cell r="I380">
            <v>5880883000</v>
          </cell>
          <cell r="J380">
            <v>628974000</v>
          </cell>
          <cell r="K380">
            <v>0</v>
          </cell>
          <cell r="L380">
            <v>898387000</v>
          </cell>
          <cell r="M380">
            <v>238716000</v>
          </cell>
          <cell r="N380">
            <v>549143000</v>
          </cell>
          <cell r="O380">
            <v>0</v>
          </cell>
          <cell r="P380">
            <v>8196103000</v>
          </cell>
        </row>
        <row r="381">
          <cell r="B381" t="str">
            <v>Kota Bau-bau</v>
          </cell>
          <cell r="C381" t="str">
            <v>06-2005</v>
          </cell>
          <cell r="D381">
            <v>26</v>
          </cell>
          <cell r="E381">
            <v>768</v>
          </cell>
          <cell r="F381">
            <v>2074</v>
          </cell>
          <cell r="G381">
            <v>539</v>
          </cell>
          <cell r="H381">
            <v>3407</v>
          </cell>
          <cell r="I381">
            <v>3830252000</v>
          </cell>
          <cell r="J381">
            <v>346994000</v>
          </cell>
          <cell r="K381">
            <v>0</v>
          </cell>
          <cell r="L381">
            <v>642215000</v>
          </cell>
          <cell r="M381">
            <v>152911000</v>
          </cell>
          <cell r="N381">
            <v>299907000</v>
          </cell>
          <cell r="O381">
            <v>0</v>
          </cell>
          <cell r="P381">
            <v>5272279000</v>
          </cell>
        </row>
        <row r="382">
          <cell r="B382" t="str">
            <v>Kab. Wakatobi</v>
          </cell>
          <cell r="C382" t="str">
            <v>06-2005</v>
          </cell>
          <cell r="D382">
            <v>14</v>
          </cell>
          <cell r="E382">
            <v>477</v>
          </cell>
          <cell r="F382">
            <v>1034</v>
          </cell>
          <cell r="G382">
            <v>220</v>
          </cell>
          <cell r="H382">
            <v>1745</v>
          </cell>
          <cell r="I382">
            <v>1827944000</v>
          </cell>
          <cell r="J382">
            <v>189206000</v>
          </cell>
          <cell r="K382">
            <v>0</v>
          </cell>
          <cell r="L382">
            <v>404448000</v>
          </cell>
          <cell r="M382">
            <v>84868000</v>
          </cell>
          <cell r="N382">
            <v>162366000</v>
          </cell>
          <cell r="O382">
            <v>0</v>
          </cell>
          <cell r="P382">
            <v>2668832000</v>
          </cell>
        </row>
        <row r="383">
          <cell r="B383" t="str">
            <v>Kab. Bombana</v>
          </cell>
          <cell r="C383" t="str">
            <v>06-2005</v>
          </cell>
          <cell r="D383">
            <v>19</v>
          </cell>
          <cell r="E383">
            <v>499</v>
          </cell>
          <cell r="F383">
            <v>967</v>
          </cell>
          <cell r="G383">
            <v>175</v>
          </cell>
          <cell r="H383">
            <v>1660</v>
          </cell>
          <cell r="I383">
            <v>1693409000</v>
          </cell>
          <cell r="J383">
            <v>179496000</v>
          </cell>
          <cell r="K383">
            <v>0</v>
          </cell>
          <cell r="L383">
            <v>334240000</v>
          </cell>
          <cell r="M383">
            <v>72013000</v>
          </cell>
          <cell r="N383">
            <v>156378000</v>
          </cell>
          <cell r="O383">
            <v>0</v>
          </cell>
          <cell r="P383">
            <v>2435536000</v>
          </cell>
        </row>
        <row r="384">
          <cell r="B384" t="str">
            <v>Kab. Muna</v>
          </cell>
          <cell r="C384" t="str">
            <v>06-2005</v>
          </cell>
          <cell r="D384">
            <v>112</v>
          </cell>
          <cell r="E384">
            <v>2047</v>
          </cell>
          <cell r="F384">
            <v>4327</v>
          </cell>
          <cell r="G384">
            <v>868</v>
          </cell>
          <cell r="H384">
            <v>7354</v>
          </cell>
          <cell r="I384">
            <v>7967837000</v>
          </cell>
          <cell r="J384">
            <v>871506000</v>
          </cell>
          <cell r="K384">
            <v>0</v>
          </cell>
          <cell r="L384">
            <v>1297443000</v>
          </cell>
          <cell r="M384">
            <v>303362000</v>
          </cell>
          <cell r="N384">
            <v>751557000</v>
          </cell>
          <cell r="O384">
            <v>376000</v>
          </cell>
          <cell r="P384">
            <v>11192081000</v>
          </cell>
        </row>
        <row r="385">
          <cell r="B385" t="str">
            <v>Kab. Kolaka</v>
          </cell>
          <cell r="C385" t="str">
            <v>06-2005</v>
          </cell>
          <cell r="D385">
            <v>71</v>
          </cell>
          <cell r="E385">
            <v>1596</v>
          </cell>
          <cell r="F385">
            <v>3348</v>
          </cell>
          <cell r="G385">
            <v>506</v>
          </cell>
          <cell r="H385">
            <v>5521</v>
          </cell>
          <cell r="I385">
            <v>5824244997</v>
          </cell>
          <cell r="J385">
            <v>590916174</v>
          </cell>
          <cell r="K385">
            <v>0</v>
          </cell>
          <cell r="L385">
            <v>944154960</v>
          </cell>
          <cell r="M385">
            <v>223399788</v>
          </cell>
          <cell r="N385">
            <v>518691420</v>
          </cell>
          <cell r="O385">
            <v>0</v>
          </cell>
          <cell r="P385">
            <v>8101407339</v>
          </cell>
        </row>
        <row r="386">
          <cell r="B386" t="str">
            <v>Kab. Kolaka Utara</v>
          </cell>
          <cell r="C386" t="str">
            <v>06-2005</v>
          </cell>
          <cell r="D386">
            <v>10</v>
          </cell>
          <cell r="E386">
            <v>346</v>
          </cell>
          <cell r="F386">
            <v>682</v>
          </cell>
          <cell r="G386">
            <v>73</v>
          </cell>
          <cell r="H386">
            <v>1111</v>
          </cell>
          <cell r="I386">
            <v>1077049140</v>
          </cell>
          <cell r="J386">
            <v>108329486</v>
          </cell>
          <cell r="K386">
            <v>0</v>
          </cell>
          <cell r="L386">
            <v>227184700</v>
          </cell>
          <cell r="M386">
            <v>43047723</v>
          </cell>
          <cell r="N386">
            <v>99056280</v>
          </cell>
          <cell r="O386">
            <v>0</v>
          </cell>
          <cell r="P386">
            <v>1554667329</v>
          </cell>
        </row>
        <row r="387">
          <cell r="B387" t="str">
            <v>Provinsi Bali</v>
          </cell>
          <cell r="C387" t="str">
            <v>06-2005</v>
          </cell>
          <cell r="D387">
            <v>95</v>
          </cell>
          <cell r="E387">
            <v>1652</v>
          </cell>
          <cell r="F387">
            <v>4374</v>
          </cell>
          <cell r="G387">
            <v>479</v>
          </cell>
          <cell r="H387">
            <v>6600</v>
          </cell>
          <cell r="I387">
            <v>7312138600</v>
          </cell>
          <cell r="J387">
            <v>738691731</v>
          </cell>
          <cell r="K387">
            <v>0</v>
          </cell>
          <cell r="L387">
            <v>568941250</v>
          </cell>
          <cell r="M387">
            <v>266631631</v>
          </cell>
          <cell r="N387">
            <v>591731420</v>
          </cell>
          <cell r="O387">
            <v>336010</v>
          </cell>
          <cell r="P387">
            <v>9478470642</v>
          </cell>
        </row>
        <row r="388">
          <cell r="B388" t="str">
            <v xml:space="preserve">Kab. Gianyar </v>
          </cell>
          <cell r="C388" t="str">
            <v>06-2005</v>
          </cell>
          <cell r="D388">
            <v>55</v>
          </cell>
          <cell r="E388">
            <v>802</v>
          </cell>
          <cell r="F388">
            <v>3121</v>
          </cell>
          <cell r="G388">
            <v>3075</v>
          </cell>
          <cell r="H388">
            <v>7053</v>
          </cell>
          <cell r="I388">
            <v>8401200220</v>
          </cell>
          <cell r="J388">
            <v>840907093</v>
          </cell>
          <cell r="K388">
            <v>0</v>
          </cell>
          <cell r="L388">
            <v>1429697937</v>
          </cell>
          <cell r="M388">
            <v>355244238</v>
          </cell>
          <cell r="N388">
            <v>623193990</v>
          </cell>
          <cell r="O388">
            <v>339752</v>
          </cell>
          <cell r="P388">
            <v>11650583230</v>
          </cell>
        </row>
        <row r="389">
          <cell r="B389" t="str">
            <v>Kota Denpasar</v>
          </cell>
          <cell r="C389" t="str">
            <v>06-2005</v>
          </cell>
          <cell r="D389">
            <v>30</v>
          </cell>
          <cell r="E389">
            <v>724</v>
          </cell>
          <cell r="F389">
            <v>3253</v>
          </cell>
          <cell r="G389">
            <v>2723</v>
          </cell>
          <cell r="H389">
            <v>6730</v>
          </cell>
          <cell r="I389">
            <v>8069093700</v>
          </cell>
          <cell r="J389">
            <v>725025958</v>
          </cell>
          <cell r="K389">
            <v>0</v>
          </cell>
          <cell r="L389">
            <v>1323122450</v>
          </cell>
          <cell r="M389">
            <v>336995891</v>
          </cell>
          <cell r="N389">
            <v>553625910</v>
          </cell>
          <cell r="O389">
            <v>334258</v>
          </cell>
          <cell r="P389">
            <v>11008198167</v>
          </cell>
        </row>
        <row r="390">
          <cell r="B390" t="str">
            <v>Kab. Badung</v>
          </cell>
          <cell r="C390" t="str">
            <v>06-2005</v>
          </cell>
          <cell r="D390">
            <v>46</v>
          </cell>
          <cell r="E390">
            <v>829</v>
          </cell>
          <cell r="F390">
            <v>3372</v>
          </cell>
          <cell r="G390">
            <v>2260</v>
          </cell>
          <cell r="H390">
            <v>6507</v>
          </cell>
          <cell r="I390">
            <v>7627733120</v>
          </cell>
          <cell r="J390">
            <v>765493013</v>
          </cell>
          <cell r="K390">
            <v>0</v>
          </cell>
          <cell r="L390">
            <v>1269537750</v>
          </cell>
          <cell r="M390">
            <v>299129650</v>
          </cell>
          <cell r="N390">
            <v>579683850</v>
          </cell>
          <cell r="O390">
            <v>315211</v>
          </cell>
          <cell r="P390">
            <v>10541892594</v>
          </cell>
        </row>
        <row r="391">
          <cell r="B391" t="str">
            <v>Kab. Tabanan</v>
          </cell>
          <cell r="C391" t="str">
            <v>06-2005</v>
          </cell>
          <cell r="D391">
            <v>91</v>
          </cell>
          <cell r="E391">
            <v>1135</v>
          </cell>
          <cell r="F391">
            <v>3821</v>
          </cell>
          <cell r="G391">
            <v>3124</v>
          </cell>
          <cell r="H391">
            <v>8171</v>
          </cell>
          <cell r="I391">
            <v>9618319720</v>
          </cell>
          <cell r="J391">
            <v>915640184</v>
          </cell>
          <cell r="K391">
            <v>0</v>
          </cell>
          <cell r="L391">
            <v>1584691200</v>
          </cell>
          <cell r="M391">
            <v>399165795</v>
          </cell>
          <cell r="N391">
            <v>682080120</v>
          </cell>
          <cell r="O391">
            <v>12809</v>
          </cell>
          <cell r="P391">
            <v>13199909828</v>
          </cell>
        </row>
        <row r="392">
          <cell r="B392" t="str">
            <v>Kab. Buleleng</v>
          </cell>
          <cell r="C392" t="str">
            <v>06-2005</v>
          </cell>
          <cell r="D392">
            <v>98</v>
          </cell>
          <cell r="E392">
            <v>1485</v>
          </cell>
          <cell r="F392">
            <v>4776</v>
          </cell>
          <cell r="G392">
            <v>3558</v>
          </cell>
          <cell r="H392">
            <v>9917</v>
          </cell>
          <cell r="I392">
            <v>11642439220</v>
          </cell>
          <cell r="J392">
            <v>1159383203</v>
          </cell>
          <cell r="K392">
            <v>0</v>
          </cell>
          <cell r="L392">
            <v>2015768550</v>
          </cell>
          <cell r="M392">
            <v>141636690</v>
          </cell>
          <cell r="N392">
            <v>870804600</v>
          </cell>
          <cell r="O392">
            <v>128496728</v>
          </cell>
          <cell r="P392">
            <v>15958528991</v>
          </cell>
        </row>
        <row r="393">
          <cell r="B393" t="str">
            <v>Kab. Jembrana</v>
          </cell>
          <cell r="C393" t="str">
            <v>06-2005</v>
          </cell>
          <cell r="D393">
            <v>34</v>
          </cell>
          <cell r="E393">
            <v>563</v>
          </cell>
          <cell r="F393">
            <v>2010</v>
          </cell>
          <cell r="G393">
            <v>1890</v>
          </cell>
          <cell r="H393">
            <v>4497</v>
          </cell>
          <cell r="I393">
            <v>5390615000</v>
          </cell>
          <cell r="J393">
            <v>522001474</v>
          </cell>
          <cell r="K393">
            <v>0</v>
          </cell>
          <cell r="L393">
            <v>849629950</v>
          </cell>
          <cell r="M393">
            <v>66422178</v>
          </cell>
          <cell r="N393">
            <v>382323540</v>
          </cell>
          <cell r="O393">
            <v>59342514</v>
          </cell>
          <cell r="P393">
            <v>7270334656</v>
          </cell>
        </row>
        <row r="394">
          <cell r="B394" t="str">
            <v xml:space="preserve">Kab. Karangasem   </v>
          </cell>
          <cell r="C394" t="str">
            <v>06-2005</v>
          </cell>
          <cell r="D394">
            <v>67</v>
          </cell>
          <cell r="E394">
            <v>951</v>
          </cell>
          <cell r="F394">
            <v>2961</v>
          </cell>
          <cell r="G394">
            <v>1709</v>
          </cell>
          <cell r="H394">
            <v>5688</v>
          </cell>
          <cell r="I394">
            <v>6532625840</v>
          </cell>
          <cell r="J394">
            <v>648454877</v>
          </cell>
          <cell r="K394">
            <v>0</v>
          </cell>
          <cell r="L394">
            <v>1151770400</v>
          </cell>
          <cell r="M394">
            <v>270410742</v>
          </cell>
          <cell r="N394">
            <v>505271280</v>
          </cell>
          <cell r="O394">
            <v>268925</v>
          </cell>
          <cell r="P394">
            <v>9108802064</v>
          </cell>
        </row>
        <row r="395">
          <cell r="B395" t="str">
            <v>Kab. Klungkung</v>
          </cell>
          <cell r="C395" t="str">
            <v>06-2005</v>
          </cell>
          <cell r="D395">
            <v>56</v>
          </cell>
          <cell r="E395">
            <v>570</v>
          </cell>
          <cell r="F395">
            <v>1836</v>
          </cell>
          <cell r="G395">
            <v>1338</v>
          </cell>
          <cell r="H395">
            <v>3800</v>
          </cell>
          <cell r="I395">
            <v>4411380015</v>
          </cell>
          <cell r="J395">
            <v>439544633</v>
          </cell>
          <cell r="K395">
            <v>0</v>
          </cell>
          <cell r="L395">
            <v>744322700</v>
          </cell>
          <cell r="M395">
            <v>173919793</v>
          </cell>
          <cell r="N395">
            <v>336255750</v>
          </cell>
          <cell r="O395">
            <v>182479</v>
          </cell>
          <cell r="P395">
            <v>6105605370</v>
          </cell>
        </row>
        <row r="396">
          <cell r="B396" t="str">
            <v>Kab. Bangli</v>
          </cell>
          <cell r="C396" t="str">
            <v>06-2005</v>
          </cell>
          <cell r="D396">
            <v>51</v>
          </cell>
          <cell r="E396">
            <v>753</v>
          </cell>
          <cell r="F396">
            <v>1750</v>
          </cell>
          <cell r="G396">
            <v>1173</v>
          </cell>
          <cell r="H396">
            <v>3727</v>
          </cell>
          <cell r="I396">
            <v>4214944200</v>
          </cell>
          <cell r="J396">
            <v>415023818</v>
          </cell>
          <cell r="K396">
            <v>0</v>
          </cell>
          <cell r="L396">
            <v>681713800</v>
          </cell>
          <cell r="M396">
            <v>43592921</v>
          </cell>
          <cell r="N396">
            <v>324129480</v>
          </cell>
          <cell r="O396">
            <v>182099</v>
          </cell>
          <cell r="P396">
            <v>5679586318</v>
          </cell>
        </row>
        <row r="397">
          <cell r="B397" t="str">
            <v>Provinsi Nusa Tenggara Barat</v>
          </cell>
          <cell r="C397" t="str">
            <v>06-2005</v>
          </cell>
          <cell r="D397">
            <v>70</v>
          </cell>
          <cell r="E397">
            <v>1301</v>
          </cell>
          <cell r="F397">
            <v>3374</v>
          </cell>
          <cell r="G397">
            <v>435</v>
          </cell>
          <cell r="H397">
            <v>5180</v>
          </cell>
          <cell r="I397">
            <v>5681467300</v>
          </cell>
          <cell r="J397">
            <v>599854803</v>
          </cell>
          <cell r="K397">
            <v>0</v>
          </cell>
          <cell r="L397">
            <v>655776950</v>
          </cell>
          <cell r="M397">
            <v>48009531</v>
          </cell>
          <cell r="N397">
            <v>493686630</v>
          </cell>
          <cell r="O397">
            <v>257286</v>
          </cell>
          <cell r="P397">
            <v>7479052500</v>
          </cell>
        </row>
        <row r="398">
          <cell r="B398" t="str">
            <v>Kota Mataram</v>
          </cell>
          <cell r="C398" t="str">
            <v>06-2005</v>
          </cell>
          <cell r="D398">
            <v>64</v>
          </cell>
          <cell r="E398">
            <v>1067</v>
          </cell>
          <cell r="F398">
            <v>2901</v>
          </cell>
          <cell r="G398">
            <v>1193</v>
          </cell>
          <cell r="H398">
            <v>5225</v>
          </cell>
          <cell r="I398">
            <v>5912974260</v>
          </cell>
          <cell r="J398">
            <v>519315704</v>
          </cell>
          <cell r="K398">
            <v>0</v>
          </cell>
          <cell r="L398">
            <v>979221900</v>
          </cell>
          <cell r="M398">
            <v>67490994</v>
          </cell>
          <cell r="N398">
            <v>444910740</v>
          </cell>
          <cell r="O398">
            <v>261083</v>
          </cell>
          <cell r="P398">
            <v>7924174681</v>
          </cell>
        </row>
        <row r="399">
          <cell r="B399" t="str">
            <v>Kab. Lombok Barat</v>
          </cell>
          <cell r="C399" t="str">
            <v>06-2005</v>
          </cell>
          <cell r="D399">
            <v>117</v>
          </cell>
          <cell r="E399">
            <v>2157</v>
          </cell>
          <cell r="F399">
            <v>4978</v>
          </cell>
          <cell r="G399">
            <v>1104</v>
          </cell>
          <cell r="H399">
            <v>8356</v>
          </cell>
          <cell r="I399">
            <v>9021328300</v>
          </cell>
          <cell r="J399">
            <v>965928587</v>
          </cell>
          <cell r="K399">
            <v>0</v>
          </cell>
          <cell r="L399">
            <v>1429326650</v>
          </cell>
          <cell r="M399">
            <v>75915237</v>
          </cell>
          <cell r="N399">
            <v>799551480</v>
          </cell>
          <cell r="O399">
            <v>409780</v>
          </cell>
          <cell r="P399">
            <v>12292460034</v>
          </cell>
        </row>
        <row r="400">
          <cell r="B400" t="str">
            <v>Kab. Lombok Tengah</v>
          </cell>
          <cell r="C400" t="str">
            <v>06-2005</v>
          </cell>
          <cell r="D400">
            <v>135</v>
          </cell>
          <cell r="E400">
            <v>2072</v>
          </cell>
          <cell r="F400">
            <v>5594</v>
          </cell>
          <cell r="G400">
            <v>1241</v>
          </cell>
          <cell r="H400">
            <v>9042</v>
          </cell>
          <cell r="I400">
            <v>10024415960</v>
          </cell>
          <cell r="J400">
            <v>1105440418</v>
          </cell>
          <cell r="K400">
            <v>0</v>
          </cell>
          <cell r="L400">
            <v>1660635700</v>
          </cell>
          <cell r="M400">
            <v>94550527</v>
          </cell>
          <cell r="N400">
            <v>893823450</v>
          </cell>
          <cell r="O400">
            <v>445166</v>
          </cell>
          <cell r="P400">
            <v>13779311221</v>
          </cell>
        </row>
        <row r="401">
          <cell r="B401" t="str">
            <v>Kab. Sumbawa</v>
          </cell>
          <cell r="C401" t="str">
            <v>06-2005</v>
          </cell>
          <cell r="D401">
            <v>61</v>
          </cell>
          <cell r="E401">
            <v>1375</v>
          </cell>
          <cell r="F401">
            <v>3443</v>
          </cell>
          <cell r="G401">
            <v>1123</v>
          </cell>
          <cell r="H401">
            <v>6002</v>
          </cell>
          <cell r="I401">
            <v>6620540340</v>
          </cell>
          <cell r="J401">
            <v>691413306</v>
          </cell>
          <cell r="K401">
            <v>0</v>
          </cell>
          <cell r="L401">
            <v>1121504200</v>
          </cell>
          <cell r="M401">
            <v>64022690</v>
          </cell>
          <cell r="N401">
            <v>571800270</v>
          </cell>
          <cell r="O401">
            <v>294907</v>
          </cell>
          <cell r="P401">
            <v>9069575713</v>
          </cell>
        </row>
        <row r="402">
          <cell r="B402" t="str">
            <v>Kab. Sumbawa Barat</v>
          </cell>
          <cell r="C402" t="str">
            <v>06-2005</v>
          </cell>
          <cell r="D402">
            <v>13</v>
          </cell>
          <cell r="E402">
            <v>395</v>
          </cell>
          <cell r="F402">
            <v>614</v>
          </cell>
          <cell r="G402">
            <v>307</v>
          </cell>
          <cell r="H402">
            <v>1329</v>
          </cell>
          <cell r="I402">
            <v>1371731360</v>
          </cell>
          <cell r="J402">
            <v>141772892</v>
          </cell>
          <cell r="K402">
            <v>0</v>
          </cell>
          <cell r="L402">
            <v>252717650</v>
          </cell>
          <cell r="M402">
            <v>13046871</v>
          </cell>
          <cell r="N402">
            <v>121623780</v>
          </cell>
          <cell r="O402">
            <v>61058</v>
          </cell>
          <cell r="P402">
            <v>1900953611</v>
          </cell>
        </row>
        <row r="403">
          <cell r="B403" t="str">
            <v>Kab. Lombok Timur</v>
          </cell>
          <cell r="C403" t="str">
            <v>06-2005</v>
          </cell>
          <cell r="D403">
            <v>106</v>
          </cell>
          <cell r="E403">
            <v>2250</v>
          </cell>
          <cell r="F403">
            <v>6722</v>
          </cell>
          <cell r="G403">
            <v>1745</v>
          </cell>
          <cell r="H403">
            <v>10823</v>
          </cell>
          <cell r="I403">
            <v>12072871660</v>
          </cell>
          <cell r="J403">
            <v>1331230444</v>
          </cell>
          <cell r="K403">
            <v>0</v>
          </cell>
          <cell r="L403">
            <v>2033199050</v>
          </cell>
          <cell r="M403">
            <v>96426787</v>
          </cell>
          <cell r="N403">
            <v>1079538930</v>
          </cell>
          <cell r="O403">
            <v>531410</v>
          </cell>
          <cell r="P403">
            <v>16613798281</v>
          </cell>
        </row>
        <row r="404">
          <cell r="B404" t="str">
            <v>Kab. Bima</v>
          </cell>
          <cell r="C404" t="str">
            <v>06-2005</v>
          </cell>
          <cell r="D404">
            <v>61</v>
          </cell>
          <cell r="E404">
            <v>1319</v>
          </cell>
          <cell r="F404">
            <v>4195</v>
          </cell>
          <cell r="G404">
            <v>1416</v>
          </cell>
          <cell r="H404">
            <v>6991</v>
          </cell>
          <cell r="I404">
            <v>7791495660</v>
          </cell>
          <cell r="J404">
            <v>834055364</v>
          </cell>
          <cell r="K404">
            <v>0</v>
          </cell>
          <cell r="L404">
            <v>1414516600</v>
          </cell>
          <cell r="M404">
            <v>311528070</v>
          </cell>
          <cell r="N404">
            <v>683554530</v>
          </cell>
          <cell r="O404">
            <v>344605</v>
          </cell>
          <cell r="P404">
            <v>11035494829</v>
          </cell>
        </row>
        <row r="405">
          <cell r="B405" t="str">
            <v>Kab. Dompu</v>
          </cell>
          <cell r="C405" t="str">
            <v>06-2005</v>
          </cell>
          <cell r="D405">
            <v>119</v>
          </cell>
          <cell r="E405">
            <v>1136</v>
          </cell>
          <cell r="F405">
            <v>2455</v>
          </cell>
          <cell r="G405">
            <v>494</v>
          </cell>
          <cell r="H405">
            <v>4204</v>
          </cell>
          <cell r="I405">
            <v>4489547989</v>
          </cell>
          <cell r="J405">
            <v>468208463</v>
          </cell>
          <cell r="K405">
            <v>0</v>
          </cell>
          <cell r="L405">
            <v>739511050</v>
          </cell>
          <cell r="M405">
            <v>172673420</v>
          </cell>
          <cell r="N405">
            <v>401310330</v>
          </cell>
          <cell r="O405">
            <v>212526</v>
          </cell>
          <cell r="P405">
            <v>6271463778</v>
          </cell>
        </row>
        <row r="406">
          <cell r="B406" t="str">
            <v>Kota Bima</v>
          </cell>
          <cell r="C406" t="str">
            <v>06-2005</v>
          </cell>
          <cell r="D406">
            <v>32</v>
          </cell>
          <cell r="E406">
            <v>457</v>
          </cell>
          <cell r="F406">
            <v>1880</v>
          </cell>
          <cell r="G406">
            <v>772</v>
          </cell>
          <cell r="H406">
            <v>3141</v>
          </cell>
          <cell r="I406">
            <v>3429593120</v>
          </cell>
          <cell r="J406">
            <v>309133425</v>
          </cell>
          <cell r="K406">
            <v>0</v>
          </cell>
          <cell r="L406">
            <v>627739150</v>
          </cell>
          <cell r="M406">
            <v>139674516</v>
          </cell>
          <cell r="N406">
            <v>265213260</v>
          </cell>
          <cell r="O406">
            <v>150419</v>
          </cell>
          <cell r="P406">
            <v>4771503890</v>
          </cell>
        </row>
        <row r="407">
          <cell r="B407" t="str">
            <v>Provinsi Nusa Tenggara Timur</v>
          </cell>
          <cell r="C407" t="str">
            <v>06-2005</v>
          </cell>
          <cell r="D407">
            <v>55</v>
          </cell>
          <cell r="E407">
            <v>1838</v>
          </cell>
          <cell r="F407">
            <v>3673</v>
          </cell>
          <cell r="G407">
            <v>369</v>
          </cell>
          <cell r="H407">
            <v>5935</v>
          </cell>
          <cell r="I407">
            <v>6395731000</v>
          </cell>
          <cell r="J407">
            <v>616722000</v>
          </cell>
          <cell r="K407">
            <v>306000</v>
          </cell>
          <cell r="L407">
            <v>633166000</v>
          </cell>
          <cell r="M407">
            <v>43405</v>
          </cell>
          <cell r="N407">
            <v>596712000</v>
          </cell>
          <cell r="O407">
            <v>0</v>
          </cell>
          <cell r="P407">
            <v>8242680405</v>
          </cell>
        </row>
        <row r="408">
          <cell r="B408" t="str">
            <v>Kab. Ende</v>
          </cell>
          <cell r="C408" t="str">
            <v>06-2005</v>
          </cell>
          <cell r="D408">
            <v>76</v>
          </cell>
          <cell r="E408">
            <v>1629</v>
          </cell>
          <cell r="F408">
            <v>3011</v>
          </cell>
          <cell r="G408">
            <v>468</v>
          </cell>
          <cell r="H408">
            <v>5184</v>
          </cell>
          <cell r="I408">
            <v>5468320775</v>
          </cell>
          <cell r="J408">
            <v>534997872</v>
          </cell>
          <cell r="K408">
            <v>0</v>
          </cell>
          <cell r="L408">
            <v>935266350</v>
          </cell>
          <cell r="M408">
            <v>47817788</v>
          </cell>
          <cell r="N408">
            <v>519462120</v>
          </cell>
          <cell r="O408">
            <v>0</v>
          </cell>
          <cell r="P408">
            <v>7505864905</v>
          </cell>
        </row>
        <row r="409">
          <cell r="B409" t="str">
            <v>Kab. Sikka</v>
          </cell>
          <cell r="C409" t="str">
            <v>06-2005</v>
          </cell>
          <cell r="D409">
            <v>50</v>
          </cell>
          <cell r="E409">
            <v>1641</v>
          </cell>
          <cell r="F409">
            <v>2700</v>
          </cell>
          <cell r="G409">
            <v>426</v>
          </cell>
          <cell r="H409">
            <v>4817</v>
          </cell>
          <cell r="I409">
            <v>5037625358</v>
          </cell>
          <cell r="J409">
            <v>462303894</v>
          </cell>
          <cell r="K409">
            <v>0</v>
          </cell>
          <cell r="L409">
            <v>807978100</v>
          </cell>
          <cell r="M409">
            <v>40386015</v>
          </cell>
          <cell r="N409">
            <v>409946160</v>
          </cell>
          <cell r="O409">
            <v>0</v>
          </cell>
          <cell r="P409">
            <v>6758239527</v>
          </cell>
        </row>
        <row r="410">
          <cell r="B410" t="str">
            <v>Kota Kupang</v>
          </cell>
          <cell r="C410" t="str">
            <v>06-2005</v>
          </cell>
          <cell r="D410">
            <v>45</v>
          </cell>
          <cell r="E410">
            <v>1126</v>
          </cell>
          <cell r="F410">
            <v>3119</v>
          </cell>
          <cell r="G410">
            <v>978</v>
          </cell>
          <cell r="H410">
            <v>5268</v>
          </cell>
          <cell r="I410">
            <v>5823841000</v>
          </cell>
          <cell r="J410">
            <v>491009000</v>
          </cell>
          <cell r="K410">
            <v>255000</v>
          </cell>
          <cell r="L410">
            <v>1020372000</v>
          </cell>
          <cell r="M410">
            <v>23353000</v>
          </cell>
          <cell r="N410">
            <v>462398000</v>
          </cell>
          <cell r="O410">
            <v>0</v>
          </cell>
          <cell r="P410">
            <v>7821228000</v>
          </cell>
        </row>
        <row r="411">
          <cell r="B411" t="str">
            <v>Kab. Kupang</v>
          </cell>
          <cell r="C411" t="str">
            <v>06-2005</v>
          </cell>
          <cell r="D411">
            <v>70</v>
          </cell>
          <cell r="E411">
            <v>2021</v>
          </cell>
          <cell r="F411">
            <v>3355</v>
          </cell>
          <cell r="G411">
            <v>672</v>
          </cell>
          <cell r="H411">
            <v>6118</v>
          </cell>
          <cell r="I411">
            <v>6549318000</v>
          </cell>
          <cell r="J411">
            <v>679855000</v>
          </cell>
          <cell r="K411">
            <v>308000</v>
          </cell>
          <cell r="L411">
            <v>1057080000</v>
          </cell>
          <cell r="M411">
            <v>257945000</v>
          </cell>
          <cell r="N411">
            <v>580737000</v>
          </cell>
          <cell r="O411">
            <v>1353925000</v>
          </cell>
          <cell r="P411">
            <v>10479168000</v>
          </cell>
        </row>
        <row r="412">
          <cell r="B412" t="str">
            <v>Kab. Timor Tengah Selatan</v>
          </cell>
          <cell r="C412" t="str">
            <v>06-2005</v>
          </cell>
          <cell r="D412">
            <v>82</v>
          </cell>
          <cell r="E412">
            <v>2395</v>
          </cell>
          <cell r="F412">
            <v>4010</v>
          </cell>
          <cell r="G412">
            <v>490</v>
          </cell>
          <cell r="H412">
            <v>6977</v>
          </cell>
          <cell r="I412">
            <v>7377102000</v>
          </cell>
          <cell r="J412">
            <v>783898000</v>
          </cell>
          <cell r="K412">
            <v>330000</v>
          </cell>
          <cell r="L412">
            <v>1163168000</v>
          </cell>
          <cell r="M412">
            <v>286308000</v>
          </cell>
          <cell r="N412">
            <v>756661000</v>
          </cell>
          <cell r="O412">
            <v>0</v>
          </cell>
          <cell r="P412">
            <v>10367467000</v>
          </cell>
        </row>
        <row r="413">
          <cell r="B413" t="str">
            <v>Kab. Rote Ndao</v>
          </cell>
          <cell r="C413" t="str">
            <v>06-2005</v>
          </cell>
          <cell r="D413">
            <v>34</v>
          </cell>
          <cell r="E413">
            <v>430</v>
          </cell>
          <cell r="F413">
            <v>875</v>
          </cell>
          <cell r="G413">
            <v>219</v>
          </cell>
          <cell r="H413">
            <v>1558</v>
          </cell>
          <cell r="I413">
            <v>1670407000</v>
          </cell>
          <cell r="J413">
            <v>181020000</v>
          </cell>
          <cell r="K413">
            <v>81000</v>
          </cell>
          <cell r="L413">
            <v>392716000</v>
          </cell>
          <cell r="M413">
            <v>70654000</v>
          </cell>
          <cell r="N413">
            <v>151262000</v>
          </cell>
          <cell r="O413">
            <v>0</v>
          </cell>
          <cell r="P413">
            <v>2466140000</v>
          </cell>
        </row>
        <row r="414">
          <cell r="B414" t="str">
            <v>Kab. Belu</v>
          </cell>
          <cell r="C414" t="str">
            <v>06-2005</v>
          </cell>
          <cell r="D414">
            <v>202</v>
          </cell>
          <cell r="E414">
            <v>2751</v>
          </cell>
          <cell r="F414">
            <v>3473</v>
          </cell>
          <cell r="G414">
            <v>329</v>
          </cell>
          <cell r="H414">
            <v>6755</v>
          </cell>
          <cell r="I414">
            <v>6885383000</v>
          </cell>
          <cell r="J414">
            <v>730149000</v>
          </cell>
          <cell r="K414">
            <v>0</v>
          </cell>
          <cell r="L414">
            <v>1041610000</v>
          </cell>
          <cell r="M414">
            <v>259223000</v>
          </cell>
          <cell r="N414">
            <v>738736000</v>
          </cell>
          <cell r="O414">
            <v>0</v>
          </cell>
          <cell r="P414">
            <v>9655101000</v>
          </cell>
        </row>
        <row r="415">
          <cell r="B415" t="str">
            <v>Kab. Timor Tengah Utara</v>
          </cell>
          <cell r="C415" t="str">
            <v>06-2005</v>
          </cell>
          <cell r="D415">
            <v>110</v>
          </cell>
          <cell r="E415">
            <v>1688</v>
          </cell>
          <cell r="F415">
            <v>2191</v>
          </cell>
          <cell r="G415">
            <v>277</v>
          </cell>
          <cell r="H415">
            <v>4266</v>
          </cell>
          <cell r="I415">
            <v>4994306000</v>
          </cell>
          <cell r="J415">
            <v>493403000</v>
          </cell>
          <cell r="K415">
            <v>0</v>
          </cell>
          <cell r="L415">
            <v>812303000</v>
          </cell>
          <cell r="M415">
            <v>32290000</v>
          </cell>
          <cell r="N415">
            <v>515362000</v>
          </cell>
          <cell r="O415">
            <v>254000</v>
          </cell>
          <cell r="P415">
            <v>6847918000</v>
          </cell>
        </row>
        <row r="416">
          <cell r="B416" t="str">
            <v>Kab. Alor</v>
          </cell>
          <cell r="C416" t="str">
            <v>06-2005</v>
          </cell>
          <cell r="D416">
            <v>42</v>
          </cell>
          <cell r="E416">
            <v>778</v>
          </cell>
          <cell r="F416">
            <v>1539</v>
          </cell>
          <cell r="G416">
            <v>146</v>
          </cell>
          <cell r="H416">
            <v>2505</v>
          </cell>
          <cell r="I416">
            <v>4405189000</v>
          </cell>
          <cell r="J416">
            <v>490957000</v>
          </cell>
          <cell r="K416">
            <v>0</v>
          </cell>
          <cell r="L416">
            <v>686191000</v>
          </cell>
          <cell r="M416">
            <v>237839000</v>
          </cell>
          <cell r="N416">
            <v>482094000</v>
          </cell>
          <cell r="O416">
            <v>0</v>
          </cell>
          <cell r="P416">
            <v>6302270000</v>
          </cell>
        </row>
        <row r="417">
          <cell r="B417" t="str">
            <v>Kab. Flores Timur</v>
          </cell>
          <cell r="C417" t="str">
            <v>06-2005</v>
          </cell>
          <cell r="D417">
            <v>92</v>
          </cell>
          <cell r="E417">
            <v>1729</v>
          </cell>
          <cell r="F417">
            <v>2611</v>
          </cell>
          <cell r="G417">
            <v>432</v>
          </cell>
          <cell r="H417">
            <v>4864</v>
          </cell>
          <cell r="I417">
            <v>5058480000</v>
          </cell>
          <cell r="J417">
            <v>504910000</v>
          </cell>
          <cell r="K417">
            <v>0</v>
          </cell>
          <cell r="L417">
            <v>852579000</v>
          </cell>
          <cell r="M417">
            <v>195705000</v>
          </cell>
          <cell r="N417">
            <v>438742000</v>
          </cell>
          <cell r="O417">
            <v>240000</v>
          </cell>
          <cell r="P417">
            <v>7050656000</v>
          </cell>
        </row>
        <row r="418">
          <cell r="B418" t="str">
            <v>Kab. Lembata</v>
          </cell>
          <cell r="C418" t="str">
            <v>06-2005</v>
          </cell>
          <cell r="D418">
            <v>48</v>
          </cell>
          <cell r="E418">
            <v>974</v>
          </cell>
          <cell r="F418">
            <v>1201</v>
          </cell>
          <cell r="G418">
            <v>187</v>
          </cell>
          <cell r="H418">
            <v>2410</v>
          </cell>
          <cell r="I418">
            <v>2438257000</v>
          </cell>
          <cell r="J418">
            <v>252622000</v>
          </cell>
          <cell r="K418">
            <v>0</v>
          </cell>
          <cell r="L418">
            <v>402454000</v>
          </cell>
          <cell r="M418">
            <v>93008000</v>
          </cell>
          <cell r="N418">
            <v>217701000</v>
          </cell>
          <cell r="O418">
            <v>118000</v>
          </cell>
          <cell r="P418">
            <v>3404160000</v>
          </cell>
        </row>
        <row r="419">
          <cell r="B419" t="str">
            <v>Kab. Ngada</v>
          </cell>
          <cell r="C419" t="str">
            <v>06-2005</v>
          </cell>
          <cell r="D419">
            <v>66</v>
          </cell>
          <cell r="E419">
            <v>1374</v>
          </cell>
          <cell r="F419">
            <v>2509</v>
          </cell>
          <cell r="G419">
            <v>649</v>
          </cell>
          <cell r="H419">
            <v>4598</v>
          </cell>
          <cell r="I419">
            <v>4956609000</v>
          </cell>
          <cell r="J419">
            <v>496019000</v>
          </cell>
          <cell r="K419">
            <v>0</v>
          </cell>
          <cell r="L419">
            <v>844858000</v>
          </cell>
          <cell r="M419">
            <v>59341000</v>
          </cell>
          <cell r="N419">
            <v>473770000</v>
          </cell>
          <cell r="O419">
            <v>213000</v>
          </cell>
          <cell r="P419">
            <v>6830810000</v>
          </cell>
        </row>
        <row r="420">
          <cell r="B420" t="str">
            <v>Kab. Manggarai</v>
          </cell>
          <cell r="C420" t="str">
            <v>06-2005</v>
          </cell>
          <cell r="D420">
            <v>56</v>
          </cell>
          <cell r="E420">
            <v>1650</v>
          </cell>
          <cell r="F420">
            <v>3298</v>
          </cell>
          <cell r="G420">
            <v>789</v>
          </cell>
          <cell r="H420">
            <v>5793</v>
          </cell>
          <cell r="I420">
            <v>6542018000</v>
          </cell>
          <cell r="J420">
            <v>735029000</v>
          </cell>
          <cell r="K420">
            <v>0</v>
          </cell>
          <cell r="L420">
            <v>1114070000</v>
          </cell>
          <cell r="M420">
            <v>60663000</v>
          </cell>
          <cell r="N420">
            <v>579202000</v>
          </cell>
          <cell r="O420">
            <v>284000</v>
          </cell>
          <cell r="P420">
            <v>9031266000</v>
          </cell>
        </row>
        <row r="421">
          <cell r="B421" t="str">
            <v>Kab. Manggarai Barat</v>
          </cell>
          <cell r="C421" t="str">
            <v>06-2005</v>
          </cell>
          <cell r="D421">
            <v>18</v>
          </cell>
          <cell r="E421">
            <v>563</v>
          </cell>
          <cell r="F421">
            <v>1246</v>
          </cell>
          <cell r="G421">
            <v>192</v>
          </cell>
          <cell r="H421">
            <v>2019</v>
          </cell>
          <cell r="I421">
            <v>2279037000</v>
          </cell>
          <cell r="J421">
            <v>228823000</v>
          </cell>
          <cell r="K421">
            <v>0</v>
          </cell>
          <cell r="L421">
            <v>375821000</v>
          </cell>
          <cell r="M421">
            <v>87032000</v>
          </cell>
          <cell r="N421">
            <v>200520000</v>
          </cell>
          <cell r="O421">
            <v>100000</v>
          </cell>
          <cell r="P421">
            <v>3171333000</v>
          </cell>
        </row>
        <row r="422">
          <cell r="B422" t="str">
            <v>Kab. Sumba Timur</v>
          </cell>
          <cell r="C422" t="str">
            <v>06-2005</v>
          </cell>
          <cell r="D422">
            <v>52</v>
          </cell>
          <cell r="E422">
            <v>1435</v>
          </cell>
          <cell r="F422">
            <v>2319</v>
          </cell>
          <cell r="G422">
            <v>374</v>
          </cell>
          <cell r="H422">
            <v>4180</v>
          </cell>
          <cell r="I422">
            <v>4350767000</v>
          </cell>
          <cell r="J422">
            <v>422989000</v>
          </cell>
          <cell r="K422">
            <v>0</v>
          </cell>
          <cell r="L422">
            <v>705505000</v>
          </cell>
          <cell r="M422">
            <v>37021000</v>
          </cell>
          <cell r="N422">
            <v>418410000</v>
          </cell>
          <cell r="O422">
            <v>200000</v>
          </cell>
          <cell r="P422">
            <v>5934892000</v>
          </cell>
        </row>
        <row r="423">
          <cell r="B423" t="str">
            <v>Kab. Sumba Barat</v>
          </cell>
          <cell r="C423" t="str">
            <v>06-2005</v>
          </cell>
          <cell r="D423">
            <v>67</v>
          </cell>
          <cell r="E423">
            <v>1468</v>
          </cell>
          <cell r="F423">
            <v>2575</v>
          </cell>
          <cell r="G423">
            <v>484</v>
          </cell>
          <cell r="H423">
            <v>4594</v>
          </cell>
          <cell r="I423">
            <v>4860967000</v>
          </cell>
          <cell r="J423">
            <v>482911000</v>
          </cell>
          <cell r="K423">
            <v>0</v>
          </cell>
          <cell r="L423">
            <v>777438000</v>
          </cell>
          <cell r="M423">
            <v>41075000</v>
          </cell>
          <cell r="N423">
            <v>426766000</v>
          </cell>
          <cell r="O423">
            <v>230000</v>
          </cell>
          <cell r="P423">
            <v>6589387000</v>
          </cell>
        </row>
        <row r="424">
          <cell r="B424" t="str">
            <v>Provinsi Maluku</v>
          </cell>
          <cell r="C424" t="str">
            <v>06-2005</v>
          </cell>
          <cell r="D424">
            <v>105</v>
          </cell>
          <cell r="E424">
            <v>1631</v>
          </cell>
          <cell r="F424">
            <v>2603</v>
          </cell>
          <cell r="G424">
            <v>267</v>
          </cell>
          <cell r="H424">
            <v>4606</v>
          </cell>
          <cell r="I424">
            <v>4883655020</v>
          </cell>
          <cell r="J424">
            <v>477080127</v>
          </cell>
          <cell r="K424">
            <v>0</v>
          </cell>
          <cell r="L424">
            <v>453576150</v>
          </cell>
          <cell r="M424">
            <v>174302388</v>
          </cell>
          <cell r="N424">
            <v>427247910</v>
          </cell>
          <cell r="O424">
            <v>236015</v>
          </cell>
          <cell r="P424">
            <v>6416097610</v>
          </cell>
        </row>
        <row r="425">
          <cell r="B425" t="str">
            <v>Kota Ambon</v>
          </cell>
          <cell r="C425" t="str">
            <v>06-2005</v>
          </cell>
          <cell r="D425">
            <v>107</v>
          </cell>
          <cell r="E425">
            <v>1363</v>
          </cell>
          <cell r="F425">
            <v>4016</v>
          </cell>
          <cell r="G425">
            <v>1270</v>
          </cell>
          <cell r="H425">
            <v>6756</v>
          </cell>
          <cell r="I425">
            <v>7596537280</v>
          </cell>
          <cell r="J425">
            <v>710342237</v>
          </cell>
          <cell r="K425">
            <v>0</v>
          </cell>
          <cell r="L425">
            <v>1194856445</v>
          </cell>
          <cell r="M425">
            <v>298494139</v>
          </cell>
          <cell r="N425">
            <v>611639430</v>
          </cell>
          <cell r="O425">
            <v>0</v>
          </cell>
          <cell r="P425">
            <v>10411869531</v>
          </cell>
        </row>
        <row r="426">
          <cell r="B426" t="str">
            <v>Kab. Pulau Buru</v>
          </cell>
          <cell r="C426" t="str">
            <v>06-2005</v>
          </cell>
          <cell r="D426">
            <v>98</v>
          </cell>
          <cell r="E426">
            <v>1164</v>
          </cell>
          <cell r="F426">
            <v>1109</v>
          </cell>
          <cell r="G426">
            <v>123</v>
          </cell>
          <cell r="H426">
            <v>2494</v>
          </cell>
          <cell r="I426">
            <v>2314442920</v>
          </cell>
          <cell r="J426">
            <v>245143529</v>
          </cell>
          <cell r="K426">
            <v>0</v>
          </cell>
          <cell r="L426">
            <v>453053000</v>
          </cell>
          <cell r="M426">
            <v>86829988</v>
          </cell>
          <cell r="N426">
            <v>237079110</v>
          </cell>
          <cell r="O426">
            <v>123727</v>
          </cell>
          <cell r="P426">
            <v>3336672274</v>
          </cell>
        </row>
        <row r="427">
          <cell r="B427" t="str">
            <v>Kab. Maluku Tengah</v>
          </cell>
          <cell r="C427" t="str">
            <v>06-2005</v>
          </cell>
          <cell r="D427">
            <v>245</v>
          </cell>
          <cell r="E427">
            <v>2998</v>
          </cell>
          <cell r="F427">
            <v>4322</v>
          </cell>
          <cell r="G427">
            <v>503</v>
          </cell>
          <cell r="H427">
            <v>8068</v>
          </cell>
          <cell r="I427">
            <v>8323501791</v>
          </cell>
          <cell r="J427">
            <v>896266713</v>
          </cell>
          <cell r="K427">
            <v>0</v>
          </cell>
          <cell r="L427">
            <v>1311630850</v>
          </cell>
          <cell r="M427">
            <v>306268495</v>
          </cell>
          <cell r="N427">
            <v>814325670</v>
          </cell>
          <cell r="O427">
            <v>22987011</v>
          </cell>
          <cell r="P427">
            <v>11674980530</v>
          </cell>
        </row>
        <row r="428">
          <cell r="B428" t="str">
            <v>Kab. Seram Bagian Barat</v>
          </cell>
          <cell r="C428" t="str">
            <v>06-2005</v>
          </cell>
          <cell r="D428">
            <v>60</v>
          </cell>
          <cell r="E428">
            <v>1298</v>
          </cell>
          <cell r="F428">
            <v>1328</v>
          </cell>
          <cell r="G428">
            <v>275</v>
          </cell>
          <cell r="H428">
            <v>2961</v>
          </cell>
          <cell r="I428">
            <v>4937754860</v>
          </cell>
          <cell r="J428">
            <v>399292390</v>
          </cell>
          <cell r="K428">
            <v>0</v>
          </cell>
          <cell r="L428">
            <v>463989000</v>
          </cell>
          <cell r="M428">
            <v>98017302</v>
          </cell>
          <cell r="N428">
            <v>264370740</v>
          </cell>
          <cell r="O428">
            <v>51173532</v>
          </cell>
          <cell r="P428">
            <v>6214597824</v>
          </cell>
        </row>
        <row r="429">
          <cell r="B429" t="str">
            <v>Kab. Seram Bagian Timur</v>
          </cell>
          <cell r="C429" t="str">
            <v>06-2005</v>
          </cell>
          <cell r="D429">
            <v>25</v>
          </cell>
          <cell r="E429">
            <v>249</v>
          </cell>
          <cell r="F429">
            <v>307</v>
          </cell>
          <cell r="G429">
            <v>12</v>
          </cell>
          <cell r="H429">
            <v>593</v>
          </cell>
          <cell r="I429">
            <v>756349840</v>
          </cell>
          <cell r="J429">
            <v>95451893</v>
          </cell>
          <cell r="K429">
            <v>0</v>
          </cell>
          <cell r="L429">
            <v>161205900</v>
          </cell>
          <cell r="M429">
            <v>31298875</v>
          </cell>
          <cell r="N429">
            <v>82777590</v>
          </cell>
          <cell r="O429">
            <v>37485646</v>
          </cell>
          <cell r="P429">
            <v>1164569744</v>
          </cell>
        </row>
        <row r="430">
          <cell r="B430" t="str">
            <v>Kab. Maluku Tenggara</v>
          </cell>
          <cell r="C430" t="str">
            <v>06-2005</v>
          </cell>
          <cell r="D430">
            <v>57</v>
          </cell>
          <cell r="E430">
            <v>1290</v>
          </cell>
          <cell r="F430">
            <v>2044</v>
          </cell>
          <cell r="G430">
            <v>435</v>
          </cell>
          <cell r="H430">
            <v>3826</v>
          </cell>
          <cell r="I430">
            <v>4028122074</v>
          </cell>
          <cell r="J430">
            <v>415874917</v>
          </cell>
          <cell r="K430">
            <v>0</v>
          </cell>
          <cell r="L430">
            <v>632640690</v>
          </cell>
          <cell r="M430">
            <v>156097597</v>
          </cell>
          <cell r="N430">
            <v>369986640</v>
          </cell>
          <cell r="O430">
            <v>88950000</v>
          </cell>
          <cell r="P430">
            <v>5691671918</v>
          </cell>
        </row>
        <row r="431">
          <cell r="B431" t="str">
            <v>Kab. Kepulauan Aru</v>
          </cell>
          <cell r="C431" t="str">
            <v>06-2005</v>
          </cell>
          <cell r="D431">
            <v>11</v>
          </cell>
          <cell r="E431">
            <v>302</v>
          </cell>
          <cell r="F431">
            <v>412</v>
          </cell>
          <cell r="G431">
            <v>71</v>
          </cell>
          <cell r="H431">
            <v>796</v>
          </cell>
          <cell r="I431">
            <v>827224687</v>
          </cell>
          <cell r="J431">
            <v>95330542</v>
          </cell>
          <cell r="K431">
            <v>0</v>
          </cell>
          <cell r="L431">
            <v>173932600</v>
          </cell>
          <cell r="M431">
            <v>34567411</v>
          </cell>
          <cell r="N431">
            <v>83439570</v>
          </cell>
          <cell r="O431">
            <v>38400000</v>
          </cell>
          <cell r="P431">
            <v>1252894810</v>
          </cell>
        </row>
        <row r="432">
          <cell r="B432" t="str">
            <v>Kab. Maluku Tenggara Barat</v>
          </cell>
          <cell r="C432" t="str">
            <v>06-2005</v>
          </cell>
          <cell r="D432">
            <v>55</v>
          </cell>
          <cell r="E432">
            <v>1209</v>
          </cell>
          <cell r="F432">
            <v>2269</v>
          </cell>
          <cell r="G432">
            <v>425</v>
          </cell>
          <cell r="H432">
            <v>3958</v>
          </cell>
          <cell r="I432">
            <v>4181446004</v>
          </cell>
          <cell r="J432">
            <v>471455481</v>
          </cell>
          <cell r="K432">
            <v>0</v>
          </cell>
          <cell r="L432">
            <v>782331350</v>
          </cell>
          <cell r="M432">
            <v>179307815</v>
          </cell>
          <cell r="N432">
            <v>408923100</v>
          </cell>
          <cell r="O432">
            <v>105325000</v>
          </cell>
          <cell r="P432">
            <v>6128788750</v>
          </cell>
        </row>
        <row r="433">
          <cell r="B433" t="str">
            <v>Provinsi Maluku Utara</v>
          </cell>
          <cell r="C433" t="str">
            <v>06-2005</v>
          </cell>
          <cell r="D433">
            <v>10</v>
          </cell>
          <cell r="E433">
            <v>993</v>
          </cell>
          <cell r="F433">
            <v>1322</v>
          </cell>
          <cell r="G433">
            <v>215</v>
          </cell>
          <cell r="H433">
            <v>2540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3430122959</v>
          </cell>
        </row>
        <row r="434">
          <cell r="B434" t="str">
            <v>Kab. Halmahera Tengah</v>
          </cell>
          <cell r="C434" t="str">
            <v>06-2005</v>
          </cell>
          <cell r="D434">
            <v>11</v>
          </cell>
          <cell r="E434">
            <v>864</v>
          </cell>
          <cell r="F434">
            <v>1196</v>
          </cell>
          <cell r="G434">
            <v>205</v>
          </cell>
          <cell r="H434">
            <v>2276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3017593367</v>
          </cell>
        </row>
        <row r="435">
          <cell r="B435" t="str">
            <v>Kab. Halmahera Barat</v>
          </cell>
          <cell r="C435" t="str">
            <v>06-2005</v>
          </cell>
          <cell r="D435">
            <v>56</v>
          </cell>
          <cell r="E435">
            <v>1129</v>
          </cell>
          <cell r="F435">
            <v>1377</v>
          </cell>
          <cell r="G435">
            <v>180</v>
          </cell>
          <cell r="H435">
            <v>2742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3889972231</v>
          </cell>
        </row>
        <row r="436">
          <cell r="B436" t="str">
            <v>Kab. Halmahera Timur</v>
          </cell>
          <cell r="C436" t="str">
            <v>06-2005</v>
          </cell>
          <cell r="D436">
            <v>19</v>
          </cell>
          <cell r="E436">
            <v>583</v>
          </cell>
          <cell r="F436">
            <v>508</v>
          </cell>
          <cell r="G436">
            <v>37</v>
          </cell>
          <cell r="H436">
            <v>1147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1551178370</v>
          </cell>
        </row>
        <row r="437">
          <cell r="B437" t="str">
            <v>Kab. Halmahera Selatan</v>
          </cell>
          <cell r="C437" t="str">
            <v>06-2005</v>
          </cell>
          <cell r="D437">
            <v>33</v>
          </cell>
          <cell r="E437">
            <v>974</v>
          </cell>
          <cell r="F437">
            <v>1154</v>
          </cell>
          <cell r="G437">
            <v>161</v>
          </cell>
          <cell r="H437">
            <v>2322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3396587719</v>
          </cell>
        </row>
        <row r="438">
          <cell r="B438" t="str">
            <v>Kab. Halmahera Utara</v>
          </cell>
          <cell r="C438" t="str">
            <v>06-2005</v>
          </cell>
          <cell r="D438">
            <v>58</v>
          </cell>
          <cell r="E438">
            <v>1049</v>
          </cell>
          <cell r="F438">
            <v>1395</v>
          </cell>
          <cell r="G438">
            <v>179</v>
          </cell>
          <cell r="H438">
            <v>2681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3899900567</v>
          </cell>
        </row>
        <row r="439">
          <cell r="B439" t="str">
            <v>Kab. Kepulauan Sula</v>
          </cell>
          <cell r="C439" t="str">
            <v>06-2005</v>
          </cell>
          <cell r="D439">
            <v>33</v>
          </cell>
          <cell r="E439">
            <v>849</v>
          </cell>
          <cell r="F439">
            <v>637</v>
          </cell>
          <cell r="G439">
            <v>133</v>
          </cell>
          <cell r="H439">
            <v>1652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2355277312</v>
          </cell>
        </row>
        <row r="440">
          <cell r="B440" t="str">
            <v>Kota Ternate</v>
          </cell>
          <cell r="C440" t="str">
            <v>06-2005</v>
          </cell>
          <cell r="D440">
            <v>96</v>
          </cell>
          <cell r="E440">
            <v>1697</v>
          </cell>
          <cell r="F440">
            <v>1936</v>
          </cell>
          <cell r="G440">
            <v>373</v>
          </cell>
          <cell r="H440">
            <v>4102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6799817699</v>
          </cell>
        </row>
        <row r="441">
          <cell r="B441" t="str">
            <v>Kota Tidore Kepulauan</v>
          </cell>
          <cell r="C441" t="str">
            <v>06-2005</v>
          </cell>
          <cell r="D441">
            <v>30</v>
          </cell>
          <cell r="E441">
            <v>868</v>
          </cell>
          <cell r="F441">
            <v>1389</v>
          </cell>
          <cell r="G441">
            <v>251</v>
          </cell>
          <cell r="H441">
            <v>2538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3726743904</v>
          </cell>
        </row>
        <row r="442">
          <cell r="B442" t="str">
            <v>Provinsi Papua</v>
          </cell>
          <cell r="C442" t="str">
            <v>06-2005</v>
          </cell>
          <cell r="D442">
            <v>126</v>
          </cell>
          <cell r="E442">
            <v>1502</v>
          </cell>
          <cell r="F442">
            <v>1948</v>
          </cell>
          <cell r="G442">
            <v>207</v>
          </cell>
          <cell r="H442">
            <v>3783</v>
          </cell>
          <cell r="I442">
            <v>3907644000</v>
          </cell>
          <cell r="J442">
            <v>426820000</v>
          </cell>
          <cell r="K442">
            <v>0</v>
          </cell>
          <cell r="L442">
            <v>651628000</v>
          </cell>
          <cell r="M442">
            <v>229259000</v>
          </cell>
          <cell r="N442">
            <v>428372000</v>
          </cell>
          <cell r="O442">
            <v>1600051000</v>
          </cell>
          <cell r="P442">
            <v>7243774000</v>
          </cell>
        </row>
        <row r="443">
          <cell r="B443" t="str">
            <v>Kab. Jayapura</v>
          </cell>
          <cell r="C443" t="str">
            <v>06-2005</v>
          </cell>
          <cell r="D443">
            <v>107</v>
          </cell>
          <cell r="E443">
            <v>2488</v>
          </cell>
          <cell r="F443">
            <v>3248</v>
          </cell>
          <cell r="G443">
            <v>297</v>
          </cell>
          <cell r="H443">
            <v>6140</v>
          </cell>
          <cell r="I443">
            <v>6270513000</v>
          </cell>
          <cell r="J443">
            <v>591901000</v>
          </cell>
          <cell r="K443">
            <v>0</v>
          </cell>
          <cell r="L443">
            <v>625356000</v>
          </cell>
          <cell r="M443">
            <v>371379000</v>
          </cell>
          <cell r="N443">
            <v>600102000</v>
          </cell>
          <cell r="O443">
            <v>2568956000</v>
          </cell>
          <cell r="P443">
            <v>11028207000</v>
          </cell>
        </row>
        <row r="444">
          <cell r="B444" t="str">
            <v>Kab. Jayawijaya</v>
          </cell>
          <cell r="C444" t="str">
            <v>06-2005</v>
          </cell>
          <cell r="D444">
            <v>189</v>
          </cell>
          <cell r="E444">
            <v>2131</v>
          </cell>
          <cell r="F444">
            <v>1403</v>
          </cell>
          <cell r="G444">
            <v>147</v>
          </cell>
          <cell r="H444">
            <v>3870</v>
          </cell>
          <cell r="I444">
            <v>3570376000</v>
          </cell>
          <cell r="J444">
            <v>386185000</v>
          </cell>
          <cell r="K444">
            <v>0</v>
          </cell>
          <cell r="L444">
            <v>590862000</v>
          </cell>
          <cell r="M444">
            <v>232851000</v>
          </cell>
          <cell r="N444">
            <v>421185000</v>
          </cell>
          <cell r="O444">
            <v>1845165000</v>
          </cell>
          <cell r="P444">
            <v>7046624000</v>
          </cell>
        </row>
        <row r="445">
          <cell r="B445" t="str">
            <v>Kab. Mimika</v>
          </cell>
          <cell r="C445" t="str">
            <v>06-2005</v>
          </cell>
          <cell r="D445">
            <v>82</v>
          </cell>
          <cell r="E445">
            <v>850</v>
          </cell>
          <cell r="F445">
            <v>758</v>
          </cell>
          <cell r="G445">
            <v>46</v>
          </cell>
          <cell r="H445">
            <v>1736</v>
          </cell>
          <cell r="I445">
            <v>1597051000</v>
          </cell>
          <cell r="J445">
            <v>155087000</v>
          </cell>
          <cell r="K445">
            <v>0</v>
          </cell>
          <cell r="L445">
            <v>318929000</v>
          </cell>
          <cell r="M445">
            <v>106335000</v>
          </cell>
          <cell r="N445">
            <v>167986000</v>
          </cell>
          <cell r="O445">
            <v>817481000</v>
          </cell>
          <cell r="P445">
            <v>3162869000</v>
          </cell>
        </row>
        <row r="446">
          <cell r="B446" t="str">
            <v>Kab. Paniai</v>
          </cell>
          <cell r="C446" t="str">
            <v>04-2005</v>
          </cell>
          <cell r="D446">
            <v>106</v>
          </cell>
          <cell r="E446">
            <v>1006</v>
          </cell>
          <cell r="F446">
            <v>589</v>
          </cell>
          <cell r="G446">
            <v>33</v>
          </cell>
          <cell r="H446">
            <v>1734</v>
          </cell>
          <cell r="I446">
            <v>1625164000</v>
          </cell>
          <cell r="J446">
            <v>201291000</v>
          </cell>
          <cell r="K446">
            <v>0</v>
          </cell>
          <cell r="L446">
            <v>251415000</v>
          </cell>
          <cell r="M446">
            <v>102600000</v>
          </cell>
          <cell r="N446">
            <v>214855000</v>
          </cell>
          <cell r="O446">
            <v>821125000</v>
          </cell>
          <cell r="P446">
            <v>3216450000</v>
          </cell>
        </row>
        <row r="447">
          <cell r="B447" t="str">
            <v>Kab. Nabire</v>
          </cell>
          <cell r="C447" t="str">
            <v>06-2005</v>
          </cell>
          <cell r="D447">
            <v>144</v>
          </cell>
          <cell r="E447">
            <v>1678</v>
          </cell>
          <cell r="F447">
            <v>2013</v>
          </cell>
          <cell r="G447">
            <v>280</v>
          </cell>
          <cell r="H447">
            <v>4115</v>
          </cell>
          <cell r="I447">
            <v>4143298000</v>
          </cell>
          <cell r="J447">
            <v>432101000</v>
          </cell>
          <cell r="K447">
            <v>0</v>
          </cell>
          <cell r="L447">
            <v>647686000</v>
          </cell>
          <cell r="M447">
            <v>236623000</v>
          </cell>
          <cell r="N447">
            <v>442279000</v>
          </cell>
          <cell r="O447">
            <v>1732270000</v>
          </cell>
          <cell r="P447">
            <v>7634257000</v>
          </cell>
        </row>
        <row r="448">
          <cell r="B448" t="str">
            <v>Kab. Puncak Jaya</v>
          </cell>
          <cell r="C448" t="str">
            <v>06-2005</v>
          </cell>
          <cell r="D448">
            <v>129</v>
          </cell>
          <cell r="E448">
            <v>727</v>
          </cell>
          <cell r="F448">
            <v>313</v>
          </cell>
          <cell r="G448">
            <v>24</v>
          </cell>
          <cell r="H448">
            <v>1193</v>
          </cell>
          <cell r="I448">
            <v>993849000</v>
          </cell>
          <cell r="J448">
            <v>106733000</v>
          </cell>
          <cell r="K448">
            <v>0</v>
          </cell>
          <cell r="L448">
            <v>69966000</v>
          </cell>
          <cell r="M448">
            <v>67179000</v>
          </cell>
          <cell r="N448">
            <v>39347000</v>
          </cell>
          <cell r="O448">
            <v>444357000</v>
          </cell>
          <cell r="P448">
            <v>1721431000</v>
          </cell>
        </row>
        <row r="449">
          <cell r="B449" t="str">
            <v>Kab. Merauke</v>
          </cell>
          <cell r="C449" t="str">
            <v>06-2005</v>
          </cell>
          <cell r="D449">
            <v>87</v>
          </cell>
          <cell r="E449">
            <v>1131</v>
          </cell>
          <cell r="F449">
            <v>1742</v>
          </cell>
          <cell r="G449">
            <v>314</v>
          </cell>
          <cell r="H449">
            <v>3274</v>
          </cell>
          <cell r="I449">
            <v>3414419000</v>
          </cell>
          <cell r="J449">
            <v>316958000</v>
          </cell>
          <cell r="K449">
            <v>0</v>
          </cell>
          <cell r="L449">
            <v>573678000</v>
          </cell>
          <cell r="M449">
            <v>162476000</v>
          </cell>
          <cell r="N449">
            <v>321295000</v>
          </cell>
          <cell r="O449">
            <v>2190609000</v>
          </cell>
          <cell r="P449">
            <v>6979435000</v>
          </cell>
        </row>
        <row r="450">
          <cell r="B450" t="str">
            <v>Kab. Yapen Waropen</v>
          </cell>
          <cell r="C450" t="str">
            <v>06-2005</v>
          </cell>
          <cell r="D450">
            <v>104</v>
          </cell>
          <cell r="E450">
            <v>1087</v>
          </cell>
          <cell r="F450">
            <v>1322</v>
          </cell>
          <cell r="G450">
            <v>158</v>
          </cell>
          <cell r="H450">
            <v>2671</v>
          </cell>
          <cell r="I450">
            <v>2730106000</v>
          </cell>
          <cell r="J450">
            <v>280272000</v>
          </cell>
          <cell r="K450">
            <v>0</v>
          </cell>
          <cell r="L450">
            <v>447095000</v>
          </cell>
          <cell r="M450">
            <v>162637000</v>
          </cell>
          <cell r="N450">
            <v>284155000</v>
          </cell>
          <cell r="O450">
            <v>1149585000</v>
          </cell>
          <cell r="P450">
            <v>5053850000</v>
          </cell>
        </row>
        <row r="451">
          <cell r="B451" t="str">
            <v>Kota Jayapura</v>
          </cell>
          <cell r="C451" t="str">
            <v>06-2005</v>
          </cell>
          <cell r="D451">
            <v>113</v>
          </cell>
          <cell r="E451">
            <v>1371</v>
          </cell>
          <cell r="F451">
            <v>2366</v>
          </cell>
          <cell r="G451">
            <v>529</v>
          </cell>
          <cell r="H451">
            <v>4379</v>
          </cell>
          <cell r="I451">
            <v>4523336000</v>
          </cell>
          <cell r="J451">
            <v>364137000</v>
          </cell>
          <cell r="K451">
            <v>0</v>
          </cell>
          <cell r="L451">
            <v>764879000</v>
          </cell>
          <cell r="M451">
            <v>277682000</v>
          </cell>
          <cell r="N451">
            <v>388590000</v>
          </cell>
          <cell r="O451">
            <v>1883701000</v>
          </cell>
          <cell r="P451">
            <v>8202325000</v>
          </cell>
        </row>
        <row r="452">
          <cell r="B452" t="str">
            <v>Kab. Sarmi</v>
          </cell>
          <cell r="C452" t="str">
            <v>06-2005</v>
          </cell>
          <cell r="D452">
            <v>42</v>
          </cell>
          <cell r="E452">
            <v>539</v>
          </cell>
          <cell r="F452">
            <v>242</v>
          </cell>
          <cell r="G452">
            <v>23</v>
          </cell>
          <cell r="H452">
            <v>846</v>
          </cell>
          <cell r="I452">
            <v>751757000</v>
          </cell>
          <cell r="J452">
            <v>72017000</v>
          </cell>
          <cell r="K452">
            <v>0</v>
          </cell>
          <cell r="L452">
            <v>128288000</v>
          </cell>
          <cell r="M452">
            <v>92183000</v>
          </cell>
          <cell r="N452">
            <v>83842000</v>
          </cell>
          <cell r="O452">
            <v>369074000</v>
          </cell>
          <cell r="P452">
            <v>1497161000</v>
          </cell>
        </row>
        <row r="453">
          <cell r="B453" t="str">
            <v>Kab. Keerom</v>
          </cell>
          <cell r="C453" t="str">
            <v>06-2005</v>
          </cell>
          <cell r="D453">
            <v>43</v>
          </cell>
          <cell r="E453">
            <v>559</v>
          </cell>
          <cell r="F453">
            <v>559</v>
          </cell>
          <cell r="G453">
            <v>72</v>
          </cell>
          <cell r="H453">
            <v>1233</v>
          </cell>
          <cell r="I453">
            <v>1166643000</v>
          </cell>
          <cell r="J453">
            <v>119334000</v>
          </cell>
          <cell r="K453">
            <v>0</v>
          </cell>
          <cell r="L453">
            <v>214816000</v>
          </cell>
          <cell r="M453">
            <v>75200000</v>
          </cell>
          <cell r="N453">
            <v>104729000</v>
          </cell>
          <cell r="O453">
            <v>494067000</v>
          </cell>
          <cell r="P453">
            <v>2174789000</v>
          </cell>
        </row>
        <row r="454">
          <cell r="B454" t="str">
            <v>Kab. Pegunungan Bintang</v>
          </cell>
          <cell r="C454" t="str">
            <v>06-2005</v>
          </cell>
          <cell r="D454">
            <v>34</v>
          </cell>
          <cell r="E454">
            <v>301</v>
          </cell>
          <cell r="F454">
            <v>187</v>
          </cell>
          <cell r="G454">
            <v>8</v>
          </cell>
          <cell r="H454">
            <v>530</v>
          </cell>
          <cell r="I454">
            <v>449250000</v>
          </cell>
          <cell r="J454">
            <v>41169000</v>
          </cell>
          <cell r="K454">
            <v>0</v>
          </cell>
          <cell r="L454">
            <v>86234000</v>
          </cell>
          <cell r="M454">
            <v>29791000</v>
          </cell>
          <cell r="N454">
            <v>48674000</v>
          </cell>
          <cell r="O454">
            <v>240755000</v>
          </cell>
          <cell r="P454">
            <v>895873000</v>
          </cell>
        </row>
        <row r="455">
          <cell r="B455" t="str">
            <v>Kab. Yahukimo</v>
          </cell>
          <cell r="C455" t="str">
            <v>06-2005</v>
          </cell>
          <cell r="D455">
            <v>37</v>
          </cell>
          <cell r="E455">
            <v>349</v>
          </cell>
          <cell r="F455">
            <v>207</v>
          </cell>
          <cell r="G455">
            <v>17</v>
          </cell>
          <cell r="H455">
            <v>610</v>
          </cell>
          <cell r="I455">
            <v>522134000</v>
          </cell>
          <cell r="J455">
            <v>57832000</v>
          </cell>
          <cell r="K455">
            <v>0</v>
          </cell>
          <cell r="L455">
            <v>108848000</v>
          </cell>
          <cell r="M455">
            <v>34536000</v>
          </cell>
          <cell r="N455">
            <v>66225000</v>
          </cell>
          <cell r="O455">
            <v>280200000</v>
          </cell>
          <cell r="P455">
            <v>1069775000</v>
          </cell>
        </row>
        <row r="456">
          <cell r="B456" t="str">
            <v>Kab. Tolikara</v>
          </cell>
          <cell r="C456" t="str">
            <v>06-2005</v>
          </cell>
          <cell r="D456">
            <v>71</v>
          </cell>
          <cell r="E456">
            <v>401</v>
          </cell>
          <cell r="F456">
            <v>154</v>
          </cell>
          <cell r="G456">
            <v>17</v>
          </cell>
          <cell r="H456">
            <v>643</v>
          </cell>
          <cell r="I456">
            <v>536451000</v>
          </cell>
          <cell r="J456">
            <v>61869000</v>
          </cell>
          <cell r="K456">
            <v>0</v>
          </cell>
          <cell r="L456">
            <v>99933000</v>
          </cell>
          <cell r="M456">
            <v>33783000</v>
          </cell>
          <cell r="N456">
            <v>72811000</v>
          </cell>
          <cell r="O456">
            <v>279700000</v>
          </cell>
          <cell r="P456">
            <v>1084547000</v>
          </cell>
        </row>
        <row r="457">
          <cell r="B457" t="str">
            <v>Kab. Waropen</v>
          </cell>
          <cell r="C457" t="str">
            <v>06-2005</v>
          </cell>
          <cell r="D457">
            <v>36</v>
          </cell>
          <cell r="E457">
            <v>381</v>
          </cell>
          <cell r="F457">
            <v>383</v>
          </cell>
          <cell r="G457">
            <v>30</v>
          </cell>
          <cell r="H457">
            <v>830</v>
          </cell>
          <cell r="I457">
            <v>765906000</v>
          </cell>
          <cell r="J457">
            <v>79442000</v>
          </cell>
          <cell r="K457">
            <v>0</v>
          </cell>
          <cell r="L457">
            <v>161449000</v>
          </cell>
          <cell r="M457">
            <v>47721000</v>
          </cell>
          <cell r="N457">
            <v>85280000</v>
          </cell>
          <cell r="O457">
            <v>397725000</v>
          </cell>
          <cell r="P457">
            <v>1537523000</v>
          </cell>
        </row>
        <row r="458">
          <cell r="B458" t="str">
            <v>Kab. Boven Digoel</v>
          </cell>
          <cell r="C458" t="str">
            <v>06-2005</v>
          </cell>
          <cell r="D458">
            <v>47</v>
          </cell>
          <cell r="E458">
            <v>765</v>
          </cell>
          <cell r="F458">
            <v>583</v>
          </cell>
          <cell r="G458">
            <v>31</v>
          </cell>
          <cell r="H458">
            <v>1426</v>
          </cell>
          <cell r="I458">
            <v>1342865000</v>
          </cell>
          <cell r="J458">
            <v>128643000</v>
          </cell>
          <cell r="K458">
            <v>0</v>
          </cell>
          <cell r="L458">
            <v>163456000</v>
          </cell>
          <cell r="M458">
            <v>93115000</v>
          </cell>
          <cell r="N458">
            <v>141064000</v>
          </cell>
          <cell r="O458">
            <v>682114000</v>
          </cell>
          <cell r="P458">
            <v>2551257000</v>
          </cell>
        </row>
        <row r="459">
          <cell r="B459" t="str">
            <v>Kab. Mappi</v>
          </cell>
          <cell r="C459" t="str">
            <v>06-2005</v>
          </cell>
          <cell r="D459">
            <v>56</v>
          </cell>
          <cell r="E459">
            <v>603</v>
          </cell>
          <cell r="F459">
            <v>402</v>
          </cell>
          <cell r="G459">
            <v>24</v>
          </cell>
          <cell r="H459">
            <v>1085</v>
          </cell>
          <cell r="I459">
            <v>947326000</v>
          </cell>
          <cell r="J459">
            <v>80301000</v>
          </cell>
          <cell r="K459">
            <v>0</v>
          </cell>
          <cell r="L459">
            <v>146914000</v>
          </cell>
          <cell r="M459">
            <v>65709000</v>
          </cell>
          <cell r="N459">
            <v>93871000</v>
          </cell>
          <cell r="O459">
            <v>500372000</v>
          </cell>
          <cell r="P459">
            <v>1834493000</v>
          </cell>
        </row>
        <row r="460">
          <cell r="B460" t="str">
            <v>Kab. Asmat</v>
          </cell>
          <cell r="C460" t="str">
            <v>06-2005</v>
          </cell>
          <cell r="D460">
            <v>42</v>
          </cell>
          <cell r="E460">
            <v>720</v>
          </cell>
          <cell r="F460">
            <v>543</v>
          </cell>
          <cell r="G460">
            <v>31</v>
          </cell>
          <cell r="H460">
            <v>1336</v>
          </cell>
          <cell r="I460">
            <v>1231974000</v>
          </cell>
          <cell r="J460">
            <v>123424000</v>
          </cell>
          <cell r="K460">
            <v>0</v>
          </cell>
          <cell r="L460">
            <v>184595000</v>
          </cell>
          <cell r="M460">
            <v>86783000</v>
          </cell>
          <cell r="N460">
            <v>132817000</v>
          </cell>
          <cell r="O460">
            <v>648987000</v>
          </cell>
          <cell r="P460">
            <v>2408580000</v>
          </cell>
        </row>
        <row r="461">
          <cell r="B461" t="str">
            <v>Kab. Biak Numfor</v>
          </cell>
          <cell r="C461" t="str">
            <v>06-2005</v>
          </cell>
          <cell r="D461">
            <v>126</v>
          </cell>
          <cell r="E461">
            <v>1502</v>
          </cell>
          <cell r="F461">
            <v>1948</v>
          </cell>
          <cell r="G461">
            <v>207</v>
          </cell>
          <cell r="H461">
            <v>3783</v>
          </cell>
          <cell r="I461">
            <v>3907844000</v>
          </cell>
          <cell r="J461">
            <v>426820000</v>
          </cell>
          <cell r="K461">
            <v>0</v>
          </cell>
          <cell r="L461">
            <v>651626000</v>
          </cell>
          <cell r="M461">
            <v>229259000</v>
          </cell>
          <cell r="N461">
            <v>428373000</v>
          </cell>
          <cell r="O461">
            <v>1600054000</v>
          </cell>
          <cell r="P461">
            <v>7243976000</v>
          </cell>
        </row>
        <row r="462">
          <cell r="B462" t="str">
            <v>Kab. Supiori</v>
          </cell>
          <cell r="C462" t="str">
            <v>06-2005</v>
          </cell>
          <cell r="D462">
            <v>16</v>
          </cell>
          <cell r="E462">
            <v>152</v>
          </cell>
          <cell r="F462">
            <v>198</v>
          </cell>
          <cell r="G462">
            <v>18</v>
          </cell>
          <cell r="H462">
            <v>384</v>
          </cell>
          <cell r="I462">
            <v>389272000</v>
          </cell>
          <cell r="J462">
            <v>47672000</v>
          </cell>
          <cell r="K462">
            <v>0</v>
          </cell>
          <cell r="L462">
            <v>94141000</v>
          </cell>
          <cell r="M462">
            <v>25246000</v>
          </cell>
          <cell r="N462">
            <v>47771000</v>
          </cell>
          <cell r="O462">
            <v>182720000</v>
          </cell>
          <cell r="P462">
            <v>786822000</v>
          </cell>
        </row>
        <row r="463">
          <cell r="B463" t="str">
            <v>Provinsi Irian Jaya Barat</v>
          </cell>
          <cell r="C463" t="str">
            <v>06-2005</v>
          </cell>
          <cell r="D463">
            <v>1</v>
          </cell>
          <cell r="E463">
            <v>33</v>
          </cell>
          <cell r="F463">
            <v>90</v>
          </cell>
          <cell r="G463">
            <v>35</v>
          </cell>
          <cell r="H463">
            <v>159</v>
          </cell>
          <cell r="I463">
            <v>178866000</v>
          </cell>
          <cell r="J463">
            <v>21327000</v>
          </cell>
          <cell r="K463">
            <v>0</v>
          </cell>
          <cell r="L463">
            <v>0</v>
          </cell>
          <cell r="M463">
            <v>12124000</v>
          </cell>
          <cell r="N463">
            <v>18888000</v>
          </cell>
          <cell r="O463">
            <v>71450000</v>
          </cell>
          <cell r="P463">
            <v>302655000</v>
          </cell>
        </row>
        <row r="464">
          <cell r="B464" t="str">
            <v>Kab. Manokwari</v>
          </cell>
          <cell r="C464" t="str">
            <v>06-2005</v>
          </cell>
          <cell r="D464">
            <v>159</v>
          </cell>
          <cell r="E464">
            <v>1864</v>
          </cell>
          <cell r="F464">
            <v>1901</v>
          </cell>
          <cell r="G464">
            <v>319</v>
          </cell>
          <cell r="H464">
            <v>4243</v>
          </cell>
          <cell r="I464">
            <v>4225927000</v>
          </cell>
          <cell r="J464">
            <v>426068000</v>
          </cell>
          <cell r="K464">
            <v>0</v>
          </cell>
          <cell r="L464">
            <v>660431000</v>
          </cell>
          <cell r="M464">
            <v>252869000</v>
          </cell>
          <cell r="N464">
            <v>446214000</v>
          </cell>
          <cell r="O464">
            <v>1838029000</v>
          </cell>
          <cell r="P464">
            <v>7849538000</v>
          </cell>
        </row>
        <row r="465">
          <cell r="B465" t="str">
            <v>Kab. Sorong</v>
          </cell>
          <cell r="C465" t="str">
            <v>06-2005</v>
          </cell>
          <cell r="D465">
            <v>77</v>
          </cell>
          <cell r="E465">
            <v>1431</v>
          </cell>
          <cell r="F465">
            <v>1847</v>
          </cell>
          <cell r="G465">
            <v>175</v>
          </cell>
          <cell r="H465">
            <v>3530</v>
          </cell>
          <cell r="I465">
            <v>3567205000</v>
          </cell>
          <cell r="J465">
            <v>369508000</v>
          </cell>
          <cell r="K465">
            <v>0</v>
          </cell>
          <cell r="L465">
            <v>557835000</v>
          </cell>
          <cell r="M465">
            <v>218239000</v>
          </cell>
          <cell r="N465">
            <v>370038000</v>
          </cell>
          <cell r="O465">
            <v>1561862000</v>
          </cell>
          <cell r="P465">
            <v>6644687000</v>
          </cell>
        </row>
        <row r="466">
          <cell r="B466" t="str">
            <v>Kota Sorong</v>
          </cell>
          <cell r="C466" t="str">
            <v>06-2005</v>
          </cell>
          <cell r="D466">
            <v>78</v>
          </cell>
          <cell r="E466">
            <v>974</v>
          </cell>
          <cell r="F466">
            <v>1631</v>
          </cell>
          <cell r="G466">
            <v>299</v>
          </cell>
          <cell r="H466">
            <v>2982</v>
          </cell>
          <cell r="I466">
            <v>3031600000</v>
          </cell>
          <cell r="J466">
            <v>287179000</v>
          </cell>
          <cell r="K466">
            <v>0</v>
          </cell>
          <cell r="L466">
            <v>530961000</v>
          </cell>
          <cell r="M466">
            <v>184466000</v>
          </cell>
          <cell r="N466">
            <v>295263000</v>
          </cell>
          <cell r="O466">
            <v>1236921000</v>
          </cell>
          <cell r="P466">
            <v>5566390000</v>
          </cell>
        </row>
        <row r="467">
          <cell r="B467" t="str">
            <v>Kab. Sorong Selatan</v>
          </cell>
          <cell r="C467" t="str">
            <v>06-2005</v>
          </cell>
          <cell r="D467">
            <v>42</v>
          </cell>
          <cell r="E467">
            <v>633</v>
          </cell>
          <cell r="F467">
            <v>712</v>
          </cell>
          <cell r="G467">
            <v>58</v>
          </cell>
          <cell r="H467">
            <v>1445</v>
          </cell>
          <cell r="I467">
            <v>1323657000</v>
          </cell>
          <cell r="J467">
            <v>122431000</v>
          </cell>
          <cell r="K467">
            <v>0</v>
          </cell>
          <cell r="L467">
            <v>279212000</v>
          </cell>
          <cell r="M467">
            <v>148252000</v>
          </cell>
          <cell r="N467">
            <v>136160000</v>
          </cell>
          <cell r="O467">
            <v>707334000</v>
          </cell>
          <cell r="P467">
            <v>2717046000</v>
          </cell>
        </row>
        <row r="468">
          <cell r="B468" t="str">
            <v>Kab. Raja Ampat</v>
          </cell>
          <cell r="C468" t="str">
            <v>06-2005</v>
          </cell>
          <cell r="D468">
            <v>34</v>
          </cell>
          <cell r="E468">
            <v>598</v>
          </cell>
          <cell r="F468">
            <v>500</v>
          </cell>
          <cell r="G468">
            <v>47</v>
          </cell>
          <cell r="H468">
            <v>1179</v>
          </cell>
          <cell r="I468">
            <v>1038502000</v>
          </cell>
          <cell r="J468">
            <v>89680000</v>
          </cell>
          <cell r="K468">
            <v>0</v>
          </cell>
          <cell r="L468">
            <v>215008000</v>
          </cell>
          <cell r="M468">
            <v>79422000</v>
          </cell>
          <cell r="N468">
            <v>102162000</v>
          </cell>
          <cell r="O468">
            <v>552830000</v>
          </cell>
          <cell r="P468">
            <v>2077604000</v>
          </cell>
        </row>
        <row r="469">
          <cell r="B469" t="str">
            <v>Kab. Kaimana</v>
          </cell>
          <cell r="C469" t="str">
            <v>06-2005</v>
          </cell>
          <cell r="D469">
            <v>51</v>
          </cell>
          <cell r="E469">
            <v>511</v>
          </cell>
          <cell r="F469">
            <v>357</v>
          </cell>
          <cell r="G469">
            <v>57</v>
          </cell>
          <cell r="H469">
            <v>976</v>
          </cell>
          <cell r="I469">
            <v>884691000</v>
          </cell>
          <cell r="J469">
            <v>80063000</v>
          </cell>
          <cell r="K469">
            <v>0</v>
          </cell>
          <cell r="L469">
            <v>157925000</v>
          </cell>
          <cell r="M469">
            <v>55579000</v>
          </cell>
          <cell r="N469">
            <v>87787000</v>
          </cell>
          <cell r="O469">
            <v>432315000</v>
          </cell>
          <cell r="P469">
            <v>1698360000</v>
          </cell>
        </row>
        <row r="470">
          <cell r="B470" t="str">
            <v>Kab. Teluk Bintuni</v>
          </cell>
          <cell r="C470" t="str">
            <v>06-2005</v>
          </cell>
          <cell r="D470">
            <v>25</v>
          </cell>
          <cell r="E470">
            <v>430</v>
          </cell>
          <cell r="F470">
            <v>216</v>
          </cell>
          <cell r="G470">
            <v>16</v>
          </cell>
          <cell r="H470">
            <v>687</v>
          </cell>
          <cell r="I470">
            <v>604157000</v>
          </cell>
          <cell r="J470">
            <v>59004000</v>
          </cell>
          <cell r="K470">
            <v>0</v>
          </cell>
          <cell r="L470">
            <v>114309000</v>
          </cell>
          <cell r="M470">
            <v>37345000</v>
          </cell>
          <cell r="N470">
            <v>66425000</v>
          </cell>
          <cell r="O470">
            <v>534243000</v>
          </cell>
          <cell r="P470">
            <v>1415483000</v>
          </cell>
        </row>
        <row r="471">
          <cell r="B471" t="str">
            <v>Kab. Teluk Wondama</v>
          </cell>
          <cell r="C471" t="str">
            <v>06-2005</v>
          </cell>
          <cell r="D471">
            <v>19</v>
          </cell>
          <cell r="E471">
            <v>256</v>
          </cell>
          <cell r="F471">
            <v>182</v>
          </cell>
          <cell r="G471">
            <v>14</v>
          </cell>
          <cell r="H471">
            <v>471</v>
          </cell>
          <cell r="I471">
            <v>417709000</v>
          </cell>
          <cell r="J471">
            <v>41848000</v>
          </cell>
          <cell r="K471">
            <v>0</v>
          </cell>
          <cell r="L471">
            <v>95077000</v>
          </cell>
          <cell r="M471">
            <v>25824000</v>
          </cell>
          <cell r="N471">
            <v>47069000</v>
          </cell>
          <cell r="O471">
            <v>187479000</v>
          </cell>
          <cell r="P471">
            <v>815006000</v>
          </cell>
        </row>
        <row r="472">
          <cell r="B472" t="str">
            <v>Kab. Fak Fak</v>
          </cell>
          <cell r="C472" t="str">
            <v>06-2005</v>
          </cell>
          <cell r="D472">
            <v>61</v>
          </cell>
          <cell r="E472">
            <v>1292</v>
          </cell>
          <cell r="F472">
            <v>1250</v>
          </cell>
          <cell r="G472">
            <v>168</v>
          </cell>
          <cell r="H472">
            <v>2771</v>
          </cell>
          <cell r="I472">
            <v>2653717000</v>
          </cell>
          <cell r="J472">
            <v>234130000</v>
          </cell>
          <cell r="K472">
            <v>0</v>
          </cell>
          <cell r="L472">
            <v>471517000</v>
          </cell>
          <cell r="M472">
            <v>160870000</v>
          </cell>
          <cell r="N472">
            <v>252096000</v>
          </cell>
          <cell r="O472">
            <v>1109335000</v>
          </cell>
          <cell r="P472">
            <v>4881665000</v>
          </cell>
        </row>
        <row r="473">
          <cell r="B473" t="str">
            <v>Provinsi Sulawesi Barat</v>
          </cell>
          <cell r="D473">
            <v>65</v>
          </cell>
          <cell r="E473">
            <v>468</v>
          </cell>
          <cell r="F473">
            <v>316</v>
          </cell>
          <cell r="G473">
            <v>179</v>
          </cell>
          <cell r="H473">
            <v>1028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1532531902.0626805</v>
          </cell>
        </row>
      </sheetData>
      <sheetData sheetId="3" refreshError="1">
        <row r="10">
          <cell r="B10" t="str">
            <v>Kab. Aceh Utara</v>
          </cell>
          <cell r="C10" t="str">
            <v>06-2005</v>
          </cell>
          <cell r="D10">
            <v>64160164.311534673</v>
          </cell>
          <cell r="E10">
            <v>268109137.20709738</v>
          </cell>
          <cell r="F10">
            <v>610845996.84776568</v>
          </cell>
          <cell r="G10">
            <v>152157138.12520701</v>
          </cell>
          <cell r="H10">
            <v>6749</v>
          </cell>
          <cell r="I10">
            <v>1095272436.4916048</v>
          </cell>
          <cell r="J10">
            <v>8262436026.999999</v>
          </cell>
          <cell r="K10">
            <v>907917389.29999995</v>
          </cell>
          <cell r="L10">
            <v>1149355000</v>
          </cell>
          <cell r="M10">
            <v>286728002.69999999</v>
          </cell>
          <cell r="N10">
            <v>679191480</v>
          </cell>
          <cell r="O10">
            <v>12380900335.491604</v>
          </cell>
          <cell r="P10">
            <v>148570804025.89923</v>
          </cell>
          <cell r="Q10">
            <v>3714270100.647481</v>
          </cell>
          <cell r="R10">
            <v>152285074126.54672</v>
          </cell>
          <cell r="S10">
            <v>12380900335.491604</v>
          </cell>
          <cell r="T10">
            <v>164665974462.03833</v>
          </cell>
          <cell r="V10" t="str">
            <v>K</v>
          </cell>
          <cell r="Y10">
            <v>130681496309</v>
          </cell>
          <cell r="Z10">
            <v>33984478153.03833</v>
          </cell>
          <cell r="AA10">
            <v>0.26005577769542138</v>
          </cell>
          <cell r="AC10">
            <v>6866</v>
          </cell>
          <cell r="AD10">
            <v>290</v>
          </cell>
        </row>
        <row r="11">
          <cell r="B11" t="str">
            <v>Kab. Bireuen</v>
          </cell>
          <cell r="C11" t="str">
            <v>06-2005</v>
          </cell>
          <cell r="D11">
            <v>40874235.951363787</v>
          </cell>
          <cell r="E11">
            <v>176114189.50291207</v>
          </cell>
          <cell r="F11">
            <v>506419979.23233825</v>
          </cell>
          <cell r="G11">
            <v>278954753.22954619</v>
          </cell>
          <cell r="H11">
            <v>6198</v>
          </cell>
          <cell r="I11">
            <v>1002363157.9161602</v>
          </cell>
          <cell r="J11">
            <v>8066319074.999999</v>
          </cell>
          <cell r="K11">
            <v>838557558.89999998</v>
          </cell>
          <cell r="L11">
            <v>1228786350</v>
          </cell>
          <cell r="M11">
            <v>321761472.75</v>
          </cell>
          <cell r="N11">
            <v>603635490</v>
          </cell>
          <cell r="O11">
            <v>12061423104.566158</v>
          </cell>
          <cell r="P11">
            <v>144737077254.79388</v>
          </cell>
          <cell r="Q11">
            <v>3618426931.3698473</v>
          </cell>
          <cell r="R11">
            <v>148355504186.16373</v>
          </cell>
          <cell r="S11">
            <v>12061423104.566158</v>
          </cell>
          <cell r="T11">
            <v>160416927290.72989</v>
          </cell>
          <cell r="V11" t="str">
            <v>K</v>
          </cell>
          <cell r="Y11">
            <v>128126485071</v>
          </cell>
          <cell r="Z11">
            <v>32290442219.729889</v>
          </cell>
          <cell r="AA11">
            <v>0.252020042552767</v>
          </cell>
          <cell r="AC11">
            <v>6264</v>
          </cell>
          <cell r="AD11">
            <v>298</v>
          </cell>
        </row>
        <row r="12">
          <cell r="B12" t="str">
            <v>Kota Lhokseumawe</v>
          </cell>
          <cell r="C12" t="str">
            <v>06-2005</v>
          </cell>
          <cell r="D12">
            <v>8918015.1166611891</v>
          </cell>
          <cell r="E12">
            <v>51611008.912366241</v>
          </cell>
          <cell r="F12">
            <v>156947067.77303913</v>
          </cell>
          <cell r="G12">
            <v>85629558.252280995</v>
          </cell>
          <cell r="H12">
            <v>1883</v>
          </cell>
          <cell r="I12">
            <v>303105650.05434757</v>
          </cell>
          <cell r="J12">
            <v>2447645096</v>
          </cell>
          <cell r="K12">
            <v>240799546.49999997</v>
          </cell>
          <cell r="L12">
            <v>402141200</v>
          </cell>
          <cell r="M12">
            <v>100077576.99999999</v>
          </cell>
          <cell r="N12">
            <v>176387580</v>
          </cell>
          <cell r="O12">
            <v>3670156649.5543475</v>
          </cell>
          <cell r="P12">
            <v>44041879794.652168</v>
          </cell>
          <cell r="Q12">
            <v>1101046994.8663042</v>
          </cell>
          <cell r="R12">
            <v>45142926789.518471</v>
          </cell>
          <cell r="S12">
            <v>3670156649.5543475</v>
          </cell>
          <cell r="T12">
            <v>48813083439.072815</v>
          </cell>
          <cell r="V12" t="str">
            <v>K</v>
          </cell>
          <cell r="Y12">
            <v>39044511532</v>
          </cell>
          <cell r="Z12">
            <v>9768571907.0728149</v>
          </cell>
          <cell r="AA12">
            <v>0.25019065481371727</v>
          </cell>
          <cell r="AC12">
            <v>1894</v>
          </cell>
          <cell r="AD12">
            <v>297</v>
          </cell>
        </row>
        <row r="13">
          <cell r="B13" t="str">
            <v>Kab. Aceh Barat</v>
          </cell>
          <cell r="C13" t="str">
            <v>06-2005</v>
          </cell>
          <cell r="D13">
            <v>18083752.875451855</v>
          </cell>
          <cell r="E13">
            <v>154497890.31558987</v>
          </cell>
          <cell r="F13">
            <v>357327965.88169849</v>
          </cell>
          <cell r="G13">
            <v>88923002.800445646</v>
          </cell>
          <cell r="H13">
            <v>3855</v>
          </cell>
          <cell r="I13">
            <v>618832611.87318587</v>
          </cell>
          <cell r="J13">
            <v>4771004310</v>
          </cell>
          <cell r="K13">
            <v>456570658.59999996</v>
          </cell>
          <cell r="L13">
            <v>705511207</v>
          </cell>
          <cell r="M13">
            <v>185298915.79999998</v>
          </cell>
          <cell r="N13">
            <v>345222570</v>
          </cell>
          <cell r="O13">
            <v>7082440273.2731867</v>
          </cell>
          <cell r="P13">
            <v>84989283279.278244</v>
          </cell>
          <cell r="Q13">
            <v>2124732081.9819562</v>
          </cell>
          <cell r="R13">
            <v>87114015361.260193</v>
          </cell>
          <cell r="S13">
            <v>7082440273.2731867</v>
          </cell>
          <cell r="T13">
            <v>94196455634.533386</v>
          </cell>
          <cell r="V13" t="str">
            <v>K</v>
          </cell>
          <cell r="Y13">
            <v>74848548229</v>
          </cell>
          <cell r="Z13">
            <v>19347907405.533386</v>
          </cell>
          <cell r="AA13">
            <v>0.25849409057792599</v>
          </cell>
          <cell r="AC13">
            <v>3942</v>
          </cell>
          <cell r="AD13">
            <v>296</v>
          </cell>
        </row>
        <row r="14">
          <cell r="B14" t="str">
            <v>Kab. Simeuleu</v>
          </cell>
          <cell r="C14" t="str">
            <v>06-2005</v>
          </cell>
          <cell r="D14">
            <v>6440788.6953664152</v>
          </cell>
          <cell r="E14">
            <v>98530107.923608288</v>
          </cell>
          <cell r="F14">
            <v>108430555.16410162</v>
          </cell>
          <cell r="G14">
            <v>24865506.338643137</v>
          </cell>
          <cell r="H14">
            <v>1469</v>
          </cell>
          <cell r="I14">
            <v>238266958.12171945</v>
          </cell>
          <cell r="J14">
            <v>1663954066.9999998</v>
          </cell>
          <cell r="K14">
            <v>171423663.25</v>
          </cell>
          <cell r="L14">
            <v>269734629</v>
          </cell>
          <cell r="M14">
            <v>64244312.999999993</v>
          </cell>
          <cell r="N14">
            <v>131673840</v>
          </cell>
          <cell r="O14">
            <v>2539297470.3717194</v>
          </cell>
          <cell r="P14">
            <v>30471569644.460632</v>
          </cell>
          <cell r="Q14">
            <v>761789241.11151588</v>
          </cell>
          <cell r="R14">
            <v>31233358885.572147</v>
          </cell>
          <cell r="S14">
            <v>2539297470.3717194</v>
          </cell>
          <cell r="T14">
            <v>33772656355.943867</v>
          </cell>
          <cell r="V14" t="str">
            <v>K</v>
          </cell>
          <cell r="Y14">
            <v>26692298412</v>
          </cell>
          <cell r="Z14">
            <v>7080357943.9438667</v>
          </cell>
          <cell r="AA14">
            <v>0.26525845900032219</v>
          </cell>
          <cell r="AC14">
            <v>1434</v>
          </cell>
          <cell r="AD14">
            <v>287</v>
          </cell>
        </row>
        <row r="15">
          <cell r="B15" t="str">
            <v>Kab. Aceh Jaya</v>
          </cell>
          <cell r="C15" t="str">
            <v>06-2005</v>
          </cell>
          <cell r="D15">
            <v>9908905.6851790994</v>
          </cell>
          <cell r="E15">
            <v>66859716.091019906</v>
          </cell>
          <cell r="F15">
            <v>94260653.06879288</v>
          </cell>
          <cell r="G15">
            <v>16631894.968231501</v>
          </cell>
          <cell r="H15">
            <v>1152</v>
          </cell>
          <cell r="I15">
            <v>187661169.81322339</v>
          </cell>
          <cell r="J15">
            <v>1344101738</v>
          </cell>
          <cell r="K15">
            <v>137096511.69999999</v>
          </cell>
          <cell r="L15">
            <v>208238434</v>
          </cell>
          <cell r="M15">
            <v>52624587.649999999</v>
          </cell>
          <cell r="N15">
            <v>104893740</v>
          </cell>
          <cell r="O15">
            <v>2034616181.1632235</v>
          </cell>
          <cell r="P15">
            <v>24415394173.958683</v>
          </cell>
          <cell r="Q15">
            <v>610384854.34896708</v>
          </cell>
          <cell r="R15">
            <v>25025779028.307652</v>
          </cell>
          <cell r="S15">
            <v>2034616181.1632235</v>
          </cell>
          <cell r="T15">
            <v>27060395209.470875</v>
          </cell>
          <cell r="V15" t="str">
            <v>K</v>
          </cell>
          <cell r="Y15">
            <v>21409585119</v>
          </cell>
          <cell r="Z15">
            <v>5650810090.4708748</v>
          </cell>
          <cell r="AA15">
            <v>0.26393832757908264</v>
          </cell>
          <cell r="AC15">
            <v>1147</v>
          </cell>
          <cell r="AD15">
            <v>292</v>
          </cell>
        </row>
        <row r="16">
          <cell r="B16" t="str">
            <v>Kab. Nagan Raya</v>
          </cell>
          <cell r="C16" t="str">
            <v>06-2005</v>
          </cell>
          <cell r="D16">
            <v>13624745.317121262</v>
          </cell>
          <cell r="E16">
            <v>81103014.00514695</v>
          </cell>
          <cell r="F16">
            <v>188521306.13758576</v>
          </cell>
          <cell r="G16">
            <v>64222168.68921075</v>
          </cell>
          <cell r="H16">
            <v>2153</v>
          </cell>
          <cell r="I16">
            <v>347471234.14906478</v>
          </cell>
          <cell r="J16">
            <v>2685619725</v>
          </cell>
          <cell r="K16">
            <v>293371353.75</v>
          </cell>
          <cell r="L16">
            <v>416837405</v>
          </cell>
          <cell r="M16">
            <v>105517239.14999999</v>
          </cell>
          <cell r="N16">
            <v>213548730</v>
          </cell>
          <cell r="O16">
            <v>4062365687.0490651</v>
          </cell>
          <cell r="P16">
            <v>48748388244.588783</v>
          </cell>
          <cell r="Q16">
            <v>1218709706.1147196</v>
          </cell>
          <cell r="R16">
            <v>49967097950.703506</v>
          </cell>
          <cell r="S16">
            <v>4062365687.0490651</v>
          </cell>
          <cell r="T16">
            <v>54029463637.752571</v>
          </cell>
          <cell r="V16" t="str">
            <v>K</v>
          </cell>
          <cell r="Y16">
            <v>43063374653</v>
          </cell>
          <cell r="Z16">
            <v>10966088984.752571</v>
          </cell>
          <cell r="AA16">
            <v>0.25465001461488157</v>
          </cell>
          <cell r="AC16">
            <v>2115</v>
          </cell>
          <cell r="AD16">
            <v>308</v>
          </cell>
        </row>
        <row r="17">
          <cell r="B17" t="str">
            <v>Kab. Aceh Selatan</v>
          </cell>
          <cell r="C17" t="str">
            <v>06-2005</v>
          </cell>
          <cell r="D17">
            <v>11890686.82221492</v>
          </cell>
          <cell r="E17">
            <v>141595138.08749831</v>
          </cell>
          <cell r="F17">
            <v>324829603.46745783</v>
          </cell>
          <cell r="G17">
            <v>155285910.44596344</v>
          </cell>
          <cell r="H17">
            <v>3945</v>
          </cell>
          <cell r="I17">
            <v>633601338.82313442</v>
          </cell>
          <cell r="J17">
            <v>5104985975.999999</v>
          </cell>
          <cell r="K17">
            <v>531769372.49999994</v>
          </cell>
          <cell r="L17">
            <v>739853040</v>
          </cell>
          <cell r="M17">
            <v>155985682.59999999</v>
          </cell>
          <cell r="N17">
            <v>388422846</v>
          </cell>
          <cell r="O17">
            <v>7554618255.9231339</v>
          </cell>
          <cell r="P17">
            <v>90655419071.077606</v>
          </cell>
          <cell r="Q17">
            <v>2266385476.7769403</v>
          </cell>
          <cell r="R17">
            <v>92921804547.854553</v>
          </cell>
          <cell r="S17">
            <v>7554618255.9231339</v>
          </cell>
          <cell r="T17">
            <v>100476422803.77768</v>
          </cell>
          <cell r="V17" t="str">
            <v>K</v>
          </cell>
          <cell r="W17" t="str">
            <v>x</v>
          </cell>
          <cell r="Y17">
            <v>80150746000</v>
          </cell>
          <cell r="Z17">
            <v>20325676803.777679</v>
          </cell>
          <cell r="AA17">
            <v>0.25359310821358644</v>
          </cell>
          <cell r="AC17">
            <v>4032</v>
          </cell>
          <cell r="AD17">
            <v>298</v>
          </cell>
        </row>
        <row r="18">
          <cell r="B18" t="str">
            <v>Kab. Aceh Singkil</v>
          </cell>
          <cell r="C18" t="str">
            <v>06-2005</v>
          </cell>
          <cell r="D18">
            <v>4954452.8425895497</v>
          </cell>
          <cell r="E18">
            <v>121319384.58621156</v>
          </cell>
          <cell r="F18">
            <v>157255109.12293714</v>
          </cell>
          <cell r="G18">
            <v>29476328.706073653</v>
          </cell>
          <cell r="H18">
            <v>1944</v>
          </cell>
          <cell r="I18">
            <v>313005275.2578119</v>
          </cell>
          <cell r="J18">
            <v>2307974334.8759999</v>
          </cell>
          <cell r="K18">
            <v>240413993.21625</v>
          </cell>
          <cell r="L18">
            <v>334489034.03999996</v>
          </cell>
          <cell r="M18">
            <v>70521438.010099992</v>
          </cell>
          <cell r="N18">
            <v>175606742.87099999</v>
          </cell>
          <cell r="O18">
            <v>3442010818.2711616</v>
          </cell>
          <cell r="P18">
            <v>41304129819.253937</v>
          </cell>
          <cell r="Q18">
            <v>1032603245.4813485</v>
          </cell>
          <cell r="R18">
            <v>42336733064.735283</v>
          </cell>
          <cell r="S18">
            <v>3442010818.2711616</v>
          </cell>
          <cell r="T18">
            <v>45778743883.006447</v>
          </cell>
          <cell r="V18" t="str">
            <v>K</v>
          </cell>
          <cell r="W18" t="str">
            <v>x</v>
          </cell>
          <cell r="Y18">
            <v>36236312021</v>
          </cell>
          <cell r="Z18">
            <v>9542431862.0064468</v>
          </cell>
          <cell r="AA18">
            <v>0.26333893627133825</v>
          </cell>
          <cell r="AC18">
            <v>1918</v>
          </cell>
          <cell r="AD18">
            <v>299</v>
          </cell>
        </row>
        <row r="19">
          <cell r="B19" t="str">
            <v>Kab. Aceh Barat Daya</v>
          </cell>
          <cell r="C19" t="str">
            <v>06-2005</v>
          </cell>
          <cell r="D19">
            <v>4459007.5583305946</v>
          </cell>
          <cell r="E19">
            <v>60994828.714614652</v>
          </cell>
          <cell r="F19">
            <v>152942530.22436494</v>
          </cell>
          <cell r="G19">
            <v>82336113.704116344</v>
          </cell>
          <cell r="H19">
            <v>1875</v>
          </cell>
          <cell r="I19">
            <v>300732480.20142651</v>
          </cell>
          <cell r="J19">
            <v>2489737625.9999995</v>
          </cell>
          <cell r="K19">
            <v>259347669.37499997</v>
          </cell>
          <cell r="L19">
            <v>360831540</v>
          </cell>
          <cell r="M19">
            <v>76075316.349999979</v>
          </cell>
          <cell r="N19">
            <v>189436558.5</v>
          </cell>
          <cell r="O19">
            <v>3676161190.4264259</v>
          </cell>
          <cell r="P19">
            <v>44113934285.117111</v>
          </cell>
          <cell r="Q19">
            <v>1102848357.1279278</v>
          </cell>
          <cell r="R19">
            <v>45216782642.245041</v>
          </cell>
          <cell r="S19">
            <v>3676161190.4264259</v>
          </cell>
          <cell r="T19">
            <v>48892943832.671463</v>
          </cell>
          <cell r="V19" t="str">
            <v>K</v>
          </cell>
          <cell r="W19" t="str">
            <v>x</v>
          </cell>
          <cell r="Y19">
            <v>39090083500</v>
          </cell>
          <cell r="Z19">
            <v>9802860332.671463</v>
          </cell>
          <cell r="AA19">
            <v>0.25077614205330268</v>
          </cell>
          <cell r="AC19">
            <v>1827</v>
          </cell>
          <cell r="AD19">
            <v>306</v>
          </cell>
          <cell r="AF19" t="str">
            <v>,</v>
          </cell>
        </row>
        <row r="20">
          <cell r="B20" t="str">
            <v>Kab. Aceh Tengah</v>
          </cell>
          <cell r="C20" t="str">
            <v>06-2005</v>
          </cell>
          <cell r="D20">
            <v>21056424.581005588</v>
          </cell>
          <cell r="E20">
            <v>141930274.50900719</v>
          </cell>
          <cell r="F20">
            <v>342696001.76154274</v>
          </cell>
          <cell r="G20">
            <v>108354325.63461711</v>
          </cell>
          <cell r="H20">
            <v>3815</v>
          </cell>
          <cell r="I20">
            <v>614037026.48617268</v>
          </cell>
          <cell r="J20">
            <v>4958046611.999999</v>
          </cell>
          <cell r="K20">
            <v>516463188.74999994</v>
          </cell>
          <cell r="L20">
            <v>718557480</v>
          </cell>
          <cell r="M20">
            <v>151495868.69999996</v>
          </cell>
          <cell r="N20">
            <v>377242677</v>
          </cell>
          <cell r="O20">
            <v>7335842852.9361715</v>
          </cell>
          <cell r="P20">
            <v>88030114235.234055</v>
          </cell>
          <cell r="Q20">
            <v>2200752855.8808513</v>
          </cell>
          <cell r="R20">
            <v>90230867091.114899</v>
          </cell>
          <cell r="S20">
            <v>7335842852.9361715</v>
          </cell>
          <cell r="T20">
            <v>97566709944.051071</v>
          </cell>
          <cell r="V20" t="str">
            <v>K</v>
          </cell>
          <cell r="W20" t="str">
            <v>x</v>
          </cell>
          <cell r="Y20">
            <v>77843727000</v>
          </cell>
          <cell r="Z20">
            <v>19722982944.051071</v>
          </cell>
          <cell r="AA20">
            <v>0.25336637522572719</v>
          </cell>
          <cell r="AC20">
            <v>5398</v>
          </cell>
          <cell r="AD20">
            <v>297</v>
          </cell>
        </row>
        <row r="21">
          <cell r="B21" t="str">
            <v>Kab. Bener Meriah</v>
          </cell>
          <cell r="C21" t="str">
            <v>06-2005</v>
          </cell>
          <cell r="D21">
            <v>8670292.474531712</v>
          </cell>
          <cell r="E21">
            <v>53286691.019910604</v>
          </cell>
          <cell r="F21">
            <v>148167889.30094567</v>
          </cell>
          <cell r="G21">
            <v>46931584.811346315</v>
          </cell>
          <cell r="H21">
            <v>1600</v>
          </cell>
          <cell r="I21">
            <v>257056457.60673431</v>
          </cell>
          <cell r="J21">
            <v>2120302656</v>
          </cell>
          <cell r="K21">
            <v>220864859.99999997</v>
          </cell>
          <cell r="L21">
            <v>307290240</v>
          </cell>
          <cell r="M21">
            <v>64787025.599999994</v>
          </cell>
          <cell r="N21">
            <v>161327376</v>
          </cell>
          <cell r="O21">
            <v>3131628615.2067342</v>
          </cell>
          <cell r="P21">
            <v>37579543382.480812</v>
          </cell>
          <cell r="Q21">
            <v>939488584.5620203</v>
          </cell>
          <cell r="R21">
            <v>38519031967.042831</v>
          </cell>
          <cell r="S21">
            <v>3131628615.2067342</v>
          </cell>
          <cell r="T21">
            <v>41650660582.249565</v>
          </cell>
          <cell r="V21" t="str">
            <v>K</v>
          </cell>
          <cell r="W21" t="str">
            <v>x</v>
          </cell>
          <cell r="Y21">
            <v>33289776000</v>
          </cell>
          <cell r="Z21">
            <v>8360884582.2495651</v>
          </cell>
          <cell r="AA21">
            <v>0.25115472637153113</v>
          </cell>
          <cell r="AC21" t="e">
            <v>#N/A</v>
          </cell>
          <cell r="AD21">
            <v>307</v>
          </cell>
        </row>
        <row r="22">
          <cell r="B22" t="str">
            <v>Provinsi Nanggroe Aceh Darussalam</v>
          </cell>
          <cell r="C22" t="str">
            <v>03-2005</v>
          </cell>
          <cell r="D22">
            <v>19500000</v>
          </cell>
          <cell r="E22">
            <v>289876578.66199535</v>
          </cell>
          <cell r="F22">
            <v>667305569.4026643</v>
          </cell>
          <cell r="G22">
            <v>105096444.44444443</v>
          </cell>
          <cell r="H22">
            <v>6844</v>
          </cell>
          <cell r="I22">
            <v>1081778592.509104</v>
          </cell>
          <cell r="J22">
            <v>8957359430</v>
          </cell>
          <cell r="K22">
            <v>942879939.99999988</v>
          </cell>
          <cell r="L22">
            <v>768652125</v>
          </cell>
          <cell r="M22">
            <v>259291983.49999997</v>
          </cell>
          <cell r="N22">
            <v>645667785</v>
          </cell>
          <cell r="O22">
            <v>12655629856.009104</v>
          </cell>
          <cell r="P22">
            <v>151867558272.10925</v>
          </cell>
          <cell r="Q22">
            <v>3796688956.8027315</v>
          </cell>
          <cell r="R22">
            <v>155664247228.91199</v>
          </cell>
          <cell r="S22">
            <v>12655629856.009104</v>
          </cell>
          <cell r="T22">
            <v>168319877084.92108</v>
          </cell>
          <cell r="V22" t="str">
            <v>P</v>
          </cell>
          <cell r="W22" t="str">
            <v>x</v>
          </cell>
          <cell r="Y22">
            <v>133233035000</v>
          </cell>
          <cell r="Z22">
            <v>35086842084.921082</v>
          </cell>
          <cell r="AA22">
            <v>0.26334941694393649</v>
          </cell>
          <cell r="AC22">
            <v>7202</v>
          </cell>
          <cell r="AD22">
            <v>107</v>
          </cell>
        </row>
        <row r="23">
          <cell r="B23" t="str">
            <v>Kab. Aceh Besar</v>
          </cell>
          <cell r="C23" t="str">
            <v>03-2005</v>
          </cell>
          <cell r="D23">
            <v>27497213.276372001</v>
          </cell>
          <cell r="E23">
            <v>236103608.95300013</v>
          </cell>
          <cell r="F23">
            <v>567566187.18709445</v>
          </cell>
          <cell r="G23">
            <v>274014586.40729922</v>
          </cell>
          <cell r="H23">
            <v>6869</v>
          </cell>
          <cell r="I23">
            <v>1105181595.8237658</v>
          </cell>
          <cell r="J23">
            <v>8940277007.9999981</v>
          </cell>
          <cell r="K23">
            <v>931278854.99999988</v>
          </cell>
          <cell r="L23">
            <v>1295692320</v>
          </cell>
          <cell r="M23">
            <v>273175130.79999995</v>
          </cell>
          <cell r="N23">
            <v>680238468</v>
          </cell>
          <cell r="O23">
            <v>13225843377.623764</v>
          </cell>
          <cell r="P23">
            <v>158710120531.48517</v>
          </cell>
          <cell r="Q23">
            <v>3967753013.2871294</v>
          </cell>
          <cell r="R23">
            <v>162677873544.77231</v>
          </cell>
          <cell r="S23">
            <v>13225843377.623764</v>
          </cell>
          <cell r="T23">
            <v>175903716922.39606</v>
          </cell>
          <cell r="V23" t="str">
            <v>K</v>
          </cell>
          <cell r="W23" t="str">
            <v>x</v>
          </cell>
          <cell r="Y23">
            <v>140366668000</v>
          </cell>
          <cell r="Z23">
            <v>35537048922.396057</v>
          </cell>
          <cell r="AA23">
            <v>0.25317298920564285</v>
          </cell>
          <cell r="AC23">
            <v>6977</v>
          </cell>
          <cell r="AD23">
            <v>297</v>
          </cell>
        </row>
        <row r="24">
          <cell r="B24" t="str">
            <v>Kab. Aceh Pidie</v>
          </cell>
          <cell r="C24" t="str">
            <v>03-2005</v>
          </cell>
          <cell r="D24">
            <v>106025290.83141637</v>
          </cell>
          <cell r="E24">
            <v>299779529.03968573</v>
          </cell>
          <cell r="F24">
            <v>741609549.87947345</v>
          </cell>
          <cell r="G24">
            <v>353057255.5632509</v>
          </cell>
          <cell r="H24">
            <v>9176</v>
          </cell>
          <cell r="I24">
            <v>1500471625.3138266</v>
          </cell>
          <cell r="J24">
            <v>11755133387.999998</v>
          </cell>
          <cell r="K24">
            <v>1224493061.25</v>
          </cell>
          <cell r="L24">
            <v>1703642520</v>
          </cell>
          <cell r="M24">
            <v>359184631.29999995</v>
          </cell>
          <cell r="N24">
            <v>894412323</v>
          </cell>
          <cell r="O24">
            <v>17437337548.863823</v>
          </cell>
          <cell r="P24">
            <v>209248050586.36588</v>
          </cell>
          <cell r="Q24">
            <v>5231201264.6591473</v>
          </cell>
          <cell r="R24">
            <v>214479251851.02502</v>
          </cell>
          <cell r="S24">
            <v>17437337548.863823</v>
          </cell>
          <cell r="T24">
            <v>231916589399.88885</v>
          </cell>
          <cell r="V24" t="str">
            <v>K</v>
          </cell>
          <cell r="W24" t="str">
            <v>x</v>
          </cell>
          <cell r="Y24">
            <v>184561273000</v>
          </cell>
          <cell r="Z24">
            <v>47355316399.888855</v>
          </cell>
          <cell r="AA24">
            <v>0.25658316953572841</v>
          </cell>
          <cell r="AC24">
            <v>9238</v>
          </cell>
          <cell r="AD24">
            <v>299</v>
          </cell>
        </row>
        <row r="25">
          <cell r="B25" t="str">
            <v>Kota Banda Aceh</v>
          </cell>
          <cell r="C25" t="str">
            <v>03-2005</v>
          </cell>
          <cell r="D25">
            <v>12633854.748603351</v>
          </cell>
          <cell r="E25">
            <v>139751887.76919952</v>
          </cell>
          <cell r="F25">
            <v>451280577.60059339</v>
          </cell>
          <cell r="G25">
            <v>297892059.38149291</v>
          </cell>
          <cell r="H25">
            <v>5624</v>
          </cell>
          <cell r="I25">
            <v>901558379.49988914</v>
          </cell>
          <cell r="J25">
            <v>7284219876</v>
          </cell>
          <cell r="K25">
            <v>758772903.75</v>
          </cell>
          <cell r="L25">
            <v>1055684040</v>
          </cell>
          <cell r="M25">
            <v>222573385.09999999</v>
          </cell>
          <cell r="N25">
            <v>554234121</v>
          </cell>
          <cell r="O25">
            <v>10777042705.34989</v>
          </cell>
          <cell r="P25">
            <v>129324512464.19867</v>
          </cell>
          <cell r="Q25">
            <v>3233112811.6049671</v>
          </cell>
          <cell r="R25">
            <v>132557625275.80363</v>
          </cell>
          <cell r="S25">
            <v>10777042705.34989</v>
          </cell>
          <cell r="T25">
            <v>143334667981.15353</v>
          </cell>
          <cell r="V25" t="str">
            <v>K</v>
          </cell>
          <cell r="W25" t="str">
            <v>x</v>
          </cell>
          <cell r="Y25">
            <v>114365771000</v>
          </cell>
          <cell r="Z25">
            <v>28968896981.153534</v>
          </cell>
          <cell r="AA25">
            <v>0.25330041259594649</v>
          </cell>
          <cell r="AC25">
            <v>5594</v>
          </cell>
          <cell r="AD25">
            <v>290</v>
          </cell>
        </row>
        <row r="26">
          <cell r="B26" t="str">
            <v>Kota Sabang</v>
          </cell>
          <cell r="C26" t="str">
            <v>03-2005</v>
          </cell>
          <cell r="D26">
            <v>7431679.2638843246</v>
          </cell>
          <cell r="E26">
            <v>80600309.372883648</v>
          </cell>
          <cell r="F26">
            <v>123062519.28425738</v>
          </cell>
          <cell r="G26">
            <v>32111084.344605375</v>
          </cell>
          <cell r="H26">
            <v>1505</v>
          </cell>
          <cell r="I26">
            <v>243205592.26563072</v>
          </cell>
          <cell r="J26">
            <v>1878082848</v>
          </cell>
          <cell r="K26">
            <v>195633629.99999997</v>
          </cell>
          <cell r="L26">
            <v>272185920</v>
          </cell>
          <cell r="M26">
            <v>57385864.799999997</v>
          </cell>
          <cell r="N26">
            <v>142897608</v>
          </cell>
          <cell r="O26">
            <v>2789391463.0656309</v>
          </cell>
          <cell r="P26">
            <v>33472697556.787571</v>
          </cell>
          <cell r="Q26">
            <v>836817438.9196893</v>
          </cell>
          <cell r="R26">
            <v>34309514995.70726</v>
          </cell>
          <cell r="S26">
            <v>2789391463.0656309</v>
          </cell>
          <cell r="T26">
            <v>37098906458.772888</v>
          </cell>
          <cell r="V26" t="str">
            <v>K</v>
          </cell>
          <cell r="W26" t="str">
            <v>x</v>
          </cell>
          <cell r="Y26">
            <v>29486808000</v>
          </cell>
          <cell r="Z26">
            <v>7612098458.7728882</v>
          </cell>
          <cell r="AA26">
            <v>0.25815267826795252</v>
          </cell>
          <cell r="AC26">
            <v>1524</v>
          </cell>
          <cell r="AD26">
            <v>254</v>
          </cell>
        </row>
        <row r="27">
          <cell r="B27" t="str">
            <v>Kab. Aceh Timur</v>
          </cell>
          <cell r="C27" t="str">
            <v>03-2005</v>
          </cell>
          <cell r="D27">
            <v>85712034.176799208</v>
          </cell>
          <cell r="E27">
            <v>219011651.45604765</v>
          </cell>
          <cell r="F27">
            <v>397373341.36844057</v>
          </cell>
          <cell r="G27">
            <v>82171441.476708114</v>
          </cell>
          <cell r="H27">
            <v>4732</v>
          </cell>
          <cell r="I27">
            <v>784268468.47799563</v>
          </cell>
          <cell r="J27">
            <v>5634043199.999999</v>
          </cell>
          <cell r="K27">
            <v>586879500</v>
          </cell>
          <cell r="L27">
            <v>816528000</v>
          </cell>
          <cell r="M27">
            <v>172151320</v>
          </cell>
          <cell r="N27">
            <v>428677200</v>
          </cell>
          <cell r="O27">
            <v>8422547688.4779949</v>
          </cell>
          <cell r="P27">
            <v>101070572261.73593</v>
          </cell>
          <cell r="Q27">
            <v>2526764306.5433984</v>
          </cell>
          <cell r="R27">
            <v>103597336568.27933</v>
          </cell>
          <cell r="S27">
            <v>8422547688.4779949</v>
          </cell>
          <cell r="T27">
            <v>112019884256.75732</v>
          </cell>
          <cell r="V27" t="str">
            <v>K</v>
          </cell>
          <cell r="W27" t="str">
            <v>x</v>
          </cell>
          <cell r="Y27">
            <v>88457200000</v>
          </cell>
          <cell r="Z27">
            <v>23562684256.757324</v>
          </cell>
          <cell r="AA27">
            <v>0.26637384245439971</v>
          </cell>
          <cell r="AC27">
            <v>5141</v>
          </cell>
          <cell r="AD27">
            <v>297</v>
          </cell>
        </row>
        <row r="28">
          <cell r="B28" t="str">
            <v>Kota Langsa</v>
          </cell>
          <cell r="C28" t="str">
            <v>03-2005</v>
          </cell>
          <cell r="D28">
            <v>10156628.327308577</v>
          </cell>
          <cell r="E28">
            <v>73227308.09968847</v>
          </cell>
          <cell r="F28">
            <v>199610794.73391435</v>
          </cell>
          <cell r="G28">
            <v>95345219.669366732</v>
          </cell>
          <cell r="H28">
            <v>2353</v>
          </cell>
          <cell r="I28">
            <v>378339950.8302781</v>
          </cell>
          <cell r="J28">
            <v>3050715491.9999995</v>
          </cell>
          <cell r="K28">
            <v>317782863.75</v>
          </cell>
          <cell r="L28">
            <v>442132680</v>
          </cell>
          <cell r="M28">
            <v>93216306.699999988</v>
          </cell>
          <cell r="N28">
            <v>232119657</v>
          </cell>
          <cell r="O28">
            <v>4514306950.2802773</v>
          </cell>
          <cell r="P28">
            <v>54171683403.363327</v>
          </cell>
          <cell r="Q28">
            <v>1354292085.0840833</v>
          </cell>
          <cell r="R28">
            <v>55525975488.447411</v>
          </cell>
          <cell r="S28">
            <v>4514306950.2802773</v>
          </cell>
          <cell r="T28">
            <v>60040282438.727692</v>
          </cell>
          <cell r="V28" t="str">
            <v>K</v>
          </cell>
          <cell r="W28" t="str">
            <v>x</v>
          </cell>
          <cell r="Y28">
            <v>47897707000</v>
          </cell>
          <cell r="Z28">
            <v>12142575438.727692</v>
          </cell>
          <cell r="AA28">
            <v>0.25351057909155633</v>
          </cell>
          <cell r="AC28">
            <v>1987</v>
          </cell>
          <cell r="AD28">
            <v>155</v>
          </cell>
        </row>
        <row r="29">
          <cell r="B29" t="str">
            <v>Kab. Aceh Tenggara</v>
          </cell>
          <cell r="C29" t="str">
            <v>03-2005</v>
          </cell>
          <cell r="D29">
            <v>14615635.885639172</v>
          </cell>
          <cell r="E29">
            <v>176114189.50291207</v>
          </cell>
          <cell r="F29">
            <v>312199908.12163919</v>
          </cell>
          <cell r="G29">
            <v>77066602.4270529</v>
          </cell>
          <cell r="H29">
            <v>3605</v>
          </cell>
          <cell r="I29">
            <v>579996335.93724334</v>
          </cell>
          <cell r="J29">
            <v>4549702679.999999</v>
          </cell>
          <cell r="K29">
            <v>473927362.49999994</v>
          </cell>
          <cell r="L29">
            <v>659377200</v>
          </cell>
          <cell r="M29">
            <v>139018693</v>
          </cell>
          <cell r="N29">
            <v>346173030</v>
          </cell>
          <cell r="O29">
            <v>6748195301.4372425</v>
          </cell>
          <cell r="P29">
            <v>80978343617.246918</v>
          </cell>
          <cell r="Q29">
            <v>2024458590.4311731</v>
          </cell>
          <cell r="R29">
            <v>83002802207.678085</v>
          </cell>
          <cell r="S29">
            <v>6748195301.4372425</v>
          </cell>
          <cell r="T29">
            <v>89750997509.115326</v>
          </cell>
          <cell r="V29" t="str">
            <v>K</v>
          </cell>
          <cell r="W29" t="str">
            <v>x</v>
          </cell>
          <cell r="Y29">
            <v>71432530000</v>
          </cell>
          <cell r="Z29">
            <v>18318467509.115326</v>
          </cell>
          <cell r="AA29">
            <v>0.25644433298268066</v>
          </cell>
          <cell r="AC29">
            <v>3636</v>
          </cell>
          <cell r="AD29">
            <v>297</v>
          </cell>
        </row>
        <row r="30">
          <cell r="B30" t="str">
            <v>Kab. Gayo Lues</v>
          </cell>
          <cell r="C30" t="str">
            <v>03-2005</v>
          </cell>
          <cell r="D30">
            <v>4706730.2004600726</v>
          </cell>
          <cell r="E30">
            <v>52951554.598401733</v>
          </cell>
          <cell r="F30">
            <v>97957149.26756908</v>
          </cell>
          <cell r="G30">
            <v>22066078.472703181</v>
          </cell>
          <cell r="H30">
            <v>1105</v>
          </cell>
          <cell r="I30">
            <v>177681512.53913406</v>
          </cell>
          <cell r="J30">
            <v>1401862787.9999998</v>
          </cell>
          <cell r="K30">
            <v>146027373.75</v>
          </cell>
          <cell r="L30">
            <v>203168520</v>
          </cell>
          <cell r="M30">
            <v>42834696.299999997</v>
          </cell>
          <cell r="N30">
            <v>106663473</v>
          </cell>
          <cell r="O30">
            <v>2078238363.5891337</v>
          </cell>
          <cell r="P30">
            <v>24938860363.069603</v>
          </cell>
          <cell r="Q30">
            <v>623471509.07674015</v>
          </cell>
          <cell r="R30">
            <v>25562331872.146343</v>
          </cell>
          <cell r="S30">
            <v>2078238363.5891337</v>
          </cell>
          <cell r="T30">
            <v>27640570235.735477</v>
          </cell>
          <cell r="V30" t="str">
            <v>K</v>
          </cell>
          <cell r="W30" t="str">
            <v>x</v>
          </cell>
          <cell r="Y30">
            <v>22009923000</v>
          </cell>
          <cell r="Z30">
            <v>5630647235.7354774</v>
          </cell>
          <cell r="AA30">
            <v>0.25582312285851599</v>
          </cell>
          <cell r="AC30">
            <v>1074</v>
          </cell>
          <cell r="AD30">
            <v>301</v>
          </cell>
        </row>
        <row r="31">
          <cell r="B31" t="str">
            <v>Kab. Aceh Tamiang</v>
          </cell>
          <cell r="C31" t="str">
            <v>03-2005</v>
          </cell>
          <cell r="D31">
            <v>14367913.243509695</v>
          </cell>
          <cell r="E31">
            <v>103892290.66775024</v>
          </cell>
          <cell r="F31">
            <v>254904217.0406082</v>
          </cell>
          <cell r="G31">
            <v>64716185.371435449</v>
          </cell>
          <cell r="H31">
            <v>2726</v>
          </cell>
          <cell r="I31">
            <v>437880606.32330358</v>
          </cell>
          <cell r="J31">
            <v>3330154728</v>
          </cell>
          <cell r="K31">
            <v>346891117.5</v>
          </cell>
          <cell r="L31">
            <v>482631120</v>
          </cell>
          <cell r="M31">
            <v>101754727.8</v>
          </cell>
          <cell r="N31">
            <v>253381338</v>
          </cell>
          <cell r="O31">
            <v>4952693637.6233034</v>
          </cell>
          <cell r="P31">
            <v>59432323651.479645</v>
          </cell>
          <cell r="Q31">
            <v>1485808091.2869911</v>
          </cell>
          <cell r="R31">
            <v>60918131742.766632</v>
          </cell>
          <cell r="S31">
            <v>4952693637.6233034</v>
          </cell>
          <cell r="T31">
            <v>65870825380.389938</v>
          </cell>
          <cell r="V31" t="str">
            <v>K</v>
          </cell>
          <cell r="W31" t="str">
            <v>x</v>
          </cell>
          <cell r="Y31">
            <v>52285038000</v>
          </cell>
          <cell r="Z31">
            <v>13585787380.389938</v>
          </cell>
          <cell r="AA31">
            <v>0.25984082445134571</v>
          </cell>
          <cell r="AC31">
            <v>2518</v>
          </cell>
          <cell r="AD31">
            <v>295</v>
          </cell>
        </row>
        <row r="32">
          <cell r="B32" t="str">
            <v>Provinsi Sumatera Utara</v>
          </cell>
          <cell r="C32" t="str">
            <v>06-2005</v>
          </cell>
          <cell r="D32">
            <v>42500000</v>
          </cell>
          <cell r="E32">
            <v>521085599.0156824</v>
          </cell>
          <cell r="F32">
            <v>1114888573.2703052</v>
          </cell>
          <cell r="G32">
            <v>108533333.33333333</v>
          </cell>
          <cell r="H32">
            <v>11316</v>
          </cell>
          <cell r="I32">
            <v>1787007505.6193209</v>
          </cell>
          <cell r="J32">
            <v>14270962949.999998</v>
          </cell>
          <cell r="K32">
            <v>1564492199.9999998</v>
          </cell>
          <cell r="L32">
            <v>910340000</v>
          </cell>
          <cell r="M32">
            <v>490152999.99999994</v>
          </cell>
          <cell r="N32">
            <v>1142457000</v>
          </cell>
          <cell r="O32">
            <v>20165412655.61932</v>
          </cell>
          <cell r="P32">
            <v>241984951867.43182</v>
          </cell>
          <cell r="Q32">
            <v>6049623796.6857958</v>
          </cell>
          <cell r="R32">
            <v>248034575664.11761</v>
          </cell>
          <cell r="S32">
            <v>20165412655.61932</v>
          </cell>
          <cell r="T32">
            <v>268199988319.73694</v>
          </cell>
          <cell r="V32" t="str">
            <v>P</v>
          </cell>
          <cell r="Y32">
            <v>211236714000</v>
          </cell>
          <cell r="Z32">
            <v>56963274319.736938</v>
          </cell>
          <cell r="AA32">
            <v>0.26966559572469462</v>
          </cell>
          <cell r="AC32">
            <v>11960</v>
          </cell>
          <cell r="AD32">
            <v>114</v>
          </cell>
        </row>
        <row r="33">
          <cell r="B33" t="str">
            <v>Kota Medan</v>
          </cell>
          <cell r="C33" t="str">
            <v>06-2005</v>
          </cell>
          <cell r="D33">
            <v>51030864.27867236</v>
          </cell>
          <cell r="E33">
            <v>435007075.11851549</v>
          </cell>
          <cell r="F33">
            <v>1773548072.037827</v>
          </cell>
          <cell r="G33">
            <v>718958944.86434388</v>
          </cell>
          <cell r="H33">
            <v>18683</v>
          </cell>
          <cell r="I33">
            <v>2978544956.2993584</v>
          </cell>
          <cell r="J33">
            <v>25010967049.999996</v>
          </cell>
          <cell r="K33">
            <v>2454925700</v>
          </cell>
          <cell r="L33">
            <v>3252695000</v>
          </cell>
          <cell r="M33">
            <v>976130349.99999988</v>
          </cell>
          <cell r="N33">
            <v>1786684000</v>
          </cell>
          <cell r="O33">
            <v>36459947056.299355</v>
          </cell>
          <cell r="P33">
            <v>437519364675.59229</v>
          </cell>
          <cell r="Q33">
            <v>10937984116.889809</v>
          </cell>
          <cell r="R33">
            <v>448457348792.48212</v>
          </cell>
          <cell r="S33">
            <v>36459947056.299355</v>
          </cell>
          <cell r="T33">
            <v>484917295848.78149</v>
          </cell>
          <cell r="V33" t="str">
            <v>K</v>
          </cell>
          <cell r="Y33">
            <v>387030449000</v>
          </cell>
          <cell r="Z33">
            <v>97886846848.781494</v>
          </cell>
          <cell r="AA33">
            <v>0.25291768929731284</v>
          </cell>
          <cell r="AC33">
            <v>19003</v>
          </cell>
          <cell r="AD33">
            <v>296</v>
          </cell>
        </row>
        <row r="34">
          <cell r="B34" t="str">
            <v>Kota Binjai</v>
          </cell>
          <cell r="C34" t="str">
            <v>06-2005</v>
          </cell>
          <cell r="D34">
            <v>13377022.674991785</v>
          </cell>
          <cell r="E34">
            <v>129530226.91317892</v>
          </cell>
          <cell r="F34">
            <v>411081181.43890232</v>
          </cell>
          <cell r="G34">
            <v>125150892.83025685</v>
          </cell>
          <cell r="H34">
            <v>4256</v>
          </cell>
          <cell r="I34">
            <v>679139323.85732985</v>
          </cell>
          <cell r="J34">
            <v>5551093700</v>
          </cell>
          <cell r="K34">
            <v>533953049.99999994</v>
          </cell>
          <cell r="L34">
            <v>883633000</v>
          </cell>
          <cell r="M34">
            <v>224597299.99999997</v>
          </cell>
          <cell r="N34">
            <v>390598000</v>
          </cell>
          <cell r="O34">
            <v>8263014373.8573303</v>
          </cell>
          <cell r="P34">
            <v>99156172486.287964</v>
          </cell>
          <cell r="Q34">
            <v>2478904312.1571994</v>
          </cell>
          <cell r="R34">
            <v>101635076798.44516</v>
          </cell>
          <cell r="S34">
            <v>8263014373.8573303</v>
          </cell>
          <cell r="T34">
            <v>109898091172.30249</v>
          </cell>
          <cell r="V34" t="str">
            <v>K</v>
          </cell>
          <cell r="Y34">
            <v>87891414000</v>
          </cell>
          <cell r="Z34">
            <v>22006677172.30249</v>
          </cell>
          <cell r="AA34">
            <v>0.2503848347723987</v>
          </cell>
          <cell r="AC34">
            <v>4217</v>
          </cell>
          <cell r="AD34">
            <v>286</v>
          </cell>
        </row>
        <row r="35">
          <cell r="B35" t="str">
            <v>Kab. Langkat</v>
          </cell>
          <cell r="C35" t="str">
            <v>06-2005</v>
          </cell>
          <cell r="D35">
            <v>51278586.920801841</v>
          </cell>
          <cell r="E35">
            <v>351390537.952052</v>
          </cell>
          <cell r="F35">
            <v>1117574017.430002</v>
          </cell>
          <cell r="G35">
            <v>221319473.63666475</v>
          </cell>
          <cell r="H35">
            <v>10904</v>
          </cell>
          <cell r="I35">
            <v>1741562615.9395204</v>
          </cell>
          <cell r="J35">
            <v>13924565699.999998</v>
          </cell>
          <cell r="K35">
            <v>1522802400</v>
          </cell>
          <cell r="L35">
            <v>2006042000</v>
          </cell>
          <cell r="M35">
            <v>515508199.99999994</v>
          </cell>
          <cell r="N35">
            <v>1111614000</v>
          </cell>
          <cell r="O35">
            <v>20822094915.939518</v>
          </cell>
          <cell r="P35">
            <v>249865138991.27423</v>
          </cell>
          <cell r="Q35">
            <v>6246628474.7818565</v>
          </cell>
          <cell r="R35">
            <v>256111767466.05609</v>
          </cell>
          <cell r="S35">
            <v>20822094915.939518</v>
          </cell>
          <cell r="T35">
            <v>276933862381.99561</v>
          </cell>
          <cell r="V35" t="str">
            <v>K</v>
          </cell>
          <cell r="Y35">
            <v>220979434000</v>
          </cell>
          <cell r="Z35">
            <v>55954428381.995605</v>
          </cell>
          <cell r="AA35">
            <v>0.25321102226189796</v>
          </cell>
          <cell r="AC35">
            <v>10948</v>
          </cell>
          <cell r="AD35">
            <v>318</v>
          </cell>
        </row>
        <row r="36">
          <cell r="B36" t="str">
            <v>Kota Tebing Tinggi</v>
          </cell>
          <cell r="C36" t="str">
            <v>03-2005</v>
          </cell>
          <cell r="D36">
            <v>8174847.1902727569</v>
          </cell>
          <cell r="E36">
            <v>95178743.708519563</v>
          </cell>
          <cell r="F36">
            <v>269844222.51066196</v>
          </cell>
          <cell r="G36">
            <v>67021596.555150703</v>
          </cell>
          <cell r="H36">
            <v>2760</v>
          </cell>
          <cell r="I36">
            <v>440219409.96460497</v>
          </cell>
          <cell r="J36">
            <v>3663751925.9999995</v>
          </cell>
          <cell r="K36">
            <v>350184653.09999996</v>
          </cell>
          <cell r="L36">
            <v>508962850</v>
          </cell>
          <cell r="M36">
            <v>142061637.84999999</v>
          </cell>
          <cell r="N36">
            <v>287849250</v>
          </cell>
          <cell r="O36">
            <v>5393029726.9146051</v>
          </cell>
          <cell r="P36">
            <v>64716356722.975266</v>
          </cell>
          <cell r="Q36">
            <v>1617908918.0743818</v>
          </cell>
          <cell r="R36">
            <v>66334265641.049644</v>
          </cell>
          <cell r="S36">
            <v>5393029726.9146051</v>
          </cell>
          <cell r="T36">
            <v>71727295367.964249</v>
          </cell>
          <cell r="V36" t="str">
            <v>K</v>
          </cell>
          <cell r="Y36">
            <v>57341596962</v>
          </cell>
          <cell r="Z36">
            <v>14385698405.964249</v>
          </cell>
          <cell r="AA36">
            <v>0.25087718459424108</v>
          </cell>
          <cell r="AC36">
            <v>2759</v>
          </cell>
          <cell r="AD36">
            <v>133</v>
          </cell>
        </row>
        <row r="37">
          <cell r="B37" t="str">
            <v>Kab. Deli Serdang</v>
          </cell>
          <cell r="C37" t="str">
            <v>03-2005</v>
          </cell>
          <cell r="D37">
            <v>45828688.793953337</v>
          </cell>
          <cell r="E37">
            <v>468855853.69091153</v>
          </cell>
          <cell r="F37">
            <v>1534970046.5418136</v>
          </cell>
          <cell r="G37">
            <v>373970628.44409645</v>
          </cell>
          <cell r="H37">
            <v>15220</v>
          </cell>
          <cell r="I37">
            <v>2423625217.4707751</v>
          </cell>
          <cell r="J37">
            <v>19857824964.299999</v>
          </cell>
          <cell r="K37">
            <v>2213763371.0499997</v>
          </cell>
          <cell r="L37">
            <v>2957216550</v>
          </cell>
          <cell r="M37">
            <v>965702937.74999988</v>
          </cell>
          <cell r="N37">
            <v>1988672390</v>
          </cell>
          <cell r="O37">
            <v>30406805430.570774</v>
          </cell>
          <cell r="P37">
            <v>364881665166.8493</v>
          </cell>
          <cell r="Q37">
            <v>9122041629.1712322</v>
          </cell>
          <cell r="R37">
            <v>374003706796.02051</v>
          </cell>
          <cell r="S37">
            <v>30406805430.570774</v>
          </cell>
          <cell r="T37">
            <v>404410512226.59131</v>
          </cell>
          <cell r="V37" t="str">
            <v>K</v>
          </cell>
          <cell r="Y37">
            <v>324728255683</v>
          </cell>
          <cell r="Z37">
            <v>79682256543.591309</v>
          </cell>
          <cell r="AA37">
            <v>0.24538134624594293</v>
          </cell>
          <cell r="AC37">
            <v>20384</v>
          </cell>
          <cell r="AD37">
            <v>273</v>
          </cell>
        </row>
        <row r="38">
          <cell r="B38" t="str">
            <v>Kab. Simalungun</v>
          </cell>
          <cell r="C38" t="str">
            <v>06-2005</v>
          </cell>
          <cell r="D38">
            <v>50783141.636542886</v>
          </cell>
          <cell r="E38">
            <v>384736611.89218473</v>
          </cell>
          <cell r="F38">
            <v>1339825851.3814204</v>
          </cell>
          <cell r="G38">
            <v>301350176.15706581</v>
          </cell>
          <cell r="H38">
            <v>13030</v>
          </cell>
          <cell r="I38">
            <v>2076695781.067214</v>
          </cell>
          <cell r="J38">
            <v>16973199657.499998</v>
          </cell>
          <cell r="K38">
            <v>1852393702.9499998</v>
          </cell>
          <cell r="L38">
            <v>2461896950</v>
          </cell>
          <cell r="M38">
            <v>663032043.44999993</v>
          </cell>
          <cell r="N38">
            <v>1330760340</v>
          </cell>
          <cell r="O38">
            <v>25357978474.967213</v>
          </cell>
          <cell r="P38">
            <v>304295741699.60657</v>
          </cell>
          <cell r="Q38">
            <v>7607393542.4901648</v>
          </cell>
          <cell r="R38">
            <v>311903135242.09674</v>
          </cell>
          <cell r="S38">
            <v>25357978474.967213</v>
          </cell>
          <cell r="T38">
            <v>337261113717.06396</v>
          </cell>
          <cell r="V38" t="str">
            <v>K</v>
          </cell>
          <cell r="Y38">
            <v>269610744988</v>
          </cell>
          <cell r="Z38">
            <v>67650368729.063965</v>
          </cell>
          <cell r="AA38">
            <v>0.25091866695474241</v>
          </cell>
          <cell r="AC38">
            <v>13073</v>
          </cell>
          <cell r="AD38">
            <v>323</v>
          </cell>
        </row>
        <row r="39">
          <cell r="B39" t="str">
            <v>Kota Pematang Siantar</v>
          </cell>
          <cell r="C39" t="str">
            <v>06-2005</v>
          </cell>
          <cell r="D39">
            <v>12138409.464344397</v>
          </cell>
          <cell r="E39">
            <v>133551863.97128537</v>
          </cell>
          <cell r="F39">
            <v>486397291.48896718</v>
          </cell>
          <cell r="G39">
            <v>153968532.62669757</v>
          </cell>
          <cell r="H39">
            <v>4939</v>
          </cell>
          <cell r="I39">
            <v>786056097.55129457</v>
          </cell>
          <cell r="J39">
            <v>6544647469.999999</v>
          </cell>
          <cell r="K39">
            <v>631537282.0999999</v>
          </cell>
          <cell r="L39">
            <v>956294650</v>
          </cell>
          <cell r="M39">
            <v>262069073.64999998</v>
          </cell>
          <cell r="N39">
            <v>463837350</v>
          </cell>
          <cell r="O39">
            <v>9644441923.3012924</v>
          </cell>
          <cell r="P39">
            <v>115733303079.61551</v>
          </cell>
          <cell r="Q39">
            <v>2893332576.9903879</v>
          </cell>
          <cell r="R39">
            <v>118626635656.6059</v>
          </cell>
          <cell r="S39">
            <v>9644441923.3012924</v>
          </cell>
          <cell r="T39">
            <v>128271077579.9072</v>
          </cell>
          <cell r="V39" t="str">
            <v>K</v>
          </cell>
          <cell r="Y39">
            <v>102546324465</v>
          </cell>
          <cell r="Z39">
            <v>25724753114.907196</v>
          </cell>
          <cell r="AA39">
            <v>0.25085982602611262</v>
          </cell>
          <cell r="AC39">
            <v>5041</v>
          </cell>
          <cell r="AD39">
            <v>219</v>
          </cell>
        </row>
        <row r="40">
          <cell r="B40" t="str">
            <v>Kab. Asahan</v>
          </cell>
          <cell r="C40" t="str">
            <v>06-2005</v>
          </cell>
          <cell r="D40">
            <v>33938001.971738413</v>
          </cell>
          <cell r="E40">
            <v>287044345.02234864</v>
          </cell>
          <cell r="F40">
            <v>1069673587.5208604</v>
          </cell>
          <cell r="G40">
            <v>237457351.92267153</v>
          </cell>
          <cell r="H40">
            <v>10237</v>
          </cell>
          <cell r="I40">
            <v>1628113286.437619</v>
          </cell>
          <cell r="J40">
            <v>13315844249.999998</v>
          </cell>
          <cell r="K40">
            <v>1406339600</v>
          </cell>
          <cell r="L40">
            <v>1959549000</v>
          </cell>
          <cell r="M40">
            <v>530097099.99999994</v>
          </cell>
          <cell r="N40">
            <v>1000944000</v>
          </cell>
          <cell r="O40">
            <v>19840887236.437614</v>
          </cell>
          <cell r="P40">
            <v>238090646837.25137</v>
          </cell>
          <cell r="Q40">
            <v>5952266170.9312849</v>
          </cell>
          <cell r="R40">
            <v>244042913008.18265</v>
          </cell>
          <cell r="S40">
            <v>19840887236.437614</v>
          </cell>
          <cell r="T40">
            <v>263883800244.62027</v>
          </cell>
          <cell r="V40" t="str">
            <v>K</v>
          </cell>
          <cell r="Y40">
            <v>210903498000</v>
          </cell>
          <cell r="Z40">
            <v>52980302244.62027</v>
          </cell>
          <cell r="AA40">
            <v>0.25120637043497623</v>
          </cell>
          <cell r="AC40">
            <v>10401</v>
          </cell>
          <cell r="AD40">
            <v>321</v>
          </cell>
        </row>
        <row r="41">
          <cell r="B41" t="str">
            <v>Kota Tanjung Balai</v>
          </cell>
          <cell r="C41" t="str">
            <v>06-2005</v>
          </cell>
          <cell r="D41">
            <v>4954452.8425895497</v>
          </cell>
          <cell r="E41">
            <v>75740831.261005014</v>
          </cell>
          <cell r="F41">
            <v>193758009.08585203</v>
          </cell>
          <cell r="G41">
            <v>49401668.222469807</v>
          </cell>
          <cell r="H41">
            <v>2030</v>
          </cell>
          <cell r="I41">
            <v>323854961.41191638</v>
          </cell>
          <cell r="J41">
            <v>2597427950</v>
          </cell>
          <cell r="K41">
            <v>271380450</v>
          </cell>
          <cell r="L41">
            <v>398688000</v>
          </cell>
          <cell r="M41">
            <v>103473549.99999999</v>
          </cell>
          <cell r="N41">
            <v>198383000</v>
          </cell>
          <cell r="O41">
            <v>3893207911.4119163</v>
          </cell>
          <cell r="P41">
            <v>46718494936.942993</v>
          </cell>
          <cell r="Q41">
            <v>1167962373.4235749</v>
          </cell>
          <cell r="R41">
            <v>47886457310.36657</v>
          </cell>
          <cell r="S41">
            <v>3893207911.4119163</v>
          </cell>
          <cell r="T41">
            <v>51779665221.778488</v>
          </cell>
          <cell r="V41" t="str">
            <v>K</v>
          </cell>
          <cell r="Y41">
            <v>41361632000</v>
          </cell>
          <cell r="Z41">
            <v>10418033221.778488</v>
          </cell>
          <cell r="AA41">
            <v>0.25187674465500992</v>
          </cell>
          <cell r="AC41">
            <v>2047</v>
          </cell>
          <cell r="AD41">
            <v>285</v>
          </cell>
        </row>
        <row r="42">
          <cell r="B42" t="str">
            <v>Kab. Labuhan Batu</v>
          </cell>
          <cell r="C42" t="str">
            <v>06-2005</v>
          </cell>
          <cell r="D42">
            <v>48058192.573118635</v>
          </cell>
          <cell r="E42">
            <v>339660763.19924146</v>
          </cell>
          <cell r="F42">
            <v>980033554.7005378</v>
          </cell>
          <cell r="G42">
            <v>168130344.18380558</v>
          </cell>
          <cell r="H42">
            <v>9605</v>
          </cell>
          <cell r="I42">
            <v>1535882854.6567035</v>
          </cell>
          <cell r="J42">
            <v>12148734550</v>
          </cell>
          <cell r="K42">
            <v>1324438273.25</v>
          </cell>
          <cell r="L42">
            <v>1831132500</v>
          </cell>
          <cell r="M42">
            <v>471000767.74999994</v>
          </cell>
          <cell r="N42">
            <v>981836700</v>
          </cell>
          <cell r="O42">
            <v>18293025645.656704</v>
          </cell>
          <cell r="P42">
            <v>219516307747.88043</v>
          </cell>
          <cell r="Q42">
            <v>5487907693.697011</v>
          </cell>
          <cell r="R42">
            <v>225004215441.57745</v>
          </cell>
          <cell r="S42">
            <v>18293025645.656704</v>
          </cell>
          <cell r="T42">
            <v>243297241087.23416</v>
          </cell>
          <cell r="V42" t="str">
            <v>K</v>
          </cell>
          <cell r="Y42">
            <v>194204758891</v>
          </cell>
          <cell r="Z42">
            <v>49092482196.234161</v>
          </cell>
          <cell r="AA42">
            <v>0.25278722558898759</v>
          </cell>
          <cell r="AC42">
            <v>9631</v>
          </cell>
          <cell r="AD42">
            <v>315</v>
          </cell>
        </row>
        <row r="43">
          <cell r="B43" t="str">
            <v>Kab. Dairi</v>
          </cell>
          <cell r="C43" t="str">
            <v>03-2005</v>
          </cell>
          <cell r="D43">
            <v>20560979.29674663</v>
          </cell>
          <cell r="E43">
            <v>212644059.44737911</v>
          </cell>
          <cell r="F43">
            <v>458673569.99814576</v>
          </cell>
          <cell r="G43">
            <v>93863169.62269263</v>
          </cell>
          <cell r="H43">
            <v>4900</v>
          </cell>
          <cell r="I43">
            <v>785741778.36496413</v>
          </cell>
          <cell r="J43">
            <v>6151364950</v>
          </cell>
          <cell r="K43">
            <v>661087850</v>
          </cell>
          <cell r="L43">
            <v>927364000</v>
          </cell>
          <cell r="M43">
            <v>237813099.99999997</v>
          </cell>
          <cell r="N43">
            <v>497297000</v>
          </cell>
          <cell r="O43">
            <v>9260668678.3649635</v>
          </cell>
          <cell r="P43">
            <v>111128024140.37956</v>
          </cell>
          <cell r="Q43">
            <v>2778200603.5094891</v>
          </cell>
          <cell r="R43">
            <v>113906224743.88905</v>
          </cell>
          <cell r="S43">
            <v>9260668678.3649635</v>
          </cell>
          <cell r="T43">
            <v>123166893422.25401</v>
          </cell>
          <cell r="V43" t="str">
            <v>K</v>
          </cell>
          <cell r="Y43">
            <v>98219251000</v>
          </cell>
          <cell r="Z43">
            <v>24947642422.254013</v>
          </cell>
          <cell r="AA43">
            <v>0.25399951810113086</v>
          </cell>
          <cell r="AC43">
            <v>5573</v>
          </cell>
          <cell r="AD43">
            <v>314</v>
          </cell>
        </row>
        <row r="44">
          <cell r="B44" t="str">
            <v>Kab. Tanah Karo</v>
          </cell>
          <cell r="C44" t="str">
            <v>03-2005</v>
          </cell>
          <cell r="D44">
            <v>24276818.928688794</v>
          </cell>
          <cell r="E44">
            <v>192871010.57835567</v>
          </cell>
          <cell r="F44">
            <v>694941285.36992407</v>
          </cell>
          <cell r="G44">
            <v>154462549.30892226</v>
          </cell>
          <cell r="H44">
            <v>6699</v>
          </cell>
          <cell r="I44">
            <v>1066551664.1858908</v>
          </cell>
          <cell r="J44">
            <v>8666930150</v>
          </cell>
          <cell r="K44">
            <v>910643599.99999988</v>
          </cell>
          <cell r="L44">
            <v>1255231000</v>
          </cell>
          <cell r="M44">
            <v>337983850</v>
          </cell>
          <cell r="N44">
            <v>659903000</v>
          </cell>
          <cell r="O44">
            <v>12897243264.18589</v>
          </cell>
          <cell r="P44">
            <v>154766919170.23068</v>
          </cell>
          <cell r="Q44">
            <v>3869172979.2557673</v>
          </cell>
          <cell r="R44">
            <v>158636092149.48645</v>
          </cell>
          <cell r="S44">
            <v>12897243264.18589</v>
          </cell>
          <cell r="T44">
            <v>171533335413.67233</v>
          </cell>
          <cell r="V44" t="str">
            <v>K</v>
          </cell>
          <cell r="Y44">
            <v>136985654000</v>
          </cell>
          <cell r="Z44">
            <v>34547681413.672333</v>
          </cell>
          <cell r="AA44">
            <v>0.25219926616310007</v>
          </cell>
          <cell r="AC44">
            <v>6784</v>
          </cell>
          <cell r="AD44">
            <v>253</v>
          </cell>
        </row>
        <row r="45">
          <cell r="B45" t="str">
            <v>Kab. Pakpak Bharat</v>
          </cell>
          <cell r="C45" t="str">
            <v>03-2005</v>
          </cell>
          <cell r="D45">
            <v>4211284.9162011174</v>
          </cell>
          <cell r="E45">
            <v>31502823.621833943</v>
          </cell>
          <cell r="F45">
            <v>64072600.778787322</v>
          </cell>
          <cell r="G45">
            <v>11527055.918576289</v>
          </cell>
          <cell r="H45">
            <v>691</v>
          </cell>
          <cell r="I45">
            <v>111313765.23539867</v>
          </cell>
          <cell r="J45">
            <v>839899049.99999988</v>
          </cell>
          <cell r="K45">
            <v>90703950</v>
          </cell>
          <cell r="L45">
            <v>137021000</v>
          </cell>
          <cell r="M45">
            <v>67147350</v>
          </cell>
          <cell r="N45">
            <v>68515000</v>
          </cell>
          <cell r="O45">
            <v>1314600115.2353985</v>
          </cell>
          <cell r="P45">
            <v>15775201382.824783</v>
          </cell>
          <cell r="Q45">
            <v>394380034.57061958</v>
          </cell>
          <cell r="R45">
            <v>16169581417.395403</v>
          </cell>
          <cell r="S45">
            <v>1314600115.2353985</v>
          </cell>
          <cell r="T45">
            <v>17484181532.630802</v>
          </cell>
          <cell r="V45" t="str">
            <v>K</v>
          </cell>
          <cell r="Y45">
            <v>13950885000</v>
          </cell>
          <cell r="Z45">
            <v>3533296532.6308022</v>
          </cell>
          <cell r="AA45">
            <v>0.25326683809885914</v>
          </cell>
          <cell r="AC45">
            <v>131</v>
          </cell>
          <cell r="AD45">
            <v>221</v>
          </cell>
        </row>
        <row r="46">
          <cell r="B46" t="str">
            <v>Kab. Serdang Berdagai</v>
          </cell>
          <cell r="C46" t="str">
            <v>03-2005</v>
          </cell>
          <cell r="D46">
            <v>20560979.29674663</v>
          </cell>
          <cell r="E46">
            <v>152151935.36502776</v>
          </cell>
          <cell r="F46">
            <v>563253608.28852224</v>
          </cell>
          <cell r="G46">
            <v>108354325.63461711</v>
          </cell>
          <cell r="H46">
            <v>5306</v>
          </cell>
          <cell r="I46">
            <v>844320848.58491373</v>
          </cell>
          <cell r="J46">
            <v>6840136174.999999</v>
          </cell>
          <cell r="K46">
            <v>794164595.3499999</v>
          </cell>
          <cell r="L46">
            <v>1068363050</v>
          </cell>
          <cell r="M46">
            <v>332617169.14999998</v>
          </cell>
          <cell r="N46">
            <v>556484460</v>
          </cell>
          <cell r="O46">
            <v>10436086298.084913</v>
          </cell>
          <cell r="P46">
            <v>125233035577.01895</v>
          </cell>
          <cell r="Q46">
            <v>3130825889.4254742</v>
          </cell>
          <cell r="R46">
            <v>128363861466.44443</v>
          </cell>
          <cell r="S46">
            <v>10436086298.084913</v>
          </cell>
          <cell r="T46">
            <v>138799947764.52933</v>
          </cell>
          <cell r="V46" t="str">
            <v>K</v>
          </cell>
          <cell r="Y46">
            <v>111187392706</v>
          </cell>
          <cell r="Z46">
            <v>27612555058.529327</v>
          </cell>
          <cell r="AA46">
            <v>0.24834249986904561</v>
          </cell>
          <cell r="AC46" t="e">
            <v>#N/A</v>
          </cell>
          <cell r="AD46">
            <v>131</v>
          </cell>
        </row>
        <row r="47">
          <cell r="B47" t="str">
            <v>Kab. Toba Samosir</v>
          </cell>
          <cell r="C47" t="str">
            <v>06-2005</v>
          </cell>
          <cell r="D47">
            <v>11890686.82221492</v>
          </cell>
          <cell r="E47">
            <v>117297747.5281051</v>
          </cell>
          <cell r="F47">
            <v>321441148.61857969</v>
          </cell>
          <cell r="G47">
            <v>99791369.80938901</v>
          </cell>
          <cell r="H47">
            <v>3441</v>
          </cell>
          <cell r="I47">
            <v>550420952.77828872</v>
          </cell>
          <cell r="J47">
            <v>4404196400</v>
          </cell>
          <cell r="K47">
            <v>472432649.99999994</v>
          </cell>
          <cell r="L47">
            <v>690171000</v>
          </cell>
          <cell r="M47">
            <v>101419649.99999999</v>
          </cell>
          <cell r="N47">
            <v>344380000</v>
          </cell>
          <cell r="O47">
            <v>6563020652.7782888</v>
          </cell>
          <cell r="P47">
            <v>78756247833.339462</v>
          </cell>
          <cell r="Q47">
            <v>1968906195.8334866</v>
          </cell>
          <cell r="R47">
            <v>80725154029.172943</v>
          </cell>
          <cell r="S47">
            <v>6563020652.7782888</v>
          </cell>
          <cell r="T47">
            <v>87288174681.951233</v>
          </cell>
          <cell r="V47" t="str">
            <v>K</v>
          </cell>
          <cell r="Y47">
            <v>69724993000</v>
          </cell>
          <cell r="Z47">
            <v>17563181681.951233</v>
          </cell>
          <cell r="AA47">
            <v>0.25189219713440819</v>
          </cell>
          <cell r="AC47">
            <v>5448</v>
          </cell>
          <cell r="AD47">
            <v>322</v>
          </cell>
        </row>
        <row r="48">
          <cell r="B48" t="str">
            <v>Kab. Humbang Hasundutan</v>
          </cell>
          <cell r="C48" t="str">
            <v>06-2005</v>
          </cell>
          <cell r="D48">
            <v>9165737.7587906681</v>
          </cell>
          <cell r="E48">
            <v>84621946.430990115</v>
          </cell>
          <cell r="F48">
            <v>227642557.57463381</v>
          </cell>
          <cell r="G48">
            <v>72126435.604805917</v>
          </cell>
          <cell r="H48">
            <v>2458</v>
          </cell>
          <cell r="I48">
            <v>393556677.3692205</v>
          </cell>
          <cell r="J48">
            <v>3144472599.9999995</v>
          </cell>
          <cell r="K48">
            <v>363919800</v>
          </cell>
          <cell r="L48">
            <v>500165000</v>
          </cell>
          <cell r="M48">
            <v>76101250</v>
          </cell>
          <cell r="N48">
            <v>268042000</v>
          </cell>
          <cell r="O48">
            <v>4746257327.3692198</v>
          </cell>
          <cell r="P48">
            <v>56955087928.430634</v>
          </cell>
          <cell r="Q48">
            <v>1423877198.2107658</v>
          </cell>
          <cell r="R48">
            <v>58378965126.641403</v>
          </cell>
          <cell r="S48">
            <v>4746257327.3692198</v>
          </cell>
          <cell r="T48">
            <v>63125222454.01062</v>
          </cell>
          <cell r="V48" t="str">
            <v>K</v>
          </cell>
          <cell r="Y48">
            <v>50508640000</v>
          </cell>
          <cell r="Z48">
            <v>12616582454.01062</v>
          </cell>
          <cell r="AA48">
            <v>0.24979057947334596</v>
          </cell>
          <cell r="AC48">
            <v>67</v>
          </cell>
          <cell r="AD48">
            <v>263</v>
          </cell>
        </row>
        <row r="49">
          <cell r="B49" t="str">
            <v>Kab. Samosir</v>
          </cell>
          <cell r="C49" t="str">
            <v>06-2005</v>
          </cell>
          <cell r="D49">
            <v>8174847.1902727569</v>
          </cell>
          <cell r="E49">
            <v>59486714.817824729</v>
          </cell>
          <cell r="F49">
            <v>163261915.44594845</v>
          </cell>
          <cell r="G49">
            <v>68009629.919600099</v>
          </cell>
          <cell r="H49">
            <v>1861</v>
          </cell>
          <cell r="I49">
            <v>298933107.37364602</v>
          </cell>
          <cell r="J49">
            <v>2434277450</v>
          </cell>
          <cell r="K49">
            <v>277132750</v>
          </cell>
          <cell r="L49">
            <v>399163000</v>
          </cell>
          <cell r="M49">
            <v>97157749.999999985</v>
          </cell>
          <cell r="N49">
            <v>198323000</v>
          </cell>
          <cell r="O49">
            <v>3704987057.3736458</v>
          </cell>
          <cell r="P49">
            <v>44459844688.483749</v>
          </cell>
          <cell r="Q49">
            <v>1111496117.2120938</v>
          </cell>
          <cell r="R49">
            <v>45571340805.695847</v>
          </cell>
          <cell r="S49">
            <v>3704987057.3736458</v>
          </cell>
          <cell r="T49">
            <v>49276327863.069489</v>
          </cell>
          <cell r="V49" t="str">
            <v>K</v>
          </cell>
          <cell r="Y49">
            <v>39517556000</v>
          </cell>
          <cell r="Z49">
            <v>9758771863.0694885</v>
          </cell>
          <cell r="AA49">
            <v>0.24694775818295769</v>
          </cell>
          <cell r="AC49" t="e">
            <v>#N/A</v>
          </cell>
          <cell r="AD49">
            <v>265</v>
          </cell>
        </row>
        <row r="50">
          <cell r="B50" t="str">
            <v>Kab. Mandailing Natal</v>
          </cell>
          <cell r="C50" t="str">
            <v>06-2005</v>
          </cell>
          <cell r="D50">
            <v>17836030.233322378</v>
          </cell>
          <cell r="E50">
            <v>201584557.53758633</v>
          </cell>
          <cell r="F50">
            <v>474229658.16799557</v>
          </cell>
          <cell r="G50">
            <v>107860308.95239241</v>
          </cell>
          <cell r="H50">
            <v>5009</v>
          </cell>
          <cell r="I50">
            <v>801510554.89129674</v>
          </cell>
          <cell r="J50">
            <v>6220807699.999999</v>
          </cell>
          <cell r="K50">
            <v>654041800</v>
          </cell>
          <cell r="L50">
            <v>961113000</v>
          </cell>
          <cell r="M50">
            <v>243633249.99999997</v>
          </cell>
          <cell r="N50">
            <v>488872000</v>
          </cell>
          <cell r="O50">
            <v>9369978304.8912964</v>
          </cell>
          <cell r="P50">
            <v>112439739658.69556</v>
          </cell>
          <cell r="Q50">
            <v>2810993491.4673891</v>
          </cell>
          <cell r="R50">
            <v>115250733150.16295</v>
          </cell>
          <cell r="S50">
            <v>9369978304.8912964</v>
          </cell>
          <cell r="T50">
            <v>124620711455.05424</v>
          </cell>
          <cell r="V50" t="str">
            <v>K</v>
          </cell>
          <cell r="Y50">
            <v>99322847000</v>
          </cell>
          <cell r="Z50">
            <v>25297864455.054245</v>
          </cell>
          <cell r="AA50">
            <v>0.25470337610292471</v>
          </cell>
          <cell r="AC50">
            <v>5007</v>
          </cell>
          <cell r="AD50">
            <v>307</v>
          </cell>
        </row>
        <row r="51">
          <cell r="B51" t="str">
            <v>Kab. Tapanuli Selatan</v>
          </cell>
          <cell r="C51" t="str">
            <v>06-2005</v>
          </cell>
          <cell r="D51">
            <v>48305915.215248108</v>
          </cell>
          <cell r="E51">
            <v>367141949.76296896</v>
          </cell>
          <cell r="F51">
            <v>835716182.27331734</v>
          </cell>
          <cell r="G51">
            <v>167142310.81935617</v>
          </cell>
          <cell r="H51">
            <v>8827</v>
          </cell>
          <cell r="I51">
            <v>1418306358.0708907</v>
          </cell>
          <cell r="J51">
            <v>10884071500</v>
          </cell>
          <cell r="K51">
            <v>1187878700</v>
          </cell>
          <cell r="L51">
            <v>1573507000</v>
          </cell>
          <cell r="M51">
            <v>416848549.99999994</v>
          </cell>
          <cell r="N51">
            <v>896742000</v>
          </cell>
          <cell r="O51">
            <v>16377354108.07089</v>
          </cell>
          <cell r="P51">
            <v>196528249296.85068</v>
          </cell>
          <cell r="Q51">
            <v>4913206232.4212675</v>
          </cell>
          <cell r="R51">
            <v>201441455529.27194</v>
          </cell>
          <cell r="S51">
            <v>16377354108.07089</v>
          </cell>
          <cell r="T51">
            <v>217818809637.34283</v>
          </cell>
          <cell r="V51" t="str">
            <v>K</v>
          </cell>
          <cell r="Y51">
            <v>173296708000</v>
          </cell>
          <cell r="Z51">
            <v>44522101637.342834</v>
          </cell>
          <cell r="AA51">
            <v>0.25691256430181486</v>
          </cell>
          <cell r="AC51">
            <v>8642</v>
          </cell>
          <cell r="AD51">
            <v>288</v>
          </cell>
        </row>
        <row r="52">
          <cell r="B52" t="str">
            <v>Kota Padang Sidempuan</v>
          </cell>
          <cell r="C52" t="str">
            <v>06-2005</v>
          </cell>
          <cell r="D52">
            <v>8422569.8324022349</v>
          </cell>
          <cell r="E52">
            <v>73227308.09968847</v>
          </cell>
          <cell r="F52">
            <v>342696001.76154274</v>
          </cell>
          <cell r="G52">
            <v>121034087.14505103</v>
          </cell>
          <cell r="H52">
            <v>3431</v>
          </cell>
          <cell r="I52">
            <v>545379966.83868444</v>
          </cell>
          <cell r="J52">
            <v>4570074700</v>
          </cell>
          <cell r="K52">
            <v>428807399.99999994</v>
          </cell>
          <cell r="L52">
            <v>707112000</v>
          </cell>
          <cell r="M52">
            <v>183548050</v>
          </cell>
          <cell r="N52">
            <v>321602000</v>
          </cell>
          <cell r="O52">
            <v>6756524116.8386841</v>
          </cell>
          <cell r="P52">
            <v>81078289402.064209</v>
          </cell>
          <cell r="Q52">
            <v>2026957235.0516052</v>
          </cell>
          <cell r="R52">
            <v>83105246637.115814</v>
          </cell>
          <cell r="S52">
            <v>6756524116.8386841</v>
          </cell>
          <cell r="T52">
            <v>89861770753.954498</v>
          </cell>
          <cell r="V52" t="str">
            <v>K</v>
          </cell>
          <cell r="Y52">
            <v>71959537000</v>
          </cell>
          <cell r="Z52">
            <v>17902233753.954498</v>
          </cell>
          <cell r="AA52">
            <v>0.24878194747076399</v>
          </cell>
          <cell r="AC52">
            <v>3417</v>
          </cell>
          <cell r="AD52">
            <v>288</v>
          </cell>
        </row>
        <row r="53">
          <cell r="B53" t="str">
            <v>Kota Sibolga</v>
          </cell>
          <cell r="C53" t="str">
            <v>06-2005</v>
          </cell>
          <cell r="D53">
            <v>4706730.2004600726</v>
          </cell>
          <cell r="E53">
            <v>102216608.56020588</v>
          </cell>
          <cell r="F53">
            <v>190369554.23697385</v>
          </cell>
          <cell r="G53">
            <v>56482574.001023814</v>
          </cell>
          <cell r="H53">
            <v>2208</v>
          </cell>
          <cell r="I53">
            <v>353775466.9986636</v>
          </cell>
          <cell r="J53">
            <v>2717441950</v>
          </cell>
          <cell r="K53">
            <v>246160949.99999997</v>
          </cell>
          <cell r="L53">
            <v>419678000</v>
          </cell>
          <cell r="M53">
            <v>25584049.999999996</v>
          </cell>
          <cell r="N53">
            <v>190620000</v>
          </cell>
          <cell r="O53">
            <v>3953260416.9986634</v>
          </cell>
          <cell r="P53">
            <v>47439125003.983963</v>
          </cell>
          <cell r="Q53">
            <v>1185978125.0995991</v>
          </cell>
          <cell r="R53">
            <v>48625103129.083565</v>
          </cell>
          <cell r="S53">
            <v>3953260416.9986634</v>
          </cell>
          <cell r="T53">
            <v>52578363546.08223</v>
          </cell>
          <cell r="V53" t="str">
            <v>K</v>
          </cell>
          <cell r="Y53">
            <v>41726178000</v>
          </cell>
          <cell r="Z53">
            <v>10852185546.08223</v>
          </cell>
          <cell r="AA53">
            <v>0.26008098671491625</v>
          </cell>
          <cell r="AC53">
            <v>1961</v>
          </cell>
          <cell r="AD53">
            <v>184</v>
          </cell>
        </row>
        <row r="54">
          <cell r="B54" t="str">
            <v>Kab. Tapanuli Tengah</v>
          </cell>
          <cell r="C54" t="str">
            <v>06-2005</v>
          </cell>
          <cell r="D54">
            <v>22295037.791652974</v>
          </cell>
          <cell r="E54">
            <v>181308804.03629959</v>
          </cell>
          <cell r="F54">
            <v>412775408.86334139</v>
          </cell>
          <cell r="G54">
            <v>50389701.586919203</v>
          </cell>
          <cell r="H54">
            <v>4158</v>
          </cell>
          <cell r="I54">
            <v>666768952.27821314</v>
          </cell>
          <cell r="J54">
            <v>5134171550</v>
          </cell>
          <cell r="K54">
            <v>522789999.99999994</v>
          </cell>
          <cell r="L54">
            <v>695950000</v>
          </cell>
          <cell r="M54">
            <v>39607150</v>
          </cell>
          <cell r="N54">
            <v>396435000</v>
          </cell>
          <cell r="O54">
            <v>7455722652.2782135</v>
          </cell>
          <cell r="P54">
            <v>89468671827.338562</v>
          </cell>
          <cell r="Q54">
            <v>2236716795.6834641</v>
          </cell>
          <cell r="R54">
            <v>91705388623.022034</v>
          </cell>
          <cell r="S54">
            <v>7455722652.2782135</v>
          </cell>
          <cell r="T54">
            <v>99161111275.300247</v>
          </cell>
          <cell r="V54" t="str">
            <v>K</v>
          </cell>
          <cell r="Y54">
            <v>78599833000</v>
          </cell>
          <cell r="Z54">
            <v>20561278275.300247</v>
          </cell>
          <cell r="AA54">
            <v>0.26159442699197905</v>
          </cell>
          <cell r="AC54">
            <v>4297</v>
          </cell>
          <cell r="AD54">
            <v>270</v>
          </cell>
        </row>
        <row r="55">
          <cell r="B55" t="str">
            <v>Kab. Nias</v>
          </cell>
          <cell r="C55" t="str">
            <v>06-2005</v>
          </cell>
          <cell r="D55">
            <v>27992658.560630955</v>
          </cell>
          <cell r="E55">
            <v>239957677.80035216</v>
          </cell>
          <cell r="F55">
            <v>529523080.47468942</v>
          </cell>
          <cell r="G55">
            <v>82665458.158932805</v>
          </cell>
          <cell r="H55">
            <v>5485</v>
          </cell>
          <cell r="I55">
            <v>880138874.9946053</v>
          </cell>
          <cell r="J55">
            <v>6847628999.999999</v>
          </cell>
          <cell r="K55">
            <v>728714750</v>
          </cell>
          <cell r="L55">
            <v>931885000</v>
          </cell>
          <cell r="M55">
            <v>244595799.99999997</v>
          </cell>
          <cell r="N55">
            <v>577277000</v>
          </cell>
          <cell r="O55">
            <v>10210240424.994604</v>
          </cell>
          <cell r="P55">
            <v>122522885099.93524</v>
          </cell>
          <cell r="Q55">
            <v>3063072127.4983811</v>
          </cell>
          <cell r="R55">
            <v>125585957227.43362</v>
          </cell>
          <cell r="S55">
            <v>10210240424.994604</v>
          </cell>
          <cell r="T55">
            <v>135796197652.42822</v>
          </cell>
          <cell r="V55" t="str">
            <v>K</v>
          </cell>
          <cell r="Y55">
            <v>108029727000</v>
          </cell>
          <cell r="Z55">
            <v>27766470652.428223</v>
          </cell>
          <cell r="AA55">
            <v>0.25702620402278925</v>
          </cell>
          <cell r="AC55">
            <v>7198</v>
          </cell>
          <cell r="AD55">
            <v>246</v>
          </cell>
        </row>
        <row r="56">
          <cell r="B56" t="str">
            <v>Kab. Nias Selatan</v>
          </cell>
          <cell r="C56" t="str">
            <v>06-2005</v>
          </cell>
          <cell r="D56">
            <v>10404350.969438056</v>
          </cell>
          <cell r="E56">
            <v>72389467.045916289</v>
          </cell>
          <cell r="F56">
            <v>144471393.10216948</v>
          </cell>
          <cell r="G56">
            <v>25853539.703092534</v>
          </cell>
          <cell r="H56">
            <v>1569</v>
          </cell>
          <cell r="I56">
            <v>253118750.82061639</v>
          </cell>
          <cell r="J56">
            <v>1955293249.9999998</v>
          </cell>
          <cell r="K56">
            <v>246526649.99999997</v>
          </cell>
          <cell r="L56">
            <v>323516000</v>
          </cell>
          <cell r="M56">
            <v>87209100</v>
          </cell>
          <cell r="N56">
            <v>180088000</v>
          </cell>
          <cell r="O56">
            <v>3045751750.8206162</v>
          </cell>
          <cell r="P56">
            <v>36549021009.847397</v>
          </cell>
          <cell r="Q56">
            <v>913725525.24618495</v>
          </cell>
          <cell r="R56">
            <v>37462746535.093582</v>
          </cell>
          <cell r="S56">
            <v>3045751750.8206162</v>
          </cell>
          <cell r="T56">
            <v>40508498285.9142</v>
          </cell>
          <cell r="V56" t="str">
            <v>K</v>
          </cell>
          <cell r="Y56">
            <v>32422832000</v>
          </cell>
          <cell r="Z56">
            <v>8085666285.9141998</v>
          </cell>
          <cell r="AA56">
            <v>0.24938186417257444</v>
          </cell>
          <cell r="AC56">
            <v>0</v>
          </cell>
          <cell r="AD56">
            <v>277</v>
          </cell>
        </row>
        <row r="57">
          <cell r="B57" t="str">
            <v>Kab. Tapanuli Utara</v>
          </cell>
          <cell r="C57" t="str">
            <v>06-2005</v>
          </cell>
          <cell r="D57">
            <v>20313256.654617153</v>
          </cell>
          <cell r="E57">
            <v>181979076.87931734</v>
          </cell>
          <cell r="F57">
            <v>500875234.93417394</v>
          </cell>
          <cell r="G57">
            <v>152321810.35261524</v>
          </cell>
          <cell r="H57">
            <v>5345</v>
          </cell>
          <cell r="I57">
            <v>855489378.82072365</v>
          </cell>
          <cell r="J57">
            <v>6908012049.999999</v>
          </cell>
          <cell r="K57">
            <v>740694300</v>
          </cell>
          <cell r="L57">
            <v>1009846000</v>
          </cell>
          <cell r="M57">
            <v>267493449.99999997</v>
          </cell>
          <cell r="N57">
            <v>550135000</v>
          </cell>
          <cell r="O57">
            <v>10331670178.820723</v>
          </cell>
          <cell r="P57">
            <v>123980042145.84866</v>
          </cell>
          <cell r="Q57">
            <v>3099501053.6462169</v>
          </cell>
          <cell r="R57">
            <v>127079543199.49487</v>
          </cell>
          <cell r="S57">
            <v>10331670178.820723</v>
          </cell>
          <cell r="T57">
            <v>137411213378.3156</v>
          </cell>
          <cell r="V57" t="str">
            <v>K</v>
          </cell>
          <cell r="Y57">
            <v>109770661000</v>
          </cell>
          <cell r="Z57">
            <v>27640552378.315598</v>
          </cell>
          <cell r="AA57">
            <v>0.25180273241058099</v>
          </cell>
          <cell r="AC57">
            <v>7882</v>
          </cell>
          <cell r="AD57">
            <v>287</v>
          </cell>
        </row>
        <row r="58">
          <cell r="B58" t="str">
            <v>Provinsi Sumatera Barat</v>
          </cell>
          <cell r="C58" t="str">
            <v>06-2005</v>
          </cell>
          <cell r="D58">
            <v>18500000</v>
          </cell>
          <cell r="E58">
            <v>353389835.00166833</v>
          </cell>
          <cell r="F58">
            <v>803577948.4314568</v>
          </cell>
          <cell r="G58">
            <v>105277333.33333333</v>
          </cell>
          <cell r="H58">
            <v>8129</v>
          </cell>
          <cell r="I58">
            <v>1280745116.7664583</v>
          </cell>
          <cell r="J58">
            <v>10284347006</v>
          </cell>
          <cell r="K58">
            <v>1047719405.9499999</v>
          </cell>
          <cell r="L58">
            <v>907023750</v>
          </cell>
          <cell r="M58">
            <v>511383626.09999996</v>
          </cell>
          <cell r="N58">
            <v>766422390</v>
          </cell>
          <cell r="O58">
            <v>14797641294.81646</v>
          </cell>
          <cell r="P58">
            <v>177571695537.79752</v>
          </cell>
          <cell r="Q58">
            <v>4439292388.4449377</v>
          </cell>
          <cell r="R58">
            <v>182010987926.24246</v>
          </cell>
          <cell r="S58">
            <v>14797641294.81646</v>
          </cell>
          <cell r="T58">
            <v>196808629221.05893</v>
          </cell>
          <cell r="V58" t="str">
            <v>P</v>
          </cell>
          <cell r="Y58">
            <v>155642573645</v>
          </cell>
          <cell r="Z58">
            <v>41166055576.058929</v>
          </cell>
          <cell r="AA58">
            <v>0.26449097192361537</v>
          </cell>
          <cell r="AC58">
            <v>8479</v>
          </cell>
          <cell r="AD58">
            <v>0</v>
          </cell>
        </row>
        <row r="59">
          <cell r="B59" t="str">
            <v>Kota Padang</v>
          </cell>
          <cell r="C59" t="str">
            <v>06-2005</v>
          </cell>
          <cell r="D59">
            <v>35919783.108774237</v>
          </cell>
          <cell r="E59">
            <v>287379481.44385749</v>
          </cell>
          <cell r="F59">
            <v>1287612842.5737066</v>
          </cell>
          <cell r="G59">
            <v>472609292.66162783</v>
          </cell>
          <cell r="H59">
            <v>13090</v>
          </cell>
          <cell r="I59">
            <v>2083521399.7879663</v>
          </cell>
          <cell r="J59">
            <v>17452134741</v>
          </cell>
          <cell r="K59">
            <v>1621236408.4999998</v>
          </cell>
          <cell r="L59">
            <v>2375201050</v>
          </cell>
          <cell r="M59">
            <v>706031627.89999998</v>
          </cell>
          <cell r="N59">
            <v>1154372760</v>
          </cell>
          <cell r="O59">
            <v>25392497987.187969</v>
          </cell>
          <cell r="P59">
            <v>304709975846.25562</v>
          </cell>
          <cell r="Q59">
            <v>7617749396.1563911</v>
          </cell>
          <cell r="R59">
            <v>312327725242.41199</v>
          </cell>
          <cell r="S59">
            <v>25392497987.187969</v>
          </cell>
          <cell r="T59">
            <v>337720223229.59998</v>
          </cell>
          <cell r="V59" t="str">
            <v>K</v>
          </cell>
          <cell r="Y59">
            <v>269486231560</v>
          </cell>
          <cell r="Z59">
            <v>68233991669.599976</v>
          </cell>
          <cell r="AA59">
            <v>0.25320028884076018</v>
          </cell>
          <cell r="AC59">
            <v>12856</v>
          </cell>
          <cell r="AD59">
            <v>274</v>
          </cell>
        </row>
        <row r="60">
          <cell r="B60" t="str">
            <v>Kota Pariaman</v>
          </cell>
          <cell r="C60" t="str">
            <v>06-2005</v>
          </cell>
          <cell r="D60">
            <v>6688511.3374958923</v>
          </cell>
          <cell r="E60">
            <v>67027284.301774345</v>
          </cell>
          <cell r="F60">
            <v>191447698.96161693</v>
          </cell>
          <cell r="G60">
            <v>60105363.004004933</v>
          </cell>
          <cell r="H60">
            <v>2035</v>
          </cell>
          <cell r="I60">
            <v>325268857.60489213</v>
          </cell>
          <cell r="J60">
            <v>2520038838</v>
          </cell>
          <cell r="K60">
            <v>227475818.99999997</v>
          </cell>
          <cell r="L60">
            <v>421123818</v>
          </cell>
          <cell r="M60">
            <v>95597523.149999991</v>
          </cell>
          <cell r="N60">
            <v>170729760</v>
          </cell>
          <cell r="O60">
            <v>3760234615.7548923</v>
          </cell>
          <cell r="P60">
            <v>45122815389.058708</v>
          </cell>
          <cell r="Q60">
            <v>1128070384.7264678</v>
          </cell>
          <cell r="R60">
            <v>46250885773.785179</v>
          </cell>
          <cell r="S60">
            <v>3760234615.7548923</v>
          </cell>
          <cell r="T60">
            <v>50011120389.54007</v>
          </cell>
          <cell r="V60" t="str">
            <v>K</v>
          </cell>
          <cell r="Y60">
            <v>39834923297</v>
          </cell>
          <cell r="Z60">
            <v>10176197092.54007</v>
          </cell>
          <cell r="AA60">
            <v>0.25545918631921771</v>
          </cell>
          <cell r="AC60">
            <v>1693</v>
          </cell>
          <cell r="AD60">
            <v>289</v>
          </cell>
        </row>
        <row r="61">
          <cell r="B61" t="str">
            <v>Kab. Padang Pariaman</v>
          </cell>
          <cell r="C61" t="str">
            <v>06-2005</v>
          </cell>
          <cell r="D61">
            <v>40131068.024975352</v>
          </cell>
          <cell r="E61">
            <v>219346787.87755653</v>
          </cell>
          <cell r="F61">
            <v>733908516.13202298</v>
          </cell>
          <cell r="G61">
            <v>169941738.68529615</v>
          </cell>
          <cell r="H61">
            <v>7268</v>
          </cell>
          <cell r="I61">
            <v>1163328110.719851</v>
          </cell>
          <cell r="J61">
            <v>9242493972</v>
          </cell>
          <cell r="K61">
            <v>999393032.99999988</v>
          </cell>
          <cell r="L61">
            <v>1350455000</v>
          </cell>
          <cell r="M61">
            <v>322671759.84999996</v>
          </cell>
          <cell r="N61">
            <v>693273600</v>
          </cell>
          <cell r="O61">
            <v>13771615475.569851</v>
          </cell>
          <cell r="P61">
            <v>165259385706.8382</v>
          </cell>
          <cell r="Q61">
            <v>4131484642.6709552</v>
          </cell>
          <cell r="R61">
            <v>169390870349.50916</v>
          </cell>
          <cell r="S61">
            <v>13771615475.569851</v>
          </cell>
          <cell r="T61">
            <v>183162485825.07901</v>
          </cell>
          <cell r="V61" t="str">
            <v>K</v>
          </cell>
          <cell r="Y61">
            <v>145998563100</v>
          </cell>
          <cell r="Z61">
            <v>37163922725.07901</v>
          </cell>
          <cell r="AA61">
            <v>0.25454992114973091</v>
          </cell>
          <cell r="AC61">
            <v>7067</v>
          </cell>
          <cell r="AD61">
            <v>275</v>
          </cell>
        </row>
        <row r="62">
          <cell r="B62" t="str">
            <v>Kab. Kepulauan Mentawai</v>
          </cell>
          <cell r="C62" t="str">
            <v>06-2005</v>
          </cell>
          <cell r="D62">
            <v>9908905.6851790994</v>
          </cell>
          <cell r="E62">
            <v>98194971.50209941</v>
          </cell>
          <cell r="F62">
            <v>90410136.195067689</v>
          </cell>
          <cell r="G62">
            <v>8727628.0526363328</v>
          </cell>
          <cell r="H62">
            <v>1266</v>
          </cell>
          <cell r="I62">
            <v>207241641.43498254</v>
          </cell>
          <cell r="J62">
            <v>1381837585</v>
          </cell>
          <cell r="K62">
            <v>145629645.09999999</v>
          </cell>
          <cell r="L62">
            <v>192860000</v>
          </cell>
          <cell r="M62">
            <v>128646914.3</v>
          </cell>
          <cell r="N62">
            <v>116850610</v>
          </cell>
          <cell r="O62">
            <v>2173066395.8349824</v>
          </cell>
          <cell r="P62">
            <v>26076796750.019791</v>
          </cell>
          <cell r="Q62">
            <v>651919918.75049484</v>
          </cell>
          <cell r="R62">
            <v>26728716668.770287</v>
          </cell>
          <cell r="S62">
            <v>2173066395.8349824</v>
          </cell>
          <cell r="T62">
            <v>28901783064.60527</v>
          </cell>
          <cell r="V62" t="str">
            <v>K</v>
          </cell>
          <cell r="Y62">
            <v>22748319711</v>
          </cell>
          <cell r="Z62">
            <v>6153463353.6052704</v>
          </cell>
          <cell r="AA62">
            <v>0.27050188461303143</v>
          </cell>
          <cell r="AC62">
            <v>1256</v>
          </cell>
          <cell r="AD62">
            <v>217</v>
          </cell>
        </row>
        <row r="63">
          <cell r="B63" t="str">
            <v>Kota Padang Panjang</v>
          </cell>
          <cell r="C63" t="str">
            <v>06-2005</v>
          </cell>
          <cell r="D63">
            <v>14120190.601380218</v>
          </cell>
          <cell r="E63">
            <v>62167806.189895704</v>
          </cell>
          <cell r="F63">
            <v>181898417.11477843</v>
          </cell>
          <cell r="G63">
            <v>52695112.770634457</v>
          </cell>
          <cell r="H63">
            <v>1929</v>
          </cell>
          <cell r="I63">
            <v>310881526.67668879</v>
          </cell>
          <cell r="J63">
            <v>2393847889</v>
          </cell>
          <cell r="K63">
            <v>220377600.39999998</v>
          </cell>
          <cell r="L63">
            <v>359474750</v>
          </cell>
          <cell r="M63">
            <v>96086388.149999991</v>
          </cell>
          <cell r="N63">
            <v>166487970</v>
          </cell>
          <cell r="O63">
            <v>3547156124.2266889</v>
          </cell>
          <cell r="P63">
            <v>42565873490.720268</v>
          </cell>
          <cell r="Q63">
            <v>1064146837.2680068</v>
          </cell>
          <cell r="R63">
            <v>43630020327.988274</v>
          </cell>
          <cell r="S63">
            <v>3547156124.2266889</v>
          </cell>
          <cell r="T63">
            <v>47177176452.214966</v>
          </cell>
          <cell r="V63" t="str">
            <v>K</v>
          </cell>
          <cell r="Y63">
            <v>37477075207</v>
          </cell>
          <cell r="Z63">
            <v>9700101245.2149658</v>
          </cell>
          <cell r="AA63">
            <v>0.25882759504677605</v>
          </cell>
          <cell r="AC63">
            <v>1741</v>
          </cell>
          <cell r="AD63">
            <v>161</v>
          </cell>
        </row>
        <row r="64">
          <cell r="B64" t="str">
            <v>Kota Bukit Tinggi</v>
          </cell>
          <cell r="C64" t="str">
            <v>06-2005</v>
          </cell>
          <cell r="D64">
            <v>19570088.728228722</v>
          </cell>
          <cell r="E64">
            <v>86632764.960043341</v>
          </cell>
          <cell r="F64">
            <v>295103613.2022993</v>
          </cell>
          <cell r="G64">
            <v>99956042.03679724</v>
          </cell>
          <cell r="H64">
            <v>3119</v>
          </cell>
          <cell r="I64">
            <v>501262508.92736858</v>
          </cell>
          <cell r="J64">
            <v>4019218075.9999995</v>
          </cell>
          <cell r="K64">
            <v>376549432.34999996</v>
          </cell>
          <cell r="L64">
            <v>511844550</v>
          </cell>
          <cell r="M64">
            <v>37144710.199999996</v>
          </cell>
          <cell r="N64">
            <v>271652520</v>
          </cell>
          <cell r="O64">
            <v>5717671797.4773684</v>
          </cell>
          <cell r="P64">
            <v>68612061569.728424</v>
          </cell>
          <cell r="Q64">
            <v>1715301539.2432108</v>
          </cell>
          <cell r="R64">
            <v>70327363108.971634</v>
          </cell>
          <cell r="S64">
            <v>5717671797.4773684</v>
          </cell>
          <cell r="T64">
            <v>76045034906.449005</v>
          </cell>
          <cell r="V64" t="str">
            <v>K</v>
          </cell>
          <cell r="Y64">
            <v>60298677777</v>
          </cell>
          <cell r="Z64">
            <v>15746357129.449005</v>
          </cell>
          <cell r="AA64">
            <v>0.26113934351401663</v>
          </cell>
          <cell r="AC64">
            <v>3032</v>
          </cell>
          <cell r="AD64">
            <v>130</v>
          </cell>
        </row>
        <row r="65">
          <cell r="B65" t="str">
            <v>Kota Payakumbuh</v>
          </cell>
          <cell r="C65" t="str">
            <v>06-2005</v>
          </cell>
          <cell r="D65">
            <v>5202175.4847190278</v>
          </cell>
          <cell r="E65">
            <v>104730131.72152241</v>
          </cell>
          <cell r="F65">
            <v>289866910.25403303</v>
          </cell>
          <cell r="G65">
            <v>99132680.899756074</v>
          </cell>
          <cell r="H65">
            <v>3130</v>
          </cell>
          <cell r="I65">
            <v>498931898.36003053</v>
          </cell>
          <cell r="J65">
            <v>4000860487.9999995</v>
          </cell>
          <cell r="K65">
            <v>375033828.94999999</v>
          </cell>
          <cell r="L65">
            <v>588401750</v>
          </cell>
          <cell r="M65">
            <v>170152505</v>
          </cell>
          <cell r="N65">
            <v>272765850</v>
          </cell>
          <cell r="O65">
            <v>5906146320.31003</v>
          </cell>
          <cell r="P65">
            <v>70873755843.720367</v>
          </cell>
          <cell r="Q65">
            <v>1771843896.0930092</v>
          </cell>
          <cell r="R65">
            <v>72645599739.81337</v>
          </cell>
          <cell r="S65">
            <v>5906146320.31003</v>
          </cell>
          <cell r="T65">
            <v>78551746060.123398</v>
          </cell>
          <cell r="V65" t="str">
            <v>K</v>
          </cell>
          <cell r="Y65">
            <v>62587325788</v>
          </cell>
          <cell r="Z65">
            <v>15964420272.123398</v>
          </cell>
          <cell r="AA65">
            <v>0.25507433128232954</v>
          </cell>
          <cell r="AC65">
            <v>2915</v>
          </cell>
          <cell r="AD65">
            <v>255</v>
          </cell>
        </row>
        <row r="66">
          <cell r="B66" t="str">
            <v>Kab. Limapuluh Koto</v>
          </cell>
          <cell r="C66" t="str">
            <v>06-2005</v>
          </cell>
          <cell r="D66">
            <v>39883345.382845879</v>
          </cell>
          <cell r="E66">
            <v>192871010.57835567</v>
          </cell>
          <cell r="F66">
            <v>632562912.01557577</v>
          </cell>
          <cell r="G66">
            <v>145076232.34665301</v>
          </cell>
          <cell r="H66">
            <v>6300</v>
          </cell>
          <cell r="I66">
            <v>1010393500.3234303</v>
          </cell>
          <cell r="J66">
            <v>7967295840.999999</v>
          </cell>
          <cell r="K66">
            <v>801654523.49999988</v>
          </cell>
          <cell r="L66">
            <v>1125693450</v>
          </cell>
          <cell r="M66">
            <v>320204431.39999998</v>
          </cell>
          <cell r="N66">
            <v>580105110</v>
          </cell>
          <cell r="O66">
            <v>11805346856.223429</v>
          </cell>
          <cell r="P66">
            <v>141664162274.68115</v>
          </cell>
          <cell r="Q66">
            <v>3541604056.8670292</v>
          </cell>
          <cell r="R66">
            <v>145205766331.54819</v>
          </cell>
          <cell r="S66">
            <v>11805346856.223429</v>
          </cell>
          <cell r="T66">
            <v>157011113187.77161</v>
          </cell>
          <cell r="V66" t="str">
            <v>K</v>
          </cell>
          <cell r="Y66">
            <v>124926349678</v>
          </cell>
          <cell r="Z66">
            <v>32084763509.771606</v>
          </cell>
          <cell r="AA66">
            <v>0.25682943264147784</v>
          </cell>
          <cell r="AC66" t="e">
            <v>#N/A</v>
          </cell>
          <cell r="AD66">
            <v>274</v>
          </cell>
        </row>
        <row r="67">
          <cell r="B67" t="str">
            <v xml:space="preserve">Kab. Agam         </v>
          </cell>
          <cell r="C67" t="str">
            <v>06-2005</v>
          </cell>
          <cell r="D67">
            <v>38397009.530069008</v>
          </cell>
          <cell r="E67">
            <v>191362896.68156576</v>
          </cell>
          <cell r="F67">
            <v>702488298.44242537</v>
          </cell>
          <cell r="G67">
            <v>235316612.9663645</v>
          </cell>
          <cell r="H67">
            <v>7287</v>
          </cell>
          <cell r="I67">
            <v>1167564817.6204247</v>
          </cell>
          <cell r="J67">
            <v>9520800021</v>
          </cell>
          <cell r="K67">
            <v>982461592.19999993</v>
          </cell>
          <cell r="L67">
            <v>1432110300</v>
          </cell>
          <cell r="M67">
            <v>379385408.25</v>
          </cell>
          <cell r="N67">
            <v>700585470</v>
          </cell>
          <cell r="O67">
            <v>14182907609.070425</v>
          </cell>
          <cell r="P67">
            <v>170194891308.84509</v>
          </cell>
          <cell r="Q67">
            <v>4254872282.7211275</v>
          </cell>
          <cell r="R67">
            <v>174449763591.56622</v>
          </cell>
          <cell r="S67">
            <v>14182907609.070425</v>
          </cell>
          <cell r="T67">
            <v>188632671200.63666</v>
          </cell>
          <cell r="V67" t="str">
            <v>K</v>
          </cell>
          <cell r="Y67">
            <v>150750926313</v>
          </cell>
          <cell r="Z67">
            <v>37881744887.636658</v>
          </cell>
          <cell r="AA67">
            <v>0.2512869792188463</v>
          </cell>
          <cell r="AC67">
            <v>7395</v>
          </cell>
          <cell r="AD67">
            <v>292</v>
          </cell>
        </row>
        <row r="68">
          <cell r="B68" t="str">
            <v>Kab. Tanah Datar</v>
          </cell>
          <cell r="C68" t="str">
            <v>06-2005</v>
          </cell>
          <cell r="D68">
            <v>27497213.276372001</v>
          </cell>
          <cell r="E68">
            <v>179800690.13950968</v>
          </cell>
          <cell r="F68">
            <v>697405616.16910815</v>
          </cell>
          <cell r="G68">
            <v>163190177.36155859</v>
          </cell>
          <cell r="H68">
            <v>6703</v>
          </cell>
          <cell r="I68">
            <v>1067893696.9465483</v>
          </cell>
          <cell r="J68">
            <v>8626486237</v>
          </cell>
          <cell r="K68">
            <v>859066154.04999995</v>
          </cell>
          <cell r="L68">
            <v>1178718050</v>
          </cell>
          <cell r="M68">
            <v>81862253.199999988</v>
          </cell>
          <cell r="N68">
            <v>617597580</v>
          </cell>
          <cell r="O68">
            <v>12431623971.196548</v>
          </cell>
          <cell r="P68">
            <v>149179487654.35858</v>
          </cell>
          <cell r="Q68">
            <v>3729487191.3589649</v>
          </cell>
          <cell r="R68">
            <v>152908974845.71756</v>
          </cell>
          <cell r="S68">
            <v>12431623971.196548</v>
          </cell>
          <cell r="T68">
            <v>165340598816.91412</v>
          </cell>
          <cell r="V68" t="str">
            <v>K</v>
          </cell>
          <cell r="Y68">
            <v>131509747473</v>
          </cell>
          <cell r="Z68">
            <v>33830851343.914124</v>
          </cell>
          <cell r="AA68">
            <v>0.25724976280453937</v>
          </cell>
          <cell r="AC68">
            <v>6588</v>
          </cell>
          <cell r="AD68">
            <v>286</v>
          </cell>
        </row>
        <row r="69">
          <cell r="B69" t="str">
            <v>Kota Sawahlunto</v>
          </cell>
          <cell r="C69" t="str">
            <v>06-2005</v>
          </cell>
          <cell r="D69">
            <v>4459007.5583305946</v>
          </cell>
          <cell r="E69">
            <v>85292219.274007857</v>
          </cell>
          <cell r="F69">
            <v>174505424.71722606</v>
          </cell>
          <cell r="G69">
            <v>46437568.129121616</v>
          </cell>
          <cell r="H69">
            <v>1942</v>
          </cell>
          <cell r="I69">
            <v>310694219.67868614</v>
          </cell>
          <cell r="J69">
            <v>2357405447</v>
          </cell>
          <cell r="K69">
            <v>233860308.49999997</v>
          </cell>
          <cell r="L69">
            <v>351104100</v>
          </cell>
          <cell r="M69">
            <v>21576856.599999998</v>
          </cell>
          <cell r="N69">
            <v>173288310</v>
          </cell>
          <cell r="O69">
            <v>3447929241.778686</v>
          </cell>
          <cell r="P69">
            <v>41375150901.344231</v>
          </cell>
          <cell r="Q69">
            <v>1034378772.5336058</v>
          </cell>
          <cell r="R69">
            <v>42409529673.877838</v>
          </cell>
          <cell r="S69">
            <v>3447929241.778686</v>
          </cell>
          <cell r="T69">
            <v>45857458915.656525</v>
          </cell>
          <cell r="V69" t="str">
            <v>K</v>
          </cell>
          <cell r="Y69">
            <v>36355042191</v>
          </cell>
          <cell r="Z69">
            <v>9502416724.6565247</v>
          </cell>
          <cell r="AA69">
            <v>0.26137823399387855</v>
          </cell>
          <cell r="AC69">
            <v>1681</v>
          </cell>
          <cell r="AD69">
            <v>278</v>
          </cell>
        </row>
        <row r="70">
          <cell r="B70" t="str">
            <v>Kab. Sawahlunto Sijunjung</v>
          </cell>
          <cell r="C70" t="str">
            <v>06-2005</v>
          </cell>
          <cell r="D70">
            <v>18579198.159710813</v>
          </cell>
          <cell r="E70">
            <v>145784343.35635918</v>
          </cell>
          <cell r="F70">
            <v>347778684.03486001</v>
          </cell>
          <cell r="G70">
            <v>56976590.683248512</v>
          </cell>
          <cell r="H70">
            <v>3549</v>
          </cell>
          <cell r="I70">
            <v>569118816.23417854</v>
          </cell>
          <cell r="J70">
            <v>4333511236</v>
          </cell>
          <cell r="K70">
            <v>428068079.94999999</v>
          </cell>
          <cell r="L70">
            <v>658392500</v>
          </cell>
          <cell r="M70">
            <v>170974757.29999998</v>
          </cell>
          <cell r="N70">
            <v>319224810</v>
          </cell>
          <cell r="O70">
            <v>6479290199.4841785</v>
          </cell>
          <cell r="P70">
            <v>77751482393.81015</v>
          </cell>
          <cell r="Q70">
            <v>1943787059.8452539</v>
          </cell>
          <cell r="R70">
            <v>79695269453.655411</v>
          </cell>
          <cell r="S70">
            <v>6479290199.4841785</v>
          </cell>
          <cell r="T70">
            <v>86174559653.139587</v>
          </cell>
          <cell r="V70" t="str">
            <v>K</v>
          </cell>
          <cell r="Y70">
            <v>68470596350</v>
          </cell>
          <cell r="Z70">
            <v>17703963303.139587</v>
          </cell>
          <cell r="AA70">
            <v>0.25856300728918052</v>
          </cell>
          <cell r="AC70">
            <v>5441</v>
          </cell>
          <cell r="AD70">
            <v>264</v>
          </cell>
        </row>
        <row r="71">
          <cell r="B71" t="str">
            <v>Kab. Dharmasraya</v>
          </cell>
          <cell r="C71" t="str">
            <v>06-2005</v>
          </cell>
          <cell r="D71">
            <v>15854249.096286559</v>
          </cell>
          <cell r="E71">
            <v>118135588.58187728</v>
          </cell>
          <cell r="F71">
            <v>225486268.12534767</v>
          </cell>
          <cell r="G71">
            <v>24536161.883826669</v>
          </cell>
          <cell r="H71">
            <v>2382</v>
          </cell>
          <cell r="I71">
            <v>384012267.68733817</v>
          </cell>
          <cell r="J71">
            <v>2823714439</v>
          </cell>
          <cell r="K71">
            <v>292961187.84999996</v>
          </cell>
          <cell r="L71">
            <v>441212100</v>
          </cell>
          <cell r="M71">
            <v>109691984.09999999</v>
          </cell>
          <cell r="N71">
            <v>222064200</v>
          </cell>
          <cell r="O71">
            <v>4273656178.6373382</v>
          </cell>
          <cell r="P71">
            <v>51283874143.648056</v>
          </cell>
          <cell r="Q71">
            <v>1282096853.5912015</v>
          </cell>
          <cell r="R71">
            <v>52565970997.239258</v>
          </cell>
          <cell r="S71">
            <v>4273656178.6373382</v>
          </cell>
          <cell r="T71">
            <v>56839627175.876595</v>
          </cell>
          <cell r="V71" t="str">
            <v>K</v>
          </cell>
          <cell r="Y71">
            <v>45096089662</v>
          </cell>
          <cell r="Z71">
            <v>11743537513.876595</v>
          </cell>
          <cell r="AA71">
            <v>0.26041143704245001</v>
          </cell>
          <cell r="AC71">
            <v>0</v>
          </cell>
          <cell r="AD71">
            <v>284</v>
          </cell>
        </row>
        <row r="72">
          <cell r="B72" t="str">
            <v>Kab. Solok</v>
          </cell>
          <cell r="C72" t="str">
            <v>06-2005</v>
          </cell>
          <cell r="D72">
            <v>18579198.159710813</v>
          </cell>
          <cell r="E72">
            <v>188346668.88798591</v>
          </cell>
          <cell r="F72">
            <v>589591143.70480251</v>
          </cell>
          <cell r="G72">
            <v>121198759.37245926</v>
          </cell>
          <cell r="H72">
            <v>5763</v>
          </cell>
          <cell r="I72">
            <v>917715770.12495852</v>
          </cell>
          <cell r="J72">
            <v>7267119812.999999</v>
          </cell>
          <cell r="K72">
            <v>747413390.04999995</v>
          </cell>
          <cell r="L72">
            <v>1075194300</v>
          </cell>
          <cell r="M72">
            <v>290443017.89999998</v>
          </cell>
          <cell r="N72">
            <v>546223770</v>
          </cell>
          <cell r="O72">
            <v>10844110061.074957</v>
          </cell>
          <cell r="P72">
            <v>130129320732.89948</v>
          </cell>
          <cell r="Q72">
            <v>3253233018.3224869</v>
          </cell>
          <cell r="R72">
            <v>133382553751.22195</v>
          </cell>
          <cell r="S72">
            <v>10844110061.074957</v>
          </cell>
          <cell r="T72">
            <v>144226663812.29691</v>
          </cell>
          <cell r="V72" t="str">
            <v>K</v>
          </cell>
          <cell r="Y72">
            <v>114964581784</v>
          </cell>
          <cell r="Z72">
            <v>29262082028.296906</v>
          </cell>
          <cell r="AA72">
            <v>0.25453127888792448</v>
          </cell>
          <cell r="AC72">
            <v>6976</v>
          </cell>
          <cell r="AD72">
            <v>290</v>
          </cell>
        </row>
        <row r="73">
          <cell r="B73" t="str">
            <v>Kab. Solok Selatan</v>
          </cell>
          <cell r="C73" t="str">
            <v>06-2005</v>
          </cell>
          <cell r="D73">
            <v>5449898.1268485049</v>
          </cell>
          <cell r="E73">
            <v>77081376.947040498</v>
          </cell>
          <cell r="F73">
            <v>169422742.44390878</v>
          </cell>
          <cell r="G73">
            <v>25688867.4756843</v>
          </cell>
          <cell r="H73">
            <v>1738</v>
          </cell>
          <cell r="I73">
            <v>277642884.99348205</v>
          </cell>
          <cell r="J73">
            <v>2055755478.9999998</v>
          </cell>
          <cell r="K73">
            <v>208511393.24999997</v>
          </cell>
          <cell r="L73">
            <v>328826954</v>
          </cell>
          <cell r="M73">
            <v>81611516.399999991</v>
          </cell>
          <cell r="N73">
            <v>160891230</v>
          </cell>
          <cell r="O73">
            <v>3113239457.6434817</v>
          </cell>
          <cell r="P73">
            <v>37358873491.721779</v>
          </cell>
          <cell r="Q73">
            <v>933971837.29304457</v>
          </cell>
          <cell r="R73">
            <v>38292845329.014824</v>
          </cell>
          <cell r="S73">
            <v>3113239457.6434817</v>
          </cell>
          <cell r="T73">
            <v>41406084786.658302</v>
          </cell>
          <cell r="V73" t="str">
            <v>K</v>
          </cell>
          <cell r="Y73">
            <v>32886112831</v>
          </cell>
          <cell r="Z73">
            <v>8519971955.6583023</v>
          </cell>
          <cell r="AA73">
            <v>0.25907506914672429</v>
          </cell>
          <cell r="AC73" t="e">
            <v>#N/A</v>
          </cell>
          <cell r="AD73">
            <v>278</v>
          </cell>
        </row>
        <row r="74">
          <cell r="B74" t="str">
            <v>Kota Solok</v>
          </cell>
          <cell r="C74" t="str">
            <v>06-2005</v>
          </cell>
          <cell r="D74">
            <v>3220394.3476832076</v>
          </cell>
          <cell r="E74">
            <v>61832669.768386833</v>
          </cell>
          <cell r="F74">
            <v>202383166.8829965</v>
          </cell>
          <cell r="G74">
            <v>60764051.913637862</v>
          </cell>
          <cell r="H74">
            <v>2065</v>
          </cell>
          <cell r="I74">
            <v>328200282.91270441</v>
          </cell>
          <cell r="J74">
            <v>2602067257</v>
          </cell>
          <cell r="K74">
            <v>242394696.54999998</v>
          </cell>
          <cell r="L74">
            <v>394518650</v>
          </cell>
          <cell r="M74">
            <v>109309977.09999999</v>
          </cell>
          <cell r="N74">
            <v>178223070</v>
          </cell>
          <cell r="O74">
            <v>3854713933.5627046</v>
          </cell>
          <cell r="P74">
            <v>46256567202.752457</v>
          </cell>
          <cell r="Q74">
            <v>1156414180.0688114</v>
          </cell>
          <cell r="R74">
            <v>47412981382.821266</v>
          </cell>
          <cell r="S74">
            <v>3854713933.5627046</v>
          </cell>
          <cell r="T74">
            <v>51267695316.383972</v>
          </cell>
          <cell r="V74" t="str">
            <v>K</v>
          </cell>
          <cell r="Y74">
            <v>40837439058</v>
          </cell>
          <cell r="Z74">
            <v>10430256258.383972</v>
          </cell>
          <cell r="AA74">
            <v>0.25540916617151826</v>
          </cell>
          <cell r="AC74">
            <v>1848</v>
          </cell>
          <cell r="AD74">
            <v>221</v>
          </cell>
        </row>
        <row r="75">
          <cell r="B75" t="str">
            <v xml:space="preserve">Kab. Pasaman    </v>
          </cell>
          <cell r="C75" t="str">
            <v>06-2005</v>
          </cell>
          <cell r="D75">
            <v>15358803.812027605</v>
          </cell>
          <cell r="E75">
            <v>156173572.42313421</v>
          </cell>
          <cell r="F75">
            <v>381047149.82384574</v>
          </cell>
          <cell r="G75">
            <v>73443813.424071774</v>
          </cell>
          <cell r="H75">
            <v>3914</v>
          </cell>
          <cell r="I75">
            <v>626023339.48307931</v>
          </cell>
          <cell r="J75">
            <v>4827415789</v>
          </cell>
          <cell r="K75">
            <v>486869653.39999998</v>
          </cell>
          <cell r="L75">
            <v>740186500</v>
          </cell>
          <cell r="M75">
            <v>189647085.34999999</v>
          </cell>
          <cell r="N75">
            <v>363968640</v>
          </cell>
          <cell r="O75">
            <v>7234111007.233079</v>
          </cell>
          <cell r="P75">
            <v>86809332086.796951</v>
          </cell>
          <cell r="Q75">
            <v>2170233302.1699238</v>
          </cell>
          <cell r="R75">
            <v>88979565388.966873</v>
          </cell>
          <cell r="S75">
            <v>7234111007.233079</v>
          </cell>
          <cell r="T75">
            <v>96213676396.199951</v>
          </cell>
          <cell r="V75" t="str">
            <v>K</v>
          </cell>
          <cell r="Y75">
            <v>76574852614</v>
          </cell>
          <cell r="Z75">
            <v>19638823782.199951</v>
          </cell>
          <cell r="AA75">
            <v>0.25646570788971301</v>
          </cell>
          <cell r="AC75">
            <v>6767</v>
          </cell>
          <cell r="AD75">
            <v>278</v>
          </cell>
        </row>
        <row r="76">
          <cell r="B76" t="str">
            <v>Kab. Pasaman Barat</v>
          </cell>
          <cell r="C76" t="str">
            <v>06-2005</v>
          </cell>
          <cell r="D76">
            <v>20560979.29674663</v>
          </cell>
          <cell r="E76">
            <v>116795042.89584179</v>
          </cell>
          <cell r="F76">
            <v>341925898.38679773</v>
          </cell>
          <cell r="G76">
            <v>61916757.505495489</v>
          </cell>
          <cell r="H76">
            <v>3376</v>
          </cell>
          <cell r="I76">
            <v>541198678.08488154</v>
          </cell>
          <cell r="J76">
            <v>4170447146.9999995</v>
          </cell>
          <cell r="K76">
            <v>430049902.54999995</v>
          </cell>
          <cell r="L76">
            <v>626341800</v>
          </cell>
          <cell r="M76">
            <v>163322377.84999999</v>
          </cell>
          <cell r="N76">
            <v>316005180</v>
          </cell>
          <cell r="O76">
            <v>6247365085.4848814</v>
          </cell>
          <cell r="P76">
            <v>74968381025.818573</v>
          </cell>
          <cell r="Q76">
            <v>1874209525.6454644</v>
          </cell>
          <cell r="R76">
            <v>76842590551.464035</v>
          </cell>
          <cell r="S76">
            <v>6247365085.4848814</v>
          </cell>
          <cell r="T76">
            <v>83089955636.948914</v>
          </cell>
          <cell r="V76" t="str">
            <v>K</v>
          </cell>
          <cell r="Y76">
            <v>66104567971</v>
          </cell>
          <cell r="Z76">
            <v>16985387665.948914</v>
          </cell>
          <cell r="AA76">
            <v>0.25694726079142344</v>
          </cell>
          <cell r="AC76" t="e">
            <v>#N/A</v>
          </cell>
          <cell r="AD76">
            <v>292</v>
          </cell>
        </row>
        <row r="77">
          <cell r="B77" t="str">
            <v>Kab. Pesisir Selatan</v>
          </cell>
          <cell r="C77" t="str">
            <v>06-2005</v>
          </cell>
          <cell r="D77">
            <v>35919783.108774237</v>
          </cell>
          <cell r="E77">
            <v>267941568.99634293</v>
          </cell>
          <cell r="F77">
            <v>694479223.34507704</v>
          </cell>
          <cell r="G77">
            <v>131573109.69917792</v>
          </cell>
          <cell r="H77">
            <v>7052</v>
          </cell>
          <cell r="I77">
            <v>1129913685.1493721</v>
          </cell>
          <cell r="J77">
            <v>8837491917</v>
          </cell>
          <cell r="K77">
            <v>892686573.0999999</v>
          </cell>
          <cell r="L77">
            <v>1290945750</v>
          </cell>
          <cell r="M77">
            <v>347482886.79999995</v>
          </cell>
          <cell r="N77">
            <v>655059300</v>
          </cell>
          <cell r="O77">
            <v>13153580112.049372</v>
          </cell>
          <cell r="P77">
            <v>157842961344.59247</v>
          </cell>
          <cell r="Q77">
            <v>3946074033.6148119</v>
          </cell>
          <cell r="R77">
            <v>161789035378.20728</v>
          </cell>
          <cell r="S77">
            <v>13153580112.049372</v>
          </cell>
          <cell r="T77">
            <v>174942615490.25665</v>
          </cell>
          <cell r="V77" t="str">
            <v>K</v>
          </cell>
          <cell r="Y77">
            <v>139223952192</v>
          </cell>
          <cell r="Z77">
            <v>35718663298.256653</v>
          </cell>
          <cell r="AA77">
            <v>0.25655544707564404</v>
          </cell>
          <cell r="AC77">
            <v>6895</v>
          </cell>
          <cell r="AD77">
            <v>293</v>
          </cell>
        </row>
        <row r="78">
          <cell r="B78" t="str">
            <v>Provinsi Riau</v>
          </cell>
          <cell r="C78" t="str">
            <v>06-2005</v>
          </cell>
          <cell r="D78">
            <v>27250000</v>
          </cell>
          <cell r="E78">
            <v>322931161.66166168</v>
          </cell>
          <cell r="F78">
            <v>560477493.76880097</v>
          </cell>
          <cell r="G78">
            <v>83932444.444444433</v>
          </cell>
          <cell r="H78">
            <v>6227</v>
          </cell>
          <cell r="I78">
            <v>994591099.87490702</v>
          </cell>
          <cell r="J78">
            <v>8012558646.0119991</v>
          </cell>
          <cell r="K78">
            <v>843427225.89599991</v>
          </cell>
          <cell r="L78">
            <v>687576542.85000002</v>
          </cell>
          <cell r="M78">
            <v>231942487.12139997</v>
          </cell>
          <cell r="N78">
            <v>577564295.99399996</v>
          </cell>
          <cell r="O78">
            <v>11347660297.748306</v>
          </cell>
          <cell r="P78">
            <v>136171923572.97968</v>
          </cell>
          <cell r="Q78">
            <v>3404298089.324492</v>
          </cell>
          <cell r="R78">
            <v>139576221662.30417</v>
          </cell>
          <cell r="S78">
            <v>11347660297.748306</v>
          </cell>
          <cell r="T78">
            <v>150923881960.05249</v>
          </cell>
          <cell r="V78" t="str">
            <v>P</v>
          </cell>
          <cell r="W78" t="str">
            <v>x</v>
          </cell>
          <cell r="Y78">
            <v>119179934094</v>
          </cell>
          <cell r="Z78">
            <v>31743947866.05249</v>
          </cell>
          <cell r="AA78">
            <v>0.26635312485586121</v>
          </cell>
          <cell r="AC78">
            <v>3417</v>
          </cell>
          <cell r="AD78">
            <v>117</v>
          </cell>
        </row>
        <row r="79">
          <cell r="B79" t="str">
            <v>Kota Pekanbaru</v>
          </cell>
          <cell r="C79" t="str">
            <v>06-2005</v>
          </cell>
          <cell r="D79">
            <v>24276818.928688794</v>
          </cell>
          <cell r="E79">
            <v>219179219.66680211</v>
          </cell>
          <cell r="F79">
            <v>824472673.00203967</v>
          </cell>
          <cell r="G79">
            <v>283236231.14216024</v>
          </cell>
          <cell r="H79">
            <v>8479</v>
          </cell>
          <cell r="I79">
            <v>1351164942.7396908</v>
          </cell>
          <cell r="J79">
            <v>9867061051.1999989</v>
          </cell>
          <cell r="K79">
            <v>1027818859.4999999</v>
          </cell>
          <cell r="L79">
            <v>1430008848</v>
          </cell>
          <cell r="M79">
            <v>301493532.11999995</v>
          </cell>
          <cell r="N79">
            <v>750754645.20000005</v>
          </cell>
          <cell r="O79">
            <v>14728301878.759691</v>
          </cell>
          <cell r="P79">
            <v>176739622545.1163</v>
          </cell>
          <cell r="Q79">
            <v>4418490563.6279078</v>
          </cell>
          <cell r="R79">
            <v>181158113108.7442</v>
          </cell>
          <cell r="S79">
            <v>14728301878.759691</v>
          </cell>
          <cell r="T79">
            <v>195886414987.50391</v>
          </cell>
          <cell r="V79" t="str">
            <v>K</v>
          </cell>
          <cell r="W79" t="str">
            <v>x</v>
          </cell>
          <cell r="Y79">
            <v>154917625200</v>
          </cell>
          <cell r="Z79">
            <v>40968789787.503906</v>
          </cell>
          <cell r="AA79">
            <v>0.26445531768649849</v>
          </cell>
          <cell r="AC79">
            <v>8396</v>
          </cell>
          <cell r="AD79">
            <v>171</v>
          </cell>
        </row>
        <row r="80">
          <cell r="B80" t="str">
            <v>Kab. Pelalawan</v>
          </cell>
          <cell r="C80" t="str">
            <v>06-2005</v>
          </cell>
          <cell r="D80">
            <v>8174847.1902727569</v>
          </cell>
          <cell r="E80">
            <v>132546454.70675877</v>
          </cell>
          <cell r="F80">
            <v>206541725.10661972</v>
          </cell>
          <cell r="G80">
            <v>26676900.840133697</v>
          </cell>
          <cell r="H80">
            <v>2327</v>
          </cell>
          <cell r="I80">
            <v>373939927.84378493</v>
          </cell>
          <cell r="J80">
            <v>2786008602.4919996</v>
          </cell>
          <cell r="K80">
            <v>290209229.42624998</v>
          </cell>
          <cell r="L80">
            <v>403769362.68000001</v>
          </cell>
          <cell r="M80">
            <v>85128040.631699979</v>
          </cell>
          <cell r="N80">
            <v>211978915.40700001</v>
          </cell>
          <cell r="O80">
            <v>4151034078.4807343</v>
          </cell>
          <cell r="P80">
            <v>49812408941.768814</v>
          </cell>
          <cell r="Q80">
            <v>1245310223.5442204</v>
          </cell>
          <cell r="R80">
            <v>51057719165.313034</v>
          </cell>
          <cell r="S80">
            <v>4151034078.4807343</v>
          </cell>
          <cell r="T80">
            <v>55208753243.79377</v>
          </cell>
          <cell r="V80" t="str">
            <v>K</v>
          </cell>
          <cell r="W80" t="str">
            <v>x</v>
          </cell>
          <cell r="Y80">
            <v>43741680957</v>
          </cell>
          <cell r="Z80">
            <v>11467072286.79377</v>
          </cell>
          <cell r="AA80">
            <v>0.26215435794674663</v>
          </cell>
          <cell r="AC80">
            <v>2330</v>
          </cell>
          <cell r="AD80">
            <v>266</v>
          </cell>
        </row>
        <row r="81">
          <cell r="B81" t="str">
            <v>Kab. Kampar</v>
          </cell>
          <cell r="C81" t="str">
            <v>06-2005</v>
          </cell>
          <cell r="D81">
            <v>32947111.403220508</v>
          </cell>
          <cell r="E81">
            <v>306147121.04835433</v>
          </cell>
          <cell r="F81">
            <v>752236976.45095503</v>
          </cell>
          <cell r="G81">
            <v>169118377.54825497</v>
          </cell>
          <cell r="H81">
            <v>7871</v>
          </cell>
          <cell r="I81">
            <v>1260449586.4507849</v>
          </cell>
          <cell r="J81">
            <v>9699783712.8119984</v>
          </cell>
          <cell r="K81">
            <v>1010394136.7512499</v>
          </cell>
          <cell r="L81">
            <v>1405765755.48</v>
          </cell>
          <cell r="M81">
            <v>296382280.11369997</v>
          </cell>
          <cell r="N81">
            <v>738027021.62699997</v>
          </cell>
          <cell r="O81">
            <v>14410802493.234734</v>
          </cell>
          <cell r="P81">
            <v>172929629918.8168</v>
          </cell>
          <cell r="Q81">
            <v>4323240747.9704199</v>
          </cell>
          <cell r="R81">
            <v>177252870666.78723</v>
          </cell>
          <cell r="S81">
            <v>14410802493.234734</v>
          </cell>
          <cell r="T81">
            <v>191663673160.02197</v>
          </cell>
          <cell r="V81" t="str">
            <v>K</v>
          </cell>
          <cell r="W81" t="str">
            <v>x</v>
          </cell>
          <cell r="Y81">
            <v>152291290177</v>
          </cell>
          <cell r="Z81">
            <v>39372382983.021973</v>
          </cell>
          <cell r="AA81">
            <v>0.25853338649414265</v>
          </cell>
          <cell r="AC81">
            <v>7720</v>
          </cell>
          <cell r="AD81">
            <v>271</v>
          </cell>
        </row>
        <row r="82">
          <cell r="B82" t="str">
            <v>Kab. Siak</v>
          </cell>
          <cell r="C82" t="str">
            <v>03-2005</v>
          </cell>
          <cell r="D82">
            <v>9165737.7587906681</v>
          </cell>
          <cell r="E82">
            <v>133887000.39279425</v>
          </cell>
          <cell r="F82">
            <v>252285865.56647506</v>
          </cell>
          <cell r="G82">
            <v>31781739.889788911</v>
          </cell>
          <cell r="H82">
            <v>2667</v>
          </cell>
          <cell r="I82">
            <v>427120343.60784894</v>
          </cell>
          <cell r="J82">
            <v>3225484136.3759995</v>
          </cell>
          <cell r="K82">
            <v>335987930.87249994</v>
          </cell>
          <cell r="L82">
            <v>467461469.03999996</v>
          </cell>
          <cell r="M82">
            <v>98556459.722599998</v>
          </cell>
          <cell r="N82">
            <v>245417271.24599999</v>
          </cell>
          <cell r="O82">
            <v>4800027610.8649492</v>
          </cell>
          <cell r="P82">
            <v>57600331330.379395</v>
          </cell>
          <cell r="Q82">
            <v>1440008283.259485</v>
          </cell>
          <cell r="R82">
            <v>59040339613.638878</v>
          </cell>
          <cell r="S82">
            <v>4800027610.8649492</v>
          </cell>
          <cell r="T82">
            <v>63840367224.50383</v>
          </cell>
          <cell r="V82" t="str">
            <v>K</v>
          </cell>
          <cell r="W82" t="str">
            <v>x</v>
          </cell>
          <cell r="Y82">
            <v>50641659146</v>
          </cell>
          <cell r="Z82">
            <v>13198708078.50383</v>
          </cell>
          <cell r="AA82">
            <v>0.26062945608578758</v>
          </cell>
          <cell r="AC82">
            <v>2644</v>
          </cell>
          <cell r="AD82">
            <v>277</v>
          </cell>
        </row>
        <row r="83">
          <cell r="B83" t="str">
            <v>Kab. Rokan hulu</v>
          </cell>
          <cell r="C83" t="str">
            <v>06-2005</v>
          </cell>
          <cell r="D83">
            <v>13872467.959250739</v>
          </cell>
          <cell r="E83">
            <v>195719670.16118109</v>
          </cell>
          <cell r="F83">
            <v>340847753.66215467</v>
          </cell>
          <cell r="G83">
            <v>36886578.939444125</v>
          </cell>
          <cell r="H83">
            <v>3661</v>
          </cell>
          <cell r="I83">
            <v>587326470.72203064</v>
          </cell>
          <cell r="J83">
            <v>4335684002.2079992</v>
          </cell>
          <cell r="K83">
            <v>451633750.22999996</v>
          </cell>
          <cell r="L83">
            <v>628360000.31999993</v>
          </cell>
          <cell r="M83">
            <v>132479233.40079997</v>
          </cell>
          <cell r="N83">
            <v>329889000.16799998</v>
          </cell>
          <cell r="O83">
            <v>6465372457.0488291</v>
          </cell>
          <cell r="P83">
            <v>77584469484.585953</v>
          </cell>
          <cell r="Q83">
            <v>1939611737.1146488</v>
          </cell>
          <cell r="R83">
            <v>79524081221.700607</v>
          </cell>
          <cell r="S83">
            <v>6465372457.0488291</v>
          </cell>
          <cell r="T83">
            <v>85989453678.749435</v>
          </cell>
          <cell r="V83" t="str">
            <v>K</v>
          </cell>
          <cell r="W83" t="str">
            <v>x</v>
          </cell>
          <cell r="Y83">
            <v>68072333368</v>
          </cell>
          <cell r="Z83">
            <v>17917120310.749435</v>
          </cell>
          <cell r="AA83">
            <v>0.26320708317561597</v>
          </cell>
          <cell r="AC83">
            <v>3346</v>
          </cell>
          <cell r="AD83">
            <v>303</v>
          </cell>
        </row>
        <row r="84">
          <cell r="B84" t="str">
            <v>Kab. Indragiri Hulu</v>
          </cell>
          <cell r="C84" t="str">
            <v>06-2005</v>
          </cell>
          <cell r="D84">
            <v>18826920.80184029</v>
          </cell>
          <cell r="E84">
            <v>206779172.07097384</v>
          </cell>
          <cell r="F84">
            <v>412775408.86334139</v>
          </cell>
          <cell r="G84">
            <v>97815303.080490217</v>
          </cell>
          <cell r="H84">
            <v>4584</v>
          </cell>
          <cell r="I84">
            <v>736196804.81664574</v>
          </cell>
          <cell r="J84">
            <v>5599783043.999999</v>
          </cell>
          <cell r="K84">
            <v>583310733.75</v>
          </cell>
          <cell r="L84">
            <v>811562760</v>
          </cell>
          <cell r="M84">
            <v>171104481.89999998</v>
          </cell>
          <cell r="N84">
            <v>426070449</v>
          </cell>
          <cell r="O84">
            <v>8328028273.4666443</v>
          </cell>
          <cell r="P84">
            <v>99936339281.599731</v>
          </cell>
          <cell r="Q84">
            <v>2498408482.0399933</v>
          </cell>
          <cell r="R84">
            <v>102434747763.63972</v>
          </cell>
          <cell r="S84">
            <v>8328028273.4666443</v>
          </cell>
          <cell r="T84">
            <v>110762776037.10637</v>
          </cell>
          <cell r="V84" t="str">
            <v>K</v>
          </cell>
          <cell r="W84" t="str">
            <v>x</v>
          </cell>
          <cell r="Y84">
            <v>87919299000</v>
          </cell>
          <cell r="Z84">
            <v>22843477037.106369</v>
          </cell>
          <cell r="AA84">
            <v>0.25982323900360454</v>
          </cell>
          <cell r="AC84">
            <v>4372</v>
          </cell>
          <cell r="AD84">
            <v>255</v>
          </cell>
        </row>
        <row r="85">
          <cell r="B85" t="str">
            <v>Kab. Indragiri Hilir</v>
          </cell>
          <cell r="C85" t="str">
            <v>06-2005</v>
          </cell>
          <cell r="D85">
            <v>32451666.11896155</v>
          </cell>
          <cell r="E85">
            <v>271795637.84369498</v>
          </cell>
          <cell r="F85">
            <v>580041861.85796404</v>
          </cell>
          <cell r="G85">
            <v>122845481.64654158</v>
          </cell>
          <cell r="H85">
            <v>6265</v>
          </cell>
          <cell r="I85">
            <v>1007134647.4671621</v>
          </cell>
          <cell r="J85">
            <v>7687525428</v>
          </cell>
          <cell r="K85">
            <v>800783898.74999988</v>
          </cell>
          <cell r="L85">
            <v>1114134120</v>
          </cell>
          <cell r="M85">
            <v>234896610.29999998</v>
          </cell>
          <cell r="N85">
            <v>584920413</v>
          </cell>
          <cell r="O85">
            <v>11429395117.517162</v>
          </cell>
          <cell r="P85">
            <v>137152741410.20595</v>
          </cell>
          <cell r="Q85">
            <v>3428818535.2551489</v>
          </cell>
          <cell r="R85">
            <v>140581559945.46109</v>
          </cell>
          <cell r="S85">
            <v>11429395117.517162</v>
          </cell>
          <cell r="T85">
            <v>152010955062.97824</v>
          </cell>
          <cell r="V85" t="str">
            <v>K</v>
          </cell>
          <cell r="W85" t="str">
            <v>x</v>
          </cell>
          <cell r="Y85">
            <v>120697863000</v>
          </cell>
          <cell r="Z85">
            <v>31313092062.978241</v>
          </cell>
          <cell r="AA85">
            <v>0.25943369074378925</v>
          </cell>
          <cell r="AC85">
            <v>6116</v>
          </cell>
          <cell r="AD85">
            <v>278</v>
          </cell>
        </row>
        <row r="86">
          <cell r="B86" t="str">
            <v>Kab. Kuantan Singingi</v>
          </cell>
          <cell r="C86" t="str">
            <v>06-2005</v>
          </cell>
          <cell r="D86">
            <v>18083752.875451855</v>
          </cell>
          <cell r="E86">
            <v>142432979.14127049</v>
          </cell>
          <cell r="F86">
            <v>417242008.43686265</v>
          </cell>
          <cell r="G86">
            <v>144417543.43702006</v>
          </cell>
          <cell r="H86">
            <v>4509</v>
          </cell>
          <cell r="I86">
            <v>722176283.89060509</v>
          </cell>
          <cell r="J86">
            <v>5866765019.999999</v>
          </cell>
          <cell r="K86">
            <v>611121356.25</v>
          </cell>
          <cell r="L86">
            <v>850255800</v>
          </cell>
          <cell r="M86">
            <v>179262264.5</v>
          </cell>
          <cell r="N86">
            <v>446384295</v>
          </cell>
          <cell r="O86">
            <v>8675965019.640604</v>
          </cell>
          <cell r="P86">
            <v>104111580235.68726</v>
          </cell>
          <cell r="Q86">
            <v>2602789505.8921814</v>
          </cell>
          <cell r="R86">
            <v>106714369741.57944</v>
          </cell>
          <cell r="S86">
            <v>8675965019.640604</v>
          </cell>
          <cell r="T86">
            <v>115390334761.22005</v>
          </cell>
          <cell r="V86" t="str">
            <v>K</v>
          </cell>
          <cell r="W86" t="str">
            <v>x</v>
          </cell>
          <cell r="Y86">
            <v>92111045000</v>
          </cell>
          <cell r="Z86">
            <v>23279289761.220047</v>
          </cell>
          <cell r="AA86">
            <v>0.25273070956061833</v>
          </cell>
          <cell r="AC86">
            <v>4250</v>
          </cell>
          <cell r="AD86">
            <v>262</v>
          </cell>
        </row>
        <row r="87">
          <cell r="B87" t="str">
            <v>Kab. Bengkalis</v>
          </cell>
          <cell r="C87" t="str">
            <v>06-2005</v>
          </cell>
          <cell r="D87">
            <v>29478994.413407821</v>
          </cell>
          <cell r="E87">
            <v>278665934.48462683</v>
          </cell>
          <cell r="F87">
            <v>627480229.74225855</v>
          </cell>
          <cell r="G87">
            <v>119716709.32578516</v>
          </cell>
          <cell r="H87">
            <v>6583</v>
          </cell>
          <cell r="I87">
            <v>1055341867.9660783</v>
          </cell>
          <cell r="J87">
            <v>8340109488</v>
          </cell>
          <cell r="K87">
            <v>868761404.99999988</v>
          </cell>
          <cell r="L87">
            <v>1208711520</v>
          </cell>
          <cell r="M87">
            <v>254836678.79999998</v>
          </cell>
          <cell r="N87">
            <v>634573548</v>
          </cell>
          <cell r="O87">
            <v>12362334507.766077</v>
          </cell>
          <cell r="P87">
            <v>148348014093.19293</v>
          </cell>
          <cell r="Q87">
            <v>3708700352.3298235</v>
          </cell>
          <cell r="R87">
            <v>152056714445.52277</v>
          </cell>
          <cell r="S87">
            <v>12362334507.766077</v>
          </cell>
          <cell r="T87">
            <v>164419048953.28885</v>
          </cell>
          <cell r="V87" t="str">
            <v>K</v>
          </cell>
          <cell r="W87" t="str">
            <v>x</v>
          </cell>
          <cell r="Y87">
            <v>130943748000</v>
          </cell>
          <cell r="Z87">
            <v>33475300953.288849</v>
          </cell>
          <cell r="AA87">
            <v>0.25564642424385814</v>
          </cell>
          <cell r="AC87">
            <v>6395</v>
          </cell>
          <cell r="AD87">
            <v>270</v>
          </cell>
        </row>
        <row r="88">
          <cell r="B88" t="str">
            <v>Kab. Rokan Hilir</v>
          </cell>
          <cell r="C88" t="str">
            <v>06-2005</v>
          </cell>
          <cell r="D88">
            <v>13129300.032862308</v>
          </cell>
          <cell r="E88">
            <v>189519646.36326694</v>
          </cell>
          <cell r="F88">
            <v>255366279.06545523</v>
          </cell>
          <cell r="G88">
            <v>29970345.388298351</v>
          </cell>
          <cell r="H88">
            <v>3024</v>
          </cell>
          <cell r="I88">
            <v>487985570.84988278</v>
          </cell>
          <cell r="J88">
            <v>3447868176</v>
          </cell>
          <cell r="K88">
            <v>359152935</v>
          </cell>
          <cell r="L88">
            <v>499691040</v>
          </cell>
          <cell r="M88">
            <v>105351527.59999999</v>
          </cell>
          <cell r="N88">
            <v>262337796</v>
          </cell>
          <cell r="O88">
            <v>5162387045.4498825</v>
          </cell>
          <cell r="P88">
            <v>61948644545.39859</v>
          </cell>
          <cell r="Q88">
            <v>1548716113.6349649</v>
          </cell>
          <cell r="R88">
            <v>63497360659.033554</v>
          </cell>
          <cell r="S88">
            <v>5162387045.4498825</v>
          </cell>
          <cell r="T88">
            <v>68659747704.483437</v>
          </cell>
          <cell r="V88" t="str">
            <v>K</v>
          </cell>
          <cell r="W88" t="str">
            <v>x</v>
          </cell>
          <cell r="Y88">
            <v>54133196000</v>
          </cell>
          <cell r="Z88">
            <v>14526551704.483437</v>
          </cell>
          <cell r="AA88">
            <v>0.26834831079405391</v>
          </cell>
          <cell r="AC88">
            <v>2613</v>
          </cell>
          <cell r="AD88">
            <v>259</v>
          </cell>
        </row>
        <row r="89">
          <cell r="B89" t="str">
            <v>Kota Dumai</v>
          </cell>
          <cell r="C89" t="str">
            <v>06-2005</v>
          </cell>
          <cell r="D89">
            <v>13129300.032862308</v>
          </cell>
          <cell r="E89">
            <v>77081376.947040498</v>
          </cell>
          <cell r="F89">
            <v>241042356.29519749</v>
          </cell>
          <cell r="G89">
            <v>62410774.187720187</v>
          </cell>
          <cell r="H89">
            <v>2457</v>
          </cell>
          <cell r="I89">
            <v>393663807.46282047</v>
          </cell>
          <cell r="J89">
            <v>3423375936</v>
          </cell>
          <cell r="K89">
            <v>356601660</v>
          </cell>
          <cell r="L89">
            <v>496141440</v>
          </cell>
          <cell r="M89">
            <v>104603153.59999999</v>
          </cell>
          <cell r="N89">
            <v>260474256</v>
          </cell>
          <cell r="O89">
            <v>5034860253.0628204</v>
          </cell>
          <cell r="P89">
            <v>60418323036.753845</v>
          </cell>
          <cell r="Q89">
            <v>1510458075.9188461</v>
          </cell>
          <cell r="R89">
            <v>61928781112.672691</v>
          </cell>
          <cell r="S89">
            <v>5034860253.0628204</v>
          </cell>
          <cell r="T89">
            <v>66963641365.735512</v>
          </cell>
          <cell r="V89" t="str">
            <v>K</v>
          </cell>
          <cell r="W89" t="str">
            <v>x</v>
          </cell>
          <cell r="Y89">
            <v>53748656000</v>
          </cell>
          <cell r="Z89">
            <v>13214985365.735512</v>
          </cell>
          <cell r="AA89">
            <v>0.24586634065297394</v>
          </cell>
          <cell r="AC89">
            <v>2669</v>
          </cell>
          <cell r="AD89">
            <v>243</v>
          </cell>
        </row>
        <row r="90">
          <cell r="B90" t="str">
            <v xml:space="preserve">Provinsi Kepulauan Riau </v>
          </cell>
          <cell r="C90" t="str">
            <v>08-2005</v>
          </cell>
          <cell r="D90">
            <v>500000</v>
          </cell>
          <cell r="E90">
            <v>16094639.88988989</v>
          </cell>
          <cell r="F90">
            <v>28112651.482595615</v>
          </cell>
          <cell r="G90">
            <v>10129777.777777776</v>
          </cell>
          <cell r="H90">
            <v>341</v>
          </cell>
          <cell r="I90">
            <v>54837069.15026328</v>
          </cell>
          <cell r="J90">
            <v>469466378.36399996</v>
          </cell>
          <cell r="K90">
            <v>49417513.512000002</v>
          </cell>
          <cell r="L90">
            <v>40286016.449999996</v>
          </cell>
          <cell r="M90">
            <v>13589816.215799997</v>
          </cell>
          <cell r="N90">
            <v>33840253.818000004</v>
          </cell>
          <cell r="O90">
            <v>661437047.51006329</v>
          </cell>
          <cell r="P90">
            <v>7937244570.12076</v>
          </cell>
          <cell r="Q90">
            <v>198431114.25301901</v>
          </cell>
          <cell r="R90">
            <v>8135675684.3737793</v>
          </cell>
          <cell r="S90">
            <v>661437047.51006329</v>
          </cell>
          <cell r="T90">
            <v>8797112731.8838425</v>
          </cell>
          <cell r="V90" t="str">
            <v>P</v>
          </cell>
          <cell r="W90" t="str">
            <v>x</v>
          </cell>
          <cell r="Y90">
            <v>6982909518</v>
          </cell>
          <cell r="Z90">
            <v>1814203213.8838425</v>
          </cell>
          <cell r="AA90">
            <v>0.25980620387638287</v>
          </cell>
          <cell r="AC90">
            <v>0</v>
          </cell>
          <cell r="AD90">
            <v>117</v>
          </cell>
        </row>
        <row r="91">
          <cell r="B91" t="str">
            <v>Kab. Kepulauan Riau</v>
          </cell>
          <cell r="C91" t="str">
            <v>03-2005</v>
          </cell>
          <cell r="D91">
            <v>8422569.8324022349</v>
          </cell>
          <cell r="E91">
            <v>129195090.49167004</v>
          </cell>
          <cell r="F91">
            <v>225948330.1501947</v>
          </cell>
          <cell r="G91">
            <v>39356662.350567617</v>
          </cell>
          <cell r="H91">
            <v>2511</v>
          </cell>
          <cell r="I91">
            <v>402922652.82483464</v>
          </cell>
          <cell r="J91">
            <v>3061920080</v>
          </cell>
          <cell r="K91">
            <v>322670935.29999995</v>
          </cell>
          <cell r="L91">
            <v>440438650</v>
          </cell>
          <cell r="M91">
            <v>118994990.74999999</v>
          </cell>
          <cell r="N91">
            <v>239393990</v>
          </cell>
          <cell r="O91">
            <v>4586341298.874835</v>
          </cell>
          <cell r="P91">
            <v>55036095586.498016</v>
          </cell>
          <cell r="Q91">
            <v>1375902389.6624506</v>
          </cell>
          <cell r="R91">
            <v>56411997976.160469</v>
          </cell>
          <cell r="S91">
            <v>4586341298.874835</v>
          </cell>
          <cell r="T91">
            <v>60998339275.035301</v>
          </cell>
          <cell r="V91" t="str">
            <v>K</v>
          </cell>
          <cell r="Y91">
            <v>48572293718</v>
          </cell>
          <cell r="Z91">
            <v>12426045557.035301</v>
          </cell>
          <cell r="AA91">
            <v>0.25582579297527464</v>
          </cell>
          <cell r="AC91">
            <v>3372</v>
          </cell>
          <cell r="AD91">
            <v>263</v>
          </cell>
        </row>
        <row r="92">
          <cell r="B92" t="str">
            <v>Kab. Natuna</v>
          </cell>
          <cell r="C92" t="str">
            <v>03-2005</v>
          </cell>
          <cell r="D92">
            <v>31708498.192573119</v>
          </cell>
          <cell r="E92">
            <v>116459906.47433293</v>
          </cell>
          <cell r="F92">
            <v>141236958.92824033</v>
          </cell>
          <cell r="G92">
            <v>17125911.650456201</v>
          </cell>
          <cell r="H92">
            <v>1844</v>
          </cell>
          <cell r="I92">
            <v>306531275.24560261</v>
          </cell>
          <cell r="J92">
            <v>2004925524.9999998</v>
          </cell>
          <cell r="K92">
            <v>197596968.64999998</v>
          </cell>
          <cell r="L92">
            <v>290317000</v>
          </cell>
          <cell r="M92">
            <v>80844883.849999994</v>
          </cell>
          <cell r="N92">
            <v>158544210</v>
          </cell>
          <cell r="O92">
            <v>3038759862.7456026</v>
          </cell>
          <cell r="P92">
            <v>36465118352.947235</v>
          </cell>
          <cell r="Q92">
            <v>911627958.82368088</v>
          </cell>
          <cell r="R92">
            <v>37376746311.77092</v>
          </cell>
          <cell r="S92">
            <v>3038759862.7456026</v>
          </cell>
          <cell r="T92">
            <v>40415506174.516525</v>
          </cell>
          <cell r="V92" t="str">
            <v>K</v>
          </cell>
          <cell r="Y92">
            <v>32691684272</v>
          </cell>
          <cell r="Z92">
            <v>7723821902.5165253</v>
          </cell>
          <cell r="AA92">
            <v>0.23626258709257991</v>
          </cell>
          <cell r="AC92">
            <v>1869</v>
          </cell>
          <cell r="AD92">
            <v>290</v>
          </cell>
        </row>
        <row r="93">
          <cell r="B93" t="str">
            <v>Kota Tanjung Pinang</v>
          </cell>
          <cell r="C93" t="str">
            <v>03-2005</v>
          </cell>
          <cell r="D93">
            <v>80014413.407821223</v>
          </cell>
          <cell r="E93">
            <v>242806337.38317755</v>
          </cell>
          <cell r="F93">
            <v>61146207.954756171</v>
          </cell>
          <cell r="G93">
            <v>5104839.049655213</v>
          </cell>
          <cell r="H93">
            <v>2200</v>
          </cell>
          <cell r="I93">
            <v>389071797.79541016</v>
          </cell>
          <cell r="J93">
            <v>2811576166</v>
          </cell>
          <cell r="K93">
            <v>254088609.54999998</v>
          </cell>
          <cell r="L93">
            <v>399186700</v>
          </cell>
          <cell r="M93">
            <v>112344160.09999999</v>
          </cell>
          <cell r="N93">
            <v>189627180</v>
          </cell>
          <cell r="O93">
            <v>4155894613.4454103</v>
          </cell>
          <cell r="P93">
            <v>49870735361.344925</v>
          </cell>
          <cell r="Q93">
            <v>1246768384.0336232</v>
          </cell>
          <cell r="R93">
            <v>51117503745.378548</v>
          </cell>
          <cell r="S93">
            <v>4155894613.4454103</v>
          </cell>
          <cell r="T93">
            <v>55273398358.823959</v>
          </cell>
          <cell r="V93" t="str">
            <v>K</v>
          </cell>
          <cell r="Y93">
            <v>43581339178</v>
          </cell>
          <cell r="Z93">
            <v>11692059180.823959</v>
          </cell>
          <cell r="AA93">
            <v>0.26828131951314954</v>
          </cell>
          <cell r="AC93">
            <v>2210</v>
          </cell>
          <cell r="AD93">
            <v>242</v>
          </cell>
        </row>
        <row r="94">
          <cell r="B94" t="str">
            <v>Kab. Lingga</v>
          </cell>
          <cell r="C94" t="str">
            <v>02-2005</v>
          </cell>
          <cell r="D94">
            <v>8174847.1902727569</v>
          </cell>
          <cell r="E94">
            <v>82946264.323445752</v>
          </cell>
          <cell r="F94">
            <v>96108901.168180987</v>
          </cell>
          <cell r="G94">
            <v>18278617.242313828</v>
          </cell>
          <cell r="H94">
            <v>1263</v>
          </cell>
          <cell r="I94">
            <v>205508629.92421332</v>
          </cell>
          <cell r="J94">
            <v>1491106867.7399998</v>
          </cell>
          <cell r="K94">
            <v>155323632.05624998</v>
          </cell>
          <cell r="L94">
            <v>216102444.59999999</v>
          </cell>
          <cell r="M94">
            <v>45561598.736499995</v>
          </cell>
          <cell r="N94">
            <v>113453783.41500001</v>
          </cell>
          <cell r="O94">
            <v>2227056956.4719634</v>
          </cell>
          <cell r="P94">
            <v>26724683477.663559</v>
          </cell>
          <cell r="Q94">
            <v>668117086.941589</v>
          </cell>
          <cell r="R94">
            <v>27392800564.605148</v>
          </cell>
          <cell r="S94">
            <v>2227056956.4719634</v>
          </cell>
          <cell r="T94">
            <v>29619857521.07711</v>
          </cell>
          <cell r="V94" t="str">
            <v>K</v>
          </cell>
          <cell r="W94" t="str">
            <v>x</v>
          </cell>
          <cell r="Y94">
            <v>23411098165</v>
          </cell>
          <cell r="Z94">
            <v>6208759356.0771103</v>
          </cell>
          <cell r="AA94">
            <v>0.2652058144525366</v>
          </cell>
          <cell r="AC94" t="e">
            <v>#N/A</v>
          </cell>
          <cell r="AD94">
            <v>293</v>
          </cell>
        </row>
        <row r="95">
          <cell r="B95" t="str">
            <v>Kab. Karimun</v>
          </cell>
          <cell r="C95" t="str">
            <v>06-2005</v>
          </cell>
          <cell r="D95">
            <v>8670292.474531712</v>
          </cell>
          <cell r="E95">
            <v>135395114.28958416</v>
          </cell>
          <cell r="F95">
            <v>205925642.40682366</v>
          </cell>
          <cell r="G95">
            <v>41662073.534282871</v>
          </cell>
          <cell r="H95">
            <v>2433</v>
          </cell>
          <cell r="I95">
            <v>391653122.70522243</v>
          </cell>
          <cell r="J95">
            <v>2820630023.9999995</v>
          </cell>
          <cell r="K95">
            <v>293815627.5</v>
          </cell>
          <cell r="L95">
            <v>408786960</v>
          </cell>
          <cell r="M95">
            <v>86185917.399999991</v>
          </cell>
          <cell r="N95">
            <v>214613154</v>
          </cell>
          <cell r="O95">
            <v>4215684805.6052222</v>
          </cell>
          <cell r="P95">
            <v>50588217667.262665</v>
          </cell>
          <cell r="Q95">
            <v>1264705441.6815667</v>
          </cell>
          <cell r="R95">
            <v>51852923108.944229</v>
          </cell>
          <cell r="S95">
            <v>4215684805.6052222</v>
          </cell>
          <cell r="T95">
            <v>56068607914.549454</v>
          </cell>
          <cell r="V95" t="str">
            <v>K</v>
          </cell>
          <cell r="W95" t="str">
            <v>x</v>
          </cell>
          <cell r="Y95">
            <v>44285254000</v>
          </cell>
          <cell r="Z95">
            <v>11783353914.549454</v>
          </cell>
          <cell r="AA95">
            <v>0.2660784990540972</v>
          </cell>
          <cell r="AC95">
            <v>2187</v>
          </cell>
          <cell r="AD95">
            <v>312</v>
          </cell>
        </row>
        <row r="96">
          <cell r="B96" t="str">
            <v>Kota  Batam</v>
          </cell>
          <cell r="C96" t="str">
            <v>06-2005</v>
          </cell>
          <cell r="D96">
            <v>8670292.474531712</v>
          </cell>
          <cell r="E96">
            <v>155503299.58011648</v>
          </cell>
          <cell r="F96">
            <v>262759271.46300763</v>
          </cell>
          <cell r="G96">
            <v>42814779.126140498</v>
          </cell>
          <cell r="H96">
            <v>2929</v>
          </cell>
          <cell r="I96">
            <v>469747642.64379632</v>
          </cell>
          <cell r="J96">
            <v>3408721164</v>
          </cell>
          <cell r="K96">
            <v>355075121.25</v>
          </cell>
          <cell r="L96">
            <v>494017560</v>
          </cell>
          <cell r="M96">
            <v>104155368.89999999</v>
          </cell>
          <cell r="N96">
            <v>259359219</v>
          </cell>
          <cell r="O96">
            <v>5091076075.7937965</v>
          </cell>
          <cell r="P96">
            <v>61092912909.525558</v>
          </cell>
          <cell r="Q96">
            <v>1527322822.7381392</v>
          </cell>
          <cell r="R96">
            <v>62620235732.263695</v>
          </cell>
          <cell r="S96">
            <v>5091076075.7937965</v>
          </cell>
          <cell r="T96">
            <v>67711311808.057495</v>
          </cell>
          <cell r="V96" t="str">
            <v>K</v>
          </cell>
          <cell r="W96" t="str">
            <v>x</v>
          </cell>
          <cell r="Y96">
            <v>53518569000</v>
          </cell>
          <cell r="Z96">
            <v>14192742808.057495</v>
          </cell>
          <cell r="AA96">
            <v>0.26519286806897796</v>
          </cell>
          <cell r="AC96">
            <v>2642</v>
          </cell>
          <cell r="AD96">
            <v>311</v>
          </cell>
        </row>
        <row r="97">
          <cell r="B97" t="str">
            <v>Kota Jambi</v>
          </cell>
          <cell r="C97" t="str">
            <v>06-2005</v>
          </cell>
          <cell r="D97">
            <v>21551869.865264542</v>
          </cell>
          <cell r="E97">
            <v>248503656.54882839</v>
          </cell>
          <cell r="F97">
            <v>625169919.6180234</v>
          </cell>
          <cell r="G97">
            <v>325556993.58607602</v>
          </cell>
          <cell r="H97">
            <v>7606</v>
          </cell>
          <cell r="I97">
            <v>1220782439.6181924</v>
          </cell>
          <cell r="J97">
            <v>9952519750</v>
          </cell>
          <cell r="K97">
            <v>874081649.99999988</v>
          </cell>
          <cell r="L97">
            <v>1389152000</v>
          </cell>
          <cell r="M97">
            <v>125234999.99999999</v>
          </cell>
          <cell r="N97">
            <v>651478000</v>
          </cell>
          <cell r="O97">
            <v>14213248839.618193</v>
          </cell>
          <cell r="P97">
            <v>170558986075.4183</v>
          </cell>
          <cell r="Q97">
            <v>4263974651.885458</v>
          </cell>
          <cell r="R97">
            <v>174822960727.30377</v>
          </cell>
          <cell r="S97">
            <v>14213248839.618193</v>
          </cell>
          <cell r="T97">
            <v>189036209566.92197</v>
          </cell>
          <cell r="V97" t="str">
            <v>K</v>
          </cell>
          <cell r="Y97">
            <v>150336550000</v>
          </cell>
          <cell r="Z97">
            <v>38699659566.921967</v>
          </cell>
          <cell r="AA97">
            <v>0.25742016540170681</v>
          </cell>
          <cell r="AC97">
            <v>7399</v>
          </cell>
          <cell r="AD97">
            <v>229</v>
          </cell>
        </row>
        <row r="98">
          <cell r="B98" t="str">
            <v xml:space="preserve">Kab. Bungo     </v>
          </cell>
          <cell r="C98" t="str">
            <v>06-2005</v>
          </cell>
          <cell r="D98">
            <v>29478994.413407821</v>
          </cell>
          <cell r="E98">
            <v>217503537.55925775</v>
          </cell>
          <cell r="F98">
            <v>453436867.04987949</v>
          </cell>
          <cell r="G98">
            <v>101932108.76569603</v>
          </cell>
          <cell r="H98">
            <v>4980</v>
          </cell>
          <cell r="I98">
            <v>802351507.78824115</v>
          </cell>
          <cell r="J98">
            <v>6159335600</v>
          </cell>
          <cell r="K98">
            <v>637050550</v>
          </cell>
          <cell r="L98">
            <v>855820000</v>
          </cell>
          <cell r="M98">
            <v>51553349.999999993</v>
          </cell>
          <cell r="N98">
            <v>470427000</v>
          </cell>
          <cell r="O98">
            <v>8976538007.7882423</v>
          </cell>
          <cell r="P98">
            <v>107718456093.45891</v>
          </cell>
          <cell r="Q98">
            <v>2692961402.336473</v>
          </cell>
          <cell r="R98">
            <v>110411417495.79538</v>
          </cell>
          <cell r="S98">
            <v>8976538007.7882423</v>
          </cell>
          <cell r="T98">
            <v>119387955503.58362</v>
          </cell>
          <cell r="V98" t="str">
            <v>K</v>
          </cell>
          <cell r="Y98">
            <v>94652792000</v>
          </cell>
          <cell r="Z98">
            <v>24735163503.583618</v>
          </cell>
          <cell r="AA98">
            <v>0.26132523912853639</v>
          </cell>
          <cell r="AC98">
            <v>4794</v>
          </cell>
          <cell r="AD98">
            <v>199</v>
          </cell>
        </row>
        <row r="99">
          <cell r="B99" t="str">
            <v>Kab. Tebo</v>
          </cell>
          <cell r="C99" t="str">
            <v>06-2005</v>
          </cell>
          <cell r="D99">
            <v>21551869.865264542</v>
          </cell>
          <cell r="E99">
            <v>155670867.7908709</v>
          </cell>
          <cell r="F99">
            <v>330836409.79046917</v>
          </cell>
          <cell r="G99">
            <v>35404528.89277003</v>
          </cell>
          <cell r="H99">
            <v>3379</v>
          </cell>
          <cell r="I99">
            <v>543463676.33937466</v>
          </cell>
          <cell r="J99">
            <v>3987859599.9999995</v>
          </cell>
          <cell r="K99">
            <v>422505399.99999994</v>
          </cell>
          <cell r="L99">
            <v>541534000</v>
          </cell>
          <cell r="M99">
            <v>30372649.999999996</v>
          </cell>
          <cell r="N99">
            <v>321842000</v>
          </cell>
          <cell r="O99">
            <v>5847577326.3393745</v>
          </cell>
          <cell r="P99">
            <v>70170927916.072495</v>
          </cell>
          <cell r="Q99">
            <v>1754273197.9018126</v>
          </cell>
          <cell r="R99">
            <v>71925201113.974304</v>
          </cell>
          <cell r="S99">
            <v>5847577326.3393745</v>
          </cell>
          <cell r="T99">
            <v>77772778440.313675</v>
          </cell>
          <cell r="V99" t="str">
            <v>K</v>
          </cell>
          <cell r="Y99">
            <v>61425741000</v>
          </cell>
          <cell r="Z99">
            <v>16347037440.313675</v>
          </cell>
          <cell r="AA99">
            <v>0.26612682523949815</v>
          </cell>
          <cell r="AC99">
            <v>3073</v>
          </cell>
          <cell r="AD99">
            <v>264</v>
          </cell>
        </row>
        <row r="100">
          <cell r="B100" t="str">
            <v>Kab. Tanjung Jabung Barat</v>
          </cell>
          <cell r="C100" t="str">
            <v>06-2005</v>
          </cell>
          <cell r="D100">
            <v>7183956.6217548475</v>
          </cell>
          <cell r="E100">
            <v>141427569.87674385</v>
          </cell>
          <cell r="F100">
            <v>312045887.44669014</v>
          </cell>
          <cell r="G100">
            <v>40674040.169833474</v>
          </cell>
          <cell r="H100">
            <v>3146</v>
          </cell>
          <cell r="I100">
            <v>501331454.11502236</v>
          </cell>
          <cell r="J100">
            <v>4307149050</v>
          </cell>
          <cell r="K100">
            <v>410190049.99999994</v>
          </cell>
          <cell r="L100">
            <v>648809000</v>
          </cell>
          <cell r="M100">
            <v>29370999.999999996</v>
          </cell>
          <cell r="N100">
            <v>325303000</v>
          </cell>
          <cell r="O100">
            <v>6222153554.1150227</v>
          </cell>
          <cell r="P100">
            <v>74665842649.38028</v>
          </cell>
          <cell r="Q100">
            <v>1866646066.2345071</v>
          </cell>
          <cell r="R100">
            <v>76532488715.614792</v>
          </cell>
          <cell r="S100">
            <v>6222153554.1150227</v>
          </cell>
          <cell r="T100">
            <v>82754642269.729813</v>
          </cell>
          <cell r="V100" t="str">
            <v>K</v>
          </cell>
          <cell r="Y100">
            <v>66854892000</v>
          </cell>
          <cell r="Z100">
            <v>15899750269.729813</v>
          </cell>
          <cell r="AA100">
            <v>0.23782478430643209</v>
          </cell>
          <cell r="AC100">
            <v>2895</v>
          </cell>
          <cell r="AD100">
            <v>274</v>
          </cell>
        </row>
        <row r="101">
          <cell r="B101" t="str">
            <v>Kab. Tanjung Jabung Timur</v>
          </cell>
          <cell r="C101" t="str">
            <v>06-2005</v>
          </cell>
          <cell r="D101">
            <v>11395241.537955964</v>
          </cell>
          <cell r="E101">
            <v>133384295.76053095</v>
          </cell>
          <cell r="F101">
            <v>312970011.4963842</v>
          </cell>
          <cell r="G101">
            <v>31617067.662380677</v>
          </cell>
          <cell r="H101">
            <v>3066</v>
          </cell>
          <cell r="I101">
            <v>489366616.45725179</v>
          </cell>
          <cell r="J101">
            <v>3647327349.9999995</v>
          </cell>
          <cell r="K101">
            <v>369929700</v>
          </cell>
          <cell r="L101">
            <v>561470000</v>
          </cell>
          <cell r="M101">
            <v>30615299.999999996</v>
          </cell>
          <cell r="N101">
            <v>273909000</v>
          </cell>
          <cell r="O101">
            <v>5372617966.4572515</v>
          </cell>
          <cell r="P101">
            <v>64471415597.487015</v>
          </cell>
          <cell r="Q101">
            <v>1611785389.9371755</v>
          </cell>
          <cell r="R101">
            <v>66083200987.424187</v>
          </cell>
          <cell r="S101">
            <v>5372617966.4572515</v>
          </cell>
          <cell r="T101">
            <v>71455818953.881439</v>
          </cell>
          <cell r="V101" t="str">
            <v>K</v>
          </cell>
          <cell r="Y101">
            <v>57071560000</v>
          </cell>
          <cell r="Z101">
            <v>14384258953.881439</v>
          </cell>
          <cell r="AA101">
            <v>0.25203900075416619</v>
          </cell>
          <cell r="AC101">
            <v>2835</v>
          </cell>
          <cell r="AD101">
            <v>191</v>
          </cell>
        </row>
        <row r="102">
          <cell r="B102" t="str">
            <v>Kab. Kerinci</v>
          </cell>
          <cell r="C102" t="str">
            <v>06-2005</v>
          </cell>
          <cell r="D102">
            <v>18083752.875451855</v>
          </cell>
          <cell r="E102">
            <v>197730488.6902343</v>
          </cell>
          <cell r="F102">
            <v>615928679.1210829</v>
          </cell>
          <cell r="G102">
            <v>267757041.76578635</v>
          </cell>
          <cell r="H102">
            <v>6878</v>
          </cell>
          <cell r="I102">
            <v>1099499962.4525554</v>
          </cell>
          <cell r="J102">
            <v>9013603400</v>
          </cell>
          <cell r="K102">
            <v>880977049.99999988</v>
          </cell>
          <cell r="L102">
            <v>1248901000</v>
          </cell>
          <cell r="M102">
            <v>184654350</v>
          </cell>
          <cell r="N102">
            <v>619282000</v>
          </cell>
          <cell r="O102">
            <v>13046917762.452555</v>
          </cell>
          <cell r="P102">
            <v>156563013149.43066</v>
          </cell>
          <cell r="Q102">
            <v>3914075328.7357669</v>
          </cell>
          <cell r="R102">
            <v>160477088478.16644</v>
          </cell>
          <cell r="S102">
            <v>13046917762.452555</v>
          </cell>
          <cell r="T102">
            <v>173524006240.61899</v>
          </cell>
          <cell r="V102" t="str">
            <v>K</v>
          </cell>
          <cell r="Y102">
            <v>138229923000</v>
          </cell>
          <cell r="Z102">
            <v>35294083240.618988</v>
          </cell>
          <cell r="AA102">
            <v>0.25532882081269037</v>
          </cell>
          <cell r="AC102">
            <v>6579</v>
          </cell>
          <cell r="AD102">
            <v>264</v>
          </cell>
        </row>
        <row r="103">
          <cell r="B103" t="str">
            <v>Kab. Batanghari</v>
          </cell>
          <cell r="C103" t="str">
            <v>06-2005</v>
          </cell>
          <cell r="D103">
            <v>18579198.159710813</v>
          </cell>
          <cell r="E103">
            <v>219514356.08831099</v>
          </cell>
          <cell r="F103">
            <v>377042612.27517152</v>
          </cell>
          <cell r="G103">
            <v>55000523.954349719</v>
          </cell>
          <cell r="H103">
            <v>4167</v>
          </cell>
          <cell r="I103">
            <v>670136690.47754312</v>
          </cell>
          <cell r="J103">
            <v>4949586200</v>
          </cell>
          <cell r="K103">
            <v>491043099.99999994</v>
          </cell>
          <cell r="L103">
            <v>644687000</v>
          </cell>
          <cell r="M103">
            <v>34996800</v>
          </cell>
          <cell r="N103">
            <v>376035000</v>
          </cell>
          <cell r="O103">
            <v>7166484790.4775429</v>
          </cell>
          <cell r="P103">
            <v>85997817485.730515</v>
          </cell>
          <cell r="Q103">
            <v>2149945437.1432629</v>
          </cell>
          <cell r="R103">
            <v>88147762922.873779</v>
          </cell>
          <cell r="S103">
            <v>7166484790.4775429</v>
          </cell>
          <cell r="T103">
            <v>95314247713.351318</v>
          </cell>
          <cell r="V103" t="str">
            <v>K</v>
          </cell>
          <cell r="Y103">
            <v>75170433000</v>
          </cell>
          <cell r="Z103">
            <v>20143814713.351318</v>
          </cell>
          <cell r="AA103">
            <v>0.26797523852697935</v>
          </cell>
          <cell r="AC103">
            <v>3941</v>
          </cell>
          <cell r="AD103">
            <v>265</v>
          </cell>
        </row>
        <row r="104">
          <cell r="B104" t="str">
            <v>Kab. Muaro Jambi</v>
          </cell>
          <cell r="C104" t="str">
            <v>06-2005</v>
          </cell>
          <cell r="D104">
            <v>20313256.654617153</v>
          </cell>
          <cell r="E104">
            <v>183152054.3545984</v>
          </cell>
          <cell r="F104">
            <v>419398297.88614875</v>
          </cell>
          <cell r="G104">
            <v>50554373.814327434</v>
          </cell>
          <cell r="H104">
            <v>4205</v>
          </cell>
          <cell r="I104">
            <v>673417982.70969176</v>
          </cell>
          <cell r="J104">
            <v>4930898700</v>
          </cell>
          <cell r="K104">
            <v>591708350</v>
          </cell>
          <cell r="L104">
            <v>673023000</v>
          </cell>
          <cell r="M104">
            <v>190735550</v>
          </cell>
          <cell r="N104">
            <v>467535000</v>
          </cell>
          <cell r="O104">
            <v>7527318582.709692</v>
          </cell>
          <cell r="P104">
            <v>90327822992.516296</v>
          </cell>
          <cell r="Q104">
            <v>2258195574.8129077</v>
          </cell>
          <cell r="R104">
            <v>92586018567.329208</v>
          </cell>
          <cell r="S104">
            <v>7527318582.709692</v>
          </cell>
          <cell r="T104">
            <v>100113337150.03889</v>
          </cell>
          <cell r="V104" t="str">
            <v>K</v>
          </cell>
          <cell r="Y104">
            <v>79470768000</v>
          </cell>
          <cell r="Z104">
            <v>20642569150.038895</v>
          </cell>
          <cell r="AA104">
            <v>0.25975046761897275</v>
          </cell>
          <cell r="AC104">
            <v>3831</v>
          </cell>
          <cell r="AD104">
            <v>275</v>
          </cell>
        </row>
        <row r="105">
          <cell r="B105" t="str">
            <v>Provinsi Jambi</v>
          </cell>
          <cell r="C105" t="str">
            <v>06-2005</v>
          </cell>
          <cell r="D105">
            <v>16500000</v>
          </cell>
          <cell r="E105">
            <v>279319879.37937939</v>
          </cell>
          <cell r="F105">
            <v>515201328.74946278</v>
          </cell>
          <cell r="G105">
            <v>59874222.222222216</v>
          </cell>
          <cell r="H105">
            <v>5493</v>
          </cell>
          <cell r="I105">
            <v>870895430.35106432</v>
          </cell>
          <cell r="J105">
            <v>6821749399.999999</v>
          </cell>
          <cell r="K105">
            <v>698736550</v>
          </cell>
          <cell r="L105">
            <v>528538000</v>
          </cell>
          <cell r="M105">
            <v>239949799.99999997</v>
          </cell>
          <cell r="N105">
            <v>517939000</v>
          </cell>
          <cell r="O105">
            <v>9677808180.3510628</v>
          </cell>
          <cell r="P105">
            <v>116133698164.21275</v>
          </cell>
          <cell r="Q105">
            <v>2903342454.105319</v>
          </cell>
          <cell r="R105">
            <v>119037040618.31807</v>
          </cell>
          <cell r="S105">
            <v>9677808180.3510628</v>
          </cell>
          <cell r="T105">
            <v>128714848798.66913</v>
          </cell>
          <cell r="V105" t="str">
            <v>P</v>
          </cell>
          <cell r="Y105">
            <v>101334480000</v>
          </cell>
          <cell r="Z105">
            <v>27380368798.669128</v>
          </cell>
          <cell r="AA105">
            <v>0.27019795037848054</v>
          </cell>
          <cell r="AC105">
            <v>5826</v>
          </cell>
          <cell r="AD105">
            <v>68</v>
          </cell>
        </row>
        <row r="106">
          <cell r="B106" t="str">
            <v>Kab. Merangin</v>
          </cell>
          <cell r="C106" t="str">
            <v>06-2005</v>
          </cell>
          <cell r="D106">
            <v>27744935.918501478</v>
          </cell>
          <cell r="E106">
            <v>214654877.97643232</v>
          </cell>
          <cell r="F106">
            <v>517971529.85351384</v>
          </cell>
          <cell r="G106">
            <v>47919618.175795712</v>
          </cell>
          <cell r="H106">
            <v>5047</v>
          </cell>
          <cell r="I106">
            <v>808290961.92424333</v>
          </cell>
          <cell r="J106">
            <v>6401189799.999999</v>
          </cell>
          <cell r="K106">
            <v>657356100</v>
          </cell>
          <cell r="L106">
            <v>856854000</v>
          </cell>
          <cell r="M106">
            <v>238139699.99999997</v>
          </cell>
          <cell r="N106">
            <v>496094000</v>
          </cell>
          <cell r="O106">
            <v>9457924561.924242</v>
          </cell>
          <cell r="P106">
            <v>113495094743.09091</v>
          </cell>
          <cell r="Q106">
            <v>2837377368.5772729</v>
          </cell>
          <cell r="R106">
            <v>116332472111.66818</v>
          </cell>
          <cell r="S106">
            <v>9457924561.924242</v>
          </cell>
          <cell r="T106">
            <v>125790396673.59242</v>
          </cell>
          <cell r="V106" t="str">
            <v>K</v>
          </cell>
          <cell r="Y106">
            <v>100076041000</v>
          </cell>
          <cell r="Z106">
            <v>25714355673.592422</v>
          </cell>
          <cell r="AA106">
            <v>0.25694817077738341</v>
          </cell>
          <cell r="AC106">
            <v>4779</v>
          </cell>
          <cell r="AD106">
            <v>279</v>
          </cell>
        </row>
        <row r="107">
          <cell r="B107" t="str">
            <v>Kab. Sarolangun</v>
          </cell>
          <cell r="C107" t="str">
            <v>06-2005</v>
          </cell>
          <cell r="D107">
            <v>15854249.096286559</v>
          </cell>
          <cell r="E107">
            <v>122492362.06149261</v>
          </cell>
          <cell r="F107">
            <v>289558868.90413499</v>
          </cell>
          <cell r="G107">
            <v>19431322.834171459</v>
          </cell>
          <cell r="H107">
            <v>2793</v>
          </cell>
          <cell r="I107">
            <v>447336802.89608562</v>
          </cell>
          <cell r="J107">
            <v>3535647399.9999995</v>
          </cell>
          <cell r="K107">
            <v>374382500</v>
          </cell>
          <cell r="L107">
            <v>530916000</v>
          </cell>
          <cell r="M107">
            <v>132245399.99999999</v>
          </cell>
          <cell r="N107">
            <v>269215000</v>
          </cell>
          <cell r="O107">
            <v>5289743102.8960857</v>
          </cell>
          <cell r="P107">
            <v>63476917234.753029</v>
          </cell>
          <cell r="Q107">
            <v>1586922930.8688259</v>
          </cell>
          <cell r="R107">
            <v>65063840165.621857</v>
          </cell>
          <cell r="S107">
            <v>5289743102.8960857</v>
          </cell>
          <cell r="T107">
            <v>70353583268.517944</v>
          </cell>
          <cell r="V107" t="str">
            <v>K</v>
          </cell>
          <cell r="Y107">
            <v>56098263000</v>
          </cell>
          <cell r="Z107">
            <v>14255320268.517944</v>
          </cell>
          <cell r="AA107">
            <v>0.25411339863620991</v>
          </cell>
          <cell r="AC107">
            <v>2777</v>
          </cell>
          <cell r="AD107">
            <v>291</v>
          </cell>
        </row>
        <row r="108">
          <cell r="B108" t="str">
            <v>Provinsi Sumatera Selatan</v>
          </cell>
          <cell r="C108" t="str">
            <v>06-2005</v>
          </cell>
          <cell r="D108">
            <v>26500000</v>
          </cell>
          <cell r="E108">
            <v>226017201.03436771</v>
          </cell>
          <cell r="F108">
            <v>838940704.77009022</v>
          </cell>
          <cell r="G108">
            <v>83028000</v>
          </cell>
          <cell r="H108">
            <v>7541</v>
          </cell>
          <cell r="I108">
            <v>1174485905.8044579</v>
          </cell>
          <cell r="J108">
            <v>9882871150</v>
          </cell>
          <cell r="K108">
            <v>1073818250</v>
          </cell>
          <cell r="L108">
            <v>685569000</v>
          </cell>
          <cell r="M108">
            <v>345147200</v>
          </cell>
          <cell r="N108">
            <v>761458000</v>
          </cell>
          <cell r="O108">
            <v>13923349505.804459</v>
          </cell>
          <cell r="P108">
            <v>167080194069.6535</v>
          </cell>
          <cell r="Q108">
            <v>4177004851.7413378</v>
          </cell>
          <cell r="R108">
            <v>171257198921.39484</v>
          </cell>
          <cell r="S108">
            <v>13923349505.804459</v>
          </cell>
          <cell r="T108">
            <v>185180548427.19928</v>
          </cell>
          <cell r="V108" t="str">
            <v>P</v>
          </cell>
          <cell r="Y108">
            <v>146576235000</v>
          </cell>
          <cell r="Z108">
            <v>38604313427.19928</v>
          </cell>
          <cell r="AA108">
            <v>0.26337361869882442</v>
          </cell>
          <cell r="AC108">
            <v>8021</v>
          </cell>
          <cell r="AD108">
            <v>0</v>
          </cell>
        </row>
        <row r="109">
          <cell r="B109" t="str">
            <v xml:space="preserve">Kota Palembang </v>
          </cell>
          <cell r="C109" t="str">
            <v>06-2005</v>
          </cell>
          <cell r="D109">
            <v>45828688.793953337</v>
          </cell>
          <cell r="E109">
            <v>280174048.38141674</v>
          </cell>
          <cell r="F109">
            <v>1736891151.3999629</v>
          </cell>
          <cell r="G109">
            <v>410198518.47390765</v>
          </cell>
          <cell r="H109">
            <v>15625</v>
          </cell>
          <cell r="I109">
            <v>2473092407.0492406</v>
          </cell>
          <cell r="J109">
            <v>21081786200</v>
          </cell>
          <cell r="K109">
            <v>1949325899.9999998</v>
          </cell>
          <cell r="L109">
            <v>2984871000</v>
          </cell>
          <cell r="M109">
            <v>224231599.99999997</v>
          </cell>
          <cell r="N109">
            <v>1424069000</v>
          </cell>
          <cell r="O109">
            <v>30137376107.04924</v>
          </cell>
          <cell r="P109">
            <v>361648513284.59088</v>
          </cell>
          <cell r="Q109">
            <v>9041212832.1147728</v>
          </cell>
          <cell r="R109">
            <v>370689726116.70563</v>
          </cell>
          <cell r="S109">
            <v>30137376107.04924</v>
          </cell>
          <cell r="T109">
            <v>400827102223.75488</v>
          </cell>
          <cell r="V109" t="str">
            <v>K</v>
          </cell>
          <cell r="Y109">
            <v>320213504000</v>
          </cell>
          <cell r="Z109">
            <v>80613598223.754883</v>
          </cell>
          <cell r="AA109">
            <v>0.25174952716470972</v>
          </cell>
          <cell r="AC109">
            <v>15862</v>
          </cell>
          <cell r="AD109">
            <v>0</v>
          </cell>
        </row>
        <row r="110">
          <cell r="B110" t="str">
            <v xml:space="preserve">Kab. Lahat     </v>
          </cell>
          <cell r="C110" t="str">
            <v>06-2005</v>
          </cell>
          <cell r="D110">
            <v>21551869.865264542</v>
          </cell>
          <cell r="E110">
            <v>257552339.9295679</v>
          </cell>
          <cell r="F110">
            <v>850656187.74337113</v>
          </cell>
          <cell r="G110">
            <v>95674564.124183193</v>
          </cell>
          <cell r="H110">
            <v>7728</v>
          </cell>
          <cell r="I110">
            <v>1225434961.6623869</v>
          </cell>
          <cell r="J110">
            <v>9901673098</v>
          </cell>
          <cell r="K110">
            <v>975906737.0999999</v>
          </cell>
          <cell r="L110">
            <v>1392934250</v>
          </cell>
          <cell r="M110">
            <v>385032388.94999999</v>
          </cell>
          <cell r="N110">
            <v>730163940</v>
          </cell>
          <cell r="O110">
            <v>14611145375.712389</v>
          </cell>
          <cell r="P110">
            <v>175333744508.54868</v>
          </cell>
          <cell r="Q110">
            <v>4383343612.7137175</v>
          </cell>
          <cell r="R110">
            <v>179717088121.26239</v>
          </cell>
          <cell r="S110">
            <v>14611145375.712389</v>
          </cell>
          <cell r="T110">
            <v>194328233496.97479</v>
          </cell>
          <cell r="V110" t="str">
            <v>K</v>
          </cell>
          <cell r="Y110">
            <v>154921947375</v>
          </cell>
          <cell r="Z110">
            <v>39406286121.974792</v>
          </cell>
          <cell r="AA110">
            <v>0.25436219199200338</v>
          </cell>
          <cell r="AC110">
            <v>7552</v>
          </cell>
          <cell r="AD110">
            <v>244</v>
          </cell>
        </row>
        <row r="111">
          <cell r="B111" t="str">
            <v>Kota Pagar Alam</v>
          </cell>
          <cell r="C111" t="str">
            <v>06-2005</v>
          </cell>
          <cell r="D111">
            <v>4459007.5583305946</v>
          </cell>
          <cell r="E111">
            <v>79930036.529865906</v>
          </cell>
          <cell r="F111">
            <v>205925642.40682366</v>
          </cell>
          <cell r="G111">
            <v>21901406.245294947</v>
          </cell>
          <cell r="H111">
            <v>1965</v>
          </cell>
          <cell r="I111">
            <v>312216092.74031508</v>
          </cell>
          <cell r="J111">
            <v>2354522144</v>
          </cell>
          <cell r="K111">
            <v>233470859.84999999</v>
          </cell>
          <cell r="L111">
            <v>388210350</v>
          </cell>
          <cell r="M111">
            <v>93477773</v>
          </cell>
          <cell r="N111">
            <v>176447850</v>
          </cell>
          <cell r="O111">
            <v>3558345069.5903149</v>
          </cell>
          <cell r="P111">
            <v>42700140835.083778</v>
          </cell>
          <cell r="Q111">
            <v>1067503520.8770945</v>
          </cell>
          <cell r="R111">
            <v>43767644355.960876</v>
          </cell>
          <cell r="S111">
            <v>3558345069.5903149</v>
          </cell>
          <cell r="T111">
            <v>47325989425.551193</v>
          </cell>
          <cell r="V111" t="str">
            <v>K</v>
          </cell>
          <cell r="Y111">
            <v>37654557330</v>
          </cell>
          <cell r="Z111">
            <v>9671432095.5511932</v>
          </cell>
          <cell r="AA111">
            <v>0.25684625663746169</v>
          </cell>
          <cell r="AC111">
            <v>1649</v>
          </cell>
          <cell r="AD111">
            <v>248</v>
          </cell>
        </row>
        <row r="112">
          <cell r="B112" t="str">
            <v>Kota Prabumulih</v>
          </cell>
          <cell r="C112" t="str">
            <v>06-2005</v>
          </cell>
          <cell r="D112">
            <v>4459007.5583305946</v>
          </cell>
          <cell r="E112">
            <v>83784105.377217934</v>
          </cell>
          <cell r="F112">
            <v>242736583.71963659</v>
          </cell>
          <cell r="G112">
            <v>30793706.525339514</v>
          </cell>
          <cell r="H112">
            <v>2281</v>
          </cell>
          <cell r="I112">
            <v>361773403.18052459</v>
          </cell>
          <cell r="J112">
            <v>3036174800</v>
          </cell>
          <cell r="K112">
            <v>275336450</v>
          </cell>
          <cell r="L112">
            <v>492774000</v>
          </cell>
          <cell r="M112">
            <v>117398899.99999999</v>
          </cell>
          <cell r="N112">
            <v>214301000</v>
          </cell>
          <cell r="O112">
            <v>4497758553.1805248</v>
          </cell>
          <cell r="P112">
            <v>53973102638.166298</v>
          </cell>
          <cell r="Q112">
            <v>1349327565.9541576</v>
          </cell>
          <cell r="R112">
            <v>55322430204.120453</v>
          </cell>
          <cell r="S112">
            <v>4497758553.1805248</v>
          </cell>
          <cell r="T112">
            <v>59820188757.30098</v>
          </cell>
          <cell r="V112" t="str">
            <v>K</v>
          </cell>
          <cell r="Y112">
            <v>47955206000</v>
          </cell>
          <cell r="Z112">
            <v>11864982757.30098</v>
          </cell>
          <cell r="AA112">
            <v>0.2474180333476407</v>
          </cell>
          <cell r="AC112">
            <v>1997</v>
          </cell>
          <cell r="AD112">
            <v>282</v>
          </cell>
        </row>
        <row r="113">
          <cell r="B113" t="str">
            <v>Kab. Ogan Komering Ilir</v>
          </cell>
          <cell r="C113" t="str">
            <v>06-2005</v>
          </cell>
          <cell r="D113">
            <v>30965330.266184688</v>
          </cell>
          <cell r="E113">
            <v>278665934.48462683</v>
          </cell>
          <cell r="F113">
            <v>713423766.36380494</v>
          </cell>
          <cell r="G113">
            <v>67021596.555150703</v>
          </cell>
          <cell r="H113">
            <v>6827</v>
          </cell>
          <cell r="I113">
            <v>1090076627.6697671</v>
          </cell>
          <cell r="J113">
            <v>8340779799.999999</v>
          </cell>
          <cell r="K113">
            <v>885447099.99999988</v>
          </cell>
          <cell r="L113">
            <v>1240264000</v>
          </cell>
          <cell r="M113">
            <v>38898750</v>
          </cell>
          <cell r="N113">
            <v>669232000</v>
          </cell>
          <cell r="O113">
            <v>12264698277.669765</v>
          </cell>
          <cell r="P113">
            <v>147176379332.03717</v>
          </cell>
          <cell r="Q113">
            <v>3679409483.3009295</v>
          </cell>
          <cell r="R113">
            <v>150855788815.3381</v>
          </cell>
          <cell r="S113">
            <v>12264698277.669765</v>
          </cell>
          <cell r="T113">
            <v>163120487093.00787</v>
          </cell>
          <cell r="V113" t="str">
            <v>K</v>
          </cell>
          <cell r="Y113">
            <v>129564123000</v>
          </cell>
          <cell r="Z113">
            <v>33556364093.007874</v>
          </cell>
          <cell r="AA113">
            <v>0.25899425949117005</v>
          </cell>
          <cell r="AC113">
            <v>10681</v>
          </cell>
          <cell r="AD113">
            <v>254</v>
          </cell>
        </row>
        <row r="114">
          <cell r="B114" t="str">
            <v>Kab. Ogan Ilir</v>
          </cell>
          <cell r="C114" t="str">
            <v>06-2005</v>
          </cell>
          <cell r="D114">
            <v>16349694.380545514</v>
          </cell>
          <cell r="E114">
            <v>110259882.6764188</v>
          </cell>
          <cell r="F114">
            <v>510886578.80585945</v>
          </cell>
          <cell r="G114">
            <v>48907651.540245108</v>
          </cell>
          <cell r="H114">
            <v>4338</v>
          </cell>
          <cell r="I114">
            <v>686403807.40306878</v>
          </cell>
          <cell r="J114">
            <v>5547175650</v>
          </cell>
          <cell r="K114">
            <v>566042650</v>
          </cell>
          <cell r="L114">
            <v>872352000</v>
          </cell>
          <cell r="M114">
            <v>50695449.999999993</v>
          </cell>
          <cell r="N114">
            <v>418281000</v>
          </cell>
          <cell r="O114">
            <v>8140950557.4030685</v>
          </cell>
          <cell r="P114">
            <v>97691406688.836823</v>
          </cell>
          <cell r="Q114">
            <v>2442285167.2209206</v>
          </cell>
          <cell r="R114">
            <v>100133691856.05774</v>
          </cell>
          <cell r="S114">
            <v>8140950557.4030685</v>
          </cell>
          <cell r="T114">
            <v>108274642413.46082</v>
          </cell>
          <cell r="V114" t="str">
            <v>K</v>
          </cell>
          <cell r="Y114">
            <v>86460101000</v>
          </cell>
          <cell r="Z114">
            <v>21814541413.460815</v>
          </cell>
          <cell r="AA114">
            <v>0.25230760965061577</v>
          </cell>
          <cell r="AC114" t="e">
            <v>#N/A</v>
          </cell>
          <cell r="AD114">
            <v>0</v>
          </cell>
        </row>
        <row r="115">
          <cell r="B115" t="str">
            <v xml:space="preserve">Kab. Musi Rawas   </v>
          </cell>
          <cell r="C115" t="str">
            <v>06-2005</v>
          </cell>
          <cell r="D115">
            <v>40131068.024975352</v>
          </cell>
          <cell r="E115">
            <v>305309279.99458212</v>
          </cell>
          <cell r="F115">
            <v>591285371.12924159</v>
          </cell>
          <cell r="G115">
            <v>66692252.100334242</v>
          </cell>
          <cell r="H115">
            <v>6228</v>
          </cell>
          <cell r="I115">
            <v>1003417971.2491333</v>
          </cell>
          <cell r="J115">
            <v>7428140581.999999</v>
          </cell>
          <cell r="K115">
            <v>813487080.49999988</v>
          </cell>
          <cell r="L115">
            <v>1078896700</v>
          </cell>
          <cell r="M115">
            <v>228586053.14999998</v>
          </cell>
          <cell r="N115">
            <v>618530040</v>
          </cell>
          <cell r="O115">
            <v>11171058426.899132</v>
          </cell>
          <cell r="P115">
            <v>134052701122.78958</v>
          </cell>
          <cell r="Q115">
            <v>3351317528.0697398</v>
          </cell>
          <cell r="R115">
            <v>137404018650.85931</v>
          </cell>
          <cell r="S115">
            <v>11171058426.899132</v>
          </cell>
          <cell r="T115">
            <v>148575077077.75845</v>
          </cell>
          <cell r="V115" t="str">
            <v>K</v>
          </cell>
          <cell r="Y115">
            <v>117820781156</v>
          </cell>
          <cell r="Z115">
            <v>30754295921.758453</v>
          </cell>
          <cell r="AA115">
            <v>0.2610260738386922</v>
          </cell>
          <cell r="AC115">
            <v>6015</v>
          </cell>
          <cell r="AD115">
            <v>278</v>
          </cell>
        </row>
        <row r="116">
          <cell r="B116" t="str">
            <v xml:space="preserve">Kab. Muara Enim </v>
          </cell>
          <cell r="C116" t="str">
            <v>06-2005</v>
          </cell>
          <cell r="D116">
            <v>36662951.035162672</v>
          </cell>
          <cell r="E116">
            <v>286876776.81159419</v>
          </cell>
          <cell r="F116">
            <v>758859865.47376227</v>
          </cell>
          <cell r="G116">
            <v>76407913.517419964</v>
          </cell>
          <cell r="H116">
            <v>7251</v>
          </cell>
          <cell r="I116">
            <v>1158807506.8379393</v>
          </cell>
          <cell r="J116">
            <v>8908009370.75</v>
          </cell>
          <cell r="K116">
            <v>955075127.64999998</v>
          </cell>
          <cell r="L116">
            <v>1286602205</v>
          </cell>
          <cell r="M116">
            <v>823251868.49999988</v>
          </cell>
          <cell r="N116">
            <v>298518693</v>
          </cell>
          <cell r="O116">
            <v>13430264771.73794</v>
          </cell>
          <cell r="P116">
            <v>161163177260.85529</v>
          </cell>
          <cell r="Q116">
            <v>4029079431.5213823</v>
          </cell>
          <cell r="R116">
            <v>165192256692.37668</v>
          </cell>
          <cell r="S116">
            <v>13430264771.73794</v>
          </cell>
          <cell r="T116">
            <v>178622521464.11462</v>
          </cell>
          <cell r="V116" t="str">
            <v>K</v>
          </cell>
          <cell r="Y116">
            <v>141413387375</v>
          </cell>
          <cell r="Z116">
            <v>37209134089.114624</v>
          </cell>
          <cell r="AA116">
            <v>0.26312313692368777</v>
          </cell>
          <cell r="AC116">
            <v>6973</v>
          </cell>
          <cell r="AD116">
            <v>295</v>
          </cell>
        </row>
        <row r="117">
          <cell r="B117" t="str">
            <v>Kab. Musi Banyuasin</v>
          </cell>
          <cell r="C117" t="str">
            <v>06-2005</v>
          </cell>
          <cell r="D117">
            <v>31708498.192573119</v>
          </cell>
          <cell r="E117">
            <v>213984605.1334146</v>
          </cell>
          <cell r="F117">
            <v>588512998.98015952</v>
          </cell>
          <cell r="G117">
            <v>45778879.219488688</v>
          </cell>
          <cell r="H117">
            <v>5504</v>
          </cell>
          <cell r="I117">
            <v>879984981.52563596</v>
          </cell>
          <cell r="J117">
            <v>6623081943.499999</v>
          </cell>
          <cell r="K117">
            <v>675400015.14999998</v>
          </cell>
          <cell r="L117">
            <v>972208350</v>
          </cell>
          <cell r="M117">
            <v>264734688.54999998</v>
          </cell>
          <cell r="N117">
            <v>510266220</v>
          </cell>
          <cell r="O117">
            <v>9925676198.7256336</v>
          </cell>
          <cell r="P117">
            <v>119108114384.70761</v>
          </cell>
          <cell r="Q117">
            <v>2977702859.6176906</v>
          </cell>
          <cell r="R117">
            <v>122085817244.3253</v>
          </cell>
          <cell r="S117">
            <v>9925676198.7256336</v>
          </cell>
          <cell r="T117">
            <v>132011493443.05093</v>
          </cell>
          <cell r="V117" t="str">
            <v>K</v>
          </cell>
          <cell r="Y117">
            <v>104769401074</v>
          </cell>
          <cell r="Z117">
            <v>27242092369.050934</v>
          </cell>
          <cell r="AA117">
            <v>0.26001954854938503</v>
          </cell>
          <cell r="AC117">
            <v>5408</v>
          </cell>
          <cell r="AD117">
            <v>170</v>
          </cell>
        </row>
        <row r="118">
          <cell r="B118" t="str">
            <v>Kab. Banyuasin</v>
          </cell>
          <cell r="C118" t="str">
            <v>06-2005</v>
          </cell>
          <cell r="D118">
            <v>32451666.11896155</v>
          </cell>
          <cell r="E118">
            <v>223033288.51415414</v>
          </cell>
          <cell r="F118">
            <v>621319402.74429822</v>
          </cell>
          <cell r="G118">
            <v>54835851.726941489</v>
          </cell>
          <cell r="H118">
            <v>5829</v>
          </cell>
          <cell r="I118">
            <v>931640209.10435534</v>
          </cell>
          <cell r="J118">
            <v>7131789928.999999</v>
          </cell>
          <cell r="K118">
            <v>775832064.69999993</v>
          </cell>
          <cell r="L118">
            <v>1095464250</v>
          </cell>
          <cell r="M118">
            <v>50918388.999999993</v>
          </cell>
          <cell r="N118">
            <v>582813210</v>
          </cell>
          <cell r="O118">
            <v>10568458051.804356</v>
          </cell>
          <cell r="P118">
            <v>126821496621.65227</v>
          </cell>
          <cell r="Q118">
            <v>3170537415.541307</v>
          </cell>
          <cell r="R118">
            <v>129992034037.19357</v>
          </cell>
          <cell r="S118">
            <v>10568458051.804356</v>
          </cell>
          <cell r="T118">
            <v>140560492088.99792</v>
          </cell>
          <cell r="V118" t="str">
            <v>K</v>
          </cell>
          <cell r="Y118">
            <v>111783715654</v>
          </cell>
          <cell r="Z118">
            <v>28776776434.997925</v>
          </cell>
          <cell r="AA118">
            <v>0.25743263467882582</v>
          </cell>
          <cell r="AC118">
            <v>5623</v>
          </cell>
          <cell r="AD118">
            <v>0</v>
          </cell>
        </row>
        <row r="119">
          <cell r="B119" t="str">
            <v>Kota Lubuk Linggau</v>
          </cell>
          <cell r="C119" t="str">
            <v>06-2005</v>
          </cell>
          <cell r="D119">
            <v>11395241.537955964</v>
          </cell>
          <cell r="E119">
            <v>84119241.798726797</v>
          </cell>
          <cell r="F119">
            <v>332838678.56480622</v>
          </cell>
          <cell r="G119">
            <v>36721906.712035887</v>
          </cell>
          <cell r="H119">
            <v>2932</v>
          </cell>
          <cell r="I119">
            <v>465075068.61352491</v>
          </cell>
          <cell r="J119">
            <v>3621874928.9999995</v>
          </cell>
          <cell r="K119">
            <v>330427274.75</v>
          </cell>
          <cell r="L119">
            <v>574420750</v>
          </cell>
          <cell r="M119">
            <v>144920236.54999998</v>
          </cell>
          <cell r="N119">
            <v>257149140</v>
          </cell>
          <cell r="O119">
            <v>5393867398.9135246</v>
          </cell>
          <cell r="P119">
            <v>64726408786.962296</v>
          </cell>
          <cell r="Q119">
            <v>1618160219.6740575</v>
          </cell>
          <cell r="R119">
            <v>66344569006.636353</v>
          </cell>
          <cell r="S119">
            <v>5393867398.9135246</v>
          </cell>
          <cell r="T119">
            <v>71738436405.549881</v>
          </cell>
          <cell r="V119" t="str">
            <v>K</v>
          </cell>
          <cell r="Y119">
            <v>57128828185</v>
          </cell>
          <cell r="Z119">
            <v>14609608220.549881</v>
          </cell>
          <cell r="AA119">
            <v>0.25573092753171234</v>
          </cell>
          <cell r="AC119">
            <v>2612</v>
          </cell>
          <cell r="AD119">
            <v>280</v>
          </cell>
        </row>
        <row r="120">
          <cell r="B120" t="str">
            <v>Kab. Ogan Komering Ulu</v>
          </cell>
          <cell r="C120" t="str">
            <v>06-2005</v>
          </cell>
          <cell r="D120">
            <v>16101971.738416037</v>
          </cell>
          <cell r="E120">
            <v>150643821.46823785</v>
          </cell>
          <cell r="F120">
            <v>566334021.78750241</v>
          </cell>
          <cell r="G120">
            <v>83653491.523382202</v>
          </cell>
          <cell r="H120">
            <v>5149</v>
          </cell>
          <cell r="I120">
            <v>816733306.51753855</v>
          </cell>
          <cell r="J120">
            <v>6570451399.999999</v>
          </cell>
          <cell r="K120">
            <v>653615840</v>
          </cell>
          <cell r="L120">
            <v>926884600</v>
          </cell>
          <cell r="M120">
            <v>254306744.99999997</v>
          </cell>
          <cell r="N120">
            <v>489353700</v>
          </cell>
          <cell r="O120">
            <v>9711345591.5175381</v>
          </cell>
          <cell r="P120">
            <v>116536147098.21045</v>
          </cell>
          <cell r="Q120">
            <v>2913403677.4552612</v>
          </cell>
          <cell r="R120">
            <v>119449550775.66571</v>
          </cell>
          <cell r="S120">
            <v>9711345591.5175381</v>
          </cell>
          <cell r="T120">
            <v>129160896367.18324</v>
          </cell>
          <cell r="V120" t="str">
            <v>K</v>
          </cell>
          <cell r="Y120">
            <v>102952778500</v>
          </cell>
          <cell r="Z120">
            <v>26208117867.183243</v>
          </cell>
          <cell r="AA120">
            <v>0.25456445419958473</v>
          </cell>
          <cell r="AC120">
            <v>11772</v>
          </cell>
          <cell r="AD120">
            <v>263</v>
          </cell>
        </row>
        <row r="121">
          <cell r="B121" t="str">
            <v>Kab. OKU Timur</v>
          </cell>
          <cell r="C121" t="str">
            <v>06-2005</v>
          </cell>
          <cell r="D121">
            <v>38149286.887939535</v>
          </cell>
          <cell r="E121">
            <v>164719551.17161044</v>
          </cell>
          <cell r="F121">
            <v>596368053.40255892</v>
          </cell>
          <cell r="G121">
            <v>64551513.144027218</v>
          </cell>
          <cell r="H121">
            <v>5401</v>
          </cell>
          <cell r="I121">
            <v>863788404.60613608</v>
          </cell>
          <cell r="J121">
            <v>6700762499.999999</v>
          </cell>
          <cell r="K121">
            <v>741224680</v>
          </cell>
          <cell r="L121">
            <v>1033866800</v>
          </cell>
          <cell r="M121">
            <v>259650679.99999997</v>
          </cell>
          <cell r="N121">
            <v>546314000</v>
          </cell>
          <cell r="O121">
            <v>10145607064.606136</v>
          </cell>
          <cell r="P121">
            <v>121747284775.27364</v>
          </cell>
          <cell r="Q121">
            <v>3043682119.3818412</v>
          </cell>
          <cell r="R121">
            <v>124790966894.65547</v>
          </cell>
          <cell r="S121">
            <v>10145607064.606136</v>
          </cell>
          <cell r="T121">
            <v>134936573959.26161</v>
          </cell>
          <cell r="V121" t="str">
            <v>K</v>
          </cell>
          <cell r="Y121">
            <v>107607836700</v>
          </cell>
          <cell r="Z121">
            <v>27328737259.261612</v>
          </cell>
          <cell r="AA121">
            <v>0.2539660502185489</v>
          </cell>
          <cell r="AC121" t="e">
            <v>#N/A</v>
          </cell>
          <cell r="AD121">
            <v>285</v>
          </cell>
        </row>
        <row r="122">
          <cell r="B122" t="str">
            <v>Kab. OKU Selatan</v>
          </cell>
          <cell r="C122" t="str">
            <v>06-2005</v>
          </cell>
          <cell r="D122">
            <v>9908905.6851790994</v>
          </cell>
          <cell r="E122">
            <v>102719313.19246918</v>
          </cell>
          <cell r="F122">
            <v>237653901.44631931</v>
          </cell>
          <cell r="G122">
            <v>25359523.020867836</v>
          </cell>
          <cell r="H122">
            <v>2350</v>
          </cell>
          <cell r="I122">
            <v>375641643.3448354</v>
          </cell>
          <cell r="J122">
            <v>2793608175</v>
          </cell>
          <cell r="K122">
            <v>311807780</v>
          </cell>
          <cell r="L122">
            <v>438893900</v>
          </cell>
          <cell r="M122">
            <v>106872719.99999999</v>
          </cell>
          <cell r="N122">
            <v>235063100</v>
          </cell>
          <cell r="O122">
            <v>4261887318.3448353</v>
          </cell>
          <cell r="P122">
            <v>51142647820.138023</v>
          </cell>
          <cell r="Q122">
            <v>1278566195.5034506</v>
          </cell>
          <cell r="R122">
            <v>52421214015.641472</v>
          </cell>
          <cell r="S122">
            <v>4261887318.3448353</v>
          </cell>
          <cell r="T122">
            <v>56683101333.986305</v>
          </cell>
          <cell r="V122" t="str">
            <v>K</v>
          </cell>
          <cell r="Y122">
            <v>45078338500</v>
          </cell>
          <cell r="Z122">
            <v>11604762833.986305</v>
          </cell>
          <cell r="AA122">
            <v>0.25743546058127909</v>
          </cell>
          <cell r="AC122">
            <v>0</v>
          </cell>
          <cell r="AD122">
            <v>282</v>
          </cell>
        </row>
        <row r="123">
          <cell r="B123" t="str">
            <v>Provinsi Bangka Belitung</v>
          </cell>
          <cell r="C123" t="str">
            <v>06-2005</v>
          </cell>
          <cell r="D123">
            <v>3500000</v>
          </cell>
          <cell r="E123">
            <v>114739206.95695697</v>
          </cell>
          <cell r="F123">
            <v>91292136.656639442</v>
          </cell>
          <cell r="G123">
            <v>17727111.111111108</v>
          </cell>
          <cell r="H123">
            <v>1392</v>
          </cell>
          <cell r="I123">
            <v>227258454.72470751</v>
          </cell>
          <cell r="J123">
            <v>1493393311.9999998</v>
          </cell>
          <cell r="K123">
            <v>157199296</v>
          </cell>
          <cell r="L123">
            <v>128151600</v>
          </cell>
          <cell r="M123">
            <v>43229806.399999999</v>
          </cell>
          <cell r="N123">
            <v>107647344</v>
          </cell>
          <cell r="O123">
            <v>2156879813.1247072</v>
          </cell>
          <cell r="P123">
            <v>25882557757.496487</v>
          </cell>
          <cell r="Q123">
            <v>647063943.93741226</v>
          </cell>
          <cell r="R123">
            <v>26529621701.433899</v>
          </cell>
          <cell r="S123">
            <v>2156879813.1247072</v>
          </cell>
          <cell r="T123">
            <v>28686501514.558605</v>
          </cell>
          <cell r="V123" t="str">
            <v>P</v>
          </cell>
          <cell r="W123" t="str">
            <v>x</v>
          </cell>
          <cell r="Y123">
            <v>22212944000</v>
          </cell>
          <cell r="Z123">
            <v>6473557514.5586052</v>
          </cell>
          <cell r="AA123">
            <v>0.29143176674638921</v>
          </cell>
          <cell r="AC123">
            <v>1368</v>
          </cell>
          <cell r="AD123">
            <v>0</v>
          </cell>
        </row>
        <row r="124">
          <cell r="B124" t="str">
            <v>Kab. Bangka</v>
          </cell>
          <cell r="C124" t="str">
            <v>06-2005</v>
          </cell>
          <cell r="D124">
            <v>18331475.517581336</v>
          </cell>
          <cell r="E124">
            <v>47924508.275768653</v>
          </cell>
          <cell r="F124">
            <v>347778684.03486001</v>
          </cell>
          <cell r="G124">
            <v>32605101.026830073</v>
          </cell>
          <cell r="H124">
            <v>2816</v>
          </cell>
          <cell r="I124">
            <v>446639768.85504007</v>
          </cell>
          <cell r="J124">
            <v>4105758060</v>
          </cell>
          <cell r="K124">
            <v>427683131.24999994</v>
          </cell>
          <cell r="L124">
            <v>595037400</v>
          </cell>
          <cell r="M124">
            <v>125453718.49999999</v>
          </cell>
          <cell r="N124">
            <v>312394635</v>
          </cell>
          <cell r="O124">
            <v>6012966713.6050396</v>
          </cell>
          <cell r="P124">
            <v>72155600563.260468</v>
          </cell>
          <cell r="Q124">
            <v>1803890014.0815117</v>
          </cell>
          <cell r="R124">
            <v>73959490577.34198</v>
          </cell>
          <cell r="S124">
            <v>6012966713.6050396</v>
          </cell>
          <cell r="T124">
            <v>79972457290.947021</v>
          </cell>
          <cell r="V124" t="str">
            <v>K</v>
          </cell>
          <cell r="W124" t="str">
            <v>x</v>
          </cell>
          <cell r="Y124">
            <v>64462385000</v>
          </cell>
          <cell r="Z124">
            <v>15510072290.947021</v>
          </cell>
          <cell r="AA124">
            <v>0.24060655358853106</v>
          </cell>
          <cell r="AC124">
            <v>6178</v>
          </cell>
          <cell r="AD124">
            <v>282</v>
          </cell>
        </row>
        <row r="125">
          <cell r="B125" t="str">
            <v>Kab. Bangka Barat</v>
          </cell>
          <cell r="C125" t="str">
            <v>06-2005</v>
          </cell>
          <cell r="D125">
            <v>11890686.82221492</v>
          </cell>
          <cell r="E125">
            <v>100708494.66341595</v>
          </cell>
          <cell r="F125">
            <v>266763809.01168182</v>
          </cell>
          <cell r="G125">
            <v>54506507.272125021</v>
          </cell>
          <cell r="H125">
            <v>2712</v>
          </cell>
          <cell r="I125">
            <v>433869497.76943767</v>
          </cell>
          <cell r="J125">
            <v>3322653048</v>
          </cell>
          <cell r="K125">
            <v>346109692.5</v>
          </cell>
          <cell r="L125">
            <v>481543920</v>
          </cell>
          <cell r="M125">
            <v>101525509.8</v>
          </cell>
          <cell r="N125">
            <v>252810558</v>
          </cell>
          <cell r="O125">
            <v>4938512226.069438</v>
          </cell>
          <cell r="P125">
            <v>59262146712.833252</v>
          </cell>
          <cell r="Q125">
            <v>1481553667.8208313</v>
          </cell>
          <cell r="R125">
            <v>60743700380.654083</v>
          </cell>
          <cell r="S125">
            <v>4938512226.069438</v>
          </cell>
          <cell r="T125">
            <v>65682212606.723518</v>
          </cell>
          <cell r="V125" t="str">
            <v>K</v>
          </cell>
          <cell r="W125" t="str">
            <v>x</v>
          </cell>
          <cell r="Y125">
            <v>52167258000</v>
          </cell>
          <cell r="Z125">
            <v>13514954606.723518</v>
          </cell>
          <cell r="AA125">
            <v>0.25906967559467126</v>
          </cell>
          <cell r="AC125">
            <v>0</v>
          </cell>
          <cell r="AD125">
            <v>290</v>
          </cell>
        </row>
        <row r="126">
          <cell r="B126" t="str">
            <v>Kab. Bangka Selatan</v>
          </cell>
          <cell r="C126" t="str">
            <v>06-2005</v>
          </cell>
          <cell r="D126">
            <v>8670292.474531712</v>
          </cell>
          <cell r="E126">
            <v>42059620.899363399</v>
          </cell>
          <cell r="F126">
            <v>75008068.700166881</v>
          </cell>
          <cell r="G126">
            <v>2305411.1837152578</v>
          </cell>
          <cell r="H126">
            <v>787</v>
          </cell>
          <cell r="I126">
            <v>128043393.25777724</v>
          </cell>
          <cell r="J126">
            <v>972092700</v>
          </cell>
          <cell r="K126">
            <v>101259656.24999999</v>
          </cell>
          <cell r="L126">
            <v>140883000</v>
          </cell>
          <cell r="M126">
            <v>29702832.499999996</v>
          </cell>
          <cell r="N126">
            <v>73963575</v>
          </cell>
          <cell r="O126">
            <v>1445945157.0077772</v>
          </cell>
          <cell r="P126">
            <v>17351341884.093327</v>
          </cell>
          <cell r="Q126">
            <v>433783547.10233319</v>
          </cell>
          <cell r="R126">
            <v>17785125431.19566</v>
          </cell>
          <cell r="S126">
            <v>1445945157.0077772</v>
          </cell>
          <cell r="T126">
            <v>19231070588.203438</v>
          </cell>
          <cell r="V126" t="str">
            <v>K</v>
          </cell>
          <cell r="W126" t="str">
            <v>x</v>
          </cell>
          <cell r="Y126">
            <v>15262325000</v>
          </cell>
          <cell r="Z126">
            <v>3968745588.2034378</v>
          </cell>
          <cell r="AA126">
            <v>0.2600354525410406</v>
          </cell>
          <cell r="AC126">
            <v>0</v>
          </cell>
          <cell r="AD126">
            <v>291</v>
          </cell>
        </row>
        <row r="127">
          <cell r="B127" t="str">
            <v>Kab. Bangka Tengah</v>
          </cell>
          <cell r="C127" t="str">
            <v>06-2005</v>
          </cell>
          <cell r="D127">
            <v>5697620.768977982</v>
          </cell>
          <cell r="E127">
            <v>68702966.4093187</v>
          </cell>
          <cell r="F127">
            <v>117363754.31114408</v>
          </cell>
          <cell r="G127">
            <v>14161811.557108011</v>
          </cell>
          <cell r="H127">
            <v>1281</v>
          </cell>
          <cell r="I127">
            <v>205926153.04654878</v>
          </cell>
          <cell r="J127">
            <v>1484863991.9999998</v>
          </cell>
          <cell r="K127">
            <v>154673332.5</v>
          </cell>
          <cell r="L127">
            <v>215197680</v>
          </cell>
          <cell r="M127">
            <v>45370844.199999996</v>
          </cell>
          <cell r="N127">
            <v>112978782</v>
          </cell>
          <cell r="O127">
            <v>2219010783.7465487</v>
          </cell>
          <cell r="P127">
            <v>26628129404.958584</v>
          </cell>
          <cell r="Q127">
            <v>665703235.12396467</v>
          </cell>
          <cell r="R127">
            <v>27293832640.08255</v>
          </cell>
          <cell r="S127">
            <v>2219010783.7465487</v>
          </cell>
          <cell r="T127">
            <v>29512843423.829098</v>
          </cell>
          <cell r="V127" t="str">
            <v>K</v>
          </cell>
          <cell r="W127" t="str">
            <v>x</v>
          </cell>
          <cell r="Y127">
            <v>23313082000</v>
          </cell>
          <cell r="Z127">
            <v>6199761423.8290977</v>
          </cell>
          <cell r="AA127">
            <v>0.26593486969372382</v>
          </cell>
          <cell r="AC127">
            <v>0</v>
          </cell>
          <cell r="AD127">
            <v>289</v>
          </cell>
        </row>
        <row r="128">
          <cell r="B128" t="str">
            <v>Kab. Belitung</v>
          </cell>
          <cell r="C128" t="str">
            <v>06-2005</v>
          </cell>
          <cell r="D128">
            <v>16101971.738416037</v>
          </cell>
          <cell r="E128">
            <v>158184390.95218745</v>
          </cell>
          <cell r="F128">
            <v>264915560.91229373</v>
          </cell>
          <cell r="G128">
            <v>22066078.472703181</v>
          </cell>
          <cell r="H128">
            <v>2863</v>
          </cell>
          <cell r="I128">
            <v>461268002.07560039</v>
          </cell>
          <cell r="J128">
            <v>3274821144</v>
          </cell>
          <cell r="K128">
            <v>341127202.5</v>
          </cell>
          <cell r="L128">
            <v>474611760</v>
          </cell>
          <cell r="M128">
            <v>100063979.39999999</v>
          </cell>
          <cell r="N128">
            <v>249171174</v>
          </cell>
          <cell r="O128">
            <v>4901063261.9756002</v>
          </cell>
          <cell r="P128">
            <v>58812759143.707199</v>
          </cell>
          <cell r="Q128">
            <v>1470318978.59268</v>
          </cell>
          <cell r="R128">
            <v>60283078122.299881</v>
          </cell>
          <cell r="S128">
            <v>4901063261.9756002</v>
          </cell>
          <cell r="T128">
            <v>65184141384.275482</v>
          </cell>
          <cell r="V128" t="str">
            <v>K</v>
          </cell>
          <cell r="W128" t="str">
            <v>x</v>
          </cell>
          <cell r="Y128">
            <v>51416274000</v>
          </cell>
          <cell r="Z128">
            <v>13767867384.275482</v>
          </cell>
          <cell r="AA128">
            <v>0.26777256135431909</v>
          </cell>
          <cell r="AC128">
            <v>2632</v>
          </cell>
          <cell r="AD128">
            <v>280</v>
          </cell>
        </row>
        <row r="129">
          <cell r="B129" t="str">
            <v>Kab. Belitung Timur</v>
          </cell>
          <cell r="C129" t="str">
            <v>06-2005</v>
          </cell>
          <cell r="D129">
            <v>10404350.969438056</v>
          </cell>
          <cell r="E129">
            <v>86967901.381552204</v>
          </cell>
          <cell r="F129">
            <v>139080669.4789542</v>
          </cell>
          <cell r="G129">
            <v>10374350.32671866</v>
          </cell>
          <cell r="H129">
            <v>1527</v>
          </cell>
          <cell r="I129">
            <v>246827272.15666312</v>
          </cell>
          <cell r="J129">
            <v>1720070640</v>
          </cell>
          <cell r="K129">
            <v>179174025</v>
          </cell>
          <cell r="L129">
            <v>249285600</v>
          </cell>
          <cell r="M129">
            <v>52557713.999999993</v>
          </cell>
          <cell r="N129">
            <v>130874940</v>
          </cell>
          <cell r="O129">
            <v>2578790191.1566629</v>
          </cell>
          <cell r="P129">
            <v>30945482293.879955</v>
          </cell>
          <cell r="Q129">
            <v>773637057.34699893</v>
          </cell>
          <cell r="R129">
            <v>31719119351.226955</v>
          </cell>
          <cell r="S129">
            <v>2578790191.1566629</v>
          </cell>
          <cell r="T129">
            <v>34297909542.383617</v>
          </cell>
          <cell r="V129" t="str">
            <v>K</v>
          </cell>
          <cell r="W129" t="str">
            <v>x</v>
          </cell>
          <cell r="Y129">
            <v>27005940000</v>
          </cell>
          <cell r="Z129">
            <v>7291969542.3836174</v>
          </cell>
          <cell r="AA129">
            <v>0.2700135430347404</v>
          </cell>
          <cell r="AC129">
            <v>1123</v>
          </cell>
          <cell r="AD129">
            <v>298</v>
          </cell>
        </row>
        <row r="130">
          <cell r="B130" t="str">
            <v>Kota Pangkal Pinang</v>
          </cell>
          <cell r="C130" t="str">
            <v>06-2005</v>
          </cell>
          <cell r="D130">
            <v>11890686.82221492</v>
          </cell>
          <cell r="E130">
            <v>100708494.66341595</v>
          </cell>
          <cell r="F130">
            <v>266763809.01168182</v>
          </cell>
          <cell r="G130">
            <v>54506507.272125021</v>
          </cell>
          <cell r="H130">
            <v>2712</v>
          </cell>
          <cell r="I130">
            <v>433869497.76943767</v>
          </cell>
          <cell r="J130">
            <v>3397173048</v>
          </cell>
          <cell r="K130">
            <v>353872192.5</v>
          </cell>
          <cell r="L130">
            <v>492343920</v>
          </cell>
          <cell r="M130">
            <v>103802509.8</v>
          </cell>
          <cell r="N130">
            <v>258480558</v>
          </cell>
          <cell r="O130">
            <v>5039541726.069438</v>
          </cell>
          <cell r="P130">
            <v>60474500712.833252</v>
          </cell>
          <cell r="Q130">
            <v>1511862517.8208313</v>
          </cell>
          <cell r="R130">
            <v>61986363230.654083</v>
          </cell>
          <cell r="S130">
            <v>5039541726.069438</v>
          </cell>
          <cell r="T130">
            <v>67025904956.723518</v>
          </cell>
          <cell r="V130" t="str">
            <v>K</v>
          </cell>
          <cell r="W130" t="str">
            <v>x</v>
          </cell>
          <cell r="Y130">
            <v>53337258000</v>
          </cell>
          <cell r="Z130">
            <v>13688646956.723518</v>
          </cell>
          <cell r="AA130">
            <v>0.25664324470379635</v>
          </cell>
          <cell r="AC130">
            <v>2485</v>
          </cell>
          <cell r="AD130">
            <v>278</v>
          </cell>
        </row>
        <row r="131">
          <cell r="B131" t="str">
            <v>Provinsi Bengkulu</v>
          </cell>
          <cell r="C131" t="str">
            <v>06-2005</v>
          </cell>
          <cell r="D131">
            <v>22500000</v>
          </cell>
          <cell r="E131">
            <v>227920868.11811814</v>
          </cell>
          <cell r="F131">
            <v>530293383.75590885</v>
          </cell>
          <cell r="G131">
            <v>62587555.555555552</v>
          </cell>
          <cell r="H131">
            <v>5337</v>
          </cell>
          <cell r="I131">
            <v>843301807.4295826</v>
          </cell>
          <cell r="J131">
            <v>6648878662.999999</v>
          </cell>
          <cell r="K131">
            <v>691887399.54999995</v>
          </cell>
          <cell r="L131">
            <v>525746902</v>
          </cell>
          <cell r="M131">
            <v>240403895.89999998</v>
          </cell>
          <cell r="N131">
            <v>514087650</v>
          </cell>
          <cell r="O131">
            <v>9464306317.8795815</v>
          </cell>
          <cell r="P131">
            <v>113571675814.55498</v>
          </cell>
          <cell r="Q131">
            <v>2839291895.3638744</v>
          </cell>
          <cell r="R131">
            <v>116410967709.91885</v>
          </cell>
          <cell r="S131">
            <v>9464306317.8795815</v>
          </cell>
          <cell r="T131">
            <v>125875274027.79843</v>
          </cell>
          <cell r="V131" t="str">
            <v>P</v>
          </cell>
          <cell r="Y131">
            <v>100047155039</v>
          </cell>
          <cell r="Z131">
            <v>25828118988.798431</v>
          </cell>
          <cell r="AA131">
            <v>0.25815945469644003</v>
          </cell>
          <cell r="AC131">
            <v>5610</v>
          </cell>
          <cell r="AD131">
            <v>124</v>
          </cell>
        </row>
        <row r="132">
          <cell r="B132" t="str">
            <v>Kota Bengkulu</v>
          </cell>
          <cell r="C132" t="str">
            <v>06-2005</v>
          </cell>
          <cell r="D132">
            <v>10156628.327308577</v>
          </cell>
          <cell r="E132">
            <v>186335850.35893267</v>
          </cell>
          <cell r="F132">
            <v>551702057.6673466</v>
          </cell>
          <cell r="G132">
            <v>172741166.55123609</v>
          </cell>
          <cell r="H132">
            <v>5784</v>
          </cell>
          <cell r="I132">
            <v>920935702.90482402</v>
          </cell>
          <cell r="J132">
            <v>7440727193.999999</v>
          </cell>
          <cell r="K132">
            <v>668808195.5999999</v>
          </cell>
          <cell r="L132">
            <v>1031892150</v>
          </cell>
          <cell r="M132">
            <v>485943336.44999999</v>
          </cell>
          <cell r="N132">
            <v>507528030</v>
          </cell>
          <cell r="O132">
            <v>11055834608.954824</v>
          </cell>
          <cell r="P132">
            <v>132670015307.45789</v>
          </cell>
          <cell r="Q132">
            <v>3316750382.6864471</v>
          </cell>
          <cell r="R132">
            <v>135986765690.14433</v>
          </cell>
          <cell r="S132">
            <v>11055834608.954824</v>
          </cell>
          <cell r="T132">
            <v>147042600299.09915</v>
          </cell>
          <cell r="V132" t="str">
            <v>K</v>
          </cell>
          <cell r="Y132">
            <v>118099327086</v>
          </cell>
          <cell r="Z132">
            <v>28943273213.099152</v>
          </cell>
          <cell r="AA132">
            <v>0.24507568270920496</v>
          </cell>
          <cell r="AC132">
            <v>5407</v>
          </cell>
          <cell r="AD132">
            <v>250</v>
          </cell>
        </row>
        <row r="133">
          <cell r="B133" t="str">
            <v>Kab. Mukomuko</v>
          </cell>
          <cell r="C133" t="str">
            <v>06-2005</v>
          </cell>
          <cell r="D133">
            <v>13377022.674991785</v>
          </cell>
          <cell r="E133">
            <v>96016584.762291744</v>
          </cell>
          <cell r="F133">
            <v>184516768.58891156</v>
          </cell>
          <cell r="G133">
            <v>24371489.656418439</v>
          </cell>
          <cell r="H133">
            <v>1973</v>
          </cell>
          <cell r="I133">
            <v>318281865.68261355</v>
          </cell>
          <cell r="J133">
            <v>2267657848.5</v>
          </cell>
          <cell r="K133">
            <v>219381330.09999999</v>
          </cell>
          <cell r="L133">
            <v>329456150</v>
          </cell>
          <cell r="M133">
            <v>85607511.099999994</v>
          </cell>
          <cell r="N133">
            <v>172235160</v>
          </cell>
          <cell r="O133">
            <v>3392619865.3826132</v>
          </cell>
          <cell r="P133">
            <v>40711438384.591354</v>
          </cell>
          <cell r="Q133">
            <v>1017785959.6147839</v>
          </cell>
          <cell r="R133">
            <v>41729224344.206139</v>
          </cell>
          <cell r="S133">
            <v>3392619865.3826132</v>
          </cell>
          <cell r="T133">
            <v>45121844209.588753</v>
          </cell>
          <cell r="V133" t="str">
            <v>K</v>
          </cell>
          <cell r="Y133">
            <v>35604080044</v>
          </cell>
          <cell r="Z133">
            <v>9517764165.5887527</v>
          </cell>
          <cell r="AA133">
            <v>0.26732228873282421</v>
          </cell>
          <cell r="AC133">
            <v>418</v>
          </cell>
          <cell r="AD133">
            <v>168</v>
          </cell>
        </row>
        <row r="134">
          <cell r="B134" t="str">
            <v>Kab. Bengkulu Utara</v>
          </cell>
          <cell r="C134" t="str">
            <v>06-2005</v>
          </cell>
          <cell r="D134">
            <v>44094630.299046993</v>
          </cell>
          <cell r="E134">
            <v>246660406.23052958</v>
          </cell>
          <cell r="F134">
            <v>652739620.43389583</v>
          </cell>
          <cell r="G134">
            <v>91393086.211569145</v>
          </cell>
          <cell r="H134">
            <v>6443</v>
          </cell>
          <cell r="I134">
            <v>1034887743.1750416</v>
          </cell>
          <cell r="J134">
            <v>8121832104.999999</v>
          </cell>
          <cell r="K134">
            <v>806502907.39999998</v>
          </cell>
          <cell r="L134">
            <v>1109628400</v>
          </cell>
          <cell r="M134">
            <v>77804492</v>
          </cell>
          <cell r="N134">
            <v>593711710</v>
          </cell>
          <cell r="O134">
            <v>11744367357.575041</v>
          </cell>
          <cell r="P134">
            <v>140932408290.90048</v>
          </cell>
          <cell r="Q134">
            <v>3523310207.2725124</v>
          </cell>
          <cell r="R134">
            <v>144455718498.173</v>
          </cell>
          <cell r="S134">
            <v>11744367357.575041</v>
          </cell>
          <cell r="T134">
            <v>156200085855.74805</v>
          </cell>
          <cell r="V134" t="str">
            <v>K</v>
          </cell>
          <cell r="Y134">
            <v>123953087700</v>
          </cell>
          <cell r="Z134">
            <v>32246998155.748047</v>
          </cell>
          <cell r="AA134">
            <v>0.26015485982724773</v>
          </cell>
          <cell r="AC134">
            <v>7387</v>
          </cell>
          <cell r="AD134">
            <v>256</v>
          </cell>
        </row>
        <row r="135">
          <cell r="B135" t="str">
            <v>Kab. Rejang Lebong</v>
          </cell>
          <cell r="C135" t="str">
            <v>06-2005</v>
          </cell>
          <cell r="D135">
            <v>26754045.349983569</v>
          </cell>
          <cell r="E135">
            <v>167903347.17594472</v>
          </cell>
          <cell r="F135">
            <v>505341834.5076952</v>
          </cell>
          <cell r="G135">
            <v>74431846.788521171</v>
          </cell>
          <cell r="H135">
            <v>4843</v>
          </cell>
          <cell r="I135">
            <v>774431073.82214463</v>
          </cell>
          <cell r="J135">
            <v>6093204850</v>
          </cell>
          <cell r="K135">
            <v>608764000</v>
          </cell>
          <cell r="L135">
            <v>814336000</v>
          </cell>
          <cell r="M135">
            <v>236781549.99999997</v>
          </cell>
          <cell r="N135">
            <v>450748000</v>
          </cell>
          <cell r="O135">
            <v>8978265473.8221436</v>
          </cell>
          <cell r="P135">
            <v>107739185685.86572</v>
          </cell>
          <cell r="Q135">
            <v>2693479642.1466432</v>
          </cell>
          <cell r="R135">
            <v>110432665328.01236</v>
          </cell>
          <cell r="S135">
            <v>8978265473.8221436</v>
          </cell>
          <cell r="T135">
            <v>119410930801.8345</v>
          </cell>
          <cell r="V135" t="str">
            <v>K</v>
          </cell>
          <cell r="Y135">
            <v>94884140000</v>
          </cell>
          <cell r="Z135">
            <v>24526790801.834503</v>
          </cell>
          <cell r="AA135">
            <v>0.2584919966796822</v>
          </cell>
          <cell r="AC135">
            <v>7591</v>
          </cell>
          <cell r="AD135">
            <v>267</v>
          </cell>
        </row>
        <row r="136">
          <cell r="B136" t="str">
            <v>Kab. Lebong</v>
          </cell>
          <cell r="C136" t="str">
            <v>06-2005</v>
          </cell>
          <cell r="D136">
            <v>13129300.032862308</v>
          </cell>
          <cell r="E136">
            <v>37535279.208993629</v>
          </cell>
          <cell r="F136">
            <v>130301491.00686075</v>
          </cell>
          <cell r="G136">
            <v>25030178.566051368</v>
          </cell>
          <cell r="H136">
            <v>1275</v>
          </cell>
          <cell r="I136">
            <v>205996248.81476805</v>
          </cell>
          <cell r="J136">
            <v>1647065649.9999998</v>
          </cell>
          <cell r="K136">
            <v>188389550</v>
          </cell>
          <cell r="L136">
            <v>308888000</v>
          </cell>
          <cell r="M136">
            <v>77654900</v>
          </cell>
          <cell r="N136">
            <v>130319000</v>
          </cell>
          <cell r="O136">
            <v>2558313348.8147678</v>
          </cell>
          <cell r="P136">
            <v>30699760185.777214</v>
          </cell>
          <cell r="Q136">
            <v>767494004.6444304</v>
          </cell>
          <cell r="R136">
            <v>31467254190.421646</v>
          </cell>
          <cell r="S136">
            <v>2558313348.8147678</v>
          </cell>
          <cell r="T136">
            <v>34025567539.236412</v>
          </cell>
          <cell r="V136" t="str">
            <v>K</v>
          </cell>
          <cell r="Y136">
            <v>27336153000</v>
          </cell>
          <cell r="Z136">
            <v>6689414539.236412</v>
          </cell>
          <cell r="AA136">
            <v>0.2447094343976057</v>
          </cell>
          <cell r="AC136" t="e">
            <v>#N/A</v>
          </cell>
          <cell r="AD136">
            <v>283</v>
          </cell>
        </row>
        <row r="137">
          <cell r="B137" t="str">
            <v>Kab. Kepahiang</v>
          </cell>
          <cell r="C137" t="str">
            <v>06-2005</v>
          </cell>
          <cell r="D137">
            <v>9661183.0430496223</v>
          </cell>
          <cell r="E137">
            <v>49767758.594067447</v>
          </cell>
          <cell r="F137">
            <v>159565419.24717227</v>
          </cell>
          <cell r="G137">
            <v>31617067.662380677</v>
          </cell>
          <cell r="H137">
            <v>1564</v>
          </cell>
          <cell r="I137">
            <v>250611428.54666999</v>
          </cell>
          <cell r="J137">
            <v>1980965849.9999998</v>
          </cell>
          <cell r="K137">
            <v>203055499.99999997</v>
          </cell>
          <cell r="L137">
            <v>312984000</v>
          </cell>
          <cell r="M137">
            <v>78476000</v>
          </cell>
          <cell r="N137">
            <v>148614000</v>
          </cell>
          <cell r="O137">
            <v>2974706778.54667</v>
          </cell>
          <cell r="P137">
            <v>35696481342.560043</v>
          </cell>
          <cell r="Q137">
            <v>892412033.56400108</v>
          </cell>
          <cell r="R137">
            <v>36588893376.124046</v>
          </cell>
          <cell r="S137">
            <v>2974706778.54667</v>
          </cell>
          <cell r="T137">
            <v>39563600154.670715</v>
          </cell>
          <cell r="V137" t="str">
            <v>K</v>
          </cell>
          <cell r="Y137">
            <v>31576831000</v>
          </cell>
          <cell r="Z137">
            <v>7986769154.6707153</v>
          </cell>
          <cell r="AA137">
            <v>0.25293130759925575</v>
          </cell>
          <cell r="AC137">
            <v>0</v>
          </cell>
          <cell r="AD137">
            <v>281</v>
          </cell>
        </row>
        <row r="138">
          <cell r="B138" t="str">
            <v>Kab. Bengkulu Selatan</v>
          </cell>
          <cell r="C138" t="str">
            <v>06-2005</v>
          </cell>
          <cell r="D138">
            <v>15854249.096286559</v>
          </cell>
          <cell r="E138">
            <v>157849254.53067857</v>
          </cell>
          <cell r="F138">
            <v>450048412.20100135</v>
          </cell>
          <cell r="G138">
            <v>73608485.651480019</v>
          </cell>
          <cell r="H138">
            <v>4375</v>
          </cell>
          <cell r="I138">
            <v>697360401.47944641</v>
          </cell>
          <cell r="J138">
            <v>5520694600</v>
          </cell>
          <cell r="K138">
            <v>555924950</v>
          </cell>
          <cell r="L138">
            <v>734244000</v>
          </cell>
          <cell r="M138">
            <v>51533799.999999993</v>
          </cell>
          <cell r="N138">
            <v>447227000</v>
          </cell>
          <cell r="O138">
            <v>8006984751.4794464</v>
          </cell>
          <cell r="P138">
            <v>96083817017.753357</v>
          </cell>
          <cell r="Q138">
            <v>2402095425.4438338</v>
          </cell>
          <cell r="R138">
            <v>98485912443.197189</v>
          </cell>
          <cell r="S138">
            <v>8006984751.4794464</v>
          </cell>
          <cell r="T138">
            <v>106492897194.67664</v>
          </cell>
          <cell r="V138" t="str">
            <v>K</v>
          </cell>
          <cell r="Y138">
            <v>84633900000</v>
          </cell>
          <cell r="Z138">
            <v>21858997194.676636</v>
          </cell>
          <cell r="AA138">
            <v>0.25827708748712558</v>
          </cell>
          <cell r="AC138">
            <v>7829</v>
          </cell>
          <cell r="AD138">
            <v>285</v>
          </cell>
        </row>
        <row r="139">
          <cell r="B139" t="str">
            <v>Kab. Kaur</v>
          </cell>
          <cell r="C139" t="str">
            <v>06-2005</v>
          </cell>
          <cell r="D139">
            <v>9413460.4009201452</v>
          </cell>
          <cell r="E139">
            <v>79930036.529865906</v>
          </cell>
          <cell r="F139">
            <v>178663982.94084924</v>
          </cell>
          <cell r="G139">
            <v>26676900.840133697</v>
          </cell>
          <cell r="H139">
            <v>1837</v>
          </cell>
          <cell r="I139">
            <v>294684380.71176898</v>
          </cell>
          <cell r="J139">
            <v>2190361300</v>
          </cell>
          <cell r="K139">
            <v>237660149.99999997</v>
          </cell>
          <cell r="L139">
            <v>356405000</v>
          </cell>
          <cell r="M139">
            <v>19248700</v>
          </cell>
          <cell r="N139">
            <v>174582000</v>
          </cell>
          <cell r="O139">
            <v>3272941530.7117691</v>
          </cell>
          <cell r="P139">
            <v>39275298368.541229</v>
          </cell>
          <cell r="Q139">
            <v>981882459.21353078</v>
          </cell>
          <cell r="R139">
            <v>40257180827.754761</v>
          </cell>
          <cell r="S139">
            <v>3272941530.7117691</v>
          </cell>
          <cell r="T139">
            <v>43530122358.46653</v>
          </cell>
          <cell r="V139" t="str">
            <v>K</v>
          </cell>
          <cell r="Y139">
            <v>34567624000</v>
          </cell>
          <cell r="Z139">
            <v>8962498358.4665298</v>
          </cell>
          <cell r="AA139">
            <v>0.25927435332166682</v>
          </cell>
          <cell r="AC139">
            <v>129</v>
          </cell>
          <cell r="AD139">
            <v>217</v>
          </cell>
        </row>
        <row r="140">
          <cell r="B140" t="str">
            <v>Kab. Seluma</v>
          </cell>
          <cell r="C140" t="str">
            <v>06-2005</v>
          </cell>
          <cell r="D140">
            <v>15111081.169898126</v>
          </cell>
          <cell r="E140">
            <v>115454497.20980631</v>
          </cell>
          <cell r="F140">
            <v>292331241.05321717</v>
          </cell>
          <cell r="G140">
            <v>46108223.674305156</v>
          </cell>
          <cell r="H140">
            <v>2928</v>
          </cell>
          <cell r="I140">
            <v>469005043.10722673</v>
          </cell>
          <cell r="J140">
            <v>3560780649.9999995</v>
          </cell>
          <cell r="K140">
            <v>387719049.99999994</v>
          </cell>
          <cell r="L140">
            <v>522004000</v>
          </cell>
          <cell r="M140">
            <v>29097299.999999996</v>
          </cell>
          <cell r="N140">
            <v>280629000</v>
          </cell>
          <cell r="O140">
            <v>5249235043.1072264</v>
          </cell>
          <cell r="P140">
            <v>62990820517.286713</v>
          </cell>
          <cell r="Q140">
            <v>1574770512.932168</v>
          </cell>
          <cell r="R140">
            <v>64565591030.21888</v>
          </cell>
          <cell r="S140">
            <v>5249235043.1072264</v>
          </cell>
          <cell r="T140">
            <v>69814826073.326111</v>
          </cell>
          <cell r="V140" t="str">
            <v>K</v>
          </cell>
          <cell r="Y140">
            <v>55398369000</v>
          </cell>
          <cell r="Z140">
            <v>14416457073.326111</v>
          </cell>
          <cell r="AA140">
            <v>0.26023251827731808</v>
          </cell>
          <cell r="AC140">
            <v>367</v>
          </cell>
          <cell r="AD140">
            <v>200</v>
          </cell>
        </row>
        <row r="141">
          <cell r="B141" t="str">
            <v>Provinsi Lampung</v>
          </cell>
          <cell r="C141" t="str">
            <v>06-2005</v>
          </cell>
          <cell r="D141">
            <v>28250000</v>
          </cell>
          <cell r="E141">
            <v>381944841.25792462</v>
          </cell>
          <cell r="F141">
            <v>727081944.13407815</v>
          </cell>
          <cell r="G141">
            <v>84294222.222222209</v>
          </cell>
          <cell r="H141">
            <v>7700</v>
          </cell>
          <cell r="I141">
            <v>1221571007.6142249</v>
          </cell>
          <cell r="J141">
            <v>9755564554.9499989</v>
          </cell>
          <cell r="K141">
            <v>1005490703.3</v>
          </cell>
          <cell r="L141">
            <v>633506518</v>
          </cell>
          <cell r="M141">
            <v>338635971.29999995</v>
          </cell>
          <cell r="N141">
            <v>744697410</v>
          </cell>
          <cell r="O141">
            <v>13699466165.164223</v>
          </cell>
          <cell r="P141">
            <v>164393593981.97067</v>
          </cell>
          <cell r="Q141">
            <v>4109839849.5492668</v>
          </cell>
          <cell r="R141">
            <v>168503433831.51993</v>
          </cell>
          <cell r="S141">
            <v>13699466165.164223</v>
          </cell>
          <cell r="T141">
            <v>182202899996.68414</v>
          </cell>
          <cell r="V141" t="str">
            <v>P</v>
          </cell>
          <cell r="Y141">
            <v>143395965245</v>
          </cell>
          <cell r="Z141">
            <v>38806934751.684143</v>
          </cell>
          <cell r="AA141">
            <v>0.2706278010359659</v>
          </cell>
          <cell r="AC141">
            <v>7895</v>
          </cell>
          <cell r="AD141">
            <v>40</v>
          </cell>
        </row>
        <row r="142">
          <cell r="B142" t="str">
            <v>Kab. Lampung Barat</v>
          </cell>
          <cell r="C142" t="str">
            <v>06-2005</v>
          </cell>
          <cell r="D142">
            <v>13377022.674991785</v>
          </cell>
          <cell r="E142">
            <v>196222374.7934444</v>
          </cell>
          <cell r="F142">
            <v>433414179.30650848</v>
          </cell>
          <cell r="G142">
            <v>81183408.112258717</v>
          </cell>
          <cell r="H142">
            <v>4532</v>
          </cell>
          <cell r="I142">
            <v>724196984.88720334</v>
          </cell>
          <cell r="J142">
            <v>5454068200</v>
          </cell>
          <cell r="K142">
            <v>572470219.64999998</v>
          </cell>
          <cell r="L142">
            <v>824317000</v>
          </cell>
          <cell r="M142">
            <v>212658718.74999997</v>
          </cell>
          <cell r="N142">
            <v>428541780</v>
          </cell>
          <cell r="O142">
            <v>8216252903.2872028</v>
          </cell>
          <cell r="P142">
            <v>98595034839.446442</v>
          </cell>
          <cell r="Q142">
            <v>2464875870.9861612</v>
          </cell>
          <cell r="R142">
            <v>101059910710.4326</v>
          </cell>
          <cell r="S142">
            <v>8216252903.2872028</v>
          </cell>
          <cell r="T142">
            <v>109276163613.7198</v>
          </cell>
          <cell r="V142" t="str">
            <v>K</v>
          </cell>
          <cell r="Y142">
            <v>86820061328</v>
          </cell>
          <cell r="Z142">
            <v>22456102285.719803</v>
          </cell>
          <cell r="AA142">
            <v>0.25865107605582366</v>
          </cell>
          <cell r="AC142">
            <v>4381</v>
          </cell>
          <cell r="AD142">
            <v>241</v>
          </cell>
        </row>
        <row r="143">
          <cell r="B143" t="str">
            <v>Kab. Lampung Selatan</v>
          </cell>
          <cell r="C143" t="str">
            <v>06-2005</v>
          </cell>
          <cell r="D143">
            <v>26010877.423595138</v>
          </cell>
          <cell r="E143">
            <v>382725793.36313152</v>
          </cell>
          <cell r="F143">
            <v>1234937771.7411461</v>
          </cell>
          <cell r="G143">
            <v>241080140.92565265</v>
          </cell>
          <cell r="H143">
            <v>11871</v>
          </cell>
          <cell r="I143">
            <v>1884754583.4535255</v>
          </cell>
          <cell r="J143">
            <v>15248471114.999998</v>
          </cell>
          <cell r="K143">
            <v>1585289241.5999999</v>
          </cell>
          <cell r="L143">
            <v>2294843000</v>
          </cell>
          <cell r="M143">
            <v>346992986.79999995</v>
          </cell>
          <cell r="N143">
            <v>1142156220</v>
          </cell>
          <cell r="O143">
            <v>22502507146.853523</v>
          </cell>
          <cell r="P143">
            <v>270030085762.24228</v>
          </cell>
          <cell r="Q143">
            <v>6750752144.056057</v>
          </cell>
          <cell r="R143">
            <v>276780837906.29834</v>
          </cell>
          <cell r="S143">
            <v>22502507146.853523</v>
          </cell>
          <cell r="T143">
            <v>299283345053.15186</v>
          </cell>
          <cell r="V143" t="str">
            <v>K</v>
          </cell>
          <cell r="Y143">
            <v>238905792125</v>
          </cell>
          <cell r="Z143">
            <v>60377552928.151855</v>
          </cell>
          <cell r="AA143">
            <v>0.25272536254190597</v>
          </cell>
          <cell r="AC143">
            <v>11466</v>
          </cell>
          <cell r="AD143">
            <v>267</v>
          </cell>
        </row>
        <row r="144">
          <cell r="B144" t="str">
            <v>Kab. Lampung Tengah</v>
          </cell>
          <cell r="C144" t="str">
            <v>06-2005</v>
          </cell>
          <cell r="D144">
            <v>32451666.11896155</v>
          </cell>
          <cell r="E144">
            <v>387585271.47501016</v>
          </cell>
          <cell r="F144">
            <v>1345524616.3545337</v>
          </cell>
          <cell r="G144">
            <v>265616302.80947933</v>
          </cell>
          <cell r="H144">
            <v>12793</v>
          </cell>
          <cell r="I144">
            <v>2031177856.7579846</v>
          </cell>
          <cell r="J144">
            <v>16530305688.999998</v>
          </cell>
          <cell r="K144">
            <v>1733288064.9499998</v>
          </cell>
          <cell r="L144">
            <v>2307411000</v>
          </cell>
          <cell r="M144">
            <v>650294206.44999993</v>
          </cell>
          <cell r="N144">
            <v>1217321040</v>
          </cell>
          <cell r="O144">
            <v>24469797857.157986</v>
          </cell>
          <cell r="P144">
            <v>293637574285.89581</v>
          </cell>
          <cell r="Q144">
            <v>7340939357.1473961</v>
          </cell>
          <cell r="R144">
            <v>300978513643.04321</v>
          </cell>
          <cell r="S144">
            <v>24469797857.157986</v>
          </cell>
          <cell r="T144">
            <v>325448311500.20117</v>
          </cell>
          <cell r="V144" t="str">
            <v>K</v>
          </cell>
          <cell r="Y144">
            <v>259638852668</v>
          </cell>
          <cell r="Z144">
            <v>65809458832.201172</v>
          </cell>
          <cell r="AA144">
            <v>0.25346537375263967</v>
          </cell>
          <cell r="AC144">
            <v>12452</v>
          </cell>
          <cell r="AD144">
            <v>282</v>
          </cell>
        </row>
        <row r="145">
          <cell r="B145" t="str">
            <v>Kab. Lampung Utara</v>
          </cell>
          <cell r="C145" t="str">
            <v>06-2005</v>
          </cell>
          <cell r="D145">
            <v>15606526.454157082</v>
          </cell>
          <cell r="E145">
            <v>268946978.26086956</v>
          </cell>
          <cell r="F145">
            <v>882230426.10791767</v>
          </cell>
          <cell r="G145">
            <v>121692776.05468395</v>
          </cell>
          <cell r="H145">
            <v>8135</v>
          </cell>
          <cell r="I145">
            <v>1288476706.8776281</v>
          </cell>
          <cell r="J145">
            <v>10357240894.5</v>
          </cell>
          <cell r="K145">
            <v>1093325874.8</v>
          </cell>
          <cell r="L145">
            <v>1481283550</v>
          </cell>
          <cell r="M145">
            <v>402494368.44999999</v>
          </cell>
          <cell r="N145">
            <v>801657780</v>
          </cell>
          <cell r="O145">
            <v>15424479174.627628</v>
          </cell>
          <cell r="P145">
            <v>185093750095.53156</v>
          </cell>
          <cell r="Q145">
            <v>4627343752.3882895</v>
          </cell>
          <cell r="R145">
            <v>189721093847.91983</v>
          </cell>
          <cell r="S145">
            <v>15424479174.627628</v>
          </cell>
          <cell r="T145">
            <v>205145573022.54745</v>
          </cell>
          <cell r="V145" t="str">
            <v>K</v>
          </cell>
          <cell r="Y145">
            <v>164969112009</v>
          </cell>
          <cell r="Z145">
            <v>40176461013.547455</v>
          </cell>
          <cell r="AA145">
            <v>0.24353929365489704</v>
          </cell>
          <cell r="AC145">
            <v>7775</v>
          </cell>
          <cell r="AD145">
            <v>269</v>
          </cell>
        </row>
        <row r="146">
          <cell r="B146" t="str">
            <v>Kab. Lampung Timur</v>
          </cell>
          <cell r="C146" t="str">
            <v>06-2005</v>
          </cell>
          <cell r="D146">
            <v>23038205.718041405</v>
          </cell>
          <cell r="E146">
            <v>285703799.33631313</v>
          </cell>
          <cell r="F146">
            <v>935983641.66512156</v>
          </cell>
          <cell r="G146">
            <v>257382691.43906769</v>
          </cell>
          <cell r="H146">
            <v>9438</v>
          </cell>
          <cell r="I146">
            <v>1502108338.1585438</v>
          </cell>
          <cell r="J146">
            <v>12272729091</v>
          </cell>
          <cell r="K146">
            <v>1272272238.8999999</v>
          </cell>
          <cell r="L146">
            <v>1854525450</v>
          </cell>
          <cell r="M146">
            <v>496228736.34999996</v>
          </cell>
          <cell r="N146">
            <v>885231400</v>
          </cell>
          <cell r="O146">
            <v>18283095254.408543</v>
          </cell>
          <cell r="P146">
            <v>219397143052.90253</v>
          </cell>
          <cell r="Q146">
            <v>5484928576.3225632</v>
          </cell>
          <cell r="R146">
            <v>224882071629.2251</v>
          </cell>
          <cell r="S146">
            <v>18283095254.408543</v>
          </cell>
          <cell r="T146">
            <v>243165166883.63364</v>
          </cell>
          <cell r="V146" t="str">
            <v>K</v>
          </cell>
          <cell r="Y146">
            <v>194349814594</v>
          </cell>
          <cell r="Z146">
            <v>48815352289.633636</v>
          </cell>
          <cell r="AA146">
            <v>0.2511726208312044</v>
          </cell>
          <cell r="AC146">
            <v>9126</v>
          </cell>
          <cell r="AD146">
            <v>236</v>
          </cell>
        </row>
        <row r="147">
          <cell r="B147" t="str">
            <v>Kab. Tanggamus</v>
          </cell>
          <cell r="C147" t="str">
            <v>06-2005</v>
          </cell>
          <cell r="D147">
            <v>20808701.938876111</v>
          </cell>
          <cell r="E147">
            <v>247665815.49505621</v>
          </cell>
          <cell r="F147">
            <v>1044722238.1791211</v>
          </cell>
          <cell r="G147">
            <v>290152464.69330603</v>
          </cell>
          <cell r="H147">
            <v>10107</v>
          </cell>
          <cell r="I147">
            <v>1603349220.3063593</v>
          </cell>
          <cell r="J147">
            <v>13224660956.999998</v>
          </cell>
          <cell r="K147">
            <v>1422139222.3</v>
          </cell>
          <cell r="L147">
            <v>2002948350</v>
          </cell>
          <cell r="M147">
            <v>312305050.34999996</v>
          </cell>
          <cell r="N147">
            <v>992398290</v>
          </cell>
          <cell r="O147">
            <v>19557801089.956356</v>
          </cell>
          <cell r="P147">
            <v>234693613079.47626</v>
          </cell>
          <cell r="Q147">
            <v>5867340326.986907</v>
          </cell>
          <cell r="R147">
            <v>240560953406.46317</v>
          </cell>
          <cell r="S147">
            <v>19557801089.956356</v>
          </cell>
          <cell r="T147">
            <v>260118754496.41953</v>
          </cell>
          <cell r="V147" t="str">
            <v>K</v>
          </cell>
          <cell r="Y147">
            <v>208048769175</v>
          </cell>
          <cell r="Z147">
            <v>52069985321.419525</v>
          </cell>
          <cell r="AA147">
            <v>0.25027778596287159</v>
          </cell>
          <cell r="AC147">
            <v>9739</v>
          </cell>
          <cell r="AD147">
            <v>292</v>
          </cell>
        </row>
        <row r="148">
          <cell r="B148" t="str">
            <v>Kab. Tulang Bawang</v>
          </cell>
          <cell r="C148" t="str">
            <v>06-2005</v>
          </cell>
          <cell r="D148">
            <v>26754045.349983569</v>
          </cell>
          <cell r="E148">
            <v>289725436.39441961</v>
          </cell>
          <cell r="F148">
            <v>544309065.26979423</v>
          </cell>
          <cell r="G148">
            <v>84641524.887831599</v>
          </cell>
          <cell r="H148">
            <v>5885</v>
          </cell>
          <cell r="I148">
            <v>945430071.90202892</v>
          </cell>
          <cell r="J148">
            <v>7043933769.999999</v>
          </cell>
          <cell r="K148">
            <v>785154109.5999999</v>
          </cell>
          <cell r="L148">
            <v>1143920810</v>
          </cell>
          <cell r="M148">
            <v>274671621.19999999</v>
          </cell>
          <cell r="N148">
            <v>583715910</v>
          </cell>
          <cell r="O148">
            <v>10776826292.702028</v>
          </cell>
          <cell r="P148">
            <v>129321915512.42435</v>
          </cell>
          <cell r="Q148">
            <v>3233047887.8106089</v>
          </cell>
          <cell r="R148">
            <v>132554963400.23495</v>
          </cell>
          <cell r="S148">
            <v>10776826292.702028</v>
          </cell>
          <cell r="T148">
            <v>143331789692.93698</v>
          </cell>
          <cell r="V148" t="str">
            <v>K</v>
          </cell>
          <cell r="Y148">
            <v>114070698261</v>
          </cell>
          <cell r="Z148">
            <v>29261091431.936981</v>
          </cell>
          <cell r="AA148">
            <v>0.25651715890250804</v>
          </cell>
          <cell r="AC148">
            <v>5652</v>
          </cell>
          <cell r="AD148">
            <v>267</v>
          </cell>
        </row>
        <row r="149">
          <cell r="B149" t="str">
            <v>Kab. Way Kanan</v>
          </cell>
          <cell r="C149" t="str">
            <v>06-2005</v>
          </cell>
          <cell r="D149">
            <v>14615635.885639172</v>
          </cell>
          <cell r="E149">
            <v>167400642.54368141</v>
          </cell>
          <cell r="F149">
            <v>340077650.2874096</v>
          </cell>
          <cell r="G149">
            <v>66033563.190701306</v>
          </cell>
          <cell r="H149">
            <v>3667</v>
          </cell>
          <cell r="I149">
            <v>588127491.90743148</v>
          </cell>
          <cell r="J149">
            <v>4403337384.5</v>
          </cell>
          <cell r="K149">
            <v>483979651.64999998</v>
          </cell>
          <cell r="L149">
            <v>864772800</v>
          </cell>
          <cell r="M149">
            <v>173949124.19999999</v>
          </cell>
          <cell r="N149">
            <v>357981730</v>
          </cell>
          <cell r="O149">
            <v>6872148182.257431</v>
          </cell>
          <cell r="P149">
            <v>82465778187.089172</v>
          </cell>
          <cell r="Q149">
            <v>2061644454.6772294</v>
          </cell>
          <cell r="R149">
            <v>84527422641.766403</v>
          </cell>
          <cell r="S149">
            <v>6872148182.257431</v>
          </cell>
          <cell r="T149">
            <v>91399570824.023834</v>
          </cell>
          <cell r="V149" t="str">
            <v>K</v>
          </cell>
          <cell r="Y149">
            <v>74262315413</v>
          </cell>
          <cell r="Z149">
            <v>17137255411.023834</v>
          </cell>
          <cell r="AA149">
            <v>0.23076651078972243</v>
          </cell>
          <cell r="AC149">
            <v>3409</v>
          </cell>
          <cell r="AD149">
            <v>256</v>
          </cell>
        </row>
        <row r="150">
          <cell r="B150" t="str">
            <v xml:space="preserve">Kota Bandar Lampung </v>
          </cell>
          <cell r="C150" t="str">
            <v>06-2005</v>
          </cell>
          <cell r="D150">
            <v>18579198.159710813</v>
          </cell>
          <cell r="E150">
            <v>236103608.95300013</v>
          </cell>
          <cell r="F150">
            <v>1046570486.2785093</v>
          </cell>
          <cell r="G150">
            <v>374629317.35372937</v>
          </cell>
          <cell r="H150">
            <v>10554</v>
          </cell>
          <cell r="I150">
            <v>1675882610.7449493</v>
          </cell>
          <cell r="J150">
            <v>14039472963.999998</v>
          </cell>
          <cell r="K150">
            <v>1221543950.6499999</v>
          </cell>
          <cell r="L150">
            <v>1914429800</v>
          </cell>
          <cell r="M150">
            <v>569825764.75</v>
          </cell>
          <cell r="N150">
            <v>908056020</v>
          </cell>
          <cell r="O150">
            <v>20329211110.144947</v>
          </cell>
          <cell r="P150">
            <v>243950533321.73938</v>
          </cell>
          <cell r="Q150">
            <v>6098763333.0434847</v>
          </cell>
          <cell r="R150">
            <v>250049296654.78287</v>
          </cell>
          <cell r="S150">
            <v>20329211110.144947</v>
          </cell>
          <cell r="T150">
            <v>270378507764.92783</v>
          </cell>
          <cell r="V150" t="str">
            <v>K</v>
          </cell>
          <cell r="Y150">
            <v>215656677808</v>
          </cell>
          <cell r="Z150">
            <v>54721829956.927826</v>
          </cell>
          <cell r="AA150">
            <v>0.25374512170518965</v>
          </cell>
          <cell r="AC150">
            <v>10278</v>
          </cell>
          <cell r="AD150">
            <v>270</v>
          </cell>
        </row>
        <row r="151">
          <cell r="B151" t="str">
            <v>Kota Metro</v>
          </cell>
          <cell r="C151" t="str">
            <v>06-2005</v>
          </cell>
          <cell r="D151">
            <v>7679401.9060138026</v>
          </cell>
          <cell r="E151">
            <v>141762706.29825273</v>
          </cell>
          <cell r="F151">
            <v>364874978.95419991</v>
          </cell>
          <cell r="G151">
            <v>115105886.95835465</v>
          </cell>
          <cell r="H151">
            <v>3945</v>
          </cell>
          <cell r="I151">
            <v>629422974.11682105</v>
          </cell>
          <cell r="J151">
            <v>4959941904</v>
          </cell>
          <cell r="K151">
            <v>432748251.04999995</v>
          </cell>
          <cell r="L151">
            <v>728339950</v>
          </cell>
          <cell r="M151">
            <v>199932714.09999999</v>
          </cell>
          <cell r="N151">
            <v>325934880</v>
          </cell>
          <cell r="O151">
            <v>7276320673.2668219</v>
          </cell>
          <cell r="P151">
            <v>87315848079.201859</v>
          </cell>
          <cell r="Q151">
            <v>2182896201.9800467</v>
          </cell>
          <cell r="R151">
            <v>89498744281.1819</v>
          </cell>
          <cell r="S151">
            <v>7276320673.2668219</v>
          </cell>
          <cell r="T151">
            <v>96775064954.448715</v>
          </cell>
          <cell r="V151" t="str">
            <v>K</v>
          </cell>
          <cell r="Y151">
            <v>76929106930</v>
          </cell>
          <cell r="Z151">
            <v>19845958024.448715</v>
          </cell>
          <cell r="AA151">
            <v>0.25797723145944124</v>
          </cell>
          <cell r="AC151">
            <v>3648</v>
          </cell>
          <cell r="AD151">
            <v>230</v>
          </cell>
        </row>
        <row r="152">
          <cell r="B152" t="str">
            <v>Provinsi DKI Jakarta</v>
          </cell>
          <cell r="C152" t="str">
            <v>06-2005</v>
          </cell>
          <cell r="D152">
            <v>329250000</v>
          </cell>
          <cell r="E152">
            <v>3132397655.9893227</v>
          </cell>
          <cell r="F152">
            <v>7408275510.9583149</v>
          </cell>
          <cell r="G152">
            <v>3589378222.2222219</v>
          </cell>
          <cell r="H152">
            <v>89329</v>
          </cell>
          <cell r="I152">
            <v>14459301389.169859</v>
          </cell>
          <cell r="J152">
            <v>118714292327.24998</v>
          </cell>
          <cell r="K152">
            <v>11827803623.349998</v>
          </cell>
          <cell r="L152">
            <v>13099339300</v>
          </cell>
          <cell r="M152">
            <v>4528456157.4499998</v>
          </cell>
          <cell r="N152">
            <v>6280439200</v>
          </cell>
          <cell r="O152">
            <v>168909631997.21985</v>
          </cell>
          <cell r="P152">
            <v>2026915583966.6382</v>
          </cell>
          <cell r="Q152">
            <v>50672889599.165955</v>
          </cell>
          <cell r="R152">
            <v>2077588473565.8042</v>
          </cell>
          <cell r="S152">
            <v>168909631997.21985</v>
          </cell>
          <cell r="T152">
            <v>2246498105563.0239</v>
          </cell>
          <cell r="V152" t="str">
            <v>P</v>
          </cell>
          <cell r="Y152">
            <v>1778878861604</v>
          </cell>
          <cell r="Z152">
            <v>467619243959.02393</v>
          </cell>
          <cell r="AA152">
            <v>0.26287301178978295</v>
          </cell>
          <cell r="AC152">
            <v>89728</v>
          </cell>
          <cell r="AD152">
            <v>0</v>
          </cell>
        </row>
        <row r="153">
          <cell r="B153" t="str">
            <v>Kota Cirebon</v>
          </cell>
          <cell r="C153" t="str">
            <v>06-2005</v>
          </cell>
          <cell r="D153">
            <v>24276818.928688794</v>
          </cell>
          <cell r="E153">
            <v>192703442.36760125</v>
          </cell>
          <cell r="F153">
            <v>458981611.3480438</v>
          </cell>
          <cell r="G153">
            <v>199912084.07359448</v>
          </cell>
          <cell r="H153">
            <v>5442</v>
          </cell>
          <cell r="I153">
            <v>875873956.71792829</v>
          </cell>
          <cell r="J153">
            <v>7008686614.999999</v>
          </cell>
          <cell r="K153">
            <v>682985276</v>
          </cell>
          <cell r="L153">
            <v>850796400</v>
          </cell>
          <cell r="M153">
            <v>272857250.09999996</v>
          </cell>
          <cell r="N153">
            <v>482132070</v>
          </cell>
          <cell r="O153">
            <v>10173331567.817926</v>
          </cell>
          <cell r="P153">
            <v>122079978813.81512</v>
          </cell>
          <cell r="Q153">
            <v>3051999470.3453784</v>
          </cell>
          <cell r="R153">
            <v>125131978284.16051</v>
          </cell>
          <cell r="S153">
            <v>10173331567.817926</v>
          </cell>
          <cell r="T153">
            <v>135305309851.97844</v>
          </cell>
          <cell r="V153" t="str">
            <v>K</v>
          </cell>
          <cell r="Y153">
            <v>107361877792</v>
          </cell>
          <cell r="Z153">
            <v>27943432059.978439</v>
          </cell>
          <cell r="AA153">
            <v>0.26027331707177559</v>
          </cell>
          <cell r="AC153">
            <v>5264</v>
          </cell>
          <cell r="AD153">
            <v>268</v>
          </cell>
        </row>
        <row r="154">
          <cell r="B154" t="str">
            <v>Kab. Cirebon</v>
          </cell>
          <cell r="C154" t="str">
            <v>06-2005</v>
          </cell>
          <cell r="D154">
            <v>55242149.194873482</v>
          </cell>
          <cell r="E154">
            <v>406688047.50101584</v>
          </cell>
          <cell r="F154">
            <v>1146991966.3452625</v>
          </cell>
          <cell r="G154">
            <v>669557276.64187407</v>
          </cell>
          <cell r="H154">
            <v>14163</v>
          </cell>
          <cell r="I154">
            <v>2278479439.6830263</v>
          </cell>
          <cell r="J154">
            <v>18583626710</v>
          </cell>
          <cell r="K154">
            <v>1960284252.3</v>
          </cell>
          <cell r="L154">
            <v>2742944550</v>
          </cell>
          <cell r="M154">
            <v>381419921.54999995</v>
          </cell>
          <cell r="N154">
            <v>1358864400</v>
          </cell>
          <cell r="O154">
            <v>27305619273.533024</v>
          </cell>
          <cell r="P154">
            <v>327667431282.3963</v>
          </cell>
          <cell r="Q154">
            <v>8191685782.0599079</v>
          </cell>
          <cell r="R154">
            <v>335859117064.45624</v>
          </cell>
          <cell r="S154">
            <v>27305619273.533024</v>
          </cell>
          <cell r="T154">
            <v>363164736337.98926</v>
          </cell>
          <cell r="V154" t="str">
            <v>K</v>
          </cell>
          <cell r="Y154">
            <v>289870735037</v>
          </cell>
          <cell r="Z154">
            <v>73294001300.989258</v>
          </cell>
          <cell r="AA154">
            <v>0.25285064148208608</v>
          </cell>
          <cell r="AC154">
            <v>14032</v>
          </cell>
          <cell r="AD154">
            <v>268</v>
          </cell>
        </row>
        <row r="155">
          <cell r="B155" t="str">
            <v>Kab. Indramayu</v>
          </cell>
          <cell r="C155" t="str">
            <v>06-2005</v>
          </cell>
          <cell r="D155">
            <v>39883345.382845879</v>
          </cell>
          <cell r="E155">
            <v>344352673.1003657</v>
          </cell>
          <cell r="F155">
            <v>911340333.67328024</v>
          </cell>
          <cell r="G155">
            <v>636128814.47800291</v>
          </cell>
          <cell r="H155">
            <v>11996</v>
          </cell>
          <cell r="I155">
            <v>1931705166.6344948</v>
          </cell>
          <cell r="J155">
            <v>15878048320.999998</v>
          </cell>
          <cell r="K155">
            <v>1626937863.55</v>
          </cell>
          <cell r="L155">
            <v>2333844650</v>
          </cell>
          <cell r="M155">
            <v>174850483.84999999</v>
          </cell>
          <cell r="N155">
            <v>1104633990</v>
          </cell>
          <cell r="O155">
            <v>23050020475.034489</v>
          </cell>
          <cell r="P155">
            <v>276600245700.41388</v>
          </cell>
          <cell r="Q155">
            <v>6915006142.5103474</v>
          </cell>
          <cell r="R155">
            <v>283515251842.92426</v>
          </cell>
          <cell r="S155">
            <v>23050020475.034489</v>
          </cell>
          <cell r="T155">
            <v>306565272317.95874</v>
          </cell>
          <cell r="V155" t="str">
            <v>K</v>
          </cell>
          <cell r="Y155">
            <v>244559245528</v>
          </cell>
          <cell r="Z155">
            <v>62006026789.95874</v>
          </cell>
          <cell r="AA155">
            <v>0.25354194504521221</v>
          </cell>
          <cell r="AC155">
            <v>11870</v>
          </cell>
          <cell r="AD155">
            <v>278</v>
          </cell>
        </row>
        <row r="156">
          <cell r="B156" t="str">
            <v>Kota Sukabumi</v>
          </cell>
          <cell r="C156" t="str">
            <v>06-2005</v>
          </cell>
          <cell r="D156">
            <v>18826920.80184029</v>
          </cell>
          <cell r="E156">
            <v>154833026.73709872</v>
          </cell>
          <cell r="F156">
            <v>352245283.60838127</v>
          </cell>
          <cell r="G156">
            <v>177187316.69125837</v>
          </cell>
          <cell r="H156">
            <v>4363</v>
          </cell>
          <cell r="I156">
            <v>703092547.8385787</v>
          </cell>
          <cell r="J156">
            <v>5575943820</v>
          </cell>
          <cell r="K156">
            <v>543935466.29999995</v>
          </cell>
          <cell r="L156">
            <v>783135700</v>
          </cell>
          <cell r="M156">
            <v>221964869.49999997</v>
          </cell>
          <cell r="N156">
            <v>388522080</v>
          </cell>
          <cell r="O156">
            <v>8216594483.6385794</v>
          </cell>
          <cell r="P156">
            <v>98599133803.662949</v>
          </cell>
          <cell r="Q156">
            <v>2464978345.0915737</v>
          </cell>
          <cell r="R156">
            <v>101064112148.75452</v>
          </cell>
          <cell r="S156">
            <v>8216594483.6385794</v>
          </cell>
          <cell r="T156">
            <v>109280706632.3931</v>
          </cell>
          <cell r="V156" t="str">
            <v>K</v>
          </cell>
          <cell r="Y156">
            <v>86924790589</v>
          </cell>
          <cell r="Z156">
            <v>22355916043.393097</v>
          </cell>
          <cell r="AA156">
            <v>0.25718688410877982</v>
          </cell>
          <cell r="AC156">
            <v>4201</v>
          </cell>
          <cell r="AD156">
            <v>232</v>
          </cell>
        </row>
        <row r="157">
          <cell r="B157" t="str">
            <v>Kab. Sukabumi</v>
          </cell>
          <cell r="C157" t="str">
            <v>06-2005</v>
          </cell>
          <cell r="D157">
            <v>58710266.184686169</v>
          </cell>
          <cell r="E157">
            <v>439363848.59813082</v>
          </cell>
          <cell r="F157">
            <v>1082149262.19173</v>
          </cell>
          <cell r="G157">
            <v>608957896.95564449</v>
          </cell>
          <cell r="H157">
            <v>13583</v>
          </cell>
          <cell r="I157">
            <v>2189181273.9301915</v>
          </cell>
          <cell r="J157">
            <v>17704097073</v>
          </cell>
          <cell r="K157">
            <v>1955277781.3499999</v>
          </cell>
          <cell r="L157">
            <v>2645016635</v>
          </cell>
          <cell r="M157">
            <v>724433316.0999999</v>
          </cell>
          <cell r="N157">
            <v>1339546620</v>
          </cell>
          <cell r="O157">
            <v>26557552699.380188</v>
          </cell>
          <cell r="P157">
            <v>318690632392.56226</v>
          </cell>
          <cell r="Q157">
            <v>7967265809.8140564</v>
          </cell>
          <cell r="R157">
            <v>326657898202.37634</v>
          </cell>
          <cell r="S157">
            <v>26557552699.380188</v>
          </cell>
          <cell r="T157">
            <v>353215450901.75653</v>
          </cell>
          <cell r="V157" t="str">
            <v>K</v>
          </cell>
          <cell r="Y157">
            <v>282233298893</v>
          </cell>
          <cell r="Z157">
            <v>70982152008.756531</v>
          </cell>
          <cell r="AA157">
            <v>0.25150169128578698</v>
          </cell>
          <cell r="AC157">
            <v>13577</v>
          </cell>
          <cell r="AD157">
            <v>273</v>
          </cell>
        </row>
        <row r="158">
          <cell r="B158" t="str">
            <v>Kab. Cianjur</v>
          </cell>
          <cell r="C158" t="str">
            <v>06-2005</v>
          </cell>
          <cell r="D158">
            <v>52021754.847190276</v>
          </cell>
          <cell r="E158">
            <v>513596565.9623459</v>
          </cell>
          <cell r="F158">
            <v>1146221862.9705174</v>
          </cell>
          <cell r="G158">
            <v>610769291.45713508</v>
          </cell>
          <cell r="H158">
            <v>14426</v>
          </cell>
          <cell r="I158">
            <v>2322609475.2371888</v>
          </cell>
          <cell r="J158">
            <v>18784784342</v>
          </cell>
          <cell r="K158">
            <v>1961237144.5999999</v>
          </cell>
          <cell r="L158">
            <v>2699607600</v>
          </cell>
          <cell r="M158">
            <v>189579811.5</v>
          </cell>
          <cell r="N158">
            <v>1371803100</v>
          </cell>
          <cell r="O158">
            <v>27329621473.337189</v>
          </cell>
          <cell r="P158">
            <v>327955457680.04626</v>
          </cell>
          <cell r="Q158">
            <v>8198886442.0011568</v>
          </cell>
          <cell r="R158">
            <v>336154344122.04742</v>
          </cell>
          <cell r="S158">
            <v>27329621473.337189</v>
          </cell>
          <cell r="T158">
            <v>363483965595.38464</v>
          </cell>
          <cell r="V158" t="str">
            <v>K</v>
          </cell>
          <cell r="Y158">
            <v>289600408604</v>
          </cell>
          <cell r="Z158">
            <v>73883556991.384644</v>
          </cell>
          <cell r="AA158">
            <v>0.25512241970767768</v>
          </cell>
          <cell r="AC158">
            <v>14293</v>
          </cell>
          <cell r="AD158">
            <v>317</v>
          </cell>
        </row>
        <row r="159">
          <cell r="B159" t="str">
            <v>Kab. Tasikmalaya</v>
          </cell>
          <cell r="C159" t="str">
            <v>03-2005</v>
          </cell>
          <cell r="D159">
            <v>65151054.880052581</v>
          </cell>
          <cell r="E159">
            <v>353736492.90261412</v>
          </cell>
          <cell r="F159">
            <v>1296238000.3708513</v>
          </cell>
          <cell r="G159">
            <v>589032557.43924832</v>
          </cell>
          <cell r="H159">
            <v>14367</v>
          </cell>
          <cell r="I159">
            <v>2304158105.5927663</v>
          </cell>
          <cell r="J159">
            <v>19165483136.5</v>
          </cell>
          <cell r="K159">
            <v>1986353645.9999998</v>
          </cell>
          <cell r="L159">
            <v>2828980350</v>
          </cell>
          <cell r="M159">
            <v>775895513.64999998</v>
          </cell>
          <cell r="N159">
            <v>1345023000</v>
          </cell>
          <cell r="O159">
            <v>28405893751.742767</v>
          </cell>
          <cell r="P159">
            <v>340870725020.91321</v>
          </cell>
          <cell r="Q159">
            <v>8521768125.522831</v>
          </cell>
          <cell r="R159">
            <v>349392493146.43604</v>
          </cell>
          <cell r="S159">
            <v>28405893751.742767</v>
          </cell>
          <cell r="T159">
            <v>377798386898.17883</v>
          </cell>
          <cell r="V159" t="str">
            <v>K</v>
          </cell>
          <cell r="Y159">
            <v>302149921047</v>
          </cell>
          <cell r="Z159">
            <v>75648465851.178833</v>
          </cell>
          <cell r="AA159">
            <v>0.25036731960426878</v>
          </cell>
          <cell r="AC159">
            <v>14511</v>
          </cell>
          <cell r="AD159">
            <v>320</v>
          </cell>
        </row>
        <row r="160">
          <cell r="B160" t="str">
            <v>Kota Tasikmalaya</v>
          </cell>
          <cell r="C160" t="str">
            <v>03-2005</v>
          </cell>
          <cell r="D160">
            <v>27744935.918501478</v>
          </cell>
          <cell r="E160">
            <v>133384295.76053095</v>
          </cell>
          <cell r="F160">
            <v>694633244.02002597</v>
          </cell>
          <cell r="G160">
            <v>280930819.95844495</v>
          </cell>
          <cell r="H160">
            <v>7124</v>
          </cell>
          <cell r="I160">
            <v>1136693295.6575034</v>
          </cell>
          <cell r="J160">
            <v>9476650026</v>
          </cell>
          <cell r="K160">
            <v>921218449.14999998</v>
          </cell>
          <cell r="L160">
            <v>1450339400</v>
          </cell>
          <cell r="M160">
            <v>387231794.99999994</v>
          </cell>
          <cell r="N160">
            <v>646273020</v>
          </cell>
          <cell r="O160">
            <v>14018405985.807503</v>
          </cell>
          <cell r="P160">
            <v>168220871829.69003</v>
          </cell>
          <cell r="Q160">
            <v>4205521795.7422509</v>
          </cell>
          <cell r="R160">
            <v>172426393625.43228</v>
          </cell>
          <cell r="S160">
            <v>14018405985.807503</v>
          </cell>
          <cell r="T160">
            <v>186444799611.23978</v>
          </cell>
          <cell r="V160" t="str">
            <v>K</v>
          </cell>
          <cell r="Y160">
            <v>149179007042</v>
          </cell>
          <cell r="Z160">
            <v>37265792569.239777</v>
          </cell>
          <cell r="AA160">
            <v>0.24980587622994388</v>
          </cell>
          <cell r="AC160">
            <v>7104</v>
          </cell>
          <cell r="AD160">
            <v>320</v>
          </cell>
        </row>
        <row r="161">
          <cell r="B161" t="str">
            <v>Kab. Ciamis</v>
          </cell>
          <cell r="C161" t="str">
            <v>03-2005</v>
          </cell>
          <cell r="D161">
            <v>86455202.10318765</v>
          </cell>
          <cell r="E161">
            <v>435509779.75077879</v>
          </cell>
          <cell r="F161">
            <v>1679595460.3189321</v>
          </cell>
          <cell r="G161">
            <v>702985738.80574536</v>
          </cell>
          <cell r="H161">
            <v>18122</v>
          </cell>
          <cell r="I161">
            <v>2904546180.9786434</v>
          </cell>
          <cell r="J161">
            <v>22658365855.649998</v>
          </cell>
          <cell r="K161">
            <v>2989112446.0999999</v>
          </cell>
          <cell r="L161">
            <v>3245723030</v>
          </cell>
          <cell r="M161">
            <v>945103141.8499999</v>
          </cell>
          <cell r="N161">
            <v>1646795610</v>
          </cell>
          <cell r="O161">
            <v>34389646264.578636</v>
          </cell>
          <cell r="P161">
            <v>412675755174.9436</v>
          </cell>
          <cell r="Q161">
            <v>10316893879.37359</v>
          </cell>
          <cell r="R161">
            <v>422992649054.3172</v>
          </cell>
          <cell r="S161">
            <v>34389646264.578636</v>
          </cell>
          <cell r="T161">
            <v>457382295318.89581</v>
          </cell>
          <cell r="V161" t="str">
            <v>K</v>
          </cell>
          <cell r="Y161">
            <v>364226286853</v>
          </cell>
          <cell r="Z161">
            <v>93156008465.895813</v>
          </cell>
          <cell r="AA161">
            <v>0.25576410003458411</v>
          </cell>
          <cell r="AC161">
            <v>17509</v>
          </cell>
          <cell r="AD161">
            <v>329</v>
          </cell>
        </row>
        <row r="162">
          <cell r="B162" t="str">
            <v>Kota Banjar</v>
          </cell>
          <cell r="C162" t="str">
            <v>03-2005</v>
          </cell>
          <cell r="D162">
            <v>11890686.82221492</v>
          </cell>
          <cell r="E162">
            <v>91994947.704185292</v>
          </cell>
          <cell r="F162">
            <v>178972024.29074728</v>
          </cell>
          <cell r="G162">
            <v>91722430.666385606</v>
          </cell>
          <cell r="H162">
            <v>2316</v>
          </cell>
          <cell r="I162">
            <v>374580089.48353308</v>
          </cell>
          <cell r="J162">
            <v>2890117003</v>
          </cell>
          <cell r="K162">
            <v>280517915.29999995</v>
          </cell>
          <cell r="L162">
            <v>458680100</v>
          </cell>
          <cell r="M162">
            <v>48082922.549999997</v>
          </cell>
          <cell r="N162">
            <v>199797600</v>
          </cell>
          <cell r="O162">
            <v>4251775630.3335333</v>
          </cell>
          <cell r="P162">
            <v>51021307564.002396</v>
          </cell>
          <cell r="Q162">
            <v>1275532689.10006</v>
          </cell>
          <cell r="R162">
            <v>52296840253.102455</v>
          </cell>
          <cell r="S162">
            <v>4251775630.3335333</v>
          </cell>
          <cell r="T162">
            <v>56548615883.435989</v>
          </cell>
          <cell r="V162" t="str">
            <v>K</v>
          </cell>
          <cell r="Y162">
            <v>44947163976</v>
          </cell>
          <cell r="Z162">
            <v>11601451907.435989</v>
          </cell>
          <cell r="AA162">
            <v>0.25811310172162816</v>
          </cell>
          <cell r="AC162">
            <v>2196</v>
          </cell>
          <cell r="AD162">
            <v>288</v>
          </cell>
        </row>
        <row r="163">
          <cell r="B163" t="str">
            <v>Kab. Sumedang</v>
          </cell>
          <cell r="C163" t="str">
            <v>06-2005</v>
          </cell>
          <cell r="D163">
            <v>42608294.446270131</v>
          </cell>
          <cell r="E163">
            <v>358931107.4360016</v>
          </cell>
          <cell r="F163">
            <v>1095703081.5872428</v>
          </cell>
          <cell r="G163">
            <v>526127766.56930345</v>
          </cell>
          <cell r="H163">
            <v>12623</v>
          </cell>
          <cell r="I163">
            <v>2023370250.0388181</v>
          </cell>
          <cell r="J163">
            <v>16839327041.999998</v>
          </cell>
          <cell r="K163">
            <v>1655556459.9499998</v>
          </cell>
          <cell r="L163">
            <v>2342114500</v>
          </cell>
          <cell r="M163">
            <v>675776808.04999995</v>
          </cell>
          <cell r="N163">
            <v>1141313700</v>
          </cell>
          <cell r="O163">
            <v>24677458760.038815</v>
          </cell>
          <cell r="P163">
            <v>296129505120.46576</v>
          </cell>
          <cell r="Q163">
            <v>7403237628.0116444</v>
          </cell>
          <cell r="R163">
            <v>303532742748.47742</v>
          </cell>
          <cell r="S163">
            <v>24677458760.038815</v>
          </cell>
          <cell r="T163">
            <v>328210201508.51624</v>
          </cell>
          <cell r="V163" t="str">
            <v>K</v>
          </cell>
          <cell r="Y163">
            <v>262004343653</v>
          </cell>
          <cell r="Z163">
            <v>66205857855.516235</v>
          </cell>
          <cell r="AA163">
            <v>0.25268992464949225</v>
          </cell>
          <cell r="AC163">
            <v>12498</v>
          </cell>
          <cell r="AD163">
            <v>275</v>
          </cell>
        </row>
        <row r="164">
          <cell r="B164" t="str">
            <v>Kab. Bogor</v>
          </cell>
          <cell r="C164" t="str">
            <v>06-2005</v>
          </cell>
          <cell r="D164">
            <v>76794019.060138017</v>
          </cell>
          <cell r="E164">
            <v>541077752.52607334</v>
          </cell>
          <cell r="F164">
            <v>1607359763.7678473</v>
          </cell>
          <cell r="G164">
            <v>529256538.89005989</v>
          </cell>
          <cell r="H164">
            <v>17189</v>
          </cell>
          <cell r="I164">
            <v>2754488074.2441187</v>
          </cell>
          <cell r="J164">
            <v>22210492800</v>
          </cell>
          <cell r="K164">
            <v>2297756350</v>
          </cell>
          <cell r="L164">
            <v>3175172000</v>
          </cell>
          <cell r="M164">
            <v>534862699.99999994</v>
          </cell>
          <cell r="N164">
            <v>1601992000</v>
          </cell>
          <cell r="O164">
            <v>32574763924.244118</v>
          </cell>
          <cell r="P164">
            <v>390897167090.92944</v>
          </cell>
          <cell r="Q164">
            <v>9772429177.2732372</v>
          </cell>
          <cell r="R164">
            <v>400669596268.2027</v>
          </cell>
          <cell r="S164">
            <v>32574763924.244118</v>
          </cell>
          <cell r="T164">
            <v>433244360192.44684</v>
          </cell>
          <cell r="V164" t="str">
            <v>K</v>
          </cell>
          <cell r="Y164">
            <v>345199179000</v>
          </cell>
          <cell r="Z164">
            <v>88045181192.446838</v>
          </cell>
          <cell r="AA164">
            <v>0.2550561720555159</v>
          </cell>
          <cell r="AC164">
            <v>16897</v>
          </cell>
          <cell r="AD164">
            <v>268</v>
          </cell>
        </row>
        <row r="165">
          <cell r="B165" t="str">
            <v>Kota Bogor</v>
          </cell>
          <cell r="C165" t="str">
            <v>06-2005</v>
          </cell>
          <cell r="D165">
            <v>49296805.783766024</v>
          </cell>
          <cell r="E165">
            <v>215660287.24095896</v>
          </cell>
          <cell r="F165">
            <v>582814234.00704622</v>
          </cell>
          <cell r="G165">
            <v>292128531.42220479</v>
          </cell>
          <cell r="H165">
            <v>7044</v>
          </cell>
          <cell r="I165">
            <v>1139899858.4539759</v>
          </cell>
          <cell r="J165">
            <v>9176298500</v>
          </cell>
          <cell r="K165">
            <v>868216649.99999988</v>
          </cell>
          <cell r="L165">
            <v>1301388000</v>
          </cell>
          <cell r="M165">
            <v>366165750</v>
          </cell>
          <cell r="N165">
            <v>633154000</v>
          </cell>
          <cell r="O165">
            <v>13485122758.453976</v>
          </cell>
          <cell r="P165">
            <v>161821473101.44769</v>
          </cell>
          <cell r="Q165">
            <v>4045536827.5361924</v>
          </cell>
          <cell r="R165">
            <v>165867009928.98389</v>
          </cell>
          <cell r="S165">
            <v>13485122758.453976</v>
          </cell>
          <cell r="T165">
            <v>179352132687.43787</v>
          </cell>
          <cell r="V165" t="str">
            <v>K</v>
          </cell>
          <cell r="Y165">
            <v>142835004000</v>
          </cell>
          <cell r="Z165">
            <v>36517128687.437866</v>
          </cell>
          <cell r="AA165">
            <v>0.2556595208793348</v>
          </cell>
          <cell r="AC165">
            <v>6926</v>
          </cell>
          <cell r="AD165">
            <v>256</v>
          </cell>
        </row>
        <row r="166">
          <cell r="B166" t="str">
            <v>Kota Depok</v>
          </cell>
          <cell r="C166" t="str">
            <v>06-2005</v>
          </cell>
          <cell r="D166">
            <v>22542760.433782451</v>
          </cell>
          <cell r="E166">
            <v>213146764.07964242</v>
          </cell>
          <cell r="F166">
            <v>598524342.85184503</v>
          </cell>
          <cell r="G166">
            <v>165660260.7726821</v>
          </cell>
          <cell r="H166">
            <v>6255</v>
          </cell>
          <cell r="I166">
            <v>999874128.13795197</v>
          </cell>
          <cell r="J166">
            <v>7855847799.999999</v>
          </cell>
          <cell r="K166">
            <v>758066200</v>
          </cell>
          <cell r="L166">
            <v>1115995000</v>
          </cell>
          <cell r="M166">
            <v>166325650</v>
          </cell>
          <cell r="N166">
            <v>548781000</v>
          </cell>
          <cell r="O166">
            <v>11444889778.137951</v>
          </cell>
          <cell r="P166">
            <v>137338677337.65541</v>
          </cell>
          <cell r="Q166">
            <v>3433466933.4413853</v>
          </cell>
          <cell r="R166">
            <v>140772144271.0968</v>
          </cell>
          <cell r="S166">
            <v>11444889778.137951</v>
          </cell>
          <cell r="T166">
            <v>152217034049.23474</v>
          </cell>
          <cell r="V166" t="str">
            <v>K</v>
          </cell>
          <cell r="Y166">
            <v>120896971000</v>
          </cell>
          <cell r="Z166">
            <v>31320063049.234741</v>
          </cell>
          <cell r="AA166">
            <v>0.25906408398962072</v>
          </cell>
          <cell r="AC166">
            <v>5892</v>
          </cell>
          <cell r="AD166">
            <v>317</v>
          </cell>
        </row>
        <row r="167">
          <cell r="B167" t="str">
            <v>Kab. Purwakarta</v>
          </cell>
          <cell r="C167" t="str">
            <v>06-2005</v>
          </cell>
          <cell r="D167">
            <v>22542760.433782451</v>
          </cell>
          <cell r="E167">
            <v>216665696.50548556</v>
          </cell>
          <cell r="F167">
            <v>606841459.29909146</v>
          </cell>
          <cell r="G167">
            <v>262158186.03390643</v>
          </cell>
          <cell r="H167">
            <v>6916</v>
          </cell>
          <cell r="I167">
            <v>1108208102.2722659</v>
          </cell>
          <cell r="J167">
            <v>9009084728</v>
          </cell>
          <cell r="K167">
            <v>925607109.04999995</v>
          </cell>
          <cell r="L167">
            <v>1268222850</v>
          </cell>
          <cell r="M167">
            <v>201650162.04999998</v>
          </cell>
          <cell r="N167">
            <v>639984210</v>
          </cell>
          <cell r="O167">
            <v>13152757161.372265</v>
          </cell>
          <cell r="P167">
            <v>157833085936.46716</v>
          </cell>
          <cell r="Q167">
            <v>3945827148.4116793</v>
          </cell>
          <cell r="R167">
            <v>161778913084.87885</v>
          </cell>
          <cell r="S167">
            <v>13152757161.372265</v>
          </cell>
          <cell r="T167">
            <v>174931670246.2511</v>
          </cell>
          <cell r="V167" t="str">
            <v>K</v>
          </cell>
          <cell r="Y167">
            <v>139395699833</v>
          </cell>
          <cell r="Z167">
            <v>35535970413.251099</v>
          </cell>
          <cell r="AA167">
            <v>0.25492874210484395</v>
          </cell>
          <cell r="AC167">
            <v>6857</v>
          </cell>
          <cell r="AD167">
            <v>125</v>
          </cell>
        </row>
        <row r="168">
          <cell r="B168" t="str">
            <v xml:space="preserve">Kab. Subang          </v>
          </cell>
          <cell r="C168" t="str">
            <v>06-2005</v>
          </cell>
          <cell r="D168">
            <v>45828688.793953337</v>
          </cell>
          <cell r="E168">
            <v>390266362.84708112</v>
          </cell>
          <cell r="F168">
            <v>929514773.31726313</v>
          </cell>
          <cell r="G168">
            <v>501756276.91288501</v>
          </cell>
          <cell r="H168">
            <v>11596</v>
          </cell>
          <cell r="I168">
            <v>1867366101.8711827</v>
          </cell>
          <cell r="J168">
            <v>15224310948.999998</v>
          </cell>
          <cell r="K168">
            <v>1589659190.9999998</v>
          </cell>
          <cell r="L168">
            <v>2190714100</v>
          </cell>
          <cell r="M168">
            <v>609722838.94999993</v>
          </cell>
          <cell r="N168">
            <v>1082818740</v>
          </cell>
          <cell r="O168">
            <v>22564591920.821182</v>
          </cell>
          <cell r="P168">
            <v>270775103049.85419</v>
          </cell>
          <cell r="Q168">
            <v>6769377576.2463551</v>
          </cell>
          <cell r="R168">
            <v>277544480626.10052</v>
          </cell>
          <cell r="S168">
            <v>22564591920.821182</v>
          </cell>
          <cell r="T168">
            <v>300109072546.92169</v>
          </cell>
          <cell r="V168" t="str">
            <v>K</v>
          </cell>
          <cell r="Y168">
            <v>239526753375</v>
          </cell>
          <cell r="Z168">
            <v>60582319171.921692</v>
          </cell>
          <cell r="AA168">
            <v>0.25292506293472278</v>
          </cell>
          <cell r="AC168">
            <v>11731</v>
          </cell>
          <cell r="AD168">
            <v>200</v>
          </cell>
        </row>
        <row r="169">
          <cell r="B169" t="str">
            <v>Provinsi Jawa Barat</v>
          </cell>
          <cell r="C169" t="str">
            <v>03-2005</v>
          </cell>
          <cell r="D169">
            <v>61750000</v>
          </cell>
          <cell r="E169">
            <v>530950055.7223891</v>
          </cell>
          <cell r="F169">
            <v>1328692685.8616245</v>
          </cell>
          <cell r="G169">
            <v>261746222.22222221</v>
          </cell>
          <cell r="H169">
            <v>13742</v>
          </cell>
          <cell r="I169">
            <v>2183138963.8062358</v>
          </cell>
          <cell r="J169">
            <v>17574115816</v>
          </cell>
          <cell r="K169">
            <v>1907336010.9499998</v>
          </cell>
          <cell r="L169">
            <v>0</v>
          </cell>
          <cell r="M169">
            <v>625299570.54999995</v>
          </cell>
          <cell r="N169">
            <v>1344240860</v>
          </cell>
          <cell r="O169">
            <v>23634131221.306236</v>
          </cell>
          <cell r="P169">
            <v>283609574655.6748</v>
          </cell>
          <cell r="Q169">
            <v>7090239366.3918705</v>
          </cell>
          <cell r="R169">
            <v>290699814022.06665</v>
          </cell>
          <cell r="S169">
            <v>23634131221.306236</v>
          </cell>
          <cell r="T169">
            <v>314333945243.37286</v>
          </cell>
          <cell r="V169" t="str">
            <v>P</v>
          </cell>
          <cell r="Y169">
            <v>261513327582</v>
          </cell>
          <cell r="Z169">
            <v>52820617661.372864</v>
          </cell>
          <cell r="AA169">
            <v>0.2019805955962625</v>
          </cell>
          <cell r="AC169">
            <v>14011</v>
          </cell>
          <cell r="AD169">
            <v>260</v>
          </cell>
        </row>
        <row r="170">
          <cell r="B170" t="str">
            <v>Kab. Bandung</v>
          </cell>
          <cell r="C170" t="str">
            <v>03-2005</v>
          </cell>
          <cell r="D170">
            <v>109988853.105488</v>
          </cell>
          <cell r="E170">
            <v>745678537.8572396</v>
          </cell>
          <cell r="F170">
            <v>2829975881.5130725</v>
          </cell>
          <cell r="G170">
            <v>895981589.32819402</v>
          </cell>
          <cell r="H170">
            <v>28709</v>
          </cell>
          <cell r="I170">
            <v>4581624861.8039942</v>
          </cell>
          <cell r="J170">
            <v>38007175516</v>
          </cell>
          <cell r="K170">
            <v>3963722191.3499999</v>
          </cell>
          <cell r="L170">
            <v>0</v>
          </cell>
          <cell r="M170">
            <v>1503975679.8499999</v>
          </cell>
          <cell r="N170">
            <v>3752302210</v>
          </cell>
          <cell r="O170">
            <v>51808800459.00399</v>
          </cell>
          <cell r="P170">
            <v>621705605508.04785</v>
          </cell>
          <cell r="Q170">
            <v>15542640137.701197</v>
          </cell>
          <cell r="R170">
            <v>637248245645.74902</v>
          </cell>
          <cell r="S170">
            <v>51808800459.00399</v>
          </cell>
          <cell r="T170">
            <v>689057046104.75305</v>
          </cell>
          <cell r="V170" t="str">
            <v>K</v>
          </cell>
          <cell r="Y170">
            <v>609270831156</v>
          </cell>
          <cell r="Z170">
            <v>79786214948.753052</v>
          </cell>
          <cell r="AA170">
            <v>0.13095361023171037</v>
          </cell>
          <cell r="AC170">
            <v>29242</v>
          </cell>
          <cell r="AD170">
            <v>268</v>
          </cell>
        </row>
        <row r="171">
          <cell r="B171" t="str">
            <v>Kota Bandung</v>
          </cell>
          <cell r="C171" t="str">
            <v>03-2005</v>
          </cell>
          <cell r="D171">
            <v>114447860.6638186</v>
          </cell>
          <cell r="E171">
            <v>573083280.78017068</v>
          </cell>
          <cell r="F171">
            <v>1730268262.3771558</v>
          </cell>
          <cell r="G171">
            <v>1092270884.3988075</v>
          </cell>
          <cell r="H171">
            <v>21749</v>
          </cell>
          <cell r="I171">
            <v>3510070288.2199526</v>
          </cell>
          <cell r="J171">
            <v>29308990332.499996</v>
          </cell>
          <cell r="K171">
            <v>2806963917.3499999</v>
          </cell>
          <cell r="L171">
            <v>0</v>
          </cell>
          <cell r="M171">
            <v>1165437127.3499999</v>
          </cell>
          <cell r="N171">
            <v>1963553040</v>
          </cell>
          <cell r="O171">
            <v>38755014705.419945</v>
          </cell>
          <cell r="P171">
            <v>465060176465.03931</v>
          </cell>
          <cell r="Q171">
            <v>11626504411.625984</v>
          </cell>
          <cell r="R171">
            <v>476686680876.66528</v>
          </cell>
          <cell r="S171">
            <v>38755014705.419945</v>
          </cell>
          <cell r="T171">
            <v>515441695582.08521</v>
          </cell>
          <cell r="V171" t="str">
            <v>K</v>
          </cell>
          <cell r="Y171">
            <v>451604837099</v>
          </cell>
          <cell r="Z171">
            <v>63836858483.085205</v>
          </cell>
          <cell r="AA171">
            <v>0.14135556849469927</v>
          </cell>
          <cell r="AC171">
            <v>21792</v>
          </cell>
          <cell r="AD171">
            <v>325</v>
          </cell>
        </row>
        <row r="172">
          <cell r="B172" t="str">
            <v>Kota Cimahi</v>
          </cell>
          <cell r="C172" t="str">
            <v>03-2005</v>
          </cell>
          <cell r="D172">
            <v>9165737.7587906681</v>
          </cell>
          <cell r="E172">
            <v>89984129.175132051</v>
          </cell>
          <cell r="F172">
            <v>432798096.6067124</v>
          </cell>
          <cell r="G172">
            <v>281754181.09548616</v>
          </cell>
          <cell r="H172">
            <v>5095</v>
          </cell>
          <cell r="I172">
            <v>813702144.63612127</v>
          </cell>
          <cell r="J172">
            <v>6138377609</v>
          </cell>
          <cell r="K172">
            <v>582733468.25</v>
          </cell>
          <cell r="L172">
            <v>0</v>
          </cell>
          <cell r="M172">
            <v>250801139.04999998</v>
          </cell>
          <cell r="N172">
            <v>408381480</v>
          </cell>
          <cell r="O172">
            <v>8193995840.9361219</v>
          </cell>
          <cell r="P172">
            <v>98327950091.233459</v>
          </cell>
          <cell r="Q172">
            <v>2458198752.2808366</v>
          </cell>
          <cell r="R172">
            <v>100786148843.5143</v>
          </cell>
          <cell r="S172">
            <v>8193995840.9361219</v>
          </cell>
          <cell r="T172">
            <v>108980144684.45042</v>
          </cell>
          <cell r="V172" t="str">
            <v>K</v>
          </cell>
          <cell r="Y172">
            <v>96139974450</v>
          </cell>
          <cell r="Z172">
            <v>12840170234.450424</v>
          </cell>
          <cell r="AA172">
            <v>0.13355703814055284</v>
          </cell>
          <cell r="AC172">
            <v>4463</v>
          </cell>
          <cell r="AD172">
            <v>136</v>
          </cell>
        </row>
        <row r="173">
          <cell r="B173" t="str">
            <v xml:space="preserve">Kab. Majalengka  </v>
          </cell>
          <cell r="C173" t="str">
            <v>06-2005</v>
          </cell>
          <cell r="D173">
            <v>45085520.867564902</v>
          </cell>
          <cell r="E173">
            <v>359936516.7005282</v>
          </cell>
          <cell r="F173">
            <v>978647368.62599671</v>
          </cell>
          <cell r="G173">
            <v>561367623.23466527</v>
          </cell>
          <cell r="H173">
            <v>12093</v>
          </cell>
          <cell r="I173">
            <v>1945037029.4287553</v>
          </cell>
          <cell r="J173">
            <v>15920526399.999998</v>
          </cell>
          <cell r="K173">
            <v>1616763149.9999998</v>
          </cell>
          <cell r="L173">
            <v>2294685000</v>
          </cell>
          <cell r="M173">
            <v>639696700</v>
          </cell>
          <cell r="N173">
            <v>1114744000</v>
          </cell>
          <cell r="O173">
            <v>23531452279.428753</v>
          </cell>
          <cell r="P173">
            <v>282377427353.14502</v>
          </cell>
          <cell r="Q173">
            <v>7059435683.8286257</v>
          </cell>
          <cell r="R173">
            <v>289436863036.97363</v>
          </cell>
          <cell r="S173">
            <v>23531452279.428753</v>
          </cell>
          <cell r="T173">
            <v>312968315316.4024</v>
          </cell>
          <cell r="V173" t="str">
            <v>K</v>
          </cell>
          <cell r="Y173">
            <v>249809066000</v>
          </cell>
          <cell r="Z173">
            <v>63159249316.402405</v>
          </cell>
          <cell r="AA173">
            <v>0.25283009270929502</v>
          </cell>
          <cell r="AC173">
            <v>11943</v>
          </cell>
          <cell r="AD173">
            <v>276</v>
          </cell>
        </row>
        <row r="174">
          <cell r="B174" t="str">
            <v xml:space="preserve">Kab. Karawang    </v>
          </cell>
          <cell r="C174" t="str">
            <v>06-2005</v>
          </cell>
          <cell r="D174">
            <v>60444324.679592505</v>
          </cell>
          <cell r="E174">
            <v>439531416.80888528</v>
          </cell>
          <cell r="F174">
            <v>1111105149.0821435</v>
          </cell>
          <cell r="G174">
            <v>480842904.03203946</v>
          </cell>
          <cell r="H174">
            <v>13001</v>
          </cell>
          <cell r="I174">
            <v>2091923794.6026607</v>
          </cell>
          <cell r="J174">
            <v>16850230053.999998</v>
          </cell>
          <cell r="K174">
            <v>1843131869.7499998</v>
          </cell>
          <cell r="L174">
            <v>2397127900</v>
          </cell>
          <cell r="M174">
            <v>688953245.8499999</v>
          </cell>
          <cell r="N174">
            <v>1282164890</v>
          </cell>
          <cell r="O174">
            <v>25153531754.202656</v>
          </cell>
          <cell r="P174">
            <v>301842381050.43188</v>
          </cell>
          <cell r="Q174">
            <v>7546059526.2607975</v>
          </cell>
          <cell r="R174">
            <v>309388440576.69269</v>
          </cell>
          <cell r="S174">
            <v>25153531754.202656</v>
          </cell>
          <cell r="T174">
            <v>334541972330.89532</v>
          </cell>
          <cell r="V174" t="str">
            <v>K</v>
          </cell>
          <cell r="Y174">
            <v>266943212939</v>
          </cell>
          <cell r="Z174">
            <v>67598759391.895325</v>
          </cell>
          <cell r="AA174">
            <v>0.25323273308822625</v>
          </cell>
          <cell r="AC174">
            <v>12791</v>
          </cell>
          <cell r="AD174">
            <v>267</v>
          </cell>
        </row>
        <row r="175">
          <cell r="B175" t="str">
            <v>Kab. Bekasi</v>
          </cell>
          <cell r="C175" t="str">
            <v>03-2005</v>
          </cell>
          <cell r="D175">
            <v>32699388.761091027</v>
          </cell>
          <cell r="E175">
            <v>354909470.37789518</v>
          </cell>
          <cell r="F175">
            <v>759938010.19840539</v>
          </cell>
          <cell r="G175">
            <v>327039043.63275015</v>
          </cell>
          <cell r="H175">
            <v>9170</v>
          </cell>
          <cell r="I175">
            <v>1474585912.9701419</v>
          </cell>
          <cell r="J175">
            <v>11539502707</v>
          </cell>
          <cell r="K175">
            <v>1261659376.5</v>
          </cell>
          <cell r="L175">
            <v>1837799750</v>
          </cell>
          <cell r="M175">
            <v>447750811.79999995</v>
          </cell>
          <cell r="N175">
            <v>897564700</v>
          </cell>
          <cell r="O175">
            <v>17458863258.270142</v>
          </cell>
          <cell r="P175">
            <v>209506359099.2417</v>
          </cell>
          <cell r="Q175">
            <v>5237658977.4810429</v>
          </cell>
          <cell r="R175">
            <v>214744018076.72275</v>
          </cell>
          <cell r="S175">
            <v>17458863258.270142</v>
          </cell>
          <cell r="T175">
            <v>232202881334.99289</v>
          </cell>
          <cell r="V175" t="str">
            <v>K</v>
          </cell>
          <cell r="Y175">
            <v>185335746908</v>
          </cell>
          <cell r="Z175">
            <v>46867134426.992889</v>
          </cell>
          <cell r="AA175">
            <v>0.25287692854124666</v>
          </cell>
          <cell r="AC175">
            <v>6875</v>
          </cell>
          <cell r="AD175">
            <v>328</v>
          </cell>
        </row>
        <row r="176">
          <cell r="B176" t="str">
            <v>Kota Bekasi</v>
          </cell>
          <cell r="C176" t="str">
            <v>03-2005</v>
          </cell>
          <cell r="D176">
            <v>25515432.13933618</v>
          </cell>
          <cell r="E176">
            <v>254703680.34674251</v>
          </cell>
          <cell r="F176">
            <v>736218826.25625813</v>
          </cell>
          <cell r="G176">
            <v>393237279.05085969</v>
          </cell>
          <cell r="H176">
            <v>8791</v>
          </cell>
          <cell r="I176">
            <v>1409675217.7931964</v>
          </cell>
          <cell r="J176">
            <v>11354577026</v>
          </cell>
          <cell r="K176">
            <v>1160415048.5999999</v>
          </cell>
          <cell r="L176">
            <v>1711672200</v>
          </cell>
          <cell r="M176">
            <v>453493621.99999994</v>
          </cell>
          <cell r="N176">
            <v>827083830</v>
          </cell>
          <cell r="O176">
            <v>16916916944.393196</v>
          </cell>
          <cell r="P176">
            <v>203003003332.71835</v>
          </cell>
          <cell r="Q176">
            <v>5075075083.3179588</v>
          </cell>
          <cell r="R176">
            <v>208078078416.03632</v>
          </cell>
          <cell r="S176">
            <v>16916916944.393196</v>
          </cell>
          <cell r="T176">
            <v>224994995360.4295</v>
          </cell>
          <cell r="V176" t="str">
            <v>K</v>
          </cell>
          <cell r="Y176">
            <v>179609698801</v>
          </cell>
          <cell r="Z176">
            <v>45385296559.429504</v>
          </cell>
          <cell r="AA176">
            <v>0.25268845091552938</v>
          </cell>
          <cell r="AC176">
            <v>8357</v>
          </cell>
          <cell r="AD176">
            <v>323</v>
          </cell>
        </row>
        <row r="177">
          <cell r="B177" t="str">
            <v>Kab. Garut</v>
          </cell>
          <cell r="C177" t="str">
            <v>06-2005</v>
          </cell>
          <cell r="D177">
            <v>68866894.511994749</v>
          </cell>
          <cell r="E177">
            <v>583304941.63619125</v>
          </cell>
          <cell r="F177">
            <v>1384337826.4416838</v>
          </cell>
          <cell r="G177">
            <v>1027884043.4821885</v>
          </cell>
          <cell r="H177">
            <v>18989</v>
          </cell>
          <cell r="I177">
            <v>3064393706.0720582</v>
          </cell>
          <cell r="J177">
            <v>25161138649.999996</v>
          </cell>
          <cell r="K177">
            <v>2649283750</v>
          </cell>
          <cell r="L177">
            <v>3730448000</v>
          </cell>
          <cell r="M177">
            <v>1013383449.9999999</v>
          </cell>
          <cell r="N177">
            <v>1839552000</v>
          </cell>
          <cell r="O177">
            <v>37458199556.072052</v>
          </cell>
          <cell r="P177">
            <v>449498394672.86462</v>
          </cell>
          <cell r="Q177">
            <v>11237459866.821617</v>
          </cell>
          <cell r="R177">
            <v>460735854539.68622</v>
          </cell>
          <cell r="S177">
            <v>37458199556.072052</v>
          </cell>
          <cell r="T177">
            <v>498194054095.7583</v>
          </cell>
          <cell r="V177" t="str">
            <v>K</v>
          </cell>
          <cell r="Y177">
            <v>398255988000</v>
          </cell>
          <cell r="Z177">
            <v>99938066095.758301</v>
          </cell>
          <cell r="AA177">
            <v>0.25093926797594895</v>
          </cell>
          <cell r="AC177">
            <v>18822</v>
          </cell>
          <cell r="AD177">
            <v>323</v>
          </cell>
        </row>
        <row r="178">
          <cell r="B178" t="str">
            <v>Kab. Kuningan</v>
          </cell>
          <cell r="C178" t="str">
            <v>06-2005</v>
          </cell>
          <cell r="D178">
            <v>34185724.613867894</v>
          </cell>
          <cell r="E178">
            <v>375017655.66842747</v>
          </cell>
          <cell r="F178">
            <v>889315377.15557206</v>
          </cell>
          <cell r="G178">
            <v>519376205.24556589</v>
          </cell>
          <cell r="H178">
            <v>11304</v>
          </cell>
          <cell r="I178">
            <v>1817894962.6834333</v>
          </cell>
          <cell r="J178">
            <v>15098355749.999998</v>
          </cell>
          <cell r="K178">
            <v>1509440550</v>
          </cell>
          <cell r="L178">
            <v>2207714000</v>
          </cell>
          <cell r="M178">
            <v>609424100</v>
          </cell>
          <cell r="N178">
            <v>1043967000</v>
          </cell>
          <cell r="O178">
            <v>22286796362.683434</v>
          </cell>
          <cell r="P178">
            <v>267441556352.2012</v>
          </cell>
          <cell r="Q178">
            <v>6686038908.8050308</v>
          </cell>
          <cell r="R178">
            <v>274127595261.00623</v>
          </cell>
          <cell r="S178">
            <v>22286796362.683434</v>
          </cell>
          <cell r="T178">
            <v>296414391623.68964</v>
          </cell>
          <cell r="V178" t="str">
            <v>K</v>
          </cell>
          <cell r="Y178">
            <v>236908529000</v>
          </cell>
          <cell r="Z178">
            <v>59505862623.689636</v>
          </cell>
          <cell r="AA178">
            <v>0.25117653161271214</v>
          </cell>
          <cell r="AC178">
            <v>11459</v>
          </cell>
          <cell r="AD178">
            <v>306</v>
          </cell>
        </row>
        <row r="179">
          <cell r="B179" t="str">
            <v>Provinsi Banten</v>
          </cell>
          <cell r="C179" t="str">
            <v>03-2005</v>
          </cell>
          <cell r="D179">
            <v>2750000</v>
          </cell>
          <cell r="E179">
            <v>166484339.50617284</v>
          </cell>
          <cell r="F179">
            <v>224753250.53717232</v>
          </cell>
          <cell r="G179">
            <v>41423555.555555552</v>
          </cell>
          <cell r="H179">
            <v>2721</v>
          </cell>
          <cell r="I179">
            <v>435411145.59890068</v>
          </cell>
          <cell r="J179">
            <v>3120933341.9999995</v>
          </cell>
          <cell r="K179">
            <v>311060188</v>
          </cell>
          <cell r="L179">
            <v>307176750</v>
          </cell>
          <cell r="M179">
            <v>33648234.099999994</v>
          </cell>
          <cell r="N179">
            <v>232716060</v>
          </cell>
          <cell r="O179">
            <v>4440945719.6989002</v>
          </cell>
          <cell r="P179">
            <v>53291348636.386803</v>
          </cell>
          <cell r="Q179">
            <v>1332283715.9096701</v>
          </cell>
          <cell r="R179">
            <v>54623632352.296471</v>
          </cell>
          <cell r="S179">
            <v>4440945719.6989002</v>
          </cell>
          <cell r="T179">
            <v>59064578071.995369</v>
          </cell>
          <cell r="V179" t="str">
            <v>P</v>
          </cell>
          <cell r="Y179">
            <v>46197294143</v>
          </cell>
          <cell r="Z179">
            <v>12867283928.995369</v>
          </cell>
          <cell r="AA179">
            <v>0.27852895213225537</v>
          </cell>
          <cell r="AC179">
            <v>2659</v>
          </cell>
          <cell r="AD179">
            <v>0</v>
          </cell>
        </row>
        <row r="180">
          <cell r="B180" t="str">
            <v>Kab. Serang</v>
          </cell>
          <cell r="C180" t="str">
            <v>03-2005</v>
          </cell>
          <cell r="D180">
            <v>63912441.669405192</v>
          </cell>
          <cell r="E180">
            <v>438526007.54435867</v>
          </cell>
          <cell r="F180">
            <v>1189039610.6063416</v>
          </cell>
          <cell r="G180">
            <v>208969056.5810473</v>
          </cell>
          <cell r="H180">
            <v>11864</v>
          </cell>
          <cell r="I180">
            <v>1900447116.4011528</v>
          </cell>
          <cell r="J180">
            <v>15009086838.999998</v>
          </cell>
          <cell r="K180">
            <v>1610352645.1999998</v>
          </cell>
          <cell r="L180">
            <v>2214806400</v>
          </cell>
          <cell r="M180">
            <v>586655973.3499999</v>
          </cell>
          <cell r="N180">
            <v>1164934350</v>
          </cell>
          <cell r="O180">
            <v>22486283323.951149</v>
          </cell>
          <cell r="P180">
            <v>269835399887.41379</v>
          </cell>
          <cell r="Q180">
            <v>6745884997.1853447</v>
          </cell>
          <cell r="R180">
            <v>276581284884.59912</v>
          </cell>
          <cell r="S180">
            <v>22486283323.951149</v>
          </cell>
          <cell r="T180">
            <v>299067568208.55029</v>
          </cell>
          <cell r="V180" t="str">
            <v>K</v>
          </cell>
          <cell r="Y180">
            <v>240326710416</v>
          </cell>
          <cell r="Z180">
            <v>58740857792.550293</v>
          </cell>
          <cell r="AA180">
            <v>0.24442084565161826</v>
          </cell>
          <cell r="AC180">
            <v>11657</v>
          </cell>
          <cell r="AD180">
            <v>277</v>
          </cell>
        </row>
        <row r="181">
          <cell r="B181" t="str">
            <v>Kab. Pandeglang</v>
          </cell>
          <cell r="C181" t="str">
            <v>03-2005</v>
          </cell>
          <cell r="D181">
            <v>45333243.509694383</v>
          </cell>
          <cell r="E181">
            <v>343179695.62508464</v>
          </cell>
          <cell r="F181">
            <v>991123043.29686642</v>
          </cell>
          <cell r="G181">
            <v>225271607.09446234</v>
          </cell>
          <cell r="H181">
            <v>10034</v>
          </cell>
          <cell r="I181">
            <v>1604907589.5261078</v>
          </cell>
          <cell r="J181">
            <v>12838062167.999998</v>
          </cell>
          <cell r="K181">
            <v>1372710152.3</v>
          </cell>
          <cell r="L181">
            <v>1866469100</v>
          </cell>
          <cell r="M181">
            <v>503370930.94999999</v>
          </cell>
          <cell r="N181">
            <v>983401380</v>
          </cell>
          <cell r="O181">
            <v>19168921320.776104</v>
          </cell>
          <cell r="P181">
            <v>230027055849.31323</v>
          </cell>
          <cell r="Q181">
            <v>5750676396.232831</v>
          </cell>
          <cell r="R181">
            <v>235777732245.54605</v>
          </cell>
          <cell r="S181">
            <v>19168921320.776104</v>
          </cell>
          <cell r="T181">
            <v>254946653566.32214</v>
          </cell>
          <cell r="V181" t="str">
            <v>K</v>
          </cell>
          <cell r="Y181">
            <v>203388540446</v>
          </cell>
          <cell r="Z181">
            <v>51558113120.322144</v>
          </cell>
          <cell r="AA181">
            <v>0.25349566404903184</v>
          </cell>
          <cell r="AC181">
            <v>9833</v>
          </cell>
          <cell r="AD181">
            <v>274</v>
          </cell>
        </row>
        <row r="182">
          <cell r="B182" t="str">
            <v>Kota Cilegon</v>
          </cell>
          <cell r="C182" t="str">
            <v>06-2005</v>
          </cell>
          <cell r="D182">
            <v>6440788.6953664152</v>
          </cell>
          <cell r="E182">
            <v>126681567.33035351</v>
          </cell>
          <cell r="F182">
            <v>292177220.37826812</v>
          </cell>
          <cell r="G182">
            <v>59282001.866963767</v>
          </cell>
          <cell r="H182">
            <v>3039</v>
          </cell>
          <cell r="I182">
            <v>484581578.27095181</v>
          </cell>
          <cell r="J182">
            <v>3698332379.9999995</v>
          </cell>
          <cell r="K182">
            <v>408004202.44999999</v>
          </cell>
          <cell r="L182">
            <v>583743300</v>
          </cell>
          <cell r="M182">
            <v>36014057.799999997</v>
          </cell>
          <cell r="N182">
            <v>289496000</v>
          </cell>
          <cell r="O182">
            <v>5500171518.5209513</v>
          </cell>
          <cell r="P182">
            <v>66002058222.251419</v>
          </cell>
          <cell r="Q182">
            <v>1650051455.5562856</v>
          </cell>
          <cell r="R182">
            <v>67652109677.807701</v>
          </cell>
          <cell r="S182">
            <v>5500171518.5209513</v>
          </cell>
          <cell r="T182">
            <v>73152281196.328659</v>
          </cell>
          <cell r="V182" t="str">
            <v>K</v>
          </cell>
          <cell r="Y182">
            <v>58180702411</v>
          </cell>
          <cell r="Z182">
            <v>14971578785.328659</v>
          </cell>
          <cell r="AA182">
            <v>0.25732894525003258</v>
          </cell>
          <cell r="AC182">
            <v>2757</v>
          </cell>
          <cell r="AD182">
            <v>265</v>
          </cell>
        </row>
        <row r="183">
          <cell r="B183" t="str">
            <v>Kota Tangerang</v>
          </cell>
          <cell r="C183" t="str">
            <v>06-2005</v>
          </cell>
          <cell r="D183">
            <v>23038205.718041405</v>
          </cell>
          <cell r="E183">
            <v>210800809.1290803</v>
          </cell>
          <cell r="F183">
            <v>654279827.18338585</v>
          </cell>
          <cell r="G183">
            <v>209298401.03586376</v>
          </cell>
          <cell r="H183">
            <v>6870</v>
          </cell>
          <cell r="I183">
            <v>1097417243.0663714</v>
          </cell>
          <cell r="J183">
            <v>8838185850</v>
          </cell>
          <cell r="K183">
            <v>914856049.99999988</v>
          </cell>
          <cell r="L183">
            <v>1273288000</v>
          </cell>
          <cell r="M183">
            <v>348584550</v>
          </cell>
          <cell r="N183">
            <v>656263000</v>
          </cell>
          <cell r="O183">
            <v>13128594693.066372</v>
          </cell>
          <cell r="P183">
            <v>157543136316.79645</v>
          </cell>
          <cell r="Q183">
            <v>3938578407.9199114</v>
          </cell>
          <cell r="R183">
            <v>161481714724.71637</v>
          </cell>
          <cell r="S183">
            <v>13128594693.066372</v>
          </cell>
          <cell r="T183">
            <v>174610309417.78275</v>
          </cell>
          <cell r="V183" t="str">
            <v>K</v>
          </cell>
          <cell r="Y183">
            <v>139280908000</v>
          </cell>
          <cell r="Z183">
            <v>35329401417.782745</v>
          </cell>
          <cell r="AA183">
            <v>0.25365573735190428</v>
          </cell>
          <cell r="AC183">
            <v>6600</v>
          </cell>
          <cell r="AD183">
            <v>293</v>
          </cell>
        </row>
        <row r="184">
          <cell r="B184" t="str">
            <v>Kab. Tangerang</v>
          </cell>
          <cell r="C184" t="str">
            <v>06-2005</v>
          </cell>
          <cell r="D184">
            <v>46819579.362471245</v>
          </cell>
          <cell r="E184">
            <v>417579981.20005417</v>
          </cell>
          <cell r="F184">
            <v>1066901215.3717782</v>
          </cell>
          <cell r="G184">
            <v>444615014.00222826</v>
          </cell>
          <cell r="H184">
            <v>12308</v>
          </cell>
          <cell r="I184">
            <v>1975915789.936532</v>
          </cell>
          <cell r="J184">
            <v>15756931999.999998</v>
          </cell>
          <cell r="K184">
            <v>1744502849.9999998</v>
          </cell>
          <cell r="L184">
            <v>314200000</v>
          </cell>
          <cell r="M184">
            <v>150305000</v>
          </cell>
          <cell r="N184">
            <v>1244071000</v>
          </cell>
          <cell r="O184">
            <v>21185926639.936531</v>
          </cell>
          <cell r="P184">
            <v>254231119679.23837</v>
          </cell>
          <cell r="Q184">
            <v>6355777991.9809599</v>
          </cell>
          <cell r="R184">
            <v>260586897671.21933</v>
          </cell>
          <cell r="S184">
            <v>21185926639.936531</v>
          </cell>
          <cell r="T184">
            <v>281772824311.15588</v>
          </cell>
          <cell r="V184" t="str">
            <v>K</v>
          </cell>
          <cell r="Y184">
            <v>245192285000</v>
          </cell>
          <cell r="Z184">
            <v>36580539311.155884</v>
          </cell>
          <cell r="AA184">
            <v>0.1491912329588832</v>
          </cell>
          <cell r="AC184">
            <v>11878</v>
          </cell>
          <cell r="AD184">
            <v>348</v>
          </cell>
        </row>
        <row r="185">
          <cell r="B185" t="str">
            <v>Kab. Lebak</v>
          </cell>
          <cell r="C185" t="str">
            <v>06-2005</v>
          </cell>
          <cell r="D185">
            <v>40131068.024975352</v>
          </cell>
          <cell r="E185">
            <v>338822922.14546931</v>
          </cell>
          <cell r="F185">
            <v>752853059.15075099</v>
          </cell>
          <cell r="G185">
            <v>320287482.30901259</v>
          </cell>
          <cell r="H185">
            <v>9017</v>
          </cell>
          <cell r="I185">
            <v>1452094531.6302083</v>
          </cell>
          <cell r="J185">
            <v>11497365350</v>
          </cell>
          <cell r="K185">
            <v>1244916400</v>
          </cell>
          <cell r="L185">
            <v>1710448000</v>
          </cell>
          <cell r="M185">
            <v>457763249.99999994</v>
          </cell>
          <cell r="N185">
            <v>870775000</v>
          </cell>
          <cell r="O185">
            <v>17233362531.630211</v>
          </cell>
          <cell r="P185">
            <v>206800350379.56253</v>
          </cell>
          <cell r="Q185">
            <v>5170008759.4890633</v>
          </cell>
          <cell r="R185">
            <v>211970359139.05161</v>
          </cell>
          <cell r="S185">
            <v>17233362531.630211</v>
          </cell>
          <cell r="T185">
            <v>229203721670.68182</v>
          </cell>
          <cell r="V185" t="str">
            <v>K</v>
          </cell>
          <cell r="Y185">
            <v>182779597000</v>
          </cell>
          <cell r="Z185">
            <v>46424124670.681824</v>
          </cell>
          <cell r="AA185">
            <v>0.25398964344298136</v>
          </cell>
          <cell r="AC185">
            <v>8603</v>
          </cell>
          <cell r="AD185">
            <v>491</v>
          </cell>
        </row>
        <row r="186">
          <cell r="B186" t="str">
            <v>Provinsi Jawa Tengah</v>
          </cell>
          <cell r="C186" t="str">
            <v>06-2005</v>
          </cell>
          <cell r="D186">
            <v>138000000</v>
          </cell>
          <cell r="E186">
            <v>1038709985.1518185</v>
          </cell>
          <cell r="F186">
            <v>1680396752.0412548</v>
          </cell>
          <cell r="G186">
            <v>173110666.66666666</v>
          </cell>
          <cell r="H186">
            <v>18868</v>
          </cell>
          <cell r="I186">
            <v>3030217403.8597398</v>
          </cell>
          <cell r="J186">
            <v>23511168937.199997</v>
          </cell>
          <cell r="K186">
            <v>2440307837.25</v>
          </cell>
          <cell r="L186">
            <v>1311604350</v>
          </cell>
          <cell r="M186">
            <v>818931438.0999999</v>
          </cell>
          <cell r="N186">
            <v>1763424450</v>
          </cell>
          <cell r="O186">
            <v>32875654416.409737</v>
          </cell>
          <cell r="P186">
            <v>394507852996.91687</v>
          </cell>
          <cell r="Q186">
            <v>9862696324.9229221</v>
          </cell>
          <cell r="R186">
            <v>404370549321.83978</v>
          </cell>
          <cell r="S186">
            <v>32875654416.409737</v>
          </cell>
          <cell r="T186">
            <v>437246203738.24951</v>
          </cell>
          <cell r="V186" t="str">
            <v>P</v>
          </cell>
          <cell r="Y186">
            <v>342597380281</v>
          </cell>
          <cell r="Z186">
            <v>94648823457.249512</v>
          </cell>
          <cell r="AA186">
            <v>0.27626838062689824</v>
          </cell>
          <cell r="AC186">
            <v>19510</v>
          </cell>
          <cell r="AD186">
            <v>100</v>
          </cell>
        </row>
        <row r="187">
          <cell r="B187" t="str">
            <v xml:space="preserve">Kota Tegal </v>
          </cell>
          <cell r="C187" t="str">
            <v>06-2005</v>
          </cell>
          <cell r="D187">
            <v>20560979.29674663</v>
          </cell>
          <cell r="E187">
            <v>181141235.82554516</v>
          </cell>
          <cell r="F187">
            <v>316050424.99536437</v>
          </cell>
          <cell r="G187">
            <v>155779927.12818813</v>
          </cell>
          <cell r="H187">
            <v>4162</v>
          </cell>
          <cell r="I187">
            <v>673532567.24584436</v>
          </cell>
          <cell r="J187">
            <v>5262866900</v>
          </cell>
          <cell r="K187">
            <v>494946199.99999994</v>
          </cell>
          <cell r="L187">
            <v>700512000</v>
          </cell>
          <cell r="M187">
            <v>206657299.99999997</v>
          </cell>
          <cell r="N187">
            <v>364570000</v>
          </cell>
          <cell r="O187">
            <v>7703084967.2458439</v>
          </cell>
          <cell r="P187">
            <v>92437019606.950134</v>
          </cell>
          <cell r="Q187">
            <v>2310925490.1737533</v>
          </cell>
          <cell r="R187">
            <v>94747945097.123886</v>
          </cell>
          <cell r="S187">
            <v>7703084967.2458439</v>
          </cell>
          <cell r="T187">
            <v>102451030064.36974</v>
          </cell>
          <cell r="V187" t="str">
            <v>K</v>
          </cell>
          <cell r="Y187">
            <v>81273153000</v>
          </cell>
          <cell r="Z187">
            <v>21177877064.369736</v>
          </cell>
          <cell r="AA187">
            <v>0.26057654074734538</v>
          </cell>
          <cell r="AC187">
            <v>4034</v>
          </cell>
          <cell r="AD187">
            <v>199</v>
          </cell>
        </row>
        <row r="188">
          <cell r="B188" t="str">
            <v>Kab. Tegal</v>
          </cell>
          <cell r="C188" t="str">
            <v>06-2005</v>
          </cell>
          <cell r="D188">
            <v>36662951.035162672</v>
          </cell>
          <cell r="E188">
            <v>419758367.93986183</v>
          </cell>
          <cell r="F188">
            <v>914882809.19710743</v>
          </cell>
          <cell r="G188">
            <v>410198518.47390765</v>
          </cell>
          <cell r="H188">
            <v>11084</v>
          </cell>
          <cell r="I188">
            <v>1781502646.6460397</v>
          </cell>
          <cell r="J188">
            <v>14409580499.999998</v>
          </cell>
          <cell r="K188">
            <v>1465671550</v>
          </cell>
          <cell r="L188">
            <v>1996202000</v>
          </cell>
          <cell r="M188">
            <v>569112000</v>
          </cell>
          <cell r="N188">
            <v>1022789000</v>
          </cell>
          <cell r="O188">
            <v>21244857696.646038</v>
          </cell>
          <cell r="P188">
            <v>254938292359.75244</v>
          </cell>
          <cell r="Q188">
            <v>6373457308.9938116</v>
          </cell>
          <cell r="R188">
            <v>261311749668.74625</v>
          </cell>
          <cell r="S188">
            <v>21244857696.646038</v>
          </cell>
          <cell r="T188">
            <v>282556607365.39227</v>
          </cell>
          <cell r="V188" t="str">
            <v>K</v>
          </cell>
          <cell r="Y188">
            <v>225146701000</v>
          </cell>
          <cell r="Z188">
            <v>57409906365.392273</v>
          </cell>
          <cell r="AA188">
            <v>0.25498888551510362</v>
          </cell>
          <cell r="AC188">
            <v>10951</v>
          </cell>
          <cell r="AD188">
            <v>298</v>
          </cell>
        </row>
        <row r="189">
          <cell r="B189" t="str">
            <v>Kab. Pemalang</v>
          </cell>
          <cell r="C189" t="str">
            <v>06-2005</v>
          </cell>
          <cell r="D189">
            <v>36910673.677292146</v>
          </cell>
          <cell r="E189">
            <v>370158177.55654883</v>
          </cell>
          <cell r="F189">
            <v>730212019.93324685</v>
          </cell>
          <cell r="G189">
            <v>515094727.33295184</v>
          </cell>
          <cell r="H189">
            <v>10227</v>
          </cell>
          <cell r="I189">
            <v>1652375598.5000396</v>
          </cell>
          <cell r="J189">
            <v>13372593299.999998</v>
          </cell>
          <cell r="K189">
            <v>1347883950</v>
          </cell>
          <cell r="L189">
            <v>1893890000</v>
          </cell>
          <cell r="M189">
            <v>509543149.99999994</v>
          </cell>
          <cell r="N189">
            <v>932940000</v>
          </cell>
          <cell r="O189">
            <v>19709225998.500038</v>
          </cell>
          <cell r="P189">
            <v>236510711982.00046</v>
          </cell>
          <cell r="Q189">
            <v>5912767799.5500116</v>
          </cell>
          <cell r="R189">
            <v>242423479781.55048</v>
          </cell>
          <cell r="S189">
            <v>19709225998.500038</v>
          </cell>
          <cell r="T189">
            <v>262132705780.05051</v>
          </cell>
          <cell r="V189" t="str">
            <v>K</v>
          </cell>
          <cell r="Y189">
            <v>208920751000</v>
          </cell>
          <cell r="Z189">
            <v>53211954780.050507</v>
          </cell>
          <cell r="AA189">
            <v>0.25469923176779363</v>
          </cell>
          <cell r="AC189">
            <v>10206</v>
          </cell>
          <cell r="AD189">
            <v>279</v>
          </cell>
        </row>
        <row r="190">
          <cell r="B190" t="str">
            <v>Kab. Brebes</v>
          </cell>
          <cell r="C190" t="str">
            <v>06-2005</v>
          </cell>
          <cell r="D190">
            <v>42360571.80414065</v>
          </cell>
          <cell r="E190">
            <v>413223207.72043884</v>
          </cell>
          <cell r="F190">
            <v>1118190100.1297979</v>
          </cell>
          <cell r="G190">
            <v>426830413.44213915</v>
          </cell>
          <cell r="H190">
            <v>12489</v>
          </cell>
          <cell r="I190">
            <v>2000604293.0965166</v>
          </cell>
          <cell r="J190">
            <v>16427475149.999998</v>
          </cell>
          <cell r="K190">
            <v>1674118249.9999998</v>
          </cell>
          <cell r="L190">
            <v>2236742000</v>
          </cell>
          <cell r="M190">
            <v>652091400</v>
          </cell>
          <cell r="N190">
            <v>1152297000</v>
          </cell>
          <cell r="O190">
            <v>24143328093.096516</v>
          </cell>
          <cell r="P190">
            <v>289719937117.1582</v>
          </cell>
          <cell r="Q190">
            <v>7242998427.9289551</v>
          </cell>
          <cell r="R190">
            <v>296962935545.08716</v>
          </cell>
          <cell r="S190">
            <v>24143328093.096516</v>
          </cell>
          <cell r="T190">
            <v>321106263638.18365</v>
          </cell>
          <cell r="V190" t="str">
            <v>K</v>
          </cell>
          <cell r="Y190">
            <v>256063691000</v>
          </cell>
          <cell r="Z190">
            <v>65042572638.183655</v>
          </cell>
          <cell r="AA190">
            <v>0.25400935362672583</v>
          </cell>
          <cell r="AC190">
            <v>12420</v>
          </cell>
          <cell r="AD190">
            <v>268</v>
          </cell>
        </row>
        <row r="191">
          <cell r="B191" t="str">
            <v>Kab. Klaten</v>
          </cell>
          <cell r="C191" t="str">
            <v>06-2005</v>
          </cell>
          <cell r="D191">
            <v>46324134.078212291</v>
          </cell>
          <cell r="E191">
            <v>386412293.9997291</v>
          </cell>
          <cell r="F191">
            <v>1252342108.0103838</v>
          </cell>
          <cell r="G191">
            <v>969919419.43449056</v>
          </cell>
          <cell r="H191">
            <v>16514</v>
          </cell>
          <cell r="I191">
            <v>2654997955.5228157</v>
          </cell>
          <cell r="J191">
            <v>22755534150</v>
          </cell>
          <cell r="K191">
            <v>2174868500</v>
          </cell>
          <cell r="L191">
            <v>3101462000</v>
          </cell>
          <cell r="M191">
            <v>861611049.99999988</v>
          </cell>
          <cell r="N191">
            <v>1452865000</v>
          </cell>
          <cell r="O191">
            <v>33001338655.522816</v>
          </cell>
          <cell r="P191">
            <v>396016063866.2738</v>
          </cell>
          <cell r="Q191">
            <v>9900401596.6568451</v>
          </cell>
          <cell r="R191">
            <v>405916465462.93066</v>
          </cell>
          <cell r="S191">
            <v>33001338655.522816</v>
          </cell>
          <cell r="T191">
            <v>438917804118.45349</v>
          </cell>
          <cell r="V191" t="str">
            <v>K</v>
          </cell>
          <cell r="Y191">
            <v>350778649000</v>
          </cell>
          <cell r="Z191">
            <v>88139155118.453491</v>
          </cell>
          <cell r="AA191">
            <v>0.25126716055757853</v>
          </cell>
          <cell r="AC191">
            <v>17169</v>
          </cell>
          <cell r="AD191">
            <v>245</v>
          </cell>
        </row>
        <row r="192">
          <cell r="B192" t="str">
            <v>Kab. Boyolali</v>
          </cell>
          <cell r="C192" t="str">
            <v>06-2005</v>
          </cell>
          <cell r="D192">
            <v>47810469.930989154</v>
          </cell>
          <cell r="E192">
            <v>345525650.57564676</v>
          </cell>
          <cell r="F192">
            <v>984962216.29890609</v>
          </cell>
          <cell r="G192">
            <v>584092390.61700141</v>
          </cell>
          <cell r="H192">
            <v>12197</v>
          </cell>
          <cell r="I192">
            <v>1962390727.4225435</v>
          </cell>
          <cell r="J192">
            <v>16221375599.999998</v>
          </cell>
          <cell r="K192">
            <v>1596553049.9999998</v>
          </cell>
          <cell r="L192">
            <v>2244364000</v>
          </cell>
          <cell r="M192">
            <v>653532350</v>
          </cell>
          <cell r="N192">
            <v>1088355000</v>
          </cell>
          <cell r="O192">
            <v>23766570727.422543</v>
          </cell>
          <cell r="P192">
            <v>285198848729.0705</v>
          </cell>
          <cell r="Q192">
            <v>7129971218.2267628</v>
          </cell>
          <cell r="R192">
            <v>292328819947.29724</v>
          </cell>
          <cell r="S192">
            <v>23766570727.422543</v>
          </cell>
          <cell r="T192">
            <v>316095390674.71979</v>
          </cell>
          <cell r="V192" t="str">
            <v>K</v>
          </cell>
          <cell r="Y192">
            <v>252140954000</v>
          </cell>
          <cell r="Z192">
            <v>63954436674.719788</v>
          </cell>
          <cell r="AA192">
            <v>0.25364557268518856</v>
          </cell>
          <cell r="AC192">
            <v>12210</v>
          </cell>
          <cell r="AD192">
            <v>277</v>
          </cell>
        </row>
        <row r="193">
          <cell r="B193" t="str">
            <v>Kab. Batang</v>
          </cell>
          <cell r="C193" t="str">
            <v>06-2005</v>
          </cell>
          <cell r="D193">
            <v>15111081.169898126</v>
          </cell>
          <cell r="E193">
            <v>248503656.54882839</v>
          </cell>
          <cell r="F193">
            <v>552010099.01724458</v>
          </cell>
          <cell r="G193">
            <v>312547887.62082565</v>
          </cell>
          <cell r="H193">
            <v>7026</v>
          </cell>
          <cell r="I193">
            <v>1128172724.3567967</v>
          </cell>
          <cell r="J193">
            <v>9587849000</v>
          </cell>
          <cell r="K193">
            <v>930770899.99999988</v>
          </cell>
          <cell r="L193">
            <v>1376874000</v>
          </cell>
          <cell r="M193">
            <v>104798349.99999999</v>
          </cell>
          <cell r="N193">
            <v>651689000</v>
          </cell>
          <cell r="O193">
            <v>13780153974.356796</v>
          </cell>
          <cell r="P193">
            <v>165361847692.28156</v>
          </cell>
          <cell r="Q193">
            <v>4134046192.3070393</v>
          </cell>
          <cell r="R193">
            <v>169495893884.58859</v>
          </cell>
          <cell r="S193">
            <v>13780153974.356796</v>
          </cell>
          <cell r="T193">
            <v>183276047858.94537</v>
          </cell>
          <cell r="V193" t="str">
            <v>K</v>
          </cell>
          <cell r="Y193">
            <v>146466905000</v>
          </cell>
          <cell r="Z193">
            <v>36809142858.945374</v>
          </cell>
          <cell r="AA193">
            <v>0.25131372072718661</v>
          </cell>
          <cell r="AC193">
            <v>6803</v>
          </cell>
          <cell r="AD193">
            <v>276</v>
          </cell>
        </row>
        <row r="194">
          <cell r="B194" t="str">
            <v>Kab. Pekalongan</v>
          </cell>
          <cell r="C194" t="str">
            <v>06-2005</v>
          </cell>
          <cell r="D194">
            <v>23533651.002300363</v>
          </cell>
          <cell r="E194">
            <v>315866077.27211159</v>
          </cell>
          <cell r="F194">
            <v>685392003.52308547</v>
          </cell>
          <cell r="G194">
            <v>287023692.37254959</v>
          </cell>
          <cell r="H194">
            <v>8173</v>
          </cell>
          <cell r="I194">
            <v>1311815424.170047</v>
          </cell>
          <cell r="J194">
            <v>10527356450</v>
          </cell>
          <cell r="K194">
            <v>1071599899.9999999</v>
          </cell>
          <cell r="L194">
            <v>1472223000</v>
          </cell>
          <cell r="M194">
            <v>408905499.99999994</v>
          </cell>
          <cell r="N194">
            <v>750023000</v>
          </cell>
          <cell r="O194">
            <v>15541923274.170048</v>
          </cell>
          <cell r="P194">
            <v>186503079290.04059</v>
          </cell>
          <cell r="Q194">
            <v>4662576982.2510147</v>
          </cell>
          <cell r="R194">
            <v>191165656272.2916</v>
          </cell>
          <cell r="S194">
            <v>15541923274.170048</v>
          </cell>
          <cell r="T194">
            <v>206707579546.46164</v>
          </cell>
          <cell r="V194" t="str">
            <v>K</v>
          </cell>
          <cell r="Y194">
            <v>164635328000</v>
          </cell>
          <cell r="Z194">
            <v>42072251546.461639</v>
          </cell>
          <cell r="AA194">
            <v>0.2555481381642562</v>
          </cell>
          <cell r="AC194">
            <v>7932</v>
          </cell>
          <cell r="AD194">
            <v>241</v>
          </cell>
        </row>
        <row r="195">
          <cell r="B195" t="str">
            <v>Kota Pekalongan</v>
          </cell>
          <cell r="C195" t="str">
            <v>06-2005</v>
          </cell>
          <cell r="D195">
            <v>13872467.959250739</v>
          </cell>
          <cell r="E195">
            <v>153995185.68332654</v>
          </cell>
          <cell r="F195">
            <v>334532905.98924536</v>
          </cell>
          <cell r="G195">
            <v>111153753.50055707</v>
          </cell>
          <cell r="H195">
            <v>3822</v>
          </cell>
          <cell r="I195">
            <v>613554313.13237977</v>
          </cell>
          <cell r="J195">
            <v>4841663300</v>
          </cell>
          <cell r="K195">
            <v>456479849.99999994</v>
          </cell>
          <cell r="L195">
            <v>636534000</v>
          </cell>
          <cell r="M195">
            <v>189063450</v>
          </cell>
          <cell r="N195">
            <v>338362000</v>
          </cell>
          <cell r="O195">
            <v>7075656913.1323795</v>
          </cell>
          <cell r="P195">
            <v>84907882957.588562</v>
          </cell>
          <cell r="Q195">
            <v>2122697073.9397142</v>
          </cell>
          <cell r="R195">
            <v>87030580031.528275</v>
          </cell>
          <cell r="S195">
            <v>7075656913.1323795</v>
          </cell>
          <cell r="T195">
            <v>94106236944.66066</v>
          </cell>
          <cell r="V195" t="str">
            <v>K</v>
          </cell>
          <cell r="Y195">
            <v>74705371000</v>
          </cell>
          <cell r="Z195">
            <v>19400865944.66066</v>
          </cell>
          <cell r="AA195">
            <v>0.25969840836023234</v>
          </cell>
          <cell r="AC195">
            <v>3783</v>
          </cell>
          <cell r="AD195">
            <v>169</v>
          </cell>
        </row>
        <row r="196">
          <cell r="B196" t="str">
            <v>Kab. Kudus</v>
          </cell>
          <cell r="C196" t="str">
            <v>06-2005</v>
          </cell>
          <cell r="D196">
            <v>23038205.718041405</v>
          </cell>
          <cell r="E196">
            <v>260400999.51239333</v>
          </cell>
          <cell r="F196">
            <v>761170175.59799743</v>
          </cell>
          <cell r="G196">
            <v>272367864.13321686</v>
          </cell>
          <cell r="H196">
            <v>8243</v>
          </cell>
          <cell r="I196">
            <v>1316977244.9616489</v>
          </cell>
          <cell r="J196">
            <v>10721282974</v>
          </cell>
          <cell r="K196">
            <v>1055337726.9999999</v>
          </cell>
          <cell r="L196">
            <v>1429060750</v>
          </cell>
          <cell r="M196">
            <v>143615542</v>
          </cell>
          <cell r="N196">
            <v>742049490</v>
          </cell>
          <cell r="O196">
            <v>15408323727.961649</v>
          </cell>
          <cell r="P196">
            <v>184899884735.53979</v>
          </cell>
          <cell r="Q196">
            <v>4622497118.3884954</v>
          </cell>
          <cell r="R196">
            <v>189522381853.92828</v>
          </cell>
          <cell r="S196">
            <v>15408323727.961649</v>
          </cell>
          <cell r="T196">
            <v>204930705581.88992</v>
          </cell>
          <cell r="V196" t="str">
            <v>K</v>
          </cell>
          <cell r="Y196">
            <v>162980217816</v>
          </cell>
          <cell r="Z196">
            <v>41950487765.889923</v>
          </cell>
          <cell r="AA196">
            <v>0.25739619401693781</v>
          </cell>
          <cell r="AC196">
            <v>8071</v>
          </cell>
          <cell r="AD196">
            <v>275</v>
          </cell>
        </row>
        <row r="197">
          <cell r="B197" t="str">
            <v>Kab. Jepara</v>
          </cell>
          <cell r="C197" t="str">
            <v>06-2005</v>
          </cell>
          <cell r="D197">
            <v>25019986.855077226</v>
          </cell>
          <cell r="E197">
            <v>304471438.94080997</v>
          </cell>
          <cell r="F197">
            <v>806298233.35805678</v>
          </cell>
          <cell r="G197">
            <v>289329103.55626482</v>
          </cell>
          <cell r="H197">
            <v>8910</v>
          </cell>
          <cell r="I197">
            <v>1425118762.7102089</v>
          </cell>
          <cell r="J197">
            <v>11572900570</v>
          </cell>
          <cell r="K197">
            <v>1168681122.0999999</v>
          </cell>
          <cell r="L197">
            <v>1603172650</v>
          </cell>
          <cell r="M197">
            <v>103591842.44999999</v>
          </cell>
          <cell r="N197">
            <v>824466000</v>
          </cell>
          <cell r="O197">
            <v>16697930947.26021</v>
          </cell>
          <cell r="P197">
            <v>200375171367.12253</v>
          </cell>
          <cell r="Q197">
            <v>5009379284.1780634</v>
          </cell>
          <cell r="R197">
            <v>205384550651.3006</v>
          </cell>
          <cell r="S197">
            <v>16697930947.26021</v>
          </cell>
          <cell r="T197">
            <v>222082481598.56082</v>
          </cell>
          <cell r="V197" t="str">
            <v>K</v>
          </cell>
          <cell r="Y197">
            <v>176771417446</v>
          </cell>
          <cell r="Z197">
            <v>45311064152.560822</v>
          </cell>
          <cell r="AA197">
            <v>0.25632573866984132</v>
          </cell>
          <cell r="AC197">
            <v>8754</v>
          </cell>
          <cell r="AD197">
            <v>281</v>
          </cell>
        </row>
        <row r="198">
          <cell r="B198" t="str">
            <v xml:space="preserve">Kab. Demak  </v>
          </cell>
          <cell r="C198" t="str">
            <v>06-2005</v>
          </cell>
          <cell r="D198">
            <v>28735826.48701939</v>
          </cell>
          <cell r="E198">
            <v>312849849.47853178</v>
          </cell>
          <cell r="F198">
            <v>647348896.81068051</v>
          </cell>
          <cell r="G198">
            <v>335931343.91279471</v>
          </cell>
          <cell r="H198">
            <v>8226</v>
          </cell>
          <cell r="I198">
            <v>1324865916.6890264</v>
          </cell>
          <cell r="J198">
            <v>10720780171</v>
          </cell>
          <cell r="K198">
            <v>1072487197.4499999</v>
          </cell>
          <cell r="L198">
            <v>1463111100</v>
          </cell>
          <cell r="M198">
            <v>398203455.09999996</v>
          </cell>
          <cell r="N198">
            <v>752550900</v>
          </cell>
          <cell r="O198">
            <v>15731998740.239027</v>
          </cell>
          <cell r="P198">
            <v>188783984882.86832</v>
          </cell>
          <cell r="Q198">
            <v>4719599622.0717077</v>
          </cell>
          <cell r="R198">
            <v>193503584504.94003</v>
          </cell>
          <cell r="S198">
            <v>15731998740.239027</v>
          </cell>
          <cell r="T198">
            <v>209235583245.17905</v>
          </cell>
          <cell r="V198" t="str">
            <v>K</v>
          </cell>
          <cell r="Y198">
            <v>166625407507</v>
          </cell>
          <cell r="Z198">
            <v>42610175738.179047</v>
          </cell>
          <cell r="AA198">
            <v>0.25572436026233858</v>
          </cell>
          <cell r="AC198">
            <v>8328</v>
          </cell>
          <cell r="AD198">
            <v>0</v>
          </cell>
        </row>
        <row r="199">
          <cell r="B199" t="str">
            <v>Kab. Temanggung</v>
          </cell>
          <cell r="C199" t="str">
            <v>06-2005</v>
          </cell>
          <cell r="D199">
            <v>16597417.022674993</v>
          </cell>
          <cell r="E199">
            <v>263082090.88446429</v>
          </cell>
          <cell r="F199">
            <v>744073880.67865753</v>
          </cell>
          <cell r="G199">
            <v>257053346.98425123</v>
          </cell>
          <cell r="H199">
            <v>8029</v>
          </cell>
          <cell r="I199">
            <v>1280806735.5700481</v>
          </cell>
          <cell r="J199">
            <v>10455599900</v>
          </cell>
          <cell r="K199">
            <v>1020084499.9999999</v>
          </cell>
          <cell r="L199">
            <v>1468554000</v>
          </cell>
          <cell r="M199">
            <v>130315699.99999999</v>
          </cell>
          <cell r="N199">
            <v>711448000</v>
          </cell>
          <cell r="O199">
            <v>15066808835.570047</v>
          </cell>
          <cell r="P199">
            <v>180801706026.84058</v>
          </cell>
          <cell r="Q199">
            <v>4520042650.6710148</v>
          </cell>
          <cell r="R199">
            <v>185321748677.5116</v>
          </cell>
          <cell r="S199">
            <v>15066808835.570047</v>
          </cell>
          <cell r="T199">
            <v>200388557513.08163</v>
          </cell>
          <cell r="V199" t="str">
            <v>K</v>
          </cell>
          <cell r="Y199">
            <v>159543371000</v>
          </cell>
          <cell r="Z199">
            <v>40845186513.081635</v>
          </cell>
          <cell r="AA199">
            <v>0.25601305937732527</v>
          </cell>
          <cell r="AC199">
            <v>7820</v>
          </cell>
          <cell r="AD199">
            <v>276</v>
          </cell>
        </row>
        <row r="200">
          <cell r="B200" t="str">
            <v>Kab. Magelang</v>
          </cell>
          <cell r="C200" t="str">
            <v>06-2005</v>
          </cell>
          <cell r="D200">
            <v>32203943.476832073</v>
          </cell>
          <cell r="E200">
            <v>377531178.82974398</v>
          </cell>
          <cell r="F200">
            <v>1260659224.4576304</v>
          </cell>
          <cell r="G200">
            <v>276155325.36360621</v>
          </cell>
          <cell r="H200">
            <v>12245</v>
          </cell>
          <cell r="I200">
            <v>1946549672.1278126</v>
          </cell>
          <cell r="J200">
            <v>16064394849.999998</v>
          </cell>
          <cell r="K200">
            <v>1526872250</v>
          </cell>
          <cell r="L200">
            <v>2094301000</v>
          </cell>
          <cell r="M200">
            <v>638383400</v>
          </cell>
          <cell r="N200">
            <v>1066600000</v>
          </cell>
          <cell r="O200">
            <v>23337101172.127811</v>
          </cell>
          <cell r="P200">
            <v>280045214065.53375</v>
          </cell>
          <cell r="Q200">
            <v>7001130351.6383438</v>
          </cell>
          <cell r="R200">
            <v>287046344417.17212</v>
          </cell>
          <cell r="S200">
            <v>23337101172.127811</v>
          </cell>
          <cell r="T200">
            <v>310383445589.29993</v>
          </cell>
          <cell r="V200" t="str">
            <v>K</v>
          </cell>
          <cell r="Y200">
            <v>247174044000</v>
          </cell>
          <cell r="Z200">
            <v>63209401589.299927</v>
          </cell>
          <cell r="AA200">
            <v>0.25572831421287878</v>
          </cell>
          <cell r="AC200">
            <v>12194</v>
          </cell>
          <cell r="AD200">
            <v>198</v>
          </cell>
        </row>
        <row r="201">
          <cell r="B201" t="str">
            <v>Kota Magelang</v>
          </cell>
          <cell r="C201" t="str">
            <v>06-2005</v>
          </cell>
          <cell r="D201">
            <v>11147518.895826487</v>
          </cell>
          <cell r="E201">
            <v>146957320.83164024</v>
          </cell>
          <cell r="F201">
            <v>358098069.25644356</v>
          </cell>
          <cell r="G201">
            <v>140959426.6614472</v>
          </cell>
          <cell r="H201">
            <v>4103</v>
          </cell>
          <cell r="I201">
            <v>657162335.64535749</v>
          </cell>
          <cell r="J201">
            <v>5278586250</v>
          </cell>
          <cell r="K201">
            <v>464548249.99999994</v>
          </cell>
          <cell r="L201">
            <v>661808000</v>
          </cell>
          <cell r="M201">
            <v>61997649.999999993</v>
          </cell>
          <cell r="N201">
            <v>339896000</v>
          </cell>
          <cell r="O201">
            <v>7463998485.6453571</v>
          </cell>
          <cell r="P201">
            <v>89567981827.744293</v>
          </cell>
          <cell r="Q201">
            <v>2239199545.6936073</v>
          </cell>
          <cell r="R201">
            <v>91807181373.437897</v>
          </cell>
          <cell r="S201">
            <v>7463998485.6453571</v>
          </cell>
          <cell r="T201">
            <v>99271179859.083252</v>
          </cell>
          <cell r="V201" t="str">
            <v>K</v>
          </cell>
          <cell r="Y201">
            <v>78647998000</v>
          </cell>
          <cell r="Z201">
            <v>20623181859.083252</v>
          </cell>
          <cell r="AA201">
            <v>0.26222132010382837</v>
          </cell>
          <cell r="AC201">
            <v>3966</v>
          </cell>
          <cell r="AD201">
            <v>216</v>
          </cell>
        </row>
        <row r="202">
          <cell r="B202" t="str">
            <v>Kab. Semarang</v>
          </cell>
          <cell r="C202" t="str">
            <v>06-2005</v>
          </cell>
          <cell r="D202">
            <v>41369681.235622741</v>
          </cell>
          <cell r="E202">
            <v>356417584.27468508</v>
          </cell>
          <cell r="F202">
            <v>928590649.26756907</v>
          </cell>
          <cell r="G202">
            <v>273685241.95248276</v>
          </cell>
          <cell r="H202">
            <v>9985</v>
          </cell>
          <cell r="I202">
            <v>1600063156.7303596</v>
          </cell>
          <cell r="J202">
            <v>13002111217.049999</v>
          </cell>
          <cell r="K202">
            <v>1282038498.8999999</v>
          </cell>
          <cell r="L202">
            <v>1737437050</v>
          </cell>
          <cell r="M202">
            <v>514362686.14999998</v>
          </cell>
          <cell r="N202">
            <v>899360010</v>
          </cell>
          <cell r="O202">
            <v>19035372618.83036</v>
          </cell>
          <cell r="P202">
            <v>228424471425.96432</v>
          </cell>
          <cell r="Q202">
            <v>5710611785.6491089</v>
          </cell>
          <cell r="R202">
            <v>234135083211.61343</v>
          </cell>
          <cell r="S202">
            <v>19035372618.83036</v>
          </cell>
          <cell r="T202">
            <v>253170455830.44379</v>
          </cell>
          <cell r="V202" t="str">
            <v>K</v>
          </cell>
          <cell r="Y202">
            <v>201565893282</v>
          </cell>
          <cell r="Z202">
            <v>51604562548.443787</v>
          </cell>
          <cell r="AA202">
            <v>0.25601832585955708</v>
          </cell>
          <cell r="AC202">
            <v>10039</v>
          </cell>
          <cell r="AD202">
            <v>277</v>
          </cell>
        </row>
        <row r="203">
          <cell r="B203" t="str">
            <v xml:space="preserve">Kab. Kendal </v>
          </cell>
          <cell r="C203" t="str">
            <v>06-2005</v>
          </cell>
          <cell r="D203">
            <v>31956220.834702596</v>
          </cell>
          <cell r="E203">
            <v>360439221.33279151</v>
          </cell>
          <cell r="F203">
            <v>898710638.3274616</v>
          </cell>
          <cell r="G203">
            <v>222142834.7737059</v>
          </cell>
          <cell r="H203">
            <v>9464</v>
          </cell>
          <cell r="I203">
            <v>1513248915.2686617</v>
          </cell>
          <cell r="J203">
            <v>12114684571.449999</v>
          </cell>
          <cell r="K203">
            <v>1189056431.0999999</v>
          </cell>
          <cell r="L203">
            <v>1607940450</v>
          </cell>
          <cell r="M203">
            <v>485640535.69999999</v>
          </cell>
          <cell r="N203">
            <v>848838900</v>
          </cell>
          <cell r="O203">
            <v>17759409803.518661</v>
          </cell>
          <cell r="P203">
            <v>213112917642.22394</v>
          </cell>
          <cell r="Q203">
            <v>5327822941.0555992</v>
          </cell>
          <cell r="R203">
            <v>218440740583.27954</v>
          </cell>
          <cell r="S203">
            <v>17759409803.518661</v>
          </cell>
          <cell r="T203">
            <v>236200150386.79822</v>
          </cell>
          <cell r="V203" t="str">
            <v>K</v>
          </cell>
          <cell r="Y203">
            <v>187824144846</v>
          </cell>
          <cell r="Z203">
            <v>48376005540.798218</v>
          </cell>
          <cell r="AA203">
            <v>0.25756010006308017</v>
          </cell>
          <cell r="AC203">
            <v>9263</v>
          </cell>
          <cell r="AD203">
            <v>275</v>
          </cell>
        </row>
        <row r="204">
          <cell r="B204" t="str">
            <v>Kota Semarang</v>
          </cell>
          <cell r="C204" t="str">
            <v>06-2005</v>
          </cell>
          <cell r="D204">
            <v>37653841.603680581</v>
          </cell>
          <cell r="E204">
            <v>566380552.34999323</v>
          </cell>
          <cell r="F204">
            <v>1207984153.6250696</v>
          </cell>
          <cell r="G204">
            <v>628389219.7898159</v>
          </cell>
          <cell r="H204">
            <v>15191</v>
          </cell>
          <cell r="I204">
            <v>2440407767.3685594</v>
          </cell>
          <cell r="J204">
            <v>19866928500</v>
          </cell>
          <cell r="K204">
            <v>1839413499.9999998</v>
          </cell>
          <cell r="L204">
            <v>2601983000</v>
          </cell>
          <cell r="M204">
            <v>797073049.99999988</v>
          </cell>
          <cell r="N204">
            <v>1316287000</v>
          </cell>
          <cell r="O204">
            <v>28862092817.368561</v>
          </cell>
          <cell r="P204">
            <v>346345113808.42273</v>
          </cell>
          <cell r="Q204">
            <v>8658627845.2105694</v>
          </cell>
          <cell r="R204">
            <v>355003741653.6333</v>
          </cell>
          <cell r="S204">
            <v>28862092817.368561</v>
          </cell>
          <cell r="T204">
            <v>383865834471.00183</v>
          </cell>
          <cell r="V204" t="str">
            <v>K</v>
          </cell>
          <cell r="Y204">
            <v>307777613000</v>
          </cell>
          <cell r="Z204">
            <v>76088221471.001831</v>
          </cell>
          <cell r="AA204">
            <v>0.24721818045616537</v>
          </cell>
          <cell r="AC204">
            <v>15283</v>
          </cell>
          <cell r="AD204">
            <v>275</v>
          </cell>
        </row>
        <row r="205">
          <cell r="B205" t="str">
            <v>Kota Salatiga</v>
          </cell>
          <cell r="C205" t="str">
            <v>06-2005</v>
          </cell>
          <cell r="D205">
            <v>15854249.096286559</v>
          </cell>
          <cell r="E205">
            <v>160530345.90274954</v>
          </cell>
          <cell r="F205">
            <v>342079919.06174672</v>
          </cell>
          <cell r="G205">
            <v>96168580.806407899</v>
          </cell>
          <cell r="H205">
            <v>3827</v>
          </cell>
          <cell r="I205">
            <v>614633094.86719072</v>
          </cell>
          <cell r="J205">
            <v>4757954800</v>
          </cell>
          <cell r="K205">
            <v>440574199.99999994</v>
          </cell>
          <cell r="L205">
            <v>619132000</v>
          </cell>
          <cell r="M205">
            <v>186431100</v>
          </cell>
          <cell r="N205">
            <v>323289000</v>
          </cell>
          <cell r="O205">
            <v>6942014194.8671904</v>
          </cell>
          <cell r="P205">
            <v>83304170338.406281</v>
          </cell>
          <cell r="Q205">
            <v>2082604258.4601572</v>
          </cell>
          <cell r="R205">
            <v>85386774596.86644</v>
          </cell>
          <cell r="S205">
            <v>6942014194.8671904</v>
          </cell>
          <cell r="T205">
            <v>92328788791.733627</v>
          </cell>
          <cell r="V205" t="str">
            <v>K</v>
          </cell>
          <cell r="Y205">
            <v>73124935000</v>
          </cell>
          <cell r="Z205">
            <v>19203853791.733627</v>
          </cell>
          <cell r="AA205">
            <v>0.2626170374268863</v>
          </cell>
          <cell r="AC205">
            <v>3703</v>
          </cell>
          <cell r="AD205">
            <v>218</v>
          </cell>
        </row>
        <row r="206">
          <cell r="B206" t="str">
            <v>Kab. Banyumas</v>
          </cell>
          <cell r="C206" t="str">
            <v>06-2005</v>
          </cell>
          <cell r="D206">
            <v>57471652.97403878</v>
          </cell>
          <cell r="E206">
            <v>462655829.89299738</v>
          </cell>
          <cell r="F206">
            <v>1361696787.2241795</v>
          </cell>
          <cell r="G206">
            <v>502250293.5951097</v>
          </cell>
          <cell r="H206">
            <v>14884</v>
          </cell>
          <cell r="I206">
            <v>2384074563.6863251</v>
          </cell>
          <cell r="J206">
            <v>19511231286.25</v>
          </cell>
          <cell r="K206">
            <v>1939042775.9499998</v>
          </cell>
          <cell r="L206">
            <v>2632219000</v>
          </cell>
          <cell r="M206">
            <v>775165922.5999999</v>
          </cell>
          <cell r="N206">
            <v>1338613830</v>
          </cell>
          <cell r="O206">
            <v>28580347378.486324</v>
          </cell>
          <cell r="P206">
            <v>342964168541.83588</v>
          </cell>
          <cell r="Q206">
            <v>8574104213.5458975</v>
          </cell>
          <cell r="R206">
            <v>351538272755.38177</v>
          </cell>
          <cell r="S206">
            <v>28580347378.486324</v>
          </cell>
          <cell r="T206">
            <v>380118620133.8681</v>
          </cell>
          <cell r="V206" t="str">
            <v>K</v>
          </cell>
          <cell r="Y206">
            <v>305299274956</v>
          </cell>
          <cell r="Z206">
            <v>74819345177.868103</v>
          </cell>
          <cell r="AA206">
            <v>0.24506885969071213</v>
          </cell>
          <cell r="AC206">
            <v>15058</v>
          </cell>
          <cell r="AD206">
            <v>274</v>
          </cell>
        </row>
        <row r="207">
          <cell r="B207" t="str">
            <v xml:space="preserve">Kab. Purbalingga       </v>
          </cell>
          <cell r="C207" t="str">
            <v>06-2005</v>
          </cell>
          <cell r="D207">
            <v>31213052.908314165</v>
          </cell>
          <cell r="E207">
            <v>333125602.97981846</v>
          </cell>
          <cell r="F207">
            <v>801061530.40979052</v>
          </cell>
          <cell r="G207">
            <v>250631130.11533016</v>
          </cell>
          <cell r="H207">
            <v>8837</v>
          </cell>
          <cell r="I207">
            <v>1416031316.4132533</v>
          </cell>
          <cell r="J207">
            <v>11362227458.5</v>
          </cell>
          <cell r="K207">
            <v>1106476180</v>
          </cell>
          <cell r="L207">
            <v>1454866300</v>
          </cell>
          <cell r="M207">
            <v>110403302.8</v>
          </cell>
          <cell r="N207">
            <v>775960920</v>
          </cell>
          <cell r="O207">
            <v>16225965477.713253</v>
          </cell>
          <cell r="P207">
            <v>194711585732.55902</v>
          </cell>
          <cell r="Q207">
            <v>4867789643.3139753</v>
          </cell>
          <cell r="R207">
            <v>199579375375.87299</v>
          </cell>
          <cell r="S207">
            <v>16225965477.713253</v>
          </cell>
          <cell r="T207">
            <v>215805340853.58624</v>
          </cell>
          <cell r="V207" t="str">
            <v>K</v>
          </cell>
          <cell r="Y207">
            <v>172614543153</v>
          </cell>
          <cell r="Z207">
            <v>43190797700.586243</v>
          </cell>
          <cell r="AA207">
            <v>0.25021528842041602</v>
          </cell>
          <cell r="AC207">
            <v>8787</v>
          </cell>
          <cell r="AD207">
            <v>250</v>
          </cell>
        </row>
        <row r="208">
          <cell r="B208" t="str">
            <v>Kab. Sragen</v>
          </cell>
          <cell r="C208" t="str">
            <v>06-2005</v>
          </cell>
          <cell r="D208">
            <v>46819579.362471245</v>
          </cell>
          <cell r="E208">
            <v>349882424.05526209</v>
          </cell>
          <cell r="F208">
            <v>952155812.53476739</v>
          </cell>
          <cell r="G208">
            <v>555274750.82056069</v>
          </cell>
          <cell r="H208">
            <v>11831</v>
          </cell>
          <cell r="I208">
            <v>1904132566.7730615</v>
          </cell>
          <cell r="J208">
            <v>15782042249.999998</v>
          </cell>
          <cell r="K208">
            <v>1567102699.9999998</v>
          </cell>
          <cell r="L208">
            <v>2180679000</v>
          </cell>
          <cell r="M208">
            <v>635115100</v>
          </cell>
          <cell r="N208">
            <v>1066901000</v>
          </cell>
          <cell r="O208">
            <v>23135972616.77306</v>
          </cell>
          <cell r="P208">
            <v>277631671401.27673</v>
          </cell>
          <cell r="Q208">
            <v>6940791785.0319185</v>
          </cell>
          <cell r="R208">
            <v>284572463186.30865</v>
          </cell>
          <cell r="S208">
            <v>23135972616.77306</v>
          </cell>
          <cell r="T208">
            <v>307708435803.08173</v>
          </cell>
          <cell r="V208" t="str">
            <v>K</v>
          </cell>
          <cell r="Y208">
            <v>245526463000</v>
          </cell>
          <cell r="Z208">
            <v>62181972803.081726</v>
          </cell>
          <cell r="AA208">
            <v>0.25325975881907981</v>
          </cell>
          <cell r="AC208">
            <v>11756</v>
          </cell>
          <cell r="AD208">
            <v>277</v>
          </cell>
        </row>
        <row r="209">
          <cell r="B209" t="str">
            <v>Kab. Karanganyar</v>
          </cell>
          <cell r="C209" t="str">
            <v>06-2005</v>
          </cell>
          <cell r="D209">
            <v>24772264.212947749</v>
          </cell>
          <cell r="E209">
            <v>304136302.51930106</v>
          </cell>
          <cell r="F209">
            <v>845111443.44520676</v>
          </cell>
          <cell r="G209">
            <v>496980782.31804627</v>
          </cell>
          <cell r="H209">
            <v>10420</v>
          </cell>
          <cell r="I209">
            <v>1671000792.4955018</v>
          </cell>
          <cell r="J209">
            <v>13805209499.999998</v>
          </cell>
          <cell r="K209">
            <v>1348295650</v>
          </cell>
          <cell r="L209">
            <v>1900845000</v>
          </cell>
          <cell r="M209">
            <v>169193750</v>
          </cell>
          <cell r="N209">
            <v>923703000</v>
          </cell>
          <cell r="O209">
            <v>19818247692.495499</v>
          </cell>
          <cell r="P209">
            <v>237818972309.94598</v>
          </cell>
          <cell r="Q209">
            <v>5945474307.7486496</v>
          </cell>
          <cell r="R209">
            <v>243764446617.69464</v>
          </cell>
          <cell r="S209">
            <v>19818247692.495499</v>
          </cell>
          <cell r="T209">
            <v>263582694310.19012</v>
          </cell>
          <cell r="V209" t="str">
            <v>K</v>
          </cell>
          <cell r="Y209">
            <v>209938846000</v>
          </cell>
          <cell r="Z209">
            <v>53643848310.190125</v>
          </cell>
          <cell r="AA209">
            <v>0.25552130695331216</v>
          </cell>
          <cell r="AC209">
            <v>10308</v>
          </cell>
          <cell r="AD209">
            <v>308</v>
          </cell>
        </row>
        <row r="210">
          <cell r="B210" t="str">
            <v>Kab. Pati</v>
          </cell>
          <cell r="C210" t="str">
            <v>06-2005</v>
          </cell>
          <cell r="D210">
            <v>55489871.837002955</v>
          </cell>
          <cell r="E210">
            <v>423947573.20872271</v>
          </cell>
          <cell r="F210">
            <v>915960953.92175043</v>
          </cell>
          <cell r="G210">
            <v>591502640.85037184</v>
          </cell>
          <cell r="H210">
            <v>12293</v>
          </cell>
          <cell r="I210">
            <v>1986901039.817848</v>
          </cell>
          <cell r="J210">
            <v>16288343549.999998</v>
          </cell>
          <cell r="K210">
            <v>1579406549.9999998</v>
          </cell>
          <cell r="L210">
            <v>2257623000</v>
          </cell>
          <cell r="M210">
            <v>658225500</v>
          </cell>
          <cell r="N210">
            <v>1079478000</v>
          </cell>
          <cell r="O210">
            <v>23849977639.817844</v>
          </cell>
          <cell r="P210">
            <v>286199731677.81415</v>
          </cell>
          <cell r="Q210">
            <v>7154993291.9453545</v>
          </cell>
          <cell r="R210">
            <v>293354724969.75952</v>
          </cell>
          <cell r="S210">
            <v>23849977639.817844</v>
          </cell>
          <cell r="T210">
            <v>317204702609.57739</v>
          </cell>
          <cell r="V210" t="str">
            <v>K</v>
          </cell>
          <cell r="Y210">
            <v>252806385000</v>
          </cell>
          <cell r="Z210">
            <v>64398317609.577393</v>
          </cell>
          <cell r="AA210">
            <v>0.25473374657676229</v>
          </cell>
          <cell r="AC210">
            <v>12143</v>
          </cell>
          <cell r="AD210">
            <v>325</v>
          </cell>
        </row>
        <row r="211">
          <cell r="B211" t="str">
            <v>Kab. Rembang</v>
          </cell>
          <cell r="C211" t="str">
            <v>06-2005</v>
          </cell>
          <cell r="D211">
            <v>26010877.423595138</v>
          </cell>
          <cell r="E211">
            <v>292909232.39875388</v>
          </cell>
          <cell r="F211">
            <v>620549299.36955321</v>
          </cell>
          <cell r="G211">
            <v>263310891.62576407</v>
          </cell>
          <cell r="H211">
            <v>7481</v>
          </cell>
          <cell r="I211">
            <v>1202780300.8176663</v>
          </cell>
          <cell r="J211">
            <v>9999133850</v>
          </cell>
          <cell r="K211">
            <v>952992349.99999988</v>
          </cell>
          <cell r="L211">
            <v>1423799000</v>
          </cell>
          <cell r="M211">
            <v>399835449.99999994</v>
          </cell>
          <cell r="N211">
            <v>682140000</v>
          </cell>
          <cell r="O211">
            <v>14660680950.817667</v>
          </cell>
          <cell r="P211">
            <v>175928171409.81201</v>
          </cell>
          <cell r="Q211">
            <v>4398204285.2453003</v>
          </cell>
          <cell r="R211">
            <v>180326375695.05731</v>
          </cell>
          <cell r="S211">
            <v>14660680950.817667</v>
          </cell>
          <cell r="T211">
            <v>194987056645.87497</v>
          </cell>
          <cell r="V211" t="str">
            <v>K</v>
          </cell>
          <cell r="Y211">
            <v>155703730000</v>
          </cell>
          <cell r="Z211">
            <v>39283326645.874969</v>
          </cell>
          <cell r="AA211">
            <v>0.25229534736178105</v>
          </cell>
          <cell r="AC211">
            <v>7307</v>
          </cell>
          <cell r="AD211">
            <v>275</v>
          </cell>
        </row>
        <row r="212">
          <cell r="B212" t="str">
            <v>Kab. Wonogiri</v>
          </cell>
          <cell r="C212" t="str">
            <v>06-2005</v>
          </cell>
          <cell r="D212">
            <v>52517200.13144923</v>
          </cell>
          <cell r="E212">
            <v>428136778.47758365</v>
          </cell>
          <cell r="F212">
            <v>980803658.07528281</v>
          </cell>
          <cell r="G212">
            <v>592655346.44222951</v>
          </cell>
          <cell r="H212">
            <v>12734</v>
          </cell>
          <cell r="I212">
            <v>2054112983.1265452</v>
          </cell>
          <cell r="J212">
            <v>16876286799.999998</v>
          </cell>
          <cell r="K212">
            <v>1687518049.9999998</v>
          </cell>
          <cell r="L212">
            <v>2415993000</v>
          </cell>
          <cell r="M212">
            <v>684989450</v>
          </cell>
          <cell r="N212">
            <v>1130421000</v>
          </cell>
          <cell r="O212">
            <v>24849321283.126545</v>
          </cell>
          <cell r="P212">
            <v>298191855397.51855</v>
          </cell>
          <cell r="Q212">
            <v>7454796384.9379644</v>
          </cell>
          <cell r="R212">
            <v>305646651782.45654</v>
          </cell>
          <cell r="S212">
            <v>24849321283.126545</v>
          </cell>
          <cell r="T212">
            <v>330495973065.58307</v>
          </cell>
          <cell r="V212" t="str">
            <v>K</v>
          </cell>
          <cell r="Y212">
            <v>263706508000</v>
          </cell>
          <cell r="Z212">
            <v>66789465065.583069</v>
          </cell>
          <cell r="AA212">
            <v>0.25327196348746567</v>
          </cell>
          <cell r="AC212">
            <v>12903</v>
          </cell>
          <cell r="AD212">
            <v>287</v>
          </cell>
        </row>
        <row r="213">
          <cell r="B213" t="str">
            <v>Kab. Purworejo</v>
          </cell>
          <cell r="C213" t="str">
            <v>06-2005</v>
          </cell>
          <cell r="D213">
            <v>27001767.992113046</v>
          </cell>
          <cell r="E213">
            <v>393785295.27292424</v>
          </cell>
          <cell r="F213">
            <v>962783239.10624886</v>
          </cell>
          <cell r="G213">
            <v>400482857.05682188</v>
          </cell>
          <cell r="H213">
            <v>11142</v>
          </cell>
          <cell r="I213">
            <v>1784053159.428108</v>
          </cell>
          <cell r="J213">
            <v>14560733049.999998</v>
          </cell>
          <cell r="K213">
            <v>1393749400</v>
          </cell>
          <cell r="L213">
            <v>1980491000</v>
          </cell>
          <cell r="M213">
            <v>153971200</v>
          </cell>
          <cell r="N213">
            <v>982950000</v>
          </cell>
          <cell r="O213">
            <v>20855947809.428108</v>
          </cell>
          <cell r="P213">
            <v>250271373713.1373</v>
          </cell>
          <cell r="Q213">
            <v>6256784342.828433</v>
          </cell>
          <cell r="R213">
            <v>256528158055.96573</v>
          </cell>
          <cell r="S213">
            <v>20855947809.428108</v>
          </cell>
          <cell r="T213">
            <v>277384105865.39386</v>
          </cell>
          <cell r="V213" t="str">
            <v>K</v>
          </cell>
          <cell r="Y213">
            <v>220627459000</v>
          </cell>
          <cell r="Z213">
            <v>56756646865.39386</v>
          </cell>
          <cell r="AA213">
            <v>0.25725105624950273</v>
          </cell>
          <cell r="AC213">
            <v>11722</v>
          </cell>
          <cell r="AD213">
            <v>183</v>
          </cell>
        </row>
        <row r="214">
          <cell r="B214" t="str">
            <v>Kab. Grobogan</v>
          </cell>
          <cell r="C214" t="str">
            <v>06-2005</v>
          </cell>
          <cell r="D214">
            <v>37901564.245810054</v>
          </cell>
          <cell r="E214">
            <v>380379838.4125694</v>
          </cell>
          <cell r="F214">
            <v>921351677.54496574</v>
          </cell>
          <cell r="G214">
            <v>482983642.98834646</v>
          </cell>
          <cell r="H214">
            <v>11338</v>
          </cell>
          <cell r="I214">
            <v>1822616723.1916919</v>
          </cell>
          <cell r="J214">
            <v>14979824099.999998</v>
          </cell>
          <cell r="K214">
            <v>1486241600</v>
          </cell>
          <cell r="L214">
            <v>2114057000</v>
          </cell>
          <cell r="M214">
            <v>602540200</v>
          </cell>
          <cell r="N214">
            <v>1021555000</v>
          </cell>
          <cell r="O214">
            <v>22026834623.191689</v>
          </cell>
          <cell r="P214">
            <v>264322015478.30026</v>
          </cell>
          <cell r="Q214">
            <v>6608050386.9575071</v>
          </cell>
          <cell r="R214">
            <v>270930065865.25778</v>
          </cell>
          <cell r="S214">
            <v>22026834623.191689</v>
          </cell>
          <cell r="T214">
            <v>292956900488.44946</v>
          </cell>
          <cell r="V214" t="str">
            <v>K</v>
          </cell>
          <cell r="Y214">
            <v>233712414000</v>
          </cell>
          <cell r="Z214">
            <v>59244486488.449463</v>
          </cell>
          <cell r="AA214">
            <v>0.25349310922118778</v>
          </cell>
          <cell r="AC214">
            <v>11247</v>
          </cell>
          <cell r="AD214">
            <v>362</v>
          </cell>
        </row>
        <row r="215">
          <cell r="B215" t="str">
            <v>Kab. Blora</v>
          </cell>
          <cell r="C215" t="str">
            <v>06-2005</v>
          </cell>
          <cell r="D215">
            <v>46076411.43608281</v>
          </cell>
          <cell r="E215">
            <v>345022945.94338346</v>
          </cell>
          <cell r="F215">
            <v>841106905.89653254</v>
          </cell>
          <cell r="G215">
            <v>351081188.83435208</v>
          </cell>
          <cell r="H215">
            <v>9838</v>
          </cell>
          <cell r="I215">
            <v>1583287452.1103508</v>
          </cell>
          <cell r="J215">
            <v>12822654099.999998</v>
          </cell>
          <cell r="K215">
            <v>1236858350</v>
          </cell>
          <cell r="L215">
            <v>1766580000</v>
          </cell>
          <cell r="M215">
            <v>135325100</v>
          </cell>
          <cell r="N215">
            <v>863011000</v>
          </cell>
          <cell r="O215">
            <v>18407716002.110352</v>
          </cell>
          <cell r="P215">
            <v>220892592025.32422</v>
          </cell>
          <cell r="Q215">
            <v>5522314800.6331062</v>
          </cell>
          <cell r="R215">
            <v>226414906825.95734</v>
          </cell>
          <cell r="S215">
            <v>18407716002.110352</v>
          </cell>
          <cell r="T215">
            <v>244822622828.06769</v>
          </cell>
          <cell r="V215" t="str">
            <v>K</v>
          </cell>
          <cell r="Y215">
            <v>194648064000</v>
          </cell>
          <cell r="Z215">
            <v>50174558828.067688</v>
          </cell>
          <cell r="AA215">
            <v>0.25777065436452368</v>
          </cell>
          <cell r="AC215">
            <v>9762</v>
          </cell>
          <cell r="AD215">
            <v>272</v>
          </cell>
        </row>
        <row r="216">
          <cell r="B216" t="str">
            <v>Kab. Banjarnegara</v>
          </cell>
          <cell r="C216" t="str">
            <v>06-2005</v>
          </cell>
          <cell r="D216">
            <v>41617403.877752222</v>
          </cell>
          <cell r="E216">
            <v>322568805.70228904</v>
          </cell>
          <cell r="F216">
            <v>645500648.71129251</v>
          </cell>
          <cell r="G216">
            <v>528762522.2078352</v>
          </cell>
          <cell r="H216">
            <v>9495</v>
          </cell>
          <cell r="I216">
            <v>1538449380.4991689</v>
          </cell>
          <cell r="J216">
            <v>12469349949.999998</v>
          </cell>
          <cell r="K216">
            <v>1248159400</v>
          </cell>
          <cell r="L216">
            <v>1839960000</v>
          </cell>
          <cell r="M216">
            <v>504021999.99999994</v>
          </cell>
          <cell r="N216">
            <v>863754000</v>
          </cell>
          <cell r="O216">
            <v>18463694730.499165</v>
          </cell>
          <cell r="P216">
            <v>221564336765.98999</v>
          </cell>
          <cell r="Q216">
            <v>5539108419.1497498</v>
          </cell>
          <cell r="R216">
            <v>227103445185.13974</v>
          </cell>
          <cell r="S216">
            <v>18463694730.499165</v>
          </cell>
          <cell r="T216">
            <v>245567139915.63892</v>
          </cell>
          <cell r="V216" t="str">
            <v>K</v>
          </cell>
          <cell r="Y216">
            <v>195913419000</v>
          </cell>
          <cell r="Z216">
            <v>49653720915.638916</v>
          </cell>
          <cell r="AA216">
            <v>0.25344726853875649</v>
          </cell>
          <cell r="AC216">
            <v>9448</v>
          </cell>
          <cell r="AD216">
            <v>275</v>
          </cell>
        </row>
        <row r="217">
          <cell r="B217" t="str">
            <v xml:space="preserve">Kab. Wonosobo       </v>
          </cell>
          <cell r="C217" t="str">
            <v>06-2005</v>
          </cell>
          <cell r="D217">
            <v>22295037.791652974</v>
          </cell>
          <cell r="E217">
            <v>308493075.99891639</v>
          </cell>
          <cell r="F217">
            <v>724975316.98498058</v>
          </cell>
          <cell r="G217">
            <v>219343406.90776595</v>
          </cell>
          <cell r="H217">
            <v>7970</v>
          </cell>
          <cell r="I217">
            <v>1275106837.6833158</v>
          </cell>
          <cell r="J217">
            <v>10213700850</v>
          </cell>
          <cell r="K217">
            <v>993918549.99999988</v>
          </cell>
          <cell r="L217">
            <v>1417066000</v>
          </cell>
          <cell r="M217">
            <v>404914999.99999994</v>
          </cell>
          <cell r="N217">
            <v>705310000</v>
          </cell>
          <cell r="O217">
            <v>15010017237.683315</v>
          </cell>
          <cell r="P217">
            <v>180120206852.19977</v>
          </cell>
          <cell r="Q217">
            <v>4503005171.3049946</v>
          </cell>
          <cell r="R217">
            <v>184623212023.50476</v>
          </cell>
          <cell r="S217">
            <v>15010017237.683315</v>
          </cell>
          <cell r="T217">
            <v>199633229261.18808</v>
          </cell>
          <cell r="V217" t="str">
            <v>K</v>
          </cell>
          <cell r="Y217">
            <v>158863016000</v>
          </cell>
          <cell r="Z217">
            <v>40770213261.18808</v>
          </cell>
          <cell r="AA217">
            <v>0.25663753772110232</v>
          </cell>
          <cell r="AC217">
            <v>7868</v>
          </cell>
          <cell r="AD217">
            <v>270</v>
          </cell>
        </row>
        <row r="218">
          <cell r="B218" t="str">
            <v xml:space="preserve">Kab. Cilacap    </v>
          </cell>
          <cell r="C218" t="str">
            <v>06-2005</v>
          </cell>
          <cell r="D218">
            <v>46819579.362471245</v>
          </cell>
          <cell r="E218">
            <v>486450515.82012731</v>
          </cell>
          <cell r="F218">
            <v>1149302276.4694974</v>
          </cell>
          <cell r="G218">
            <v>703809099.94278657</v>
          </cell>
          <cell r="H218">
            <v>14828</v>
          </cell>
          <cell r="I218">
            <v>2386381471.5948825</v>
          </cell>
          <cell r="J218">
            <v>19486467100</v>
          </cell>
          <cell r="K218">
            <v>2032025849.9999998</v>
          </cell>
          <cell r="L218">
            <v>2804568000</v>
          </cell>
          <cell r="M218">
            <v>259137549.99999997</v>
          </cell>
          <cell r="N218">
            <v>1376226000</v>
          </cell>
          <cell r="O218">
            <v>28344805971.594883</v>
          </cell>
          <cell r="P218">
            <v>340137671659.13861</v>
          </cell>
          <cell r="Q218">
            <v>8503441791.478466</v>
          </cell>
          <cell r="R218">
            <v>348641113450.61707</v>
          </cell>
          <cell r="S218">
            <v>28344805971.594883</v>
          </cell>
          <cell r="T218">
            <v>376985919422.21198</v>
          </cell>
          <cell r="V218" t="str">
            <v>K</v>
          </cell>
          <cell r="Y218">
            <v>300541449000</v>
          </cell>
          <cell r="Z218">
            <v>76444470422.211975</v>
          </cell>
          <cell r="AA218">
            <v>0.25435583237043613</v>
          </cell>
          <cell r="AC218">
            <v>14967</v>
          </cell>
          <cell r="AD218">
            <v>317</v>
          </cell>
        </row>
        <row r="219">
          <cell r="B219" t="str">
            <v>Kota Surakarta</v>
          </cell>
          <cell r="C219" t="str">
            <v>06-2005</v>
          </cell>
          <cell r="D219">
            <v>21056424.581005588</v>
          </cell>
          <cell r="E219">
            <v>273638888.16199374</v>
          </cell>
          <cell r="F219">
            <v>789047917.76376784</v>
          </cell>
          <cell r="G219">
            <v>369359806.07666594</v>
          </cell>
          <cell r="H219">
            <v>9084</v>
          </cell>
          <cell r="I219">
            <v>1453103036.5834332</v>
          </cell>
          <cell r="J219">
            <v>11842743700</v>
          </cell>
          <cell r="K219">
            <v>1132041600</v>
          </cell>
          <cell r="L219">
            <v>1509083000</v>
          </cell>
          <cell r="M219">
            <v>466452649.99999994</v>
          </cell>
          <cell r="N219">
            <v>798679000</v>
          </cell>
          <cell r="O219">
            <v>17202102986.583435</v>
          </cell>
          <cell r="P219">
            <v>206425235839.00122</v>
          </cell>
          <cell r="Q219">
            <v>5160630895.9750309</v>
          </cell>
          <cell r="R219">
            <v>211585866734.97626</v>
          </cell>
          <cell r="S219">
            <v>17202102986.583435</v>
          </cell>
          <cell r="T219">
            <v>228787969721.55969</v>
          </cell>
          <cell r="V219" t="str">
            <v>K</v>
          </cell>
          <cell r="Y219">
            <v>183417832000</v>
          </cell>
          <cell r="Z219">
            <v>45370137721.559692</v>
          </cell>
          <cell r="AA219">
            <v>0.24735947005174336</v>
          </cell>
          <cell r="AC219">
            <v>9008</v>
          </cell>
          <cell r="AD219">
            <v>326</v>
          </cell>
        </row>
        <row r="220">
          <cell r="B220" t="str">
            <v>Kab. Sukoharjo</v>
          </cell>
          <cell r="C220" t="str">
            <v>06-2005</v>
          </cell>
          <cell r="D220">
            <v>25763154.781465661</v>
          </cell>
          <cell r="E220">
            <v>241298223.48638764</v>
          </cell>
          <cell r="F220">
            <v>853890621.91730022</v>
          </cell>
          <cell r="G220">
            <v>463387647.92676681</v>
          </cell>
          <cell r="H220">
            <v>9902</v>
          </cell>
          <cell r="I220">
            <v>1584339648.1119204</v>
          </cell>
          <cell r="J220">
            <v>13084993249.999998</v>
          </cell>
          <cell r="K220">
            <v>1303651500</v>
          </cell>
          <cell r="L220">
            <v>1862210000</v>
          </cell>
          <cell r="M220">
            <v>526609149.99999994</v>
          </cell>
          <cell r="N220">
            <v>884556000</v>
          </cell>
          <cell r="O220">
            <v>19246359548.111919</v>
          </cell>
          <cell r="P220">
            <v>230956314577.34302</v>
          </cell>
          <cell r="Q220">
            <v>5773907864.4335756</v>
          </cell>
          <cell r="R220">
            <v>236730222441.77658</v>
          </cell>
          <cell r="S220">
            <v>19246359548.111919</v>
          </cell>
          <cell r="T220">
            <v>255976581989.88849</v>
          </cell>
          <cell r="V220" t="str">
            <v>K</v>
          </cell>
          <cell r="Y220">
            <v>204321468000</v>
          </cell>
          <cell r="Z220">
            <v>51655113989.888489</v>
          </cell>
          <cell r="AA220">
            <v>0.25281295448547036</v>
          </cell>
          <cell r="AC220">
            <v>9837</v>
          </cell>
          <cell r="AD220">
            <v>277</v>
          </cell>
        </row>
        <row r="221">
          <cell r="B221" t="str">
            <v>Kab. Kebumen</v>
          </cell>
          <cell r="C221" t="str">
            <v>06-2005</v>
          </cell>
          <cell r="D221">
            <v>56233039.76339139</v>
          </cell>
          <cell r="E221">
            <v>443385485.6562373</v>
          </cell>
          <cell r="F221">
            <v>1071213794.2703505</v>
          </cell>
          <cell r="G221">
            <v>543253678.2197597</v>
          </cell>
          <cell r="H221">
            <v>13127</v>
          </cell>
          <cell r="I221">
            <v>2114085997.9097388</v>
          </cell>
          <cell r="J221">
            <v>17258355900</v>
          </cell>
          <cell r="K221">
            <v>1679673899.9999998</v>
          </cell>
          <cell r="L221">
            <v>2384597000</v>
          </cell>
          <cell r="M221">
            <v>175884450</v>
          </cell>
          <cell r="N221">
            <v>1173570000</v>
          </cell>
          <cell r="O221">
            <v>24786167247.90974</v>
          </cell>
          <cell r="P221">
            <v>297434006974.91687</v>
          </cell>
          <cell r="Q221">
            <v>7435850174.3729219</v>
          </cell>
          <cell r="R221">
            <v>304869857149.28979</v>
          </cell>
          <cell r="S221">
            <v>24786167247.90974</v>
          </cell>
          <cell r="T221">
            <v>329656024397.19952</v>
          </cell>
          <cell r="V221" t="str">
            <v>K</v>
          </cell>
          <cell r="Y221">
            <v>262334761000</v>
          </cell>
          <cell r="Z221">
            <v>67321263397.199524</v>
          </cell>
          <cell r="AA221">
            <v>0.25662349564570103</v>
          </cell>
          <cell r="AC221">
            <v>13341</v>
          </cell>
          <cell r="AD221">
            <v>237</v>
          </cell>
        </row>
        <row r="222">
          <cell r="B222" t="str">
            <v>Provinsi DI Yogyakarta</v>
          </cell>
          <cell r="C222" t="str">
            <v>06-2005</v>
          </cell>
          <cell r="D222">
            <v>59500000</v>
          </cell>
          <cell r="E222">
            <v>459995191.6916917</v>
          </cell>
          <cell r="F222">
            <v>764220236.35582292</v>
          </cell>
          <cell r="G222">
            <v>136752000</v>
          </cell>
          <cell r="H222">
            <v>8817</v>
          </cell>
          <cell r="I222">
            <v>1420467428.0475147</v>
          </cell>
          <cell r="J222">
            <v>11068201450</v>
          </cell>
          <cell r="K222">
            <v>1089238600</v>
          </cell>
          <cell r="L222">
            <v>598113000</v>
          </cell>
          <cell r="M222">
            <v>59618299.999999993</v>
          </cell>
          <cell r="N222">
            <v>777676000</v>
          </cell>
          <cell r="O222">
            <v>15013314778.047514</v>
          </cell>
          <cell r="P222">
            <v>180159777336.57016</v>
          </cell>
          <cell r="Q222">
            <v>4503994433.4142542</v>
          </cell>
          <cell r="R222">
            <v>184663771769.98441</v>
          </cell>
          <cell r="S222">
            <v>15013314778.047514</v>
          </cell>
          <cell r="T222">
            <v>199677086548.03192</v>
          </cell>
          <cell r="V222" t="str">
            <v>P</v>
          </cell>
          <cell r="Y222">
            <v>155996971000</v>
          </cell>
          <cell r="Z222">
            <v>43680115548.031921</v>
          </cell>
          <cell r="AA222">
            <v>0.28000617747912504</v>
          </cell>
          <cell r="AC222">
            <v>8501</v>
          </cell>
          <cell r="AD222">
            <v>171</v>
          </cell>
        </row>
        <row r="223">
          <cell r="B223" t="str">
            <v>Kab. Bantul</v>
          </cell>
          <cell r="C223" t="str">
            <v>06-2005</v>
          </cell>
          <cell r="D223">
            <v>44094630.299046993</v>
          </cell>
          <cell r="E223">
            <v>342006718.14980358</v>
          </cell>
          <cell r="F223">
            <v>961397053.03170776</v>
          </cell>
          <cell r="G223">
            <v>611427980.366768</v>
          </cell>
          <cell r="H223">
            <v>12174</v>
          </cell>
          <cell r="I223">
            <v>1958926381.8473263</v>
          </cell>
          <cell r="J223">
            <v>16323520899.999998</v>
          </cell>
          <cell r="K223">
            <v>1485452700</v>
          </cell>
          <cell r="L223">
            <v>2122366000</v>
          </cell>
          <cell r="M223">
            <v>179986500</v>
          </cell>
          <cell r="N223">
            <v>1021435000</v>
          </cell>
          <cell r="O223">
            <v>23091687481.847324</v>
          </cell>
          <cell r="P223">
            <v>277100249782.16791</v>
          </cell>
          <cell r="Q223">
            <v>6927506244.5541983</v>
          </cell>
          <cell r="R223">
            <v>284027756026.72211</v>
          </cell>
          <cell r="S223">
            <v>23091687481.847324</v>
          </cell>
          <cell r="T223">
            <v>307119443508.56946</v>
          </cell>
          <cell r="V223" t="str">
            <v>K</v>
          </cell>
          <cell r="Y223">
            <v>244230675000</v>
          </cell>
          <cell r="Z223">
            <v>62888768508.569458</v>
          </cell>
          <cell r="AA223">
            <v>0.2574974192270052</v>
          </cell>
          <cell r="AC223">
            <v>12575</v>
          </cell>
          <cell r="AD223">
            <v>272</v>
          </cell>
        </row>
        <row r="224">
          <cell r="B224" t="str">
            <v>Kab. Sleman</v>
          </cell>
          <cell r="C224" t="str">
            <v>06-2005</v>
          </cell>
          <cell r="D224">
            <v>40874235.951363787</v>
          </cell>
          <cell r="E224">
            <v>378033883.46200728</v>
          </cell>
          <cell r="F224">
            <v>1049650899.7774894</v>
          </cell>
          <cell r="G224">
            <v>634811436.65873706</v>
          </cell>
          <cell r="H224">
            <v>13091</v>
          </cell>
          <cell r="I224">
            <v>2103370455.8495975</v>
          </cell>
          <cell r="J224">
            <v>17650108000</v>
          </cell>
          <cell r="K224">
            <v>1611185649.9999998</v>
          </cell>
          <cell r="L224">
            <v>2252341000</v>
          </cell>
          <cell r="M224">
            <v>198460099.99999997</v>
          </cell>
          <cell r="N224">
            <v>1098405000</v>
          </cell>
          <cell r="O224">
            <v>24913870205.849598</v>
          </cell>
          <cell r="P224">
            <v>298966442470.19519</v>
          </cell>
          <cell r="Q224">
            <v>7474161061.75488</v>
          </cell>
          <cell r="R224">
            <v>306440603531.95007</v>
          </cell>
          <cell r="S224">
            <v>24913870205.849598</v>
          </cell>
          <cell r="T224">
            <v>331354473737.79968</v>
          </cell>
          <cell r="V224" t="str">
            <v>K</v>
          </cell>
          <cell r="Y224">
            <v>263547999000</v>
          </cell>
          <cell r="Z224">
            <v>67806474737.799683</v>
          </cell>
          <cell r="AA224">
            <v>0.25728320835325214</v>
          </cell>
          <cell r="AC224">
            <v>13247</v>
          </cell>
          <cell r="AD224">
            <v>276</v>
          </cell>
        </row>
        <row r="225">
          <cell r="B225" t="str">
            <v>Kab. Kulon Progo</v>
          </cell>
          <cell r="C225" t="str">
            <v>06-2005</v>
          </cell>
          <cell r="D225">
            <v>22047315.149523497</v>
          </cell>
          <cell r="E225">
            <v>273136183.52973044</v>
          </cell>
          <cell r="F225">
            <v>714347890.413499</v>
          </cell>
          <cell r="G225">
            <v>407728435.06278414</v>
          </cell>
          <cell r="H225">
            <v>8833</v>
          </cell>
          <cell r="I225">
            <v>1417259824.1555371</v>
          </cell>
          <cell r="J225">
            <v>11644015650</v>
          </cell>
          <cell r="K225">
            <v>1065326649.9999999</v>
          </cell>
          <cell r="L225">
            <v>1547550000</v>
          </cell>
          <cell r="M225">
            <v>126473549.99999999</v>
          </cell>
          <cell r="N225">
            <v>738167000</v>
          </cell>
          <cell r="O225">
            <v>16538792674.155537</v>
          </cell>
          <cell r="P225">
            <v>198465512089.86646</v>
          </cell>
          <cell r="Q225">
            <v>4961637802.2466612</v>
          </cell>
          <cell r="R225">
            <v>203427149892.11313</v>
          </cell>
          <cell r="S225">
            <v>16538792674.155537</v>
          </cell>
          <cell r="T225">
            <v>219965942566.26868</v>
          </cell>
          <cell r="V225" t="str">
            <v>K</v>
          </cell>
          <cell r="Y225">
            <v>174820503000</v>
          </cell>
          <cell r="Z225">
            <v>45145439566.268677</v>
          </cell>
          <cell r="AA225">
            <v>0.25823881519359704</v>
          </cell>
          <cell r="AC225">
            <v>9056</v>
          </cell>
          <cell r="AD225">
            <v>254</v>
          </cell>
        </row>
        <row r="226">
          <cell r="B226" t="str">
            <v>Kota Yogyakarta</v>
          </cell>
          <cell r="C226" t="str">
            <v>06-2005</v>
          </cell>
          <cell r="D226">
            <v>35176615.182385802</v>
          </cell>
          <cell r="E226">
            <v>278163229.85236353</v>
          </cell>
          <cell r="F226">
            <v>645500648.71129251</v>
          </cell>
          <cell r="G226">
            <v>376934728.53744465</v>
          </cell>
          <cell r="H226">
            <v>8282</v>
          </cell>
          <cell r="I226">
            <v>1335775222.2834864</v>
          </cell>
          <cell r="J226">
            <v>11022199150</v>
          </cell>
          <cell r="K226">
            <v>1018665399.9999999</v>
          </cell>
          <cell r="L226">
            <v>1384669000</v>
          </cell>
          <cell r="M226">
            <v>442386599.99999994</v>
          </cell>
          <cell r="N226">
            <v>707481000</v>
          </cell>
          <cell r="O226">
            <v>15911176372.283485</v>
          </cell>
          <cell r="P226">
            <v>190934116467.40182</v>
          </cell>
          <cell r="Q226">
            <v>4773352911.6850462</v>
          </cell>
          <cell r="R226">
            <v>195707469379.08688</v>
          </cell>
          <cell r="S226">
            <v>15911176372.283485</v>
          </cell>
          <cell r="T226">
            <v>211618645751.37036</v>
          </cell>
          <cell r="V226" t="str">
            <v>K</v>
          </cell>
          <cell r="Y226">
            <v>168318293000</v>
          </cell>
          <cell r="Z226">
            <v>43300352751.370361</v>
          </cell>
          <cell r="AA226">
            <v>0.25725280348090485</v>
          </cell>
          <cell r="AC226">
            <v>8504</v>
          </cell>
          <cell r="AD226">
            <v>68</v>
          </cell>
        </row>
        <row r="227">
          <cell r="B227" t="str">
            <v>Kab. Gunung Kidul</v>
          </cell>
          <cell r="C227" t="str">
            <v>06-2005</v>
          </cell>
          <cell r="D227">
            <v>36910673.677292146</v>
          </cell>
          <cell r="E227">
            <v>324914760.6528511</v>
          </cell>
          <cell r="F227">
            <v>859281345.54051554</v>
          </cell>
          <cell r="G227">
            <v>391261212.32196087</v>
          </cell>
          <cell r="H227">
            <v>10043</v>
          </cell>
          <cell r="I227">
            <v>1612367992.1926198</v>
          </cell>
          <cell r="J227">
            <v>13540037899.999998</v>
          </cell>
          <cell r="K227">
            <v>1316446400</v>
          </cell>
          <cell r="L227">
            <v>1891297000</v>
          </cell>
          <cell r="M227">
            <v>541298100</v>
          </cell>
          <cell r="N227">
            <v>910132000</v>
          </cell>
          <cell r="O227">
            <v>19811579392.192619</v>
          </cell>
          <cell r="P227">
            <v>237738952706.31143</v>
          </cell>
          <cell r="Q227">
            <v>5943473817.6577864</v>
          </cell>
          <cell r="R227">
            <v>243682426523.96921</v>
          </cell>
          <cell r="S227">
            <v>19811579392.192619</v>
          </cell>
          <cell r="T227">
            <v>263494005916.16183</v>
          </cell>
          <cell r="V227" t="str">
            <v>K</v>
          </cell>
          <cell r="Y227">
            <v>210486952000</v>
          </cell>
          <cell r="Z227">
            <v>53007053916.161835</v>
          </cell>
          <cell r="AA227">
            <v>0.2518305928823647</v>
          </cell>
          <cell r="AC227">
            <v>10374</v>
          </cell>
          <cell r="AD227">
            <v>277</v>
          </cell>
        </row>
        <row r="228">
          <cell r="B228" t="str">
            <v>Kab. Pacitan</v>
          </cell>
          <cell r="C228" t="str">
            <v>06-2005</v>
          </cell>
          <cell r="D228">
            <v>28983549.129148867</v>
          </cell>
          <cell r="E228">
            <v>242471200.9616687</v>
          </cell>
          <cell r="F228">
            <v>590515267.75449657</v>
          </cell>
          <cell r="G228">
            <v>380392845.31301749</v>
          </cell>
          <cell r="H228">
            <v>7708</v>
          </cell>
          <cell r="I228">
            <v>1242362863.1583316</v>
          </cell>
          <cell r="J228">
            <v>10121345684</v>
          </cell>
          <cell r="K228">
            <v>936850632.5999999</v>
          </cell>
          <cell r="L228">
            <v>1435254250</v>
          </cell>
          <cell r="M228">
            <v>112122205.49999999</v>
          </cell>
          <cell r="N228">
            <v>645641459</v>
          </cell>
          <cell r="O228">
            <v>14493577094.258331</v>
          </cell>
          <cell r="P228">
            <v>173922925131.09998</v>
          </cell>
          <cell r="Q228">
            <v>4348073128.2774992</v>
          </cell>
          <cell r="R228">
            <v>178270998259.37747</v>
          </cell>
          <cell r="S228">
            <v>14493577094.258331</v>
          </cell>
          <cell r="T228">
            <v>192764575353.6358</v>
          </cell>
          <cell r="V228" t="str">
            <v>K</v>
          </cell>
          <cell r="Y228">
            <v>153329666412</v>
          </cell>
          <cell r="Z228">
            <v>39434908941.635803</v>
          </cell>
          <cell r="AA228">
            <v>0.25719033938072611</v>
          </cell>
          <cell r="AC228">
            <v>7492</v>
          </cell>
          <cell r="AD228">
            <v>273</v>
          </cell>
        </row>
        <row r="229">
          <cell r="B229" t="str">
            <v>Kab. Jember</v>
          </cell>
          <cell r="C229" t="str">
            <v>06-2005</v>
          </cell>
          <cell r="D229">
            <v>123365875.78047979</v>
          </cell>
          <cell r="E229">
            <v>542250730.00135446</v>
          </cell>
          <cell r="F229">
            <v>1656338338.4016318</v>
          </cell>
          <cell r="G229">
            <v>457624119.96747863</v>
          </cell>
          <cell r="H229">
            <v>17267</v>
          </cell>
          <cell r="I229">
            <v>2779579064.1509447</v>
          </cell>
          <cell r="J229">
            <v>22534722305</v>
          </cell>
          <cell r="K229">
            <v>2296391319.5499997</v>
          </cell>
          <cell r="L229">
            <v>3019310500</v>
          </cell>
          <cell r="M229">
            <v>0</v>
          </cell>
          <cell r="N229">
            <v>1581018870</v>
          </cell>
          <cell r="O229">
            <v>32211022058.700943</v>
          </cell>
          <cell r="P229">
            <v>386532264704.41132</v>
          </cell>
          <cell r="Q229">
            <v>9663306617.6102829</v>
          </cell>
          <cell r="R229">
            <v>396195571322.02161</v>
          </cell>
          <cell r="S229">
            <v>32211022058.700943</v>
          </cell>
          <cell r="T229">
            <v>428406593380.72253</v>
          </cell>
          <cell r="V229" t="str">
            <v>K</v>
          </cell>
          <cell r="Y229">
            <v>350577347536</v>
          </cell>
          <cell r="Z229">
            <v>77829245844.722534</v>
          </cell>
          <cell r="AA229">
            <v>0.22200306549107662</v>
          </cell>
          <cell r="AC229">
            <v>17279</v>
          </cell>
          <cell r="AD229">
            <v>299</v>
          </cell>
        </row>
        <row r="230">
          <cell r="B230" t="str">
            <v>Kab. Lumajang</v>
          </cell>
          <cell r="C230" t="str">
            <v>06-2005</v>
          </cell>
          <cell r="D230">
            <v>55242149.194873482</v>
          </cell>
          <cell r="E230">
            <v>347368900.89394552</v>
          </cell>
          <cell r="F230">
            <v>752236976.45095503</v>
          </cell>
          <cell r="G230">
            <v>374135300.67150468</v>
          </cell>
          <cell r="H230">
            <v>9452</v>
          </cell>
          <cell r="I230">
            <v>1528983327.2112787</v>
          </cell>
          <cell r="J230">
            <v>12331457199</v>
          </cell>
          <cell r="K230">
            <v>1262997479.6999998</v>
          </cell>
          <cell r="L230">
            <v>1692006250</v>
          </cell>
          <cell r="M230">
            <v>0</v>
          </cell>
          <cell r="N230">
            <v>865538850</v>
          </cell>
          <cell r="O230">
            <v>17680983105.911278</v>
          </cell>
          <cell r="P230">
            <v>212171797270.93533</v>
          </cell>
          <cell r="Q230">
            <v>5304294931.7733841</v>
          </cell>
          <cell r="R230">
            <v>217476092202.70871</v>
          </cell>
          <cell r="S230">
            <v>17680983105.911278</v>
          </cell>
          <cell r="T230">
            <v>235157075308.62</v>
          </cell>
          <cell r="V230" t="str">
            <v>K</v>
          </cell>
          <cell r="Y230">
            <v>192495245553</v>
          </cell>
          <cell r="Z230">
            <v>42661829755.619995</v>
          </cell>
          <cell r="AA230">
            <v>0.22162536863215071</v>
          </cell>
          <cell r="AC230">
            <v>9305</v>
          </cell>
          <cell r="AD230">
            <v>279</v>
          </cell>
        </row>
        <row r="231">
          <cell r="B231" t="str">
            <v>Kota Kediri</v>
          </cell>
          <cell r="C231" t="str">
            <v>06-2005</v>
          </cell>
          <cell r="D231">
            <v>46076411.43608281</v>
          </cell>
          <cell r="E231">
            <v>218508946.82378435</v>
          </cell>
          <cell r="F231">
            <v>415855822.36232156</v>
          </cell>
          <cell r="G231">
            <v>203534873.07657561</v>
          </cell>
          <cell r="H231">
            <v>5426</v>
          </cell>
          <cell r="I231">
            <v>883976053.69876432</v>
          </cell>
          <cell r="J231">
            <v>6962708303.999999</v>
          </cell>
          <cell r="K231">
            <v>634962666.3499999</v>
          </cell>
          <cell r="L231">
            <v>864735850</v>
          </cell>
          <cell r="M231">
            <v>0</v>
          </cell>
          <cell r="N231">
            <v>454539540</v>
          </cell>
          <cell r="O231">
            <v>9800922414.0487633</v>
          </cell>
          <cell r="P231">
            <v>117611068968.58516</v>
          </cell>
          <cell r="Q231">
            <v>2940276724.2146292</v>
          </cell>
          <cell r="R231">
            <v>120551345692.79979</v>
          </cell>
          <cell r="S231">
            <v>9800922414.0487633</v>
          </cell>
          <cell r="T231">
            <v>130352268106.84856</v>
          </cell>
          <cell r="V231" t="str">
            <v>K</v>
          </cell>
          <cell r="Y231">
            <v>103989827318</v>
          </cell>
          <cell r="Z231">
            <v>26362440788.848557</v>
          </cell>
          <cell r="AA231">
            <v>0.25350980445647281</v>
          </cell>
          <cell r="AC231">
            <v>5260</v>
          </cell>
          <cell r="AD231">
            <v>230</v>
          </cell>
        </row>
        <row r="232">
          <cell r="B232" t="str">
            <v>Kab. Kediri</v>
          </cell>
          <cell r="C232" t="str">
            <v>06-2005</v>
          </cell>
          <cell r="D232">
            <v>58462543.542556688</v>
          </cell>
          <cell r="E232">
            <v>407023183.92252469</v>
          </cell>
          <cell r="F232">
            <v>1225850551.9191546</v>
          </cell>
          <cell r="G232">
            <v>467175109.15715617</v>
          </cell>
          <cell r="H232">
            <v>13461</v>
          </cell>
          <cell r="I232">
            <v>2158511388.5413923</v>
          </cell>
          <cell r="J232">
            <v>18138130395</v>
          </cell>
          <cell r="K232">
            <v>1825273534.6999998</v>
          </cell>
          <cell r="L232">
            <v>2482460750</v>
          </cell>
          <cell r="M232">
            <v>0</v>
          </cell>
          <cell r="N232">
            <v>1223158500</v>
          </cell>
          <cell r="O232">
            <v>25827534568.241394</v>
          </cell>
          <cell r="P232">
            <v>309930414818.89673</v>
          </cell>
          <cell r="Q232">
            <v>7748260370.4724188</v>
          </cell>
          <cell r="R232">
            <v>317678675189.36914</v>
          </cell>
          <cell r="S232">
            <v>25827534568.241394</v>
          </cell>
          <cell r="T232">
            <v>343506209757.61053</v>
          </cell>
          <cell r="V232" t="str">
            <v>K</v>
          </cell>
          <cell r="Y232">
            <v>276098154111</v>
          </cell>
          <cell r="Z232">
            <v>67408055646.610535</v>
          </cell>
          <cell r="AA232">
            <v>0.2441452600929393</v>
          </cell>
          <cell r="AC232">
            <v>13375</v>
          </cell>
          <cell r="AD232">
            <v>260</v>
          </cell>
        </row>
        <row r="233">
          <cell r="B233" t="str">
            <v>Kab. Nganjuk</v>
          </cell>
          <cell r="C233" t="str">
            <v>06-2005</v>
          </cell>
          <cell r="D233">
            <v>64160164.311534673</v>
          </cell>
          <cell r="E233">
            <v>347033764.47243667</v>
          </cell>
          <cell r="F233">
            <v>1016382433.9885037</v>
          </cell>
          <cell r="G233">
            <v>495828076.72618866</v>
          </cell>
          <cell r="H233">
            <v>11940</v>
          </cell>
          <cell r="I233">
            <v>1923404439.4986637</v>
          </cell>
          <cell r="J233">
            <v>15755265040.499998</v>
          </cell>
          <cell r="K233">
            <v>1510509645.1999998</v>
          </cell>
          <cell r="L233">
            <v>2281612805</v>
          </cell>
          <cell r="M233">
            <v>0</v>
          </cell>
          <cell r="N233">
            <v>1033230420</v>
          </cell>
          <cell r="O233">
            <v>22504022350.198662</v>
          </cell>
          <cell r="P233">
            <v>270048268202.38394</v>
          </cell>
          <cell r="Q233">
            <v>6751206705.0595989</v>
          </cell>
          <cell r="R233">
            <v>276799474907.44354</v>
          </cell>
          <cell r="S233">
            <v>22504022350.198662</v>
          </cell>
          <cell r="T233">
            <v>299303497257.64221</v>
          </cell>
          <cell r="V233" t="str">
            <v>K</v>
          </cell>
          <cell r="Y233">
            <v>240419073687</v>
          </cell>
          <cell r="Z233">
            <v>58884423570.642212</v>
          </cell>
          <cell r="AA233">
            <v>0.2449240930330821</v>
          </cell>
          <cell r="AC233">
            <v>11730</v>
          </cell>
          <cell r="AD233">
            <v>267</v>
          </cell>
        </row>
        <row r="234">
          <cell r="B234" t="str">
            <v>Kab. Trenggalek</v>
          </cell>
          <cell r="C234" t="str">
            <v>06-2005</v>
          </cell>
          <cell r="D234">
            <v>32451666.11896155</v>
          </cell>
          <cell r="E234">
            <v>210130536.28606257</v>
          </cell>
          <cell r="F234">
            <v>891471666.60485816</v>
          </cell>
          <cell r="G234">
            <v>341200855.18985814</v>
          </cell>
          <cell r="H234">
            <v>9245</v>
          </cell>
          <cell r="I234">
            <v>1475254724.1997404</v>
          </cell>
          <cell r="J234">
            <v>12356092659.999998</v>
          </cell>
          <cell r="K234">
            <v>1131073164.3</v>
          </cell>
          <cell r="L234">
            <v>1781140200</v>
          </cell>
          <cell r="M234">
            <v>0</v>
          </cell>
          <cell r="N234">
            <v>775088310</v>
          </cell>
          <cell r="O234">
            <v>17518649058.499737</v>
          </cell>
          <cell r="P234">
            <v>210223788701.99683</v>
          </cell>
          <cell r="Q234">
            <v>5255594717.549921</v>
          </cell>
          <cell r="R234">
            <v>215479383419.54675</v>
          </cell>
          <cell r="S234">
            <v>17518649058.499737</v>
          </cell>
          <cell r="T234">
            <v>232998032478.04648</v>
          </cell>
          <cell r="V234" t="str">
            <v>K</v>
          </cell>
          <cell r="Y234">
            <v>187278946985</v>
          </cell>
          <cell r="Z234">
            <v>45719085493.046478</v>
          </cell>
          <cell r="AA234">
            <v>0.24412293121611967</v>
          </cell>
          <cell r="AC234">
            <v>9089</v>
          </cell>
          <cell r="AD234">
            <v>230</v>
          </cell>
        </row>
        <row r="235">
          <cell r="B235" t="str">
            <v>Kota Malang</v>
          </cell>
          <cell r="C235" t="str">
            <v>06-2005</v>
          </cell>
          <cell r="D235">
            <v>71096398.291160047</v>
          </cell>
          <cell r="E235">
            <v>303633597.88703775</v>
          </cell>
          <cell r="F235">
            <v>687856334.32226968</v>
          </cell>
          <cell r="G235">
            <v>294927959.28814477</v>
          </cell>
          <cell r="H235">
            <v>8356</v>
          </cell>
          <cell r="I235">
            <v>1357514289.7886124</v>
          </cell>
          <cell r="J235">
            <v>10689967554</v>
          </cell>
          <cell r="K235">
            <v>986963692.69999993</v>
          </cell>
          <cell r="L235">
            <v>1374804750</v>
          </cell>
          <cell r="M235">
            <v>0</v>
          </cell>
          <cell r="N235">
            <v>730525020</v>
          </cell>
          <cell r="O235">
            <v>15139775306.488613</v>
          </cell>
          <cell r="P235">
            <v>181677303677.86334</v>
          </cell>
          <cell r="Q235">
            <v>4541932591.9465837</v>
          </cell>
          <cell r="R235">
            <v>186219236269.80994</v>
          </cell>
          <cell r="S235">
            <v>15139775306.488613</v>
          </cell>
          <cell r="T235">
            <v>201359011576.29855</v>
          </cell>
          <cell r="V235" t="str">
            <v>K</v>
          </cell>
          <cell r="Y235">
            <v>164098803609</v>
          </cell>
          <cell r="Z235">
            <v>37260207967.298553</v>
          </cell>
          <cell r="AA235">
            <v>0.22705959548662435</v>
          </cell>
          <cell r="AC235">
            <v>8157</v>
          </cell>
          <cell r="AD235">
            <v>261</v>
          </cell>
        </row>
        <row r="236">
          <cell r="B236" t="str">
            <v>Kab. Malang</v>
          </cell>
          <cell r="C236" t="str">
            <v>06-2005</v>
          </cell>
          <cell r="D236">
            <v>63416996.385146238</v>
          </cell>
          <cell r="E236">
            <v>490304584.66747934</v>
          </cell>
          <cell r="F236">
            <v>1630770906.3600965</v>
          </cell>
          <cell r="G236">
            <v>567131151.19395339</v>
          </cell>
          <cell r="H236">
            <v>17214</v>
          </cell>
          <cell r="I236">
            <v>2751623638.6066756</v>
          </cell>
          <cell r="J236">
            <v>22872188172</v>
          </cell>
          <cell r="K236">
            <v>2306603651.8999996</v>
          </cell>
          <cell r="L236">
            <v>3221901600</v>
          </cell>
          <cell r="M236">
            <v>0</v>
          </cell>
          <cell r="N236">
            <v>1571931690</v>
          </cell>
          <cell r="O236">
            <v>32724248752.506676</v>
          </cell>
          <cell r="P236">
            <v>392690985030.08008</v>
          </cell>
          <cell r="Q236">
            <v>9817274625.7520027</v>
          </cell>
          <cell r="R236">
            <v>402508259655.83209</v>
          </cell>
          <cell r="S236">
            <v>32724248752.506676</v>
          </cell>
          <cell r="T236">
            <v>435232508408.33875</v>
          </cell>
          <cell r="V236" t="str">
            <v>K</v>
          </cell>
          <cell r="Y236">
            <v>357407769394</v>
          </cell>
          <cell r="Z236">
            <v>77824739014.338745</v>
          </cell>
          <cell r="AA236">
            <v>0.21774775390667608</v>
          </cell>
          <cell r="AC236">
            <v>17185</v>
          </cell>
          <cell r="AD236">
            <v>247</v>
          </cell>
        </row>
        <row r="237">
          <cell r="B237" t="str">
            <v>Kota Batu</v>
          </cell>
          <cell r="C237" t="str">
            <v>06-2005</v>
          </cell>
          <cell r="D237">
            <v>6440788.6953664152</v>
          </cell>
          <cell r="E237">
            <v>55129941.338209398</v>
          </cell>
          <cell r="F237">
            <v>194066050.43575007</v>
          </cell>
          <cell r="G237">
            <v>59611346.321780235</v>
          </cell>
          <cell r="H237">
            <v>1977</v>
          </cell>
          <cell r="I237">
            <v>315248126.7911061</v>
          </cell>
          <cell r="J237">
            <v>2442644574</v>
          </cell>
          <cell r="K237">
            <v>230895480.84999999</v>
          </cell>
          <cell r="L237">
            <v>361581750</v>
          </cell>
          <cell r="M237">
            <v>0</v>
          </cell>
          <cell r="N237">
            <v>167781840</v>
          </cell>
          <cell r="O237">
            <v>3518151771.6411061</v>
          </cell>
          <cell r="P237">
            <v>42217821259.693275</v>
          </cell>
          <cell r="Q237">
            <v>1055445531.492332</v>
          </cell>
          <cell r="R237">
            <v>43273266791.185608</v>
          </cell>
          <cell r="S237">
            <v>3518151771.6411061</v>
          </cell>
          <cell r="T237">
            <v>46791418562.826714</v>
          </cell>
          <cell r="V237" t="str">
            <v>K</v>
          </cell>
          <cell r="Y237">
            <v>38250061954</v>
          </cell>
          <cell r="Z237">
            <v>8541356608.8267136</v>
          </cell>
          <cell r="AA237">
            <v>0.22330307906686936</v>
          </cell>
          <cell r="AC237">
            <v>1699</v>
          </cell>
          <cell r="AD237">
            <v>171</v>
          </cell>
        </row>
        <row r="238">
          <cell r="B238" t="str">
            <v xml:space="preserve">Kota Pasuruan </v>
          </cell>
          <cell r="C238" t="str">
            <v>06-2005</v>
          </cell>
          <cell r="D238">
            <v>19817811.370358199</v>
          </cell>
          <cell r="E238">
            <v>111767996.57320872</v>
          </cell>
          <cell r="F238">
            <v>249205452.06749493</v>
          </cell>
          <cell r="G238">
            <v>101602764.31087957</v>
          </cell>
          <cell r="H238">
            <v>2982</v>
          </cell>
          <cell r="I238">
            <v>482394024.32194144</v>
          </cell>
          <cell r="J238">
            <v>3759729338.9999995</v>
          </cell>
          <cell r="K238">
            <v>364537482.25</v>
          </cell>
          <cell r="L238">
            <v>509690800</v>
          </cell>
          <cell r="M238">
            <v>0</v>
          </cell>
          <cell r="N238">
            <v>264370740</v>
          </cell>
          <cell r="O238">
            <v>5380722385.5719414</v>
          </cell>
          <cell r="P238">
            <v>64568668626.863297</v>
          </cell>
          <cell r="Q238">
            <v>1614216715.6715825</v>
          </cell>
          <cell r="R238">
            <v>66182885342.534882</v>
          </cell>
          <cell r="S238">
            <v>5380722385.5719414</v>
          </cell>
          <cell r="T238">
            <v>71563607728.106827</v>
          </cell>
          <cell r="V238" t="str">
            <v>K</v>
          </cell>
          <cell r="Y238">
            <v>57082110566</v>
          </cell>
          <cell r="Z238">
            <v>14481497162.106827</v>
          </cell>
          <cell r="AA238">
            <v>0.25369589558821404</v>
          </cell>
          <cell r="AC238">
            <v>3036</v>
          </cell>
          <cell r="AD238">
            <v>0</v>
          </cell>
        </row>
        <row r="239">
          <cell r="B239" t="str">
            <v>Kab. Pasuruan</v>
          </cell>
          <cell r="C239" t="str">
            <v>06-2005</v>
          </cell>
          <cell r="D239">
            <v>47810469.930989154</v>
          </cell>
          <cell r="E239">
            <v>363120312.70486253</v>
          </cell>
          <cell r="F239">
            <v>827707107.17596889</v>
          </cell>
          <cell r="G239">
            <v>447579114.09557647</v>
          </cell>
          <cell r="H239">
            <v>10452</v>
          </cell>
          <cell r="I239">
            <v>1686217003.907397</v>
          </cell>
          <cell r="J239">
            <v>13671835167.999998</v>
          </cell>
          <cell r="K239">
            <v>1386121521.3</v>
          </cell>
          <cell r="L239">
            <v>290260000</v>
          </cell>
          <cell r="M239">
            <v>0</v>
          </cell>
          <cell r="N239">
            <v>956320380</v>
          </cell>
          <cell r="O239">
            <v>17990754073.207394</v>
          </cell>
          <cell r="P239">
            <v>215889048878.48871</v>
          </cell>
          <cell r="Q239">
            <v>5397226221.9622183</v>
          </cell>
          <cell r="R239">
            <v>221286275100.45093</v>
          </cell>
          <cell r="S239">
            <v>17990754073.207394</v>
          </cell>
          <cell r="T239">
            <v>239277029173.65833</v>
          </cell>
          <cell r="V239" t="str">
            <v>K</v>
          </cell>
          <cell r="Y239">
            <v>208892372910</v>
          </cell>
          <cell r="Z239">
            <v>30384656263.658325</v>
          </cell>
          <cell r="AA239">
            <v>0.14545603480098993</v>
          </cell>
          <cell r="AC239">
            <v>10263</v>
          </cell>
          <cell r="AD239">
            <v>195</v>
          </cell>
        </row>
        <row r="240">
          <cell r="B240" t="str">
            <v>Kota Blitar</v>
          </cell>
          <cell r="C240" t="str">
            <v>06-2005</v>
          </cell>
          <cell r="D240">
            <v>16349694.380545514</v>
          </cell>
          <cell r="E240">
            <v>114113951.52377082</v>
          </cell>
          <cell r="F240">
            <v>274156801.40923423</v>
          </cell>
          <cell r="G240">
            <v>135360570.92956728</v>
          </cell>
          <cell r="H240">
            <v>3349</v>
          </cell>
          <cell r="I240">
            <v>539981018.24311781</v>
          </cell>
          <cell r="J240">
            <v>4306519873.5</v>
          </cell>
          <cell r="K240">
            <v>396810969.54999995</v>
          </cell>
          <cell r="L240">
            <v>614653000</v>
          </cell>
          <cell r="M240">
            <v>0</v>
          </cell>
          <cell r="N240">
            <v>285433740</v>
          </cell>
          <cell r="O240">
            <v>6143398601.2931185</v>
          </cell>
          <cell r="P240">
            <v>73720783215.517426</v>
          </cell>
          <cell r="Q240">
            <v>1843019580.3879356</v>
          </cell>
          <cell r="R240">
            <v>75563802795.905365</v>
          </cell>
          <cell r="S240">
            <v>6143398601.2931185</v>
          </cell>
          <cell r="T240">
            <v>81707201397.198486</v>
          </cell>
          <cell r="V240" t="str">
            <v>K</v>
          </cell>
          <cell r="Y240">
            <v>65462079046</v>
          </cell>
          <cell r="Z240">
            <v>16245122351.198486</v>
          </cell>
          <cell r="AA240">
            <v>0.24816080680515951</v>
          </cell>
          <cell r="AC240">
            <v>3099</v>
          </cell>
          <cell r="AD240">
            <v>291</v>
          </cell>
        </row>
        <row r="241">
          <cell r="B241" t="str">
            <v>Kab. Blitar</v>
          </cell>
          <cell r="C241" t="str">
            <v>06-2005</v>
          </cell>
          <cell r="D241">
            <v>39387900.098586924</v>
          </cell>
          <cell r="E241">
            <v>302963325.04402006</v>
          </cell>
          <cell r="F241">
            <v>1152998772.6682737</v>
          </cell>
          <cell r="G241">
            <v>550499256.22572184</v>
          </cell>
          <cell r="H241">
            <v>12796</v>
          </cell>
          <cell r="I241">
            <v>2045849254.0366025</v>
          </cell>
          <cell r="J241">
            <v>17138608486.099998</v>
          </cell>
          <cell r="K241">
            <v>1650570151.9499998</v>
          </cell>
          <cell r="L241">
            <v>2471046000</v>
          </cell>
          <cell r="M241">
            <v>0</v>
          </cell>
          <cell r="N241">
            <v>1113901710</v>
          </cell>
          <cell r="O241">
            <v>24419975602.086601</v>
          </cell>
          <cell r="P241">
            <v>293039707225.03918</v>
          </cell>
          <cell r="Q241">
            <v>7325992680.6259804</v>
          </cell>
          <cell r="R241">
            <v>300365699905.66516</v>
          </cell>
          <cell r="S241">
            <v>24419975602.086601</v>
          </cell>
          <cell r="T241">
            <v>324785675507.75177</v>
          </cell>
          <cell r="V241" t="str">
            <v>K</v>
          </cell>
          <cell r="Y241">
            <v>261301676948</v>
          </cell>
          <cell r="Z241">
            <v>63483998559.75177</v>
          </cell>
          <cell r="AA241">
            <v>0.24295289376342319</v>
          </cell>
          <cell r="AC241">
            <v>12346</v>
          </cell>
          <cell r="AD241">
            <v>0</v>
          </cell>
        </row>
        <row r="242">
          <cell r="B242" t="str">
            <v>Kab. Tulungagung</v>
          </cell>
          <cell r="C242" t="str">
            <v>06-2005</v>
          </cell>
          <cell r="D242">
            <v>55242149.194873482</v>
          </cell>
          <cell r="E242">
            <v>347368900.89394552</v>
          </cell>
          <cell r="F242">
            <v>1115109686.6308179</v>
          </cell>
          <cell r="G242">
            <v>501591604.68547678</v>
          </cell>
          <cell r="H242">
            <v>12582</v>
          </cell>
          <cell r="I242">
            <v>2019312341.4051137</v>
          </cell>
          <cell r="J242">
            <v>16624702426.999998</v>
          </cell>
          <cell r="K242">
            <v>1565064825.2499998</v>
          </cell>
          <cell r="L242">
            <v>2347167700</v>
          </cell>
          <cell r="M242">
            <v>0</v>
          </cell>
          <cell r="N242">
            <v>1077432630</v>
          </cell>
          <cell r="O242">
            <v>23633679923.655113</v>
          </cell>
          <cell r="P242">
            <v>283604159083.86133</v>
          </cell>
          <cell r="Q242">
            <v>7090103977.0965338</v>
          </cell>
          <cell r="R242">
            <v>290694263060.95789</v>
          </cell>
          <cell r="S242">
            <v>23633679923.655113</v>
          </cell>
          <cell r="T242">
            <v>314327942984.61298</v>
          </cell>
          <cell r="V242" t="str">
            <v>K</v>
          </cell>
          <cell r="Y242">
            <v>257657950719</v>
          </cell>
          <cell r="Z242">
            <v>56669992265.612976</v>
          </cell>
          <cell r="AA242">
            <v>0.21994272681077434</v>
          </cell>
          <cell r="AC242">
            <v>12372</v>
          </cell>
          <cell r="AD242">
            <v>259</v>
          </cell>
        </row>
        <row r="243">
          <cell r="B243" t="str">
            <v>Kab. Banyuwangi</v>
          </cell>
          <cell r="C243" t="str">
            <v>03-2005</v>
          </cell>
          <cell r="D243">
            <v>62921551.100887284</v>
          </cell>
          <cell r="E243">
            <v>409034002.4515779</v>
          </cell>
          <cell r="F243">
            <v>1227390758.6686447</v>
          </cell>
          <cell r="G243">
            <v>497474799.00027096</v>
          </cell>
          <cell r="H243">
            <v>13685</v>
          </cell>
          <cell r="I243">
            <v>2196821111.2213807</v>
          </cell>
          <cell r="J243">
            <v>18128917055</v>
          </cell>
          <cell r="K243">
            <v>1868092076.9499998</v>
          </cell>
          <cell r="L243">
            <v>2547931750</v>
          </cell>
          <cell r="M243">
            <v>0</v>
          </cell>
          <cell r="N243">
            <v>1251082020</v>
          </cell>
          <cell r="O243">
            <v>25992844013.171383</v>
          </cell>
          <cell r="P243">
            <v>311914128158.05658</v>
          </cell>
          <cell r="Q243">
            <v>7797853203.9514151</v>
          </cell>
          <cell r="R243">
            <v>319711981362.008</v>
          </cell>
          <cell r="S243">
            <v>25992844013.171383</v>
          </cell>
          <cell r="T243">
            <v>345704825375.17938</v>
          </cell>
          <cell r="V243" t="str">
            <v>K</v>
          </cell>
          <cell r="Y243">
            <v>283703059653</v>
          </cell>
          <cell r="Z243">
            <v>62001765722.179382</v>
          </cell>
          <cell r="AA243">
            <v>0.21854457896229371</v>
          </cell>
          <cell r="AC243">
            <v>13851</v>
          </cell>
          <cell r="AD243">
            <v>258</v>
          </cell>
        </row>
        <row r="244">
          <cell r="B244" t="str">
            <v>Kab. Bojonegoro</v>
          </cell>
          <cell r="C244" t="str">
            <v>06-2005</v>
          </cell>
          <cell r="D244">
            <v>56728485.047650345</v>
          </cell>
          <cell r="E244">
            <v>351222969.74129754</v>
          </cell>
          <cell r="F244">
            <v>893781976.72909331</v>
          </cell>
          <cell r="G244">
            <v>488911843.17504287</v>
          </cell>
          <cell r="H244">
            <v>11097</v>
          </cell>
          <cell r="I244">
            <v>1790645274.693084</v>
          </cell>
          <cell r="J244">
            <v>14517274595.999998</v>
          </cell>
          <cell r="K244">
            <v>1399844856.55</v>
          </cell>
          <cell r="L244">
            <v>2109260050</v>
          </cell>
          <cell r="M244">
            <v>0</v>
          </cell>
          <cell r="N244">
            <v>969078540</v>
          </cell>
          <cell r="O244">
            <v>20786103317.243084</v>
          </cell>
          <cell r="P244">
            <v>249433239806.91699</v>
          </cell>
          <cell r="Q244">
            <v>6235830995.172925</v>
          </cell>
          <cell r="R244">
            <v>255669070802.0899</v>
          </cell>
          <cell r="S244">
            <v>20786103317.243084</v>
          </cell>
          <cell r="T244">
            <v>276455174119.33301</v>
          </cell>
          <cell r="V244" t="str">
            <v>K</v>
          </cell>
          <cell r="Y244">
            <v>221760126666</v>
          </cell>
          <cell r="Z244">
            <v>54695047453.333008</v>
          </cell>
          <cell r="AA244">
            <v>0.24664058537318101</v>
          </cell>
          <cell r="AC244">
            <v>10861</v>
          </cell>
          <cell r="AD244">
            <v>256</v>
          </cell>
        </row>
        <row r="245">
          <cell r="B245" t="str">
            <v>Kab. Lamongan</v>
          </cell>
          <cell r="C245" t="str">
            <v>06-2005</v>
          </cell>
          <cell r="D245">
            <v>34185724.613867894</v>
          </cell>
          <cell r="E245">
            <v>321395828.22700799</v>
          </cell>
          <cell r="F245">
            <v>919195388.09567964</v>
          </cell>
          <cell r="G245">
            <v>469974537.02309608</v>
          </cell>
          <cell r="H245">
            <v>10878</v>
          </cell>
          <cell r="I245">
            <v>1744751477.9596515</v>
          </cell>
          <cell r="J245">
            <v>14515422932.699999</v>
          </cell>
          <cell r="K245">
            <v>1443337152.75</v>
          </cell>
          <cell r="L245">
            <v>2109260050</v>
          </cell>
          <cell r="M245">
            <v>0</v>
          </cell>
          <cell r="N245">
            <v>973772580</v>
          </cell>
          <cell r="O245">
            <v>20786544193.409653</v>
          </cell>
          <cell r="P245">
            <v>249438530320.91583</v>
          </cell>
          <cell r="Q245">
            <v>6235963258.0228958</v>
          </cell>
          <cell r="R245">
            <v>255674493578.93872</v>
          </cell>
          <cell r="S245">
            <v>20786544193.409653</v>
          </cell>
          <cell r="T245">
            <v>276461037772.34839</v>
          </cell>
          <cell r="V245" t="str">
            <v>K</v>
          </cell>
          <cell r="Y245">
            <v>222279392543</v>
          </cell>
          <cell r="Z245">
            <v>54181645229.348389</v>
          </cell>
          <cell r="AA245">
            <v>0.24375469362895139</v>
          </cell>
          <cell r="AC245">
            <v>10886</v>
          </cell>
          <cell r="AD245">
            <v>0</v>
          </cell>
        </row>
        <row r="246">
          <cell r="B246" t="str">
            <v>Kab. Sidoarjo</v>
          </cell>
          <cell r="C246" t="str">
            <v>06-2005</v>
          </cell>
          <cell r="D246">
            <v>57223930.331909299</v>
          </cell>
          <cell r="E246">
            <v>352563515.42733306</v>
          </cell>
          <cell r="F246">
            <v>1142833408.1216393</v>
          </cell>
          <cell r="G246">
            <v>512789316.14923662</v>
          </cell>
          <cell r="H246">
            <v>12869</v>
          </cell>
          <cell r="I246">
            <v>2065410170.0301182</v>
          </cell>
          <cell r="J246">
            <v>17537176505</v>
          </cell>
          <cell r="K246">
            <v>1676922098.3499999</v>
          </cell>
          <cell r="L246">
            <v>2430748250</v>
          </cell>
          <cell r="M246">
            <v>678124703.25</v>
          </cell>
          <cell r="N246">
            <v>1181513940</v>
          </cell>
          <cell r="O246">
            <v>25569895666.630116</v>
          </cell>
          <cell r="P246">
            <v>306838747999.5614</v>
          </cell>
          <cell r="Q246">
            <v>7670968699.9890356</v>
          </cell>
          <cell r="R246">
            <v>314509716699.55042</v>
          </cell>
          <cell r="S246">
            <v>25569895666.630116</v>
          </cell>
          <cell r="T246">
            <v>340079612366.18054</v>
          </cell>
          <cell r="V246" t="str">
            <v>K</v>
          </cell>
          <cell r="Y246">
            <v>271828019762</v>
          </cell>
          <cell r="Z246">
            <v>68251592604.180542</v>
          </cell>
          <cell r="AA246">
            <v>0.25108372810109297</v>
          </cell>
          <cell r="AC246">
            <v>12646</v>
          </cell>
          <cell r="AD246">
            <v>264</v>
          </cell>
        </row>
        <row r="247">
          <cell r="B247" t="str">
            <v>Kab. Tuban</v>
          </cell>
          <cell r="C247" t="str">
            <v>06-2005</v>
          </cell>
          <cell r="D247">
            <v>39635622.740716398</v>
          </cell>
          <cell r="E247">
            <v>266936159.73181632</v>
          </cell>
          <cell r="F247">
            <v>712345621.63916194</v>
          </cell>
          <cell r="G247">
            <v>522504977.56632233</v>
          </cell>
          <cell r="H247">
            <v>9551</v>
          </cell>
          <cell r="I247">
            <v>1541422381.6780171</v>
          </cell>
          <cell r="J247">
            <v>12691382906.4</v>
          </cell>
          <cell r="K247">
            <v>1198690683.75</v>
          </cell>
          <cell r="L247">
            <v>1859525950</v>
          </cell>
          <cell r="M247">
            <v>520026269.39999998</v>
          </cell>
          <cell r="N247">
            <v>821366730</v>
          </cell>
          <cell r="O247">
            <v>18632414921.22802</v>
          </cell>
          <cell r="P247">
            <v>223588979054.73624</v>
          </cell>
          <cell r="Q247">
            <v>5589724476.3684063</v>
          </cell>
          <cell r="R247">
            <v>229178703531.10464</v>
          </cell>
          <cell r="S247">
            <v>18632414921.22802</v>
          </cell>
          <cell r="T247">
            <v>247811118452.33267</v>
          </cell>
          <cell r="V247" t="str">
            <v>K</v>
          </cell>
          <cell r="Y247">
            <v>199318507765</v>
          </cell>
          <cell r="Z247">
            <v>48492610687.332672</v>
          </cell>
          <cell r="AA247">
            <v>0.24329206169106135</v>
          </cell>
          <cell r="AC247">
            <v>9468</v>
          </cell>
          <cell r="AD247">
            <v>101</v>
          </cell>
        </row>
        <row r="248">
          <cell r="B248" t="str">
            <v>Provinsi Jawa Timur</v>
          </cell>
          <cell r="C248" t="str">
            <v>06-2005</v>
          </cell>
          <cell r="D248">
            <v>131750000</v>
          </cell>
          <cell r="E248">
            <v>1253651304.9716384</v>
          </cell>
          <cell r="F248">
            <v>2004284089.3854747</v>
          </cell>
          <cell r="G248">
            <v>265544888.88888887</v>
          </cell>
          <cell r="H248">
            <v>22785</v>
          </cell>
          <cell r="I248">
            <v>3655230283.2460017</v>
          </cell>
          <cell r="J248">
            <v>28454866966.999996</v>
          </cell>
          <cell r="K248">
            <v>2992786632.8499999</v>
          </cell>
          <cell r="L248">
            <v>1964034500</v>
          </cell>
          <cell r="M248">
            <v>0</v>
          </cell>
          <cell r="N248">
            <v>2133560850</v>
          </cell>
          <cell r="O248">
            <v>39200479233.096001</v>
          </cell>
          <cell r="P248">
            <v>470405750797.15198</v>
          </cell>
          <cell r="Q248">
            <v>11760143769.928801</v>
          </cell>
          <cell r="R248">
            <v>482165894567.08075</v>
          </cell>
          <cell r="S248">
            <v>39200479233.096001</v>
          </cell>
          <cell r="T248">
            <v>521366373800.17676</v>
          </cell>
          <cell r="V248" t="str">
            <v>P</v>
          </cell>
          <cell r="Y248">
            <v>420615183118</v>
          </cell>
          <cell r="Z248">
            <v>100751190682.17676</v>
          </cell>
          <cell r="AA248">
            <v>0.23953293824372449</v>
          </cell>
          <cell r="AC248">
            <v>23438</v>
          </cell>
          <cell r="AD248">
            <v>139</v>
          </cell>
        </row>
        <row r="249">
          <cell r="B249" t="str">
            <v>Kota Surabaya</v>
          </cell>
          <cell r="C249" t="str">
            <v>06-2005</v>
          </cell>
          <cell r="D249">
            <v>152844870.19388762</v>
          </cell>
          <cell r="E249">
            <v>592856329.64919412</v>
          </cell>
          <cell r="F249">
            <v>1386032053.8661227</v>
          </cell>
          <cell r="G249">
            <v>751399373.66376579</v>
          </cell>
          <cell r="H249">
            <v>17717</v>
          </cell>
          <cell r="I249">
            <v>2883132627.3729701</v>
          </cell>
          <cell r="J249">
            <v>23378763172</v>
          </cell>
          <cell r="K249">
            <v>2204734097.75</v>
          </cell>
          <cell r="L249">
            <v>3880088950</v>
          </cell>
          <cell r="M249">
            <v>0</v>
          </cell>
          <cell r="N249">
            <v>1545482500</v>
          </cell>
          <cell r="O249">
            <v>33892201347.122971</v>
          </cell>
          <cell r="P249">
            <v>406706416165.47565</v>
          </cell>
          <cell r="Q249">
            <v>10167660404.136892</v>
          </cell>
          <cell r="R249">
            <v>416874076569.61255</v>
          </cell>
          <cell r="S249">
            <v>33892201347.122971</v>
          </cell>
          <cell r="T249">
            <v>450766277916.73553</v>
          </cell>
          <cell r="V249" t="str">
            <v>K</v>
          </cell>
          <cell r="Y249">
            <v>371940391927</v>
          </cell>
          <cell r="Z249">
            <v>78825885989.735535</v>
          </cell>
          <cell r="AA249">
            <v>0.21193150219943452</v>
          </cell>
          <cell r="AC249">
            <v>18104</v>
          </cell>
          <cell r="AD249">
            <v>270</v>
          </cell>
        </row>
        <row r="250">
          <cell r="B250" t="str">
            <v>Kab. Gresik</v>
          </cell>
          <cell r="C250" t="str">
            <v>06-2005</v>
          </cell>
          <cell r="D250">
            <v>26754045.349983569</v>
          </cell>
          <cell r="E250">
            <v>266768591.5210619</v>
          </cell>
          <cell r="F250">
            <v>754085224.55034304</v>
          </cell>
          <cell r="G250">
            <v>323251582.4023608</v>
          </cell>
          <cell r="H250">
            <v>8559</v>
          </cell>
          <cell r="I250">
            <v>1370859443.8237493</v>
          </cell>
          <cell r="J250">
            <v>11096840532.5</v>
          </cell>
          <cell r="K250">
            <v>1177680512.6499999</v>
          </cell>
          <cell r="L250">
            <v>1557438850</v>
          </cell>
          <cell r="M250">
            <v>0</v>
          </cell>
          <cell r="N250">
            <v>810173250</v>
          </cell>
          <cell r="O250">
            <v>16012992588.973749</v>
          </cell>
          <cell r="P250">
            <v>192155911067.685</v>
          </cell>
          <cell r="Q250">
            <v>4803897776.6921253</v>
          </cell>
          <cell r="R250">
            <v>196959808844.37714</v>
          </cell>
          <cell r="S250">
            <v>16012992588.973749</v>
          </cell>
          <cell r="T250">
            <v>212972801433.35089</v>
          </cell>
          <cell r="V250" t="str">
            <v>K</v>
          </cell>
          <cell r="Y250">
            <v>174481904025</v>
          </cell>
          <cell r="Z250">
            <v>38490897408.350891</v>
          </cell>
          <cell r="AA250">
            <v>0.22060108538726092</v>
          </cell>
          <cell r="AC250">
            <v>8267</v>
          </cell>
          <cell r="AD250">
            <v>270</v>
          </cell>
        </row>
        <row r="251">
          <cell r="B251" t="str">
            <v>Kab. Jombang</v>
          </cell>
          <cell r="C251" t="str">
            <v>06-2005</v>
          </cell>
          <cell r="D251">
            <v>51030864.27867236</v>
          </cell>
          <cell r="E251">
            <v>363120312.70486253</v>
          </cell>
          <cell r="F251">
            <v>884694756.90710187</v>
          </cell>
          <cell r="G251">
            <v>451695919.78078228</v>
          </cell>
          <cell r="H251">
            <v>10860</v>
          </cell>
          <cell r="I251">
            <v>1750541853.6714189</v>
          </cell>
          <cell r="J251">
            <v>14112167965.749998</v>
          </cell>
          <cell r="K251">
            <v>1416423040.3499999</v>
          </cell>
          <cell r="L251">
            <v>1931849600</v>
          </cell>
          <cell r="M251">
            <v>0</v>
          </cell>
          <cell r="N251">
            <v>978617070</v>
          </cell>
          <cell r="O251">
            <v>20189599529.771416</v>
          </cell>
          <cell r="P251">
            <v>242275194357.25699</v>
          </cell>
          <cell r="Q251">
            <v>6056879858.9314251</v>
          </cell>
          <cell r="R251">
            <v>248332074216.18842</v>
          </cell>
          <cell r="S251">
            <v>20189599529.771416</v>
          </cell>
          <cell r="T251">
            <v>268521673745.95984</v>
          </cell>
          <cell r="V251" t="str">
            <v>K</v>
          </cell>
          <cell r="Y251">
            <v>219722721725</v>
          </cell>
          <cell r="Z251">
            <v>48798952020.959839</v>
          </cell>
          <cell r="AA251">
            <v>0.22209333489886179</v>
          </cell>
          <cell r="AC251">
            <v>10641</v>
          </cell>
          <cell r="AD251">
            <v>283</v>
          </cell>
        </row>
        <row r="252">
          <cell r="B252" t="str">
            <v>Kab. Mojokerto</v>
          </cell>
          <cell r="C252" t="str">
            <v>06-2005</v>
          </cell>
          <cell r="D252">
            <v>34681169.898126848</v>
          </cell>
          <cell r="E252">
            <v>305141711.78382772</v>
          </cell>
          <cell r="F252">
            <v>762864403.0224365</v>
          </cell>
          <cell r="G252">
            <v>324239615.76681018</v>
          </cell>
          <cell r="H252">
            <v>8883</v>
          </cell>
          <cell r="I252">
            <v>1426926900.4712012</v>
          </cell>
          <cell r="J252">
            <v>11550679545.5</v>
          </cell>
          <cell r="K252">
            <v>1162816350.9499998</v>
          </cell>
          <cell r="L252">
            <v>1614301250</v>
          </cell>
          <cell r="M252">
            <v>0</v>
          </cell>
          <cell r="N252">
            <v>805509300</v>
          </cell>
          <cell r="O252">
            <v>16560233346.9212</v>
          </cell>
          <cell r="P252">
            <v>198722800163.05438</v>
          </cell>
          <cell r="Q252">
            <v>4968070004.0763597</v>
          </cell>
          <cell r="R252">
            <v>203690870167.13074</v>
          </cell>
          <cell r="S252">
            <v>16560233346.9212</v>
          </cell>
          <cell r="T252">
            <v>220251103514.05194</v>
          </cell>
          <cell r="V252" t="str">
            <v>K</v>
          </cell>
          <cell r="Y252">
            <v>180382939880</v>
          </cell>
          <cell r="Z252">
            <v>39868163634.051941</v>
          </cell>
          <cell r="AA252">
            <v>0.22101959121286244</v>
          </cell>
          <cell r="AC252">
            <v>8888</v>
          </cell>
          <cell r="AD252">
            <v>199</v>
          </cell>
        </row>
        <row r="253">
          <cell r="B253" t="str">
            <v>Kota Mojokerto</v>
          </cell>
          <cell r="C253" t="str">
            <v>06-2005</v>
          </cell>
          <cell r="D253">
            <v>24276818.928688794</v>
          </cell>
          <cell r="E253">
            <v>133384295.76053095</v>
          </cell>
          <cell r="F253">
            <v>216091006.95345819</v>
          </cell>
          <cell r="G253">
            <v>103084814.35755366</v>
          </cell>
          <cell r="H253">
            <v>2923</v>
          </cell>
          <cell r="I253">
            <v>476836936.00023156</v>
          </cell>
          <cell r="J253">
            <v>3620857684.9999995</v>
          </cell>
          <cell r="K253">
            <v>343486455.09999996</v>
          </cell>
          <cell r="L253">
            <v>501588550</v>
          </cell>
          <cell r="M253">
            <v>0</v>
          </cell>
          <cell r="N253">
            <v>251642670</v>
          </cell>
          <cell r="O253">
            <v>5194412296.1002312</v>
          </cell>
          <cell r="P253">
            <v>62332947553.202774</v>
          </cell>
          <cell r="Q253">
            <v>1558323688.8300695</v>
          </cell>
          <cell r="R253">
            <v>63891271242.032845</v>
          </cell>
          <cell r="S253">
            <v>5194412296.1002312</v>
          </cell>
          <cell r="T253">
            <v>69085683538.133072</v>
          </cell>
          <cell r="V253" t="str">
            <v>K</v>
          </cell>
          <cell r="Y253">
            <v>56230620017</v>
          </cell>
          <cell r="Z253">
            <v>12855063521.133072</v>
          </cell>
          <cell r="AA253">
            <v>0.22861322740611159</v>
          </cell>
          <cell r="AC253">
            <v>2763</v>
          </cell>
          <cell r="AD253">
            <v>147</v>
          </cell>
        </row>
        <row r="254">
          <cell r="B254" t="str">
            <v>Kota Probollinggo</v>
          </cell>
          <cell r="C254" t="str">
            <v>06-2005</v>
          </cell>
          <cell r="D254">
            <v>13129300.032862308</v>
          </cell>
          <cell r="E254">
            <v>136232955.34335634</v>
          </cell>
          <cell r="F254">
            <v>234727508.62228817</v>
          </cell>
          <cell r="G254">
            <v>142276804.48071304</v>
          </cell>
          <cell r="H254">
            <v>3254</v>
          </cell>
          <cell r="I254">
            <v>526366568.47921979</v>
          </cell>
          <cell r="J254">
            <v>4083083624.9999995</v>
          </cell>
          <cell r="K254">
            <v>392981131.44999999</v>
          </cell>
          <cell r="L254">
            <v>610285950</v>
          </cell>
          <cell r="M254">
            <v>164815394.09999999</v>
          </cell>
          <cell r="N254">
            <v>283538100</v>
          </cell>
          <cell r="O254">
            <v>6061070769.0292196</v>
          </cell>
          <cell r="P254">
            <v>72732849228.350632</v>
          </cell>
          <cell r="Q254">
            <v>1818321230.708766</v>
          </cell>
          <cell r="R254">
            <v>74551170459.059402</v>
          </cell>
          <cell r="S254">
            <v>6061070769.0292196</v>
          </cell>
          <cell r="T254">
            <v>80612241228.088623</v>
          </cell>
          <cell r="V254" t="str">
            <v>K</v>
          </cell>
          <cell r="Y254">
            <v>64081836091</v>
          </cell>
          <cell r="Z254">
            <v>16530405137.088623</v>
          </cell>
          <cell r="AA254">
            <v>0.25795773257205784</v>
          </cell>
          <cell r="AC254">
            <v>3142</v>
          </cell>
          <cell r="AD254">
            <v>259</v>
          </cell>
        </row>
        <row r="255">
          <cell r="B255" t="str">
            <v xml:space="preserve">Kab. Probolinggo    </v>
          </cell>
          <cell r="C255" t="str">
            <v>06-2005</v>
          </cell>
          <cell r="D255">
            <v>50287696.352283932</v>
          </cell>
          <cell r="E255">
            <v>357255425.32845724</v>
          </cell>
          <cell r="F255">
            <v>751928935.10105693</v>
          </cell>
          <cell r="G255">
            <v>289823120.23848951</v>
          </cell>
          <cell r="H255">
            <v>8977</v>
          </cell>
          <cell r="I255">
            <v>1449295177.0202875</v>
          </cell>
          <cell r="J255">
            <v>11520666098</v>
          </cell>
          <cell r="K255">
            <v>1197773274.6999998</v>
          </cell>
          <cell r="L255">
            <v>1609682550</v>
          </cell>
          <cell r="M255">
            <v>0</v>
          </cell>
          <cell r="N255">
            <v>832048680</v>
          </cell>
          <cell r="O255">
            <v>16609465779.720287</v>
          </cell>
          <cell r="P255">
            <v>199313589356.64343</v>
          </cell>
          <cell r="Q255">
            <v>4982839733.9160862</v>
          </cell>
          <cell r="R255">
            <v>204296429090.55951</v>
          </cell>
          <cell r="S255">
            <v>16609465779.720287</v>
          </cell>
          <cell r="T255">
            <v>220905894870.27979</v>
          </cell>
          <cell r="V255" t="str">
            <v>K</v>
          </cell>
          <cell r="Y255">
            <v>180749786711</v>
          </cell>
          <cell r="Z255">
            <v>40156108159.279785</v>
          </cell>
          <cell r="AA255">
            <v>0.22216406940211333</v>
          </cell>
          <cell r="AC255">
            <v>8928</v>
          </cell>
          <cell r="AD255">
            <v>0</v>
          </cell>
        </row>
        <row r="256">
          <cell r="B256" t="str">
            <v>Kab. Situbondo</v>
          </cell>
          <cell r="C256" t="str">
            <v>06-2005</v>
          </cell>
          <cell r="D256">
            <v>32451666.11896155</v>
          </cell>
          <cell r="E256">
            <v>247665815.49505621</v>
          </cell>
          <cell r="F256">
            <v>621627444.0941962</v>
          </cell>
          <cell r="G256">
            <v>220825456.95444003</v>
          </cell>
          <cell r="H256">
            <v>6986</v>
          </cell>
          <cell r="I256">
            <v>1122570382.6626542</v>
          </cell>
          <cell r="J256">
            <v>9059415950</v>
          </cell>
          <cell r="K256">
            <v>911465453.24999988</v>
          </cell>
          <cell r="L256">
            <v>1227280050</v>
          </cell>
          <cell r="M256">
            <v>0</v>
          </cell>
          <cell r="N256">
            <v>629061540</v>
          </cell>
          <cell r="O256">
            <v>12949793375.912655</v>
          </cell>
          <cell r="P256">
            <v>155397520510.95184</v>
          </cell>
          <cell r="Q256">
            <v>3884938012.7737961</v>
          </cell>
          <cell r="R256">
            <v>159282458523.72565</v>
          </cell>
          <cell r="S256">
            <v>12949793375.912655</v>
          </cell>
          <cell r="T256">
            <v>172232251899.63831</v>
          </cell>
          <cell r="V256" t="str">
            <v>K</v>
          </cell>
          <cell r="Y256">
            <v>140912146375</v>
          </cell>
          <cell r="Z256">
            <v>31320105524.638306</v>
          </cell>
          <cell r="AA256">
            <v>0.22226689700182567</v>
          </cell>
          <cell r="AC256">
            <v>6906</v>
          </cell>
          <cell r="AD256">
            <v>269</v>
          </cell>
        </row>
        <row r="257">
          <cell r="B257" t="str">
            <v>Kab. Bondowoso</v>
          </cell>
          <cell r="C257" t="str">
            <v>06-2005</v>
          </cell>
          <cell r="D257">
            <v>45085520.867564902</v>
          </cell>
          <cell r="E257">
            <v>314357963.37532169</v>
          </cell>
          <cell r="F257">
            <v>767022961.24605978</v>
          </cell>
          <cell r="G257">
            <v>165330916.31786561</v>
          </cell>
          <cell r="H257">
            <v>8042</v>
          </cell>
          <cell r="I257">
            <v>1291797361.806812</v>
          </cell>
          <cell r="J257">
            <v>10111954646</v>
          </cell>
          <cell r="K257">
            <v>992025599.39999998</v>
          </cell>
          <cell r="L257">
            <v>1394116650</v>
          </cell>
          <cell r="M257">
            <v>0</v>
          </cell>
          <cell r="N257">
            <v>706510476</v>
          </cell>
          <cell r="O257">
            <v>14496404733.206812</v>
          </cell>
          <cell r="P257">
            <v>173956856798.48175</v>
          </cell>
          <cell r="Q257">
            <v>4348921419.9620438</v>
          </cell>
          <cell r="R257">
            <v>178305778218.44379</v>
          </cell>
          <cell r="S257">
            <v>14496404733.206812</v>
          </cell>
          <cell r="T257">
            <v>192802182951.6506</v>
          </cell>
          <cell r="V257" t="str">
            <v>K</v>
          </cell>
          <cell r="Y257">
            <v>157352378365</v>
          </cell>
          <cell r="Z257">
            <v>35449804586.650604</v>
          </cell>
          <cell r="AA257">
            <v>0.22528928354943586</v>
          </cell>
          <cell r="AC257">
            <v>7832</v>
          </cell>
          <cell r="AD257">
            <v>271</v>
          </cell>
        </row>
        <row r="258">
          <cell r="B258" t="str">
            <v>Kab. Pamekasan</v>
          </cell>
          <cell r="C258" t="str">
            <v>06-2005</v>
          </cell>
          <cell r="D258">
            <v>47810469.930989154</v>
          </cell>
          <cell r="E258">
            <v>312347144.84626842</v>
          </cell>
          <cell r="F258">
            <v>795824827.46152425</v>
          </cell>
          <cell r="G258">
            <v>159567388.35857749</v>
          </cell>
          <cell r="H258">
            <v>8193</v>
          </cell>
          <cell r="I258">
            <v>1315549830.5973594</v>
          </cell>
          <cell r="J258">
            <v>10425677360</v>
          </cell>
          <cell r="K258">
            <v>1044416840.55</v>
          </cell>
          <cell r="L258">
            <v>1401527900</v>
          </cell>
          <cell r="M258">
            <v>409094083.89999998</v>
          </cell>
          <cell r="N258">
            <v>749933070</v>
          </cell>
          <cell r="O258">
            <v>15346199085.047358</v>
          </cell>
          <cell r="P258">
            <v>184154389020.5683</v>
          </cell>
          <cell r="Q258">
            <v>4603859725.5142078</v>
          </cell>
          <cell r="R258">
            <v>188758248746.08252</v>
          </cell>
          <cell r="S258">
            <v>15346199085.047358</v>
          </cell>
          <cell r="T258">
            <v>204104447831.12988</v>
          </cell>
          <cell r="V258" t="str">
            <v>K</v>
          </cell>
          <cell r="Y258">
            <v>162255468869</v>
          </cell>
          <cell r="Z258">
            <v>41848978962.129883</v>
          </cell>
          <cell r="AA258">
            <v>0.25792029848878278</v>
          </cell>
          <cell r="AC258">
            <v>8021</v>
          </cell>
          <cell r="AD258">
            <v>227</v>
          </cell>
        </row>
        <row r="259">
          <cell r="B259" t="str">
            <v>Kab. Sumenep</v>
          </cell>
          <cell r="C259" t="str">
            <v>06-2005</v>
          </cell>
          <cell r="D259">
            <v>49544528.425895497</v>
          </cell>
          <cell r="E259">
            <v>387417703.2642557</v>
          </cell>
          <cell r="F259">
            <v>939372096.5139997</v>
          </cell>
          <cell r="G259">
            <v>225600951.5492788</v>
          </cell>
          <cell r="H259">
            <v>9981</v>
          </cell>
          <cell r="I259">
            <v>1601935279.7534297</v>
          </cell>
          <cell r="J259">
            <v>13751769050.599998</v>
          </cell>
          <cell r="K259">
            <v>0</v>
          </cell>
          <cell r="L259">
            <v>1695061484</v>
          </cell>
          <cell r="M259">
            <v>484577072.04999995</v>
          </cell>
          <cell r="N259">
            <v>930142080</v>
          </cell>
          <cell r="O259">
            <v>18463484966.403427</v>
          </cell>
          <cell r="P259">
            <v>221561819596.84113</v>
          </cell>
          <cell r="Q259">
            <v>5539045489.9210281</v>
          </cell>
          <cell r="R259">
            <v>227100865086.76215</v>
          </cell>
          <cell r="S259">
            <v>18463484966.403427</v>
          </cell>
          <cell r="T259">
            <v>245564350053.16559</v>
          </cell>
          <cell r="V259" t="str">
            <v>K</v>
          </cell>
          <cell r="Y259">
            <v>195060254675</v>
          </cell>
          <cell r="Z259">
            <v>50504095378.165588</v>
          </cell>
          <cell r="AA259">
            <v>0.25891535650003678</v>
          </cell>
          <cell r="AC259">
            <v>9731</v>
          </cell>
          <cell r="AD259">
            <v>250</v>
          </cell>
        </row>
        <row r="260">
          <cell r="B260" t="str">
            <v>Kab. Bangkalan</v>
          </cell>
          <cell r="C260" t="str">
            <v>06-2005</v>
          </cell>
          <cell r="D260">
            <v>33442556.687479462</v>
          </cell>
          <cell r="E260">
            <v>329103965.92171204</v>
          </cell>
          <cell r="F260">
            <v>738991198.40534031</v>
          </cell>
          <cell r="G260">
            <v>225106934.86705408</v>
          </cell>
          <cell r="H260">
            <v>8264</v>
          </cell>
          <cell r="I260">
            <v>1326644655.8815858</v>
          </cell>
          <cell r="J260">
            <v>10488428145</v>
          </cell>
          <cell r="K260">
            <v>992169076.8499999</v>
          </cell>
          <cell r="L260">
            <v>1464793100</v>
          </cell>
          <cell r="M260">
            <v>416584689.39999998</v>
          </cell>
          <cell r="N260">
            <v>725921250</v>
          </cell>
          <cell r="O260">
            <v>15414540917.131586</v>
          </cell>
          <cell r="P260">
            <v>184974491005.57904</v>
          </cell>
          <cell r="Q260">
            <v>4624362275.1394758</v>
          </cell>
          <cell r="R260">
            <v>189598853280.71851</v>
          </cell>
          <cell r="S260">
            <v>15414540917.131586</v>
          </cell>
          <cell r="T260">
            <v>205013394197.8501</v>
          </cell>
          <cell r="V260" t="str">
            <v>K</v>
          </cell>
          <cell r="Y260">
            <v>162969169025</v>
          </cell>
          <cell r="Z260">
            <v>42044225172.850098</v>
          </cell>
          <cell r="AA260">
            <v>0.257988829570582</v>
          </cell>
          <cell r="AC260">
            <v>8044</v>
          </cell>
          <cell r="AD260">
            <v>298</v>
          </cell>
        </row>
        <row r="261">
          <cell r="B261" t="str">
            <v>Kab. Sampang</v>
          </cell>
          <cell r="C261" t="str">
            <v>06-2005</v>
          </cell>
          <cell r="D261">
            <v>42112849.162011176</v>
          </cell>
          <cell r="E261">
            <v>317541759.37965596</v>
          </cell>
          <cell r="F261">
            <v>552780202.39198959</v>
          </cell>
          <cell r="G261">
            <v>104072847.72200306</v>
          </cell>
          <cell r="H261">
            <v>6286</v>
          </cell>
          <cell r="I261">
            <v>1016507658.6556598</v>
          </cell>
          <cell r="J261">
            <v>7651039607.999999</v>
          </cell>
          <cell r="K261">
            <v>734109066.5</v>
          </cell>
          <cell r="L261">
            <v>1160363850</v>
          </cell>
          <cell r="M261">
            <v>303452773.54999995</v>
          </cell>
          <cell r="N261">
            <v>551128440</v>
          </cell>
          <cell r="O261">
            <v>11416601396.705658</v>
          </cell>
          <cell r="P261">
            <v>136999216760.4679</v>
          </cell>
          <cell r="Q261">
            <v>3424980419.0116978</v>
          </cell>
          <cell r="R261">
            <v>140424197179.47958</v>
          </cell>
          <cell r="S261">
            <v>11416601396.705658</v>
          </cell>
          <cell r="T261">
            <v>151840798576.18524</v>
          </cell>
          <cell r="V261" t="str">
            <v>K</v>
          </cell>
          <cell r="Y261">
            <v>120468372661</v>
          </cell>
          <cell r="Z261">
            <v>31372425915.185242</v>
          </cell>
          <cell r="AA261">
            <v>0.26042043419535321</v>
          </cell>
          <cell r="AC261">
            <v>6021</v>
          </cell>
          <cell r="AD261">
            <v>274</v>
          </cell>
        </row>
        <row r="262">
          <cell r="B262" t="str">
            <v>Kota Madiun</v>
          </cell>
          <cell r="C262" t="str">
            <v>06-2005</v>
          </cell>
          <cell r="D262">
            <v>39883345.382845879</v>
          </cell>
          <cell r="E262">
            <v>141260001.66598943</v>
          </cell>
          <cell r="F262">
            <v>366107144.35379195</v>
          </cell>
          <cell r="G262">
            <v>203040856.39435092</v>
          </cell>
          <cell r="H262">
            <v>4614</v>
          </cell>
          <cell r="I262">
            <v>750291347.79697812</v>
          </cell>
          <cell r="J262">
            <v>5940035522</v>
          </cell>
          <cell r="K262">
            <v>542763455.29999995</v>
          </cell>
          <cell r="L262">
            <v>821369250</v>
          </cell>
          <cell r="M262">
            <v>0</v>
          </cell>
          <cell r="N262">
            <v>386927310</v>
          </cell>
          <cell r="O262">
            <v>8441386885.0969782</v>
          </cell>
          <cell r="P262">
            <v>101296642621.16374</v>
          </cell>
          <cell r="Q262">
            <v>2532416065.5290937</v>
          </cell>
          <cell r="R262">
            <v>103829058686.69284</v>
          </cell>
          <cell r="S262">
            <v>8441386885.0969782</v>
          </cell>
          <cell r="T262">
            <v>112270445571.78983</v>
          </cell>
          <cell r="V262" t="str">
            <v>K</v>
          </cell>
          <cell r="Y262">
            <v>88991669806</v>
          </cell>
          <cell r="Z262">
            <v>23278775765.789825</v>
          </cell>
          <cell r="AA262">
            <v>0.26158376190195187</v>
          </cell>
          <cell r="AC262">
            <v>4383</v>
          </cell>
          <cell r="AD262">
            <v>273</v>
          </cell>
        </row>
        <row r="263">
          <cell r="B263" t="str">
            <v>Kab. Madiun</v>
          </cell>
          <cell r="C263" t="str">
            <v>06-2005</v>
          </cell>
          <cell r="D263">
            <v>54498981.268485047</v>
          </cell>
          <cell r="E263">
            <v>291736254.92347282</v>
          </cell>
          <cell r="F263">
            <v>842801133.32097173</v>
          </cell>
          <cell r="G263">
            <v>307937065.25339514</v>
          </cell>
          <cell r="H263">
            <v>9303</v>
          </cell>
          <cell r="I263">
            <v>1496973434.7663248</v>
          </cell>
          <cell r="J263">
            <v>12004727743.5</v>
          </cell>
          <cell r="K263">
            <v>1113220154.8999999</v>
          </cell>
          <cell r="L263">
            <v>1664647050</v>
          </cell>
          <cell r="M263">
            <v>0</v>
          </cell>
          <cell r="N263">
            <v>782099280</v>
          </cell>
          <cell r="O263">
            <v>17061667663.166325</v>
          </cell>
          <cell r="P263">
            <v>204740011957.99591</v>
          </cell>
          <cell r="Q263">
            <v>5118500298.9498978</v>
          </cell>
          <cell r="R263">
            <v>209858512256.9458</v>
          </cell>
          <cell r="S263">
            <v>17061667663.166325</v>
          </cell>
          <cell r="T263">
            <v>226920179920.11212</v>
          </cell>
          <cell r="V263" t="str">
            <v>K</v>
          </cell>
          <cell r="Y263">
            <v>180097548098</v>
          </cell>
          <cell r="Z263">
            <v>46822631822.112122</v>
          </cell>
          <cell r="AA263">
            <v>0.25998483775378001</v>
          </cell>
          <cell r="AC263">
            <v>9129</v>
          </cell>
          <cell r="AD263">
            <v>231</v>
          </cell>
        </row>
        <row r="264">
          <cell r="B264" t="str">
            <v>Kab. Magetan</v>
          </cell>
          <cell r="C264" t="str">
            <v>06-2005</v>
          </cell>
          <cell r="D264">
            <v>70105507.722642124</v>
          </cell>
          <cell r="E264">
            <v>278665934.48462683</v>
          </cell>
          <cell r="F264">
            <v>879458053.9588356</v>
          </cell>
          <cell r="G264">
            <v>421066885.48285097</v>
          </cell>
          <cell r="H264">
            <v>10213</v>
          </cell>
          <cell r="I264">
            <v>1649296381.6489556</v>
          </cell>
          <cell r="J264">
            <v>13394462930.499998</v>
          </cell>
          <cell r="K264">
            <v>1221938261.5</v>
          </cell>
          <cell r="L264">
            <v>1875653950</v>
          </cell>
          <cell r="M264">
            <v>0</v>
          </cell>
          <cell r="N264">
            <v>851035470</v>
          </cell>
          <cell r="O264">
            <v>18992386993.648956</v>
          </cell>
          <cell r="P264">
            <v>227908643923.78748</v>
          </cell>
          <cell r="Q264">
            <v>5697716098.0946875</v>
          </cell>
          <cell r="R264">
            <v>233606360021.88217</v>
          </cell>
          <cell r="S264">
            <v>18992386993.648956</v>
          </cell>
          <cell r="T264">
            <v>252598747015.53113</v>
          </cell>
          <cell r="V264" t="str">
            <v>K</v>
          </cell>
          <cell r="Y264">
            <v>200675845500</v>
          </cell>
          <cell r="Z264">
            <v>51922901515.531128</v>
          </cell>
          <cell r="AA264">
            <v>0.25874016569438663</v>
          </cell>
          <cell r="AC264">
            <v>10311</v>
          </cell>
          <cell r="AD264">
            <v>238</v>
          </cell>
        </row>
        <row r="265">
          <cell r="B265" t="str">
            <v>Kab. Ngawi</v>
          </cell>
          <cell r="C265" t="str">
            <v>06-2005</v>
          </cell>
          <cell r="D265">
            <v>72582734.143936902</v>
          </cell>
          <cell r="E265">
            <v>365801404.0769335</v>
          </cell>
          <cell r="F265">
            <v>921505698.21991479</v>
          </cell>
          <cell r="G265">
            <v>418102785.38950282</v>
          </cell>
          <cell r="H265">
            <v>10998</v>
          </cell>
          <cell r="I265">
            <v>1777992621.8302879</v>
          </cell>
          <cell r="J265">
            <v>14259100055.999998</v>
          </cell>
          <cell r="K265">
            <v>1372229957.1499999</v>
          </cell>
          <cell r="L265">
            <v>1900334425</v>
          </cell>
          <cell r="M265">
            <v>0</v>
          </cell>
          <cell r="N265">
            <v>948617340</v>
          </cell>
          <cell r="O265">
            <v>20258274399.980286</v>
          </cell>
          <cell r="P265">
            <v>243099292799.76343</v>
          </cell>
          <cell r="Q265">
            <v>6077482319.9940863</v>
          </cell>
          <cell r="R265">
            <v>249176775119.75751</v>
          </cell>
          <cell r="S265">
            <v>20258274399.980286</v>
          </cell>
          <cell r="T265">
            <v>269435049519.73779</v>
          </cell>
          <cell r="V265" t="str">
            <v>K</v>
          </cell>
          <cell r="Y265">
            <v>213738364398</v>
          </cell>
          <cell r="Z265">
            <v>55696685121.737793</v>
          </cell>
          <cell r="AA265">
            <v>0.26058347212775324</v>
          </cell>
          <cell r="AC265">
            <v>10674</v>
          </cell>
          <cell r="AD265">
            <v>308</v>
          </cell>
        </row>
        <row r="266">
          <cell r="B266" t="str">
            <v>Kab. Ponorogo</v>
          </cell>
          <cell r="C266" t="str">
            <v>06-2005</v>
          </cell>
          <cell r="D266">
            <v>46819579.362471245</v>
          </cell>
          <cell r="E266">
            <v>308995780.63117975</v>
          </cell>
          <cell r="F266">
            <v>997899952.99462271</v>
          </cell>
          <cell r="G266">
            <v>379898828.6307928</v>
          </cell>
          <cell r="H266">
            <v>10819</v>
          </cell>
          <cell r="I266">
            <v>1733614141.6190665</v>
          </cell>
          <cell r="J266">
            <v>14159428681.999998</v>
          </cell>
          <cell r="K266">
            <v>1342538216.3999999</v>
          </cell>
          <cell r="L266">
            <v>1986191600</v>
          </cell>
          <cell r="M266">
            <v>0</v>
          </cell>
          <cell r="N266">
            <v>921957600</v>
          </cell>
          <cell r="O266">
            <v>20143730240.019066</v>
          </cell>
          <cell r="P266">
            <v>241724762880.22879</v>
          </cell>
          <cell r="Q266">
            <v>6043119072.0057201</v>
          </cell>
          <cell r="R266">
            <v>247767881952.2345</v>
          </cell>
          <cell r="S266">
            <v>20143730240.019066</v>
          </cell>
          <cell r="T266">
            <v>267911612192.25357</v>
          </cell>
          <cell r="V266" t="str">
            <v>K</v>
          </cell>
          <cell r="Y266">
            <v>213045565408</v>
          </cell>
          <cell r="Z266">
            <v>54866046784.253571</v>
          </cell>
          <cell r="AA266">
            <v>0.25753198232115521</v>
          </cell>
          <cell r="AC266">
            <v>10804</v>
          </cell>
          <cell r="AD266">
            <v>0</v>
          </cell>
        </row>
        <row r="267">
          <cell r="B267" t="str">
            <v>Provinsi Kalimantan Barat</v>
          </cell>
          <cell r="C267" t="str">
            <v>06-2005</v>
          </cell>
          <cell r="D267">
            <v>17000000</v>
          </cell>
          <cell r="E267">
            <v>291088003.16983652</v>
          </cell>
          <cell r="F267">
            <v>543461941.55565107</v>
          </cell>
          <cell r="G267">
            <v>63130222.222222216</v>
          </cell>
          <cell r="H267">
            <v>5772</v>
          </cell>
          <cell r="I267">
            <v>914680166.9477098</v>
          </cell>
          <cell r="J267">
            <v>7178781481.999999</v>
          </cell>
          <cell r="K267">
            <v>732276780.69999993</v>
          </cell>
          <cell r="L267">
            <v>616190300</v>
          </cell>
          <cell r="M267">
            <v>246280146.34999999</v>
          </cell>
          <cell r="N267">
            <v>542191710</v>
          </cell>
          <cell r="O267">
            <v>10230400585.997709</v>
          </cell>
          <cell r="P267">
            <v>122764807031.9725</v>
          </cell>
          <cell r="Q267">
            <v>3069120175.7993126</v>
          </cell>
          <cell r="R267">
            <v>125833927207.77182</v>
          </cell>
          <cell r="S267">
            <v>10230400585.997709</v>
          </cell>
          <cell r="T267">
            <v>136064327793.76953</v>
          </cell>
          <cell r="V267" t="str">
            <v>P</v>
          </cell>
          <cell r="Y267">
            <v>107276096681</v>
          </cell>
          <cell r="Z267">
            <v>28788231112.769531</v>
          </cell>
          <cell r="AA267">
            <v>0.26835643730005609</v>
          </cell>
          <cell r="AC267">
            <v>5705</v>
          </cell>
          <cell r="AD267">
            <v>143</v>
          </cell>
        </row>
        <row r="268">
          <cell r="B268" t="str">
            <v>Kota Pontianak</v>
          </cell>
          <cell r="C268" t="str">
            <v>06-2005</v>
          </cell>
          <cell r="D268">
            <v>14367913.243509695</v>
          </cell>
          <cell r="E268">
            <v>188346668.88798591</v>
          </cell>
          <cell r="F268">
            <v>657822302.70721304</v>
          </cell>
          <cell r="G268">
            <v>208475039.89882258</v>
          </cell>
          <cell r="H268">
            <v>6719</v>
          </cell>
          <cell r="I268">
            <v>1069011924.7375312</v>
          </cell>
          <cell r="J268">
            <v>8771254044.5</v>
          </cell>
          <cell r="K268">
            <v>754646788.8499999</v>
          </cell>
          <cell r="L268">
            <v>1212115500</v>
          </cell>
          <cell r="M268">
            <v>351989064.04999995</v>
          </cell>
          <cell r="N268">
            <v>564157410</v>
          </cell>
          <cell r="O268">
            <v>12723174732.137531</v>
          </cell>
          <cell r="P268">
            <v>152678096785.65039</v>
          </cell>
          <cell r="Q268">
            <v>3816952419.6412601</v>
          </cell>
          <cell r="R268">
            <v>156495049205.29166</v>
          </cell>
          <cell r="S268">
            <v>12723174732.137531</v>
          </cell>
          <cell r="T268">
            <v>169218223937.4292</v>
          </cell>
          <cell r="V268" t="str">
            <v>K</v>
          </cell>
          <cell r="Y268">
            <v>134759097694</v>
          </cell>
          <cell r="Z268">
            <v>34459126243.429199</v>
          </cell>
          <cell r="AA268">
            <v>0.25570909002133707</v>
          </cell>
          <cell r="AC268">
            <v>6549</v>
          </cell>
          <cell r="AD268">
            <v>246</v>
          </cell>
        </row>
        <row r="269">
          <cell r="B269" t="str">
            <v>Kab. Pontianak</v>
          </cell>
          <cell r="C269" t="str">
            <v>06-2005</v>
          </cell>
          <cell r="D269">
            <v>31956220.834702596</v>
          </cell>
          <cell r="E269">
            <v>373509541.7716375</v>
          </cell>
          <cell r="F269">
            <v>888699294.4557761</v>
          </cell>
          <cell r="G269">
            <v>148534349.12222588</v>
          </cell>
          <cell r="H269">
            <v>9030</v>
          </cell>
          <cell r="I269">
            <v>1442699406.1843419</v>
          </cell>
          <cell r="J269">
            <v>11214379215</v>
          </cell>
          <cell r="K269">
            <v>1088659322</v>
          </cell>
          <cell r="L269">
            <v>1507691000</v>
          </cell>
          <cell r="M269">
            <v>433164775.29999995</v>
          </cell>
          <cell r="N269">
            <v>818026740</v>
          </cell>
          <cell r="O269">
            <v>16504620458.484341</v>
          </cell>
          <cell r="P269">
            <v>198055445501.81207</v>
          </cell>
          <cell r="Q269">
            <v>4951386137.5453024</v>
          </cell>
          <cell r="R269">
            <v>203006831639.35736</v>
          </cell>
          <cell r="S269">
            <v>16504620458.484341</v>
          </cell>
          <cell r="T269">
            <v>219511452097.84171</v>
          </cell>
          <cell r="V269" t="str">
            <v>K</v>
          </cell>
          <cell r="Y269">
            <v>174214546597</v>
          </cell>
          <cell r="Z269">
            <v>45296905500.841705</v>
          </cell>
          <cell r="AA269">
            <v>0.26000644828829539</v>
          </cell>
          <cell r="AC269">
            <v>8759</v>
          </cell>
          <cell r="AD269">
            <v>278</v>
          </cell>
        </row>
        <row r="270">
          <cell r="B270" t="str">
            <v>Kota Singkawang</v>
          </cell>
          <cell r="C270" t="str">
            <v>06-2005</v>
          </cell>
          <cell r="D270">
            <v>5697620.768977982</v>
          </cell>
          <cell r="E270">
            <v>99535517.188134894</v>
          </cell>
          <cell r="F270">
            <v>327139913.59169292</v>
          </cell>
          <cell r="G270">
            <v>51871751.633593298</v>
          </cell>
          <cell r="H270">
            <v>3056</v>
          </cell>
          <cell r="I270">
            <v>484244803.18239915</v>
          </cell>
          <cell r="J270">
            <v>3916709996.9999995</v>
          </cell>
          <cell r="K270">
            <v>358008660.84999996</v>
          </cell>
          <cell r="L270">
            <v>531653000</v>
          </cell>
          <cell r="M270">
            <v>153882646.54999998</v>
          </cell>
          <cell r="N270">
            <v>270870180</v>
          </cell>
          <cell r="O270">
            <v>5715369287.5823994</v>
          </cell>
          <cell r="P270">
            <v>68584431450.988792</v>
          </cell>
          <cell r="Q270">
            <v>1714610786.27472</v>
          </cell>
          <cell r="R270">
            <v>70299042237.263519</v>
          </cell>
          <cell r="S270">
            <v>5715369287.5823994</v>
          </cell>
          <cell r="T270">
            <v>76014411524.845917</v>
          </cell>
          <cell r="V270" t="str">
            <v>K</v>
          </cell>
          <cell r="Y270">
            <v>60497284874</v>
          </cell>
          <cell r="Z270">
            <v>15517126650.845917</v>
          </cell>
          <cell r="AA270">
            <v>0.2564929431653673</v>
          </cell>
          <cell r="AC270">
            <v>3025</v>
          </cell>
          <cell r="AD270">
            <v>1</v>
          </cell>
        </row>
        <row r="271">
          <cell r="B271" t="str">
            <v>Kab. Sambas</v>
          </cell>
          <cell r="C271" t="str">
            <v>06-2005</v>
          </cell>
          <cell r="D271">
            <v>21551869.865264542</v>
          </cell>
          <cell r="E271">
            <v>277660525.22010022</v>
          </cell>
          <cell r="F271">
            <v>687702313.64732063</v>
          </cell>
          <cell r="G271">
            <v>76407913.517419964</v>
          </cell>
          <cell r="H271">
            <v>6673</v>
          </cell>
          <cell r="I271">
            <v>1063322622.2501053</v>
          </cell>
          <cell r="J271">
            <v>8283228348.999999</v>
          </cell>
          <cell r="K271">
            <v>853242034.24999988</v>
          </cell>
          <cell r="L271">
            <v>1169216250</v>
          </cell>
          <cell r="M271">
            <v>321016856.94999999</v>
          </cell>
          <cell r="N271">
            <v>627226050</v>
          </cell>
          <cell r="O271">
            <v>12317252162.450106</v>
          </cell>
          <cell r="P271">
            <v>147807025949.40128</v>
          </cell>
          <cell r="Q271">
            <v>3695175648.7350321</v>
          </cell>
          <cell r="R271">
            <v>151502201598.13632</v>
          </cell>
          <cell r="S271">
            <v>12317252162.450106</v>
          </cell>
          <cell r="T271">
            <v>163819453760.58643</v>
          </cell>
          <cell r="V271" t="str">
            <v>K</v>
          </cell>
          <cell r="Y271">
            <v>130268816561</v>
          </cell>
          <cell r="Z271">
            <v>33550637199.586426</v>
          </cell>
          <cell r="AA271">
            <v>0.25754925918034977</v>
          </cell>
          <cell r="AC271">
            <v>6407</v>
          </cell>
          <cell r="AD271">
            <v>269</v>
          </cell>
        </row>
        <row r="272">
          <cell r="B272" t="str">
            <v>Kab. Bengkayang</v>
          </cell>
          <cell r="C272" t="str">
            <v>06-2005</v>
          </cell>
          <cell r="D272">
            <v>13129300.032862308</v>
          </cell>
          <cell r="E272">
            <v>157514118.10916972</v>
          </cell>
          <cell r="F272">
            <v>255982361.76525128</v>
          </cell>
          <cell r="G272">
            <v>28158950.886807792</v>
          </cell>
          <cell r="H272">
            <v>2826</v>
          </cell>
          <cell r="I272">
            <v>454784730.79409111</v>
          </cell>
          <cell r="J272">
            <v>3338109714.9999995</v>
          </cell>
          <cell r="K272">
            <v>357111603.34999996</v>
          </cell>
          <cell r="L272">
            <v>509785700</v>
          </cell>
          <cell r="M272">
            <v>127643625.55</v>
          </cell>
          <cell r="N272">
            <v>273698640</v>
          </cell>
          <cell r="O272">
            <v>5061134014.6940908</v>
          </cell>
          <cell r="P272">
            <v>60733608176.329086</v>
          </cell>
          <cell r="Q272">
            <v>1518340204.4082272</v>
          </cell>
          <cell r="R272">
            <v>62251948380.737312</v>
          </cell>
          <cell r="S272">
            <v>5061134014.6940908</v>
          </cell>
          <cell r="T272">
            <v>67313082395.431404</v>
          </cell>
          <cell r="V272" t="str">
            <v>K</v>
          </cell>
          <cell r="Y272">
            <v>53402169626</v>
          </cell>
          <cell r="Z272">
            <v>13910912769.431404</v>
          </cell>
          <cell r="AA272">
            <v>0.26049340067746191</v>
          </cell>
          <cell r="AC272">
            <v>2807</v>
          </cell>
          <cell r="AD272">
            <v>279</v>
          </cell>
        </row>
        <row r="273">
          <cell r="B273" t="str">
            <v>Kab. Sanggau</v>
          </cell>
          <cell r="C273" t="str">
            <v>06-2005</v>
          </cell>
          <cell r="D273">
            <v>28240381.202760436</v>
          </cell>
          <cell r="E273">
            <v>235600904.32073683</v>
          </cell>
          <cell r="F273">
            <v>504417710.45800114</v>
          </cell>
          <cell r="G273">
            <v>121363431.59986749</v>
          </cell>
          <cell r="H273">
            <v>5532</v>
          </cell>
          <cell r="I273">
            <v>889622427.58136582</v>
          </cell>
          <cell r="J273">
            <v>6886725572.999999</v>
          </cell>
          <cell r="K273">
            <v>740742297.54999995</v>
          </cell>
          <cell r="L273">
            <v>959547500</v>
          </cell>
          <cell r="M273">
            <v>152279109.54999998</v>
          </cell>
          <cell r="N273">
            <v>544298010</v>
          </cell>
          <cell r="O273">
            <v>10173214917.681364</v>
          </cell>
          <cell r="P273">
            <v>122078579012.17636</v>
          </cell>
          <cell r="Q273">
            <v>3051964475.304409</v>
          </cell>
          <cell r="R273">
            <v>125130543487.48077</v>
          </cell>
          <cell r="S273">
            <v>10173214917.681364</v>
          </cell>
          <cell r="T273">
            <v>135303758405.16214</v>
          </cell>
          <cell r="V273" t="str">
            <v>K</v>
          </cell>
          <cell r="Y273">
            <v>108360677256</v>
          </cell>
          <cell r="Z273">
            <v>26943081149.16214</v>
          </cell>
          <cell r="AA273">
            <v>0.24864260570750801</v>
          </cell>
          <cell r="AC273">
            <v>7371</v>
          </cell>
          <cell r="AD273">
            <v>287</v>
          </cell>
        </row>
        <row r="274">
          <cell r="B274" t="str">
            <v>Kab. Landak</v>
          </cell>
          <cell r="C274" t="str">
            <v>06-2005</v>
          </cell>
          <cell r="D274">
            <v>19074643.443969768</v>
          </cell>
          <cell r="E274">
            <v>158184390.95218745</v>
          </cell>
          <cell r="F274">
            <v>323289396.71796775</v>
          </cell>
          <cell r="G274">
            <v>77725291.336685836</v>
          </cell>
          <cell r="H274">
            <v>3592</v>
          </cell>
          <cell r="I274">
            <v>578273722.45081079</v>
          </cell>
          <cell r="J274">
            <v>4456472709</v>
          </cell>
          <cell r="K274">
            <v>516285427.49999994</v>
          </cell>
          <cell r="L274">
            <v>685038600</v>
          </cell>
          <cell r="M274">
            <v>170136799.44999999</v>
          </cell>
          <cell r="N274">
            <v>318352200</v>
          </cell>
          <cell r="O274">
            <v>6724559458.4008102</v>
          </cell>
          <cell r="P274">
            <v>80694713500.809723</v>
          </cell>
          <cell r="Q274">
            <v>2017367837.5202432</v>
          </cell>
          <cell r="R274">
            <v>82712081338.329971</v>
          </cell>
          <cell r="S274">
            <v>6724559458.4008102</v>
          </cell>
          <cell r="T274">
            <v>89436640796.730774</v>
          </cell>
          <cell r="V274" t="str">
            <v>K</v>
          </cell>
          <cell r="Y274">
            <v>71183480095</v>
          </cell>
          <cell r="Z274">
            <v>18253160701.730774</v>
          </cell>
          <cell r="AA274">
            <v>0.2564241124116225</v>
          </cell>
          <cell r="AC274">
            <v>3590</v>
          </cell>
          <cell r="AD274">
            <v>265</v>
          </cell>
        </row>
        <row r="275">
          <cell r="B275" t="str">
            <v>Kab. Sekadau</v>
          </cell>
          <cell r="C275" t="str">
            <v>06-2005</v>
          </cell>
          <cell r="D275">
            <v>10899796.25369701</v>
          </cell>
          <cell r="E275">
            <v>68032693.566300958</v>
          </cell>
          <cell r="F275">
            <v>182514499.81457445</v>
          </cell>
          <cell r="G275">
            <v>27664934.204583094</v>
          </cell>
          <cell r="H275">
            <v>1803</v>
          </cell>
          <cell r="I275">
            <v>289111923.8391555</v>
          </cell>
          <cell r="J275">
            <v>2263986991</v>
          </cell>
          <cell r="K275">
            <v>267201691.54999998</v>
          </cell>
          <cell r="L275">
            <v>350803385</v>
          </cell>
          <cell r="M275">
            <v>114129437.34999999</v>
          </cell>
          <cell r="N275">
            <v>192305190</v>
          </cell>
          <cell r="O275">
            <v>3477538618.7391558</v>
          </cell>
          <cell r="P275">
            <v>41730463424.869873</v>
          </cell>
          <cell r="Q275">
            <v>1043261585.6217469</v>
          </cell>
          <cell r="R275">
            <v>42773725010.491623</v>
          </cell>
          <cell r="S275">
            <v>3477538618.7391558</v>
          </cell>
          <cell r="T275">
            <v>46251263629.230782</v>
          </cell>
          <cell r="V275" t="str">
            <v>K</v>
          </cell>
          <cell r="Y275">
            <v>36965173518</v>
          </cell>
          <cell r="Z275">
            <v>9286090111.2307816</v>
          </cell>
          <cell r="AA275">
            <v>0.25121186315300176</v>
          </cell>
          <cell r="AC275" t="e">
            <v>#N/A</v>
          </cell>
          <cell r="AD275">
            <v>0</v>
          </cell>
        </row>
        <row r="276">
          <cell r="B276" t="str">
            <v>Kab. Sintang</v>
          </cell>
          <cell r="C276" t="str">
            <v>06-2005</v>
          </cell>
          <cell r="D276">
            <v>12138409.464344397</v>
          </cell>
          <cell r="E276">
            <v>222530583.88189083</v>
          </cell>
          <cell r="F276">
            <v>462524086.87187099</v>
          </cell>
          <cell r="G276">
            <v>70150368.875907123</v>
          </cell>
          <cell r="H276">
            <v>4806</v>
          </cell>
          <cell r="I276">
            <v>767343449.09401345</v>
          </cell>
          <cell r="J276">
            <v>5811868896</v>
          </cell>
          <cell r="K276">
            <v>618518505.8499999</v>
          </cell>
          <cell r="L276">
            <v>832330100</v>
          </cell>
          <cell r="M276">
            <v>221862381.49999997</v>
          </cell>
          <cell r="N276">
            <v>462393030</v>
          </cell>
          <cell r="O276">
            <v>8714316362.4440136</v>
          </cell>
          <cell r="P276">
            <v>104571796349.32816</v>
          </cell>
          <cell r="Q276">
            <v>2614294908.7332039</v>
          </cell>
          <cell r="R276">
            <v>107186091258.06136</v>
          </cell>
          <cell r="S276">
            <v>8714316362.4440136</v>
          </cell>
          <cell r="T276">
            <v>115900407620.50537</v>
          </cell>
          <cell r="V276" t="str">
            <v>K</v>
          </cell>
          <cell r="Y276">
            <v>92033834685</v>
          </cell>
          <cell r="Z276">
            <v>23866572935.505371</v>
          </cell>
          <cell r="AA276">
            <v>0.25932389992433108</v>
          </cell>
          <cell r="AC276">
            <v>6336</v>
          </cell>
          <cell r="AD276">
            <v>251</v>
          </cell>
        </row>
        <row r="277">
          <cell r="B277" t="str">
            <v>Kab. Melawi</v>
          </cell>
          <cell r="C277" t="str">
            <v>06-2005</v>
          </cell>
          <cell r="D277">
            <v>7927124.5481432797</v>
          </cell>
          <cell r="E277">
            <v>99200380.76662603</v>
          </cell>
          <cell r="F277">
            <v>174967486.74207306</v>
          </cell>
          <cell r="G277">
            <v>33099117.709054772</v>
          </cell>
          <cell r="H277">
            <v>1961</v>
          </cell>
          <cell r="I277">
            <v>315194109.76589715</v>
          </cell>
          <cell r="J277">
            <v>2330592967</v>
          </cell>
          <cell r="K277">
            <v>249335459.44999999</v>
          </cell>
          <cell r="L277">
            <v>352710200</v>
          </cell>
          <cell r="M277">
            <v>90167710.75</v>
          </cell>
          <cell r="N277">
            <v>186136740</v>
          </cell>
          <cell r="O277">
            <v>3524137186.9658971</v>
          </cell>
          <cell r="P277">
            <v>42289646243.590767</v>
          </cell>
          <cell r="Q277">
            <v>1057241156.0897692</v>
          </cell>
          <cell r="R277">
            <v>43346887399.680534</v>
          </cell>
          <cell r="S277">
            <v>3524137186.9658971</v>
          </cell>
          <cell r="T277">
            <v>46871024586.646431</v>
          </cell>
          <cell r="V277" t="str">
            <v>K</v>
          </cell>
          <cell r="Y277">
            <v>37189964240</v>
          </cell>
          <cell r="Z277">
            <v>9681060346.646431</v>
          </cell>
          <cell r="AA277">
            <v>0.26031378476653333</v>
          </cell>
          <cell r="AC277" t="e">
            <v>#N/A</v>
          </cell>
          <cell r="AD277">
            <v>243</v>
          </cell>
        </row>
        <row r="278">
          <cell r="B278" t="str">
            <v>Kab. Kapuas Hulu</v>
          </cell>
          <cell r="C278" t="str">
            <v>06-2005</v>
          </cell>
          <cell r="D278">
            <v>17588307.591192901</v>
          </cell>
          <cell r="E278">
            <v>231411699.05187592</v>
          </cell>
          <cell r="F278">
            <v>414931698.31262749</v>
          </cell>
          <cell r="G278">
            <v>92875136.258243233</v>
          </cell>
          <cell r="H278">
            <v>4710</v>
          </cell>
          <cell r="I278">
            <v>756806841.21393955</v>
          </cell>
          <cell r="J278">
            <v>5646257913.5</v>
          </cell>
          <cell r="K278">
            <v>583398563.8499999</v>
          </cell>
          <cell r="L278">
            <v>829518820</v>
          </cell>
          <cell r="M278">
            <v>218548345.99999997</v>
          </cell>
          <cell r="N278">
            <v>436244820</v>
          </cell>
          <cell r="O278">
            <v>8470775304.56394</v>
          </cell>
          <cell r="P278">
            <v>101649303654.76727</v>
          </cell>
          <cell r="Q278">
            <v>2541232591.3691821</v>
          </cell>
          <cell r="R278">
            <v>104190536246.13646</v>
          </cell>
          <cell r="S278">
            <v>8470775304.56394</v>
          </cell>
          <cell r="T278">
            <v>112661311550.70039</v>
          </cell>
          <cell r="V278" t="str">
            <v>K</v>
          </cell>
          <cell r="Y278">
            <v>89350573247</v>
          </cell>
          <cell r="Z278">
            <v>23310738303.700394</v>
          </cell>
          <cell r="AA278">
            <v>0.26089075264531741</v>
          </cell>
          <cell r="AC278">
            <v>4476</v>
          </cell>
          <cell r="AD278">
            <v>254</v>
          </cell>
        </row>
        <row r="279">
          <cell r="B279" t="str">
            <v>Kab. Ketapang</v>
          </cell>
          <cell r="C279" t="str">
            <v>06-2005</v>
          </cell>
          <cell r="D279">
            <v>25267709.497206703</v>
          </cell>
          <cell r="E279">
            <v>323574214.96681565</v>
          </cell>
          <cell r="F279">
            <v>548313602.81846845</v>
          </cell>
          <cell r="G279">
            <v>104731536.63163599</v>
          </cell>
          <cell r="H279">
            <v>6229</v>
          </cell>
          <cell r="I279">
            <v>1001887063.9141268</v>
          </cell>
          <cell r="J279">
            <v>7489091306.499999</v>
          </cell>
          <cell r="K279">
            <v>771974378.19999993</v>
          </cell>
          <cell r="L279">
            <v>1046549350</v>
          </cell>
          <cell r="M279">
            <v>273348075.84999996</v>
          </cell>
          <cell r="N279">
            <v>577667820</v>
          </cell>
          <cell r="O279">
            <v>11160517994.464127</v>
          </cell>
          <cell r="P279">
            <v>133926215933.56952</v>
          </cell>
          <cell r="Q279">
            <v>3348155398.3392382</v>
          </cell>
          <cell r="R279">
            <v>137274371331.90875</v>
          </cell>
          <cell r="S279">
            <v>11160517994.464127</v>
          </cell>
          <cell r="T279">
            <v>148434889326.37286</v>
          </cell>
          <cell r="V279" t="str">
            <v>K</v>
          </cell>
          <cell r="Y279">
            <v>117594735583</v>
          </cell>
          <cell r="Z279">
            <v>30840153743.372864</v>
          </cell>
          <cell r="AA279">
            <v>0.2622579453959098</v>
          </cell>
          <cell r="AC279">
            <v>5959</v>
          </cell>
          <cell r="AD279">
            <v>0</v>
          </cell>
        </row>
        <row r="280">
          <cell r="B280" t="str">
            <v>Provinsi Kalimantan Tengah</v>
          </cell>
          <cell r="C280" t="str">
            <v>06-2005</v>
          </cell>
          <cell r="D280">
            <v>7750000</v>
          </cell>
          <cell r="E280">
            <v>196943012.84617952</v>
          </cell>
          <cell r="F280">
            <v>420506081.65019339</v>
          </cell>
          <cell r="G280">
            <v>55171111.111111104</v>
          </cell>
          <cell r="H280">
            <v>4316</v>
          </cell>
          <cell r="I280">
            <v>680370205.6074841</v>
          </cell>
          <cell r="J280">
            <v>5495119750</v>
          </cell>
          <cell r="K280">
            <v>511327949.99999994</v>
          </cell>
          <cell r="L280">
            <v>512701000</v>
          </cell>
          <cell r="M280">
            <v>219879999.99999997</v>
          </cell>
          <cell r="N280">
            <v>385706000</v>
          </cell>
          <cell r="O280">
            <v>7805104905.6074839</v>
          </cell>
          <cell r="P280">
            <v>93661258867.28981</v>
          </cell>
          <cell r="Q280">
            <v>2341531471.6822453</v>
          </cell>
          <cell r="R280">
            <v>96002790338.972061</v>
          </cell>
          <cell r="S280">
            <v>7805104905.6074839</v>
          </cell>
          <cell r="T280">
            <v>103807895244.57954</v>
          </cell>
          <cell r="V280" t="str">
            <v>P</v>
          </cell>
          <cell r="Y280">
            <v>82063865000</v>
          </cell>
          <cell r="Z280">
            <v>21744030244.579544</v>
          </cell>
          <cell r="AA280">
            <v>0.26496473502167545</v>
          </cell>
          <cell r="AC280">
            <v>4453</v>
          </cell>
          <cell r="AD280">
            <v>102</v>
          </cell>
        </row>
        <row r="281">
          <cell r="B281" t="str">
            <v>Kota Palangkaraya</v>
          </cell>
          <cell r="C281" t="str">
            <v>06-2005</v>
          </cell>
          <cell r="D281">
            <v>17588307.591192901</v>
          </cell>
          <cell r="E281">
            <v>155168163.1586076</v>
          </cell>
          <cell r="F281">
            <v>447584081.4018172</v>
          </cell>
          <cell r="G281">
            <v>235645957.42118099</v>
          </cell>
          <cell r="H281">
            <v>5334</v>
          </cell>
          <cell r="I281">
            <v>855986509.57279873</v>
          </cell>
          <cell r="J281">
            <v>6976422099.999999</v>
          </cell>
          <cell r="K281">
            <v>578406300</v>
          </cell>
          <cell r="L281">
            <v>997251000</v>
          </cell>
          <cell r="M281">
            <v>290354300</v>
          </cell>
          <cell r="N281">
            <v>436969000</v>
          </cell>
          <cell r="O281">
            <v>10135389209.572798</v>
          </cell>
          <cell r="P281">
            <v>121624670514.87357</v>
          </cell>
          <cell r="Q281">
            <v>3040616762.8718395</v>
          </cell>
          <cell r="R281">
            <v>124665287277.74541</v>
          </cell>
          <cell r="S281">
            <v>10135389209.572798</v>
          </cell>
          <cell r="T281">
            <v>134800676487.31821</v>
          </cell>
          <cell r="V281" t="str">
            <v>K</v>
          </cell>
          <cell r="Y281">
            <v>107329534000</v>
          </cell>
          <cell r="Z281">
            <v>27471142487.318207</v>
          </cell>
          <cell r="AA281">
            <v>0.25595138135341394</v>
          </cell>
          <cell r="AC281">
            <v>5331</v>
          </cell>
          <cell r="AD281">
            <v>0</v>
          </cell>
        </row>
        <row r="282">
          <cell r="B282" t="str">
            <v>Kab. Pulang Pisau</v>
          </cell>
          <cell r="C282" t="str">
            <v>06-2005</v>
          </cell>
          <cell r="D282">
            <v>17340584.949063424</v>
          </cell>
          <cell r="E282">
            <v>97859835.080590546</v>
          </cell>
          <cell r="F282">
            <v>257676589.18969035</v>
          </cell>
          <cell r="G282">
            <v>66856924.327742472</v>
          </cell>
          <cell r="H282">
            <v>2733</v>
          </cell>
          <cell r="I282">
            <v>439733933.54708678</v>
          </cell>
          <cell r="J282">
            <v>3498130949.9999995</v>
          </cell>
          <cell r="K282">
            <v>345688850</v>
          </cell>
          <cell r="L282">
            <v>586689000</v>
          </cell>
          <cell r="M282">
            <v>141922650</v>
          </cell>
          <cell r="N282">
            <v>261633000</v>
          </cell>
          <cell r="O282">
            <v>5273798383.5470867</v>
          </cell>
          <cell r="P282">
            <v>63285580602.565041</v>
          </cell>
          <cell r="Q282">
            <v>1582139515.064126</v>
          </cell>
          <cell r="R282">
            <v>64867720117.629166</v>
          </cell>
          <cell r="S282">
            <v>5273798383.5470867</v>
          </cell>
          <cell r="T282">
            <v>70141518501.176254</v>
          </cell>
          <cell r="V282" t="str">
            <v>K</v>
          </cell>
          <cell r="Y282">
            <v>56506580000</v>
          </cell>
          <cell r="Z282">
            <v>13634938501.176254</v>
          </cell>
          <cell r="AA282">
            <v>0.24129824351741433</v>
          </cell>
          <cell r="AC282">
            <v>2444</v>
          </cell>
          <cell r="AD282">
            <v>288</v>
          </cell>
        </row>
        <row r="283">
          <cell r="B283" t="str">
            <v>Kab. Kapuas</v>
          </cell>
          <cell r="C283" t="str">
            <v>06-2005</v>
          </cell>
          <cell r="D283">
            <v>34681169.898126848</v>
          </cell>
          <cell r="E283">
            <v>314525531.58607608</v>
          </cell>
          <cell r="F283">
            <v>641496111.16261828</v>
          </cell>
          <cell r="G283">
            <v>138654015.47773191</v>
          </cell>
          <cell r="H283">
            <v>7024</v>
          </cell>
          <cell r="I283">
            <v>1129356828.1245532</v>
          </cell>
          <cell r="J283">
            <v>8839726850</v>
          </cell>
          <cell r="K283">
            <v>840899549.99999988</v>
          </cell>
          <cell r="L283">
            <v>1239495000</v>
          </cell>
          <cell r="M283">
            <v>123381199.99999999</v>
          </cell>
          <cell r="N283">
            <v>635892000</v>
          </cell>
          <cell r="O283">
            <v>12808751428.124554</v>
          </cell>
          <cell r="P283">
            <v>153705017137.49463</v>
          </cell>
          <cell r="Q283">
            <v>3842625428.437366</v>
          </cell>
          <cell r="R283">
            <v>157547642565.93201</v>
          </cell>
          <cell r="S283">
            <v>12808751428.124554</v>
          </cell>
          <cell r="T283">
            <v>170356393994.05655</v>
          </cell>
          <cell r="V283" t="str">
            <v>K</v>
          </cell>
          <cell r="Y283">
            <v>136170918000</v>
          </cell>
          <cell r="Z283">
            <v>34185475994.056549</v>
          </cell>
          <cell r="AA283">
            <v>0.25104828913657284</v>
          </cell>
          <cell r="AC283">
            <v>6995</v>
          </cell>
          <cell r="AD283">
            <v>257</v>
          </cell>
        </row>
        <row r="284">
          <cell r="B284" t="str">
            <v>Kab. Gunung Mas</v>
          </cell>
          <cell r="C284" t="str">
            <v>06-2005</v>
          </cell>
          <cell r="D284">
            <v>12386132.106473874</v>
          </cell>
          <cell r="E284">
            <v>85459787.484762281</v>
          </cell>
          <cell r="F284">
            <v>182360479.13962546</v>
          </cell>
          <cell r="G284">
            <v>66856924.327742472</v>
          </cell>
          <cell r="H284">
            <v>2150</v>
          </cell>
          <cell r="I284">
            <v>347063323.05860406</v>
          </cell>
          <cell r="J284">
            <v>2660953950</v>
          </cell>
          <cell r="K284">
            <v>292139100</v>
          </cell>
          <cell r="L284">
            <v>462161000</v>
          </cell>
          <cell r="M284">
            <v>28761499.999999996</v>
          </cell>
          <cell r="N284">
            <v>216364000</v>
          </cell>
          <cell r="O284">
            <v>4007442873.0586042</v>
          </cell>
          <cell r="P284">
            <v>48089314476.703247</v>
          </cell>
          <cell r="Q284">
            <v>1202232861.9175813</v>
          </cell>
          <cell r="R284">
            <v>49291547338.620827</v>
          </cell>
          <cell r="S284">
            <v>4007442873.0586042</v>
          </cell>
          <cell r="T284">
            <v>53298990211.679428</v>
          </cell>
          <cell r="V284" t="str">
            <v>K</v>
          </cell>
          <cell r="Y284">
            <v>43737746000</v>
          </cell>
          <cell r="Z284">
            <v>9561244211.6794281</v>
          </cell>
          <cell r="AA284">
            <v>0.21860395393213514</v>
          </cell>
          <cell r="AC284">
            <v>1857</v>
          </cell>
          <cell r="AD284">
            <v>285</v>
          </cell>
        </row>
        <row r="285">
          <cell r="B285" t="str">
            <v>Kab. Barito Utara</v>
          </cell>
          <cell r="C285" t="str">
            <v>06-2005</v>
          </cell>
          <cell r="D285">
            <v>24276818.928688794</v>
          </cell>
          <cell r="E285">
            <v>136065387.13260192</v>
          </cell>
          <cell r="F285">
            <v>291561137.6784721</v>
          </cell>
          <cell r="G285">
            <v>54835851.726941489</v>
          </cell>
          <cell r="H285">
            <v>3136</v>
          </cell>
          <cell r="I285">
            <v>506739195.46670425</v>
          </cell>
          <cell r="J285">
            <v>3855786699.9999995</v>
          </cell>
          <cell r="K285">
            <v>379650650</v>
          </cell>
          <cell r="L285">
            <v>543784000</v>
          </cell>
          <cell r="M285">
            <v>155344300</v>
          </cell>
          <cell r="N285">
            <v>284509000</v>
          </cell>
          <cell r="O285">
            <v>5725813845.4667034</v>
          </cell>
          <cell r="P285">
            <v>68709766145.600441</v>
          </cell>
          <cell r="Q285">
            <v>1717744153.6400111</v>
          </cell>
          <cell r="R285">
            <v>70427510299.240448</v>
          </cell>
          <cell r="S285">
            <v>5725813845.4667034</v>
          </cell>
          <cell r="T285">
            <v>76153324144.707153</v>
          </cell>
          <cell r="V285" t="str">
            <v>K</v>
          </cell>
          <cell r="Y285">
            <v>61347507000</v>
          </cell>
          <cell r="Z285">
            <v>14805817144.707153</v>
          </cell>
          <cell r="AA285">
            <v>0.24134341994870556</v>
          </cell>
          <cell r="AC285">
            <v>3207</v>
          </cell>
          <cell r="AD285">
            <v>266</v>
          </cell>
        </row>
        <row r="286">
          <cell r="B286" t="str">
            <v>Kab. Barito Timur</v>
          </cell>
          <cell r="C286" t="str">
            <v>06-2005</v>
          </cell>
          <cell r="D286">
            <v>10404350.969438056</v>
          </cell>
          <cell r="E286">
            <v>84286810.009481236</v>
          </cell>
          <cell r="F286">
            <v>210546262.65529391</v>
          </cell>
          <cell r="G286">
            <v>65539546.508476608</v>
          </cell>
          <cell r="H286">
            <v>2310</v>
          </cell>
          <cell r="I286">
            <v>370776970.14268982</v>
          </cell>
          <cell r="J286">
            <v>2973632050</v>
          </cell>
          <cell r="K286">
            <v>304639600</v>
          </cell>
          <cell r="L286">
            <v>463930000</v>
          </cell>
          <cell r="M286">
            <v>122823449.99999999</v>
          </cell>
          <cell r="N286">
            <v>223255000</v>
          </cell>
          <cell r="O286">
            <v>4459057070.1426897</v>
          </cell>
          <cell r="P286">
            <v>53508684841.71228</v>
          </cell>
          <cell r="Q286">
            <v>1337717121.0428071</v>
          </cell>
          <cell r="R286">
            <v>54846401962.755089</v>
          </cell>
          <cell r="S286">
            <v>4459057070.1426897</v>
          </cell>
          <cell r="T286">
            <v>59305459032.897781</v>
          </cell>
          <cell r="V286" t="str">
            <v>K</v>
          </cell>
          <cell r="Y286">
            <v>47411442000</v>
          </cell>
          <cell r="Z286">
            <v>11894017032.897781</v>
          </cell>
          <cell r="AA286">
            <v>0.25086807173883852</v>
          </cell>
          <cell r="AC286">
            <v>2190</v>
          </cell>
          <cell r="AD286">
            <v>252</v>
          </cell>
        </row>
        <row r="287">
          <cell r="B287" t="str">
            <v>Kab. Murung Raya</v>
          </cell>
          <cell r="C287" t="str">
            <v>06-2005</v>
          </cell>
          <cell r="D287">
            <v>10404350.969438056</v>
          </cell>
          <cell r="E287">
            <v>104394995.30001354</v>
          </cell>
          <cell r="F287">
            <v>129377366.9571667</v>
          </cell>
          <cell r="G287">
            <v>21242717.335662019</v>
          </cell>
          <cell r="H287">
            <v>1634</v>
          </cell>
          <cell r="I287">
            <v>265419430.5622803</v>
          </cell>
          <cell r="J287">
            <v>1786469799.9999998</v>
          </cell>
          <cell r="K287">
            <v>181700000</v>
          </cell>
          <cell r="L287">
            <v>305326000</v>
          </cell>
          <cell r="M287">
            <v>87559850</v>
          </cell>
          <cell r="N287">
            <v>145904000</v>
          </cell>
          <cell r="O287">
            <v>2772379080.5622802</v>
          </cell>
          <cell r="P287">
            <v>33268548966.74736</v>
          </cell>
          <cell r="Q287">
            <v>831713724.16868401</v>
          </cell>
          <cell r="R287">
            <v>34100262690.916046</v>
          </cell>
          <cell r="S287">
            <v>2772379080.5622802</v>
          </cell>
          <cell r="T287">
            <v>36872641771.478325</v>
          </cell>
          <cell r="V287" t="str">
            <v>K</v>
          </cell>
          <cell r="Y287">
            <v>30154423000</v>
          </cell>
          <cell r="Z287">
            <v>6718218771.4783249</v>
          </cell>
          <cell r="AA287">
            <v>0.22279380943479915</v>
          </cell>
          <cell r="AC287">
            <v>1416</v>
          </cell>
          <cell r="AD287">
            <v>258</v>
          </cell>
        </row>
        <row r="288">
          <cell r="B288" t="str">
            <v>Kab. Kotawaringin Barat</v>
          </cell>
          <cell r="C288" t="str">
            <v>06-2005</v>
          </cell>
          <cell r="D288">
            <v>12138409.464344397</v>
          </cell>
          <cell r="E288">
            <v>180973667.61479074</v>
          </cell>
          <cell r="F288">
            <v>343312084.46133882</v>
          </cell>
          <cell r="G288">
            <v>56976590.683248512</v>
          </cell>
          <cell r="H288">
            <v>3704</v>
          </cell>
          <cell r="I288">
            <v>593400752.22372246</v>
          </cell>
          <cell r="J288">
            <v>4341998650</v>
          </cell>
          <cell r="K288">
            <v>420367549.99999994</v>
          </cell>
          <cell r="L288">
            <v>633662000</v>
          </cell>
          <cell r="M288">
            <v>171301700</v>
          </cell>
          <cell r="N288">
            <v>325363000</v>
          </cell>
          <cell r="O288">
            <v>6486093652.2237225</v>
          </cell>
          <cell r="P288">
            <v>77833123826.684662</v>
          </cell>
          <cell r="Q288">
            <v>1945828095.6671166</v>
          </cell>
          <cell r="R288">
            <v>79778951922.351776</v>
          </cell>
          <cell r="S288">
            <v>6486093652.2237225</v>
          </cell>
          <cell r="T288">
            <v>86265045574.5755</v>
          </cell>
          <cell r="V288" t="str">
            <v>K</v>
          </cell>
          <cell r="Y288">
            <v>68460314000</v>
          </cell>
          <cell r="Z288">
            <v>17804731574.5755</v>
          </cell>
          <cell r="AA288">
            <v>0.26007376440861052</v>
          </cell>
          <cell r="AC288">
            <v>3519</v>
          </cell>
          <cell r="AD288">
            <v>262</v>
          </cell>
        </row>
        <row r="289">
          <cell r="B289" t="str">
            <v>Kab. Sukamara</v>
          </cell>
          <cell r="C289" t="str">
            <v>06-2005</v>
          </cell>
          <cell r="D289">
            <v>2477226.4212947749</v>
          </cell>
          <cell r="E289">
            <v>64513761.140457809</v>
          </cell>
          <cell r="F289">
            <v>75624151.399962917</v>
          </cell>
          <cell r="G289">
            <v>11527055.918576289</v>
          </cell>
          <cell r="H289">
            <v>956</v>
          </cell>
          <cell r="I289">
            <v>154142194.88029182</v>
          </cell>
          <cell r="J289">
            <v>1018037499.9999999</v>
          </cell>
          <cell r="K289">
            <v>91828650</v>
          </cell>
          <cell r="L289">
            <v>170151000</v>
          </cell>
          <cell r="M289">
            <v>42575300</v>
          </cell>
          <cell r="N289">
            <v>75436000</v>
          </cell>
          <cell r="O289">
            <v>1552170644.8802917</v>
          </cell>
          <cell r="P289">
            <v>18626047738.563499</v>
          </cell>
          <cell r="Q289">
            <v>465651193.46408749</v>
          </cell>
          <cell r="R289">
            <v>19091698932.027588</v>
          </cell>
          <cell r="S289">
            <v>1552170644.8802917</v>
          </cell>
          <cell r="T289">
            <v>20643869576.907879</v>
          </cell>
          <cell r="V289" t="str">
            <v>K</v>
          </cell>
          <cell r="Y289">
            <v>16733535000</v>
          </cell>
          <cell r="Z289">
            <v>3910334576.9078789</v>
          </cell>
          <cell r="AA289">
            <v>0.23368251698806491</v>
          </cell>
          <cell r="AC289">
            <v>716</v>
          </cell>
          <cell r="AD289">
            <v>208</v>
          </cell>
        </row>
        <row r="290">
          <cell r="B290" t="str">
            <v>Kab. Lamandau</v>
          </cell>
          <cell r="C290" t="str">
            <v>06-2005</v>
          </cell>
          <cell r="D290">
            <v>4706730.2004600726</v>
          </cell>
          <cell r="E290">
            <v>77751649.79005824</v>
          </cell>
          <cell r="F290">
            <v>96879004.542926013</v>
          </cell>
          <cell r="G290">
            <v>13832467.102291547</v>
          </cell>
          <cell r="H290">
            <v>1196</v>
          </cell>
          <cell r="I290">
            <v>193169851.6357359</v>
          </cell>
          <cell r="J290">
            <v>1294900000</v>
          </cell>
          <cell r="K290">
            <v>131839449.99999999</v>
          </cell>
          <cell r="L290">
            <v>217087000</v>
          </cell>
          <cell r="M290">
            <v>61324899.999999993</v>
          </cell>
          <cell r="N290">
            <v>105857000</v>
          </cell>
          <cell r="O290">
            <v>2004178201.635736</v>
          </cell>
          <cell r="P290">
            <v>24050138419.62883</v>
          </cell>
          <cell r="Q290">
            <v>601253460.49072075</v>
          </cell>
          <cell r="R290">
            <v>24651391880.119553</v>
          </cell>
          <cell r="S290">
            <v>2004178201.635736</v>
          </cell>
          <cell r="T290">
            <v>26655570081.755287</v>
          </cell>
          <cell r="V290" t="str">
            <v>K</v>
          </cell>
          <cell r="Y290">
            <v>21606273000</v>
          </cell>
          <cell r="Z290">
            <v>5049297081.7552872</v>
          </cell>
          <cell r="AA290">
            <v>0.23369588460514626</v>
          </cell>
          <cell r="AC290">
            <v>948</v>
          </cell>
          <cell r="AD290">
            <v>241</v>
          </cell>
        </row>
        <row r="291">
          <cell r="B291" t="str">
            <v>Kab. Kotawaringin Timur</v>
          </cell>
          <cell r="C291" t="str">
            <v>06-2005</v>
          </cell>
          <cell r="D291">
            <v>18331475.517581336</v>
          </cell>
          <cell r="E291">
            <v>194043988.05363673</v>
          </cell>
          <cell r="F291">
            <v>444657688.57778603</v>
          </cell>
          <cell r="G291">
            <v>116752609.23243698</v>
          </cell>
          <cell r="H291">
            <v>4828</v>
          </cell>
          <cell r="I291">
            <v>773785761.38144112</v>
          </cell>
          <cell r="J291">
            <v>6032891950</v>
          </cell>
          <cell r="K291">
            <v>606344400</v>
          </cell>
          <cell r="L291">
            <v>876165000</v>
          </cell>
          <cell r="M291">
            <v>239122949.99999997</v>
          </cell>
          <cell r="N291">
            <v>441721000</v>
          </cell>
          <cell r="O291">
            <v>8970031061.3814411</v>
          </cell>
          <cell r="P291">
            <v>107640372736.5773</v>
          </cell>
          <cell r="Q291">
            <v>2691009318.4144325</v>
          </cell>
          <cell r="R291">
            <v>110331382054.99173</v>
          </cell>
          <cell r="S291">
            <v>8970031061.3814411</v>
          </cell>
          <cell r="T291">
            <v>119301413116.37317</v>
          </cell>
          <cell r="V291" t="str">
            <v>K</v>
          </cell>
          <cell r="Y291">
            <v>95641468000</v>
          </cell>
          <cell r="Z291">
            <v>23659945116.373169</v>
          </cell>
          <cell r="AA291">
            <v>0.24738165997591305</v>
          </cell>
          <cell r="AC291">
            <v>4979</v>
          </cell>
          <cell r="AD291">
            <v>0</v>
          </cell>
        </row>
        <row r="292">
          <cell r="B292" t="str">
            <v>Kab. Katingan</v>
          </cell>
          <cell r="C292" t="str">
            <v>06-2005</v>
          </cell>
          <cell r="D292">
            <v>15111081.169898126</v>
          </cell>
          <cell r="E292">
            <v>129697795.12393336</v>
          </cell>
          <cell r="F292">
            <v>250437617.46708697</v>
          </cell>
          <cell r="G292">
            <v>44790845.855039291</v>
          </cell>
          <cell r="H292">
            <v>2733</v>
          </cell>
          <cell r="I292">
            <v>440037339.6159578</v>
          </cell>
          <cell r="J292">
            <v>3299829549.9999995</v>
          </cell>
          <cell r="K292">
            <v>347585200</v>
          </cell>
          <cell r="L292">
            <v>529512000</v>
          </cell>
          <cell r="M292">
            <v>130819399.99999999</v>
          </cell>
          <cell r="N292">
            <v>256457000</v>
          </cell>
          <cell r="O292">
            <v>5004240489.6159573</v>
          </cell>
          <cell r="P292">
            <v>60050885875.391487</v>
          </cell>
          <cell r="Q292">
            <v>1501272146.8847873</v>
          </cell>
          <cell r="R292">
            <v>61552158022.276276</v>
          </cell>
          <cell r="S292">
            <v>5004240489.6159573</v>
          </cell>
          <cell r="T292">
            <v>66556398511.892235</v>
          </cell>
          <cell r="V292" t="str">
            <v>K</v>
          </cell>
          <cell r="Y292">
            <v>52929786000</v>
          </cell>
          <cell r="Z292">
            <v>13626612511.892235</v>
          </cell>
          <cell r="AA292">
            <v>0.25744696024072788</v>
          </cell>
          <cell r="AC292">
            <v>2375</v>
          </cell>
          <cell r="AD292">
            <v>281</v>
          </cell>
        </row>
        <row r="293">
          <cell r="B293" t="str">
            <v>Kab. Seruyan</v>
          </cell>
          <cell r="C293" t="str">
            <v>06-2005</v>
          </cell>
          <cell r="D293">
            <v>4459007.5583305946</v>
          </cell>
          <cell r="E293">
            <v>84957082.852498978</v>
          </cell>
          <cell r="F293">
            <v>97341066.567773044</v>
          </cell>
          <cell r="G293">
            <v>21901406.245294947</v>
          </cell>
          <cell r="H293">
            <v>1290</v>
          </cell>
          <cell r="I293">
            <v>208658563.22389758</v>
          </cell>
          <cell r="J293">
            <v>1504871600</v>
          </cell>
          <cell r="K293">
            <v>155527150</v>
          </cell>
          <cell r="L293">
            <v>257480000</v>
          </cell>
          <cell r="M293">
            <v>59474549.999999993</v>
          </cell>
          <cell r="N293">
            <v>118254000</v>
          </cell>
          <cell r="O293">
            <v>2304265863.2238975</v>
          </cell>
          <cell r="P293">
            <v>27651190358.686768</v>
          </cell>
          <cell r="Q293">
            <v>691279758.96716928</v>
          </cell>
          <cell r="R293">
            <v>28342470117.653938</v>
          </cell>
          <cell r="S293">
            <v>2304265863.2238975</v>
          </cell>
          <cell r="T293">
            <v>30646735980.877834</v>
          </cell>
          <cell r="V293" t="str">
            <v>K</v>
          </cell>
          <cell r="Y293">
            <v>24515088000</v>
          </cell>
          <cell r="Z293">
            <v>6131647980.8778343</v>
          </cell>
          <cell r="AA293">
            <v>0.25011731472788651</v>
          </cell>
          <cell r="AC293">
            <v>960</v>
          </cell>
          <cell r="AD293">
            <v>273</v>
          </cell>
        </row>
        <row r="294">
          <cell r="B294" t="str">
            <v>Kab. Barito Selatan</v>
          </cell>
          <cell r="C294" t="str">
            <v>06-2005</v>
          </cell>
          <cell r="D294">
            <v>14863358.527768649</v>
          </cell>
          <cell r="E294">
            <v>159022232.00595963</v>
          </cell>
          <cell r="F294">
            <v>307117225.84832191</v>
          </cell>
          <cell r="G294">
            <v>76901930.19964467</v>
          </cell>
          <cell r="H294">
            <v>3470</v>
          </cell>
          <cell r="I294">
            <v>557904746.58169484</v>
          </cell>
          <cell r="J294">
            <v>4265394849.9999995</v>
          </cell>
          <cell r="K294">
            <v>407150599.99999994</v>
          </cell>
          <cell r="L294">
            <v>631761000</v>
          </cell>
          <cell r="M294">
            <v>173487850</v>
          </cell>
          <cell r="N294">
            <v>304692000</v>
          </cell>
          <cell r="O294">
            <v>6340391046.5816946</v>
          </cell>
          <cell r="P294">
            <v>76084692558.980331</v>
          </cell>
          <cell r="Q294">
            <v>1902117313.9745083</v>
          </cell>
          <cell r="R294">
            <v>77986809872.954834</v>
          </cell>
          <cell r="S294">
            <v>6340391046.5816946</v>
          </cell>
          <cell r="T294">
            <v>84327200919.53653</v>
          </cell>
          <cell r="V294" t="str">
            <v>K</v>
          </cell>
          <cell r="Y294">
            <v>67072785000</v>
          </cell>
          <cell r="Z294">
            <v>17254415919.53653</v>
          </cell>
          <cell r="AA294">
            <v>0.25724913494402429</v>
          </cell>
          <cell r="AC294">
            <v>3344</v>
          </cell>
          <cell r="AD294">
            <v>258</v>
          </cell>
        </row>
        <row r="295">
          <cell r="B295" t="str">
            <v>Provinsi Kalimantan Selatan</v>
          </cell>
          <cell r="C295" t="str">
            <v>03-2005</v>
          </cell>
          <cell r="D295">
            <v>21000000</v>
          </cell>
          <cell r="E295">
            <v>284338638.05472142</v>
          </cell>
          <cell r="F295">
            <v>558553996.56209707</v>
          </cell>
          <cell r="G295">
            <v>71993777.777777776</v>
          </cell>
          <cell r="H295">
            <v>5900</v>
          </cell>
          <cell r="I295">
            <v>935886412.39459622</v>
          </cell>
          <cell r="J295">
            <v>7364923207.499999</v>
          </cell>
          <cell r="K295">
            <v>733826180.29999995</v>
          </cell>
          <cell r="L295">
            <v>723297400</v>
          </cell>
          <cell r="M295">
            <v>53080790.349999994</v>
          </cell>
          <cell r="N295">
            <v>531750480</v>
          </cell>
          <cell r="O295">
            <v>10342764470.544596</v>
          </cell>
          <cell r="P295">
            <v>124113173646.53516</v>
          </cell>
          <cell r="Q295">
            <v>3102829341.1633792</v>
          </cell>
          <cell r="R295">
            <v>127216002987.69853</v>
          </cell>
          <cell r="S295">
            <v>10342764470.544596</v>
          </cell>
          <cell r="T295">
            <v>137558767458.24313</v>
          </cell>
          <cell r="V295" t="str">
            <v>P</v>
          </cell>
          <cell r="Y295">
            <v>108470573848</v>
          </cell>
          <cell r="Z295">
            <v>29088193610.243134</v>
          </cell>
          <cell r="AA295">
            <v>0.26816667948124318</v>
          </cell>
          <cell r="AC295">
            <v>6097</v>
          </cell>
          <cell r="AD295">
            <v>102</v>
          </cell>
        </row>
        <row r="296">
          <cell r="B296" t="str">
            <v xml:space="preserve">Kota Banjarmasin </v>
          </cell>
          <cell r="C296" t="str">
            <v>03-2005</v>
          </cell>
          <cell r="D296">
            <v>16349694.380545514</v>
          </cell>
          <cell r="E296">
            <v>159189800.21671405</v>
          </cell>
          <cell r="F296">
            <v>594365784.62822175</v>
          </cell>
          <cell r="G296">
            <v>389449817.82047033</v>
          </cell>
          <cell r="H296">
            <v>7240</v>
          </cell>
          <cell r="I296">
            <v>1159355097.0459516</v>
          </cell>
          <cell r="J296">
            <v>9827639985</v>
          </cell>
          <cell r="K296">
            <v>821999624.29999995</v>
          </cell>
          <cell r="L296">
            <v>1455349450</v>
          </cell>
          <cell r="M296">
            <v>410775414.94999999</v>
          </cell>
          <cell r="N296">
            <v>589222380</v>
          </cell>
          <cell r="O296">
            <v>14264341951.295952</v>
          </cell>
          <cell r="P296">
            <v>171172103415.55142</v>
          </cell>
          <cell r="Q296">
            <v>4279302585.3887858</v>
          </cell>
          <cell r="R296">
            <v>175451406000.94022</v>
          </cell>
          <cell r="S296">
            <v>14264341951.295952</v>
          </cell>
          <cell r="T296">
            <v>189715747952.23618</v>
          </cell>
          <cell r="V296" t="str">
            <v>K</v>
          </cell>
          <cell r="Y296">
            <v>151615000069</v>
          </cell>
          <cell r="Z296">
            <v>38100747883.236176</v>
          </cell>
          <cell r="AA296">
            <v>0.25129932965667329</v>
          </cell>
          <cell r="AC296">
            <v>7320</v>
          </cell>
          <cell r="AD296">
            <v>258</v>
          </cell>
        </row>
        <row r="297">
          <cell r="B297" t="str">
            <v>Kota Banjar Baru</v>
          </cell>
          <cell r="C297" t="str">
            <v>03-2005</v>
          </cell>
          <cell r="D297">
            <v>6193066.0532369372</v>
          </cell>
          <cell r="E297">
            <v>70211080.306108624</v>
          </cell>
          <cell r="F297">
            <v>243506687.09438163</v>
          </cell>
          <cell r="G297">
            <v>118564003.73392753</v>
          </cell>
          <cell r="H297">
            <v>2745</v>
          </cell>
          <cell r="I297">
            <v>438474837.18765473</v>
          </cell>
          <cell r="J297">
            <v>3630385158.9999995</v>
          </cell>
          <cell r="K297">
            <v>280451840.89999998</v>
          </cell>
          <cell r="L297">
            <v>570432150</v>
          </cell>
          <cell r="M297">
            <v>42276442.599999994</v>
          </cell>
          <cell r="N297">
            <v>210419370</v>
          </cell>
          <cell r="O297">
            <v>5172439799.6876545</v>
          </cell>
          <cell r="P297">
            <v>62069277596.251854</v>
          </cell>
          <cell r="Q297">
            <v>1551731939.9062965</v>
          </cell>
          <cell r="R297">
            <v>63621009536.15815</v>
          </cell>
          <cell r="S297">
            <v>5172439799.6876545</v>
          </cell>
          <cell r="T297">
            <v>68793449335.84581</v>
          </cell>
          <cell r="V297" t="str">
            <v>K</v>
          </cell>
          <cell r="Y297">
            <v>54840224205</v>
          </cell>
          <cell r="Z297">
            <v>13953225130.84581</v>
          </cell>
          <cell r="AA297">
            <v>0.25443413722538427</v>
          </cell>
          <cell r="AC297">
            <v>2634</v>
          </cell>
          <cell r="AD297">
            <v>0</v>
          </cell>
        </row>
        <row r="298">
          <cell r="B298" t="str">
            <v xml:space="preserve">Kab. Banjar </v>
          </cell>
          <cell r="C298" t="str">
            <v>03-2005</v>
          </cell>
          <cell r="D298">
            <v>14615635.885639172</v>
          </cell>
          <cell r="E298">
            <v>217503537.55925775</v>
          </cell>
          <cell r="F298">
            <v>545695251.34433532</v>
          </cell>
          <cell r="G298">
            <v>195301261.70616397</v>
          </cell>
          <cell r="H298">
            <v>6086</v>
          </cell>
          <cell r="I298">
            <v>973115686.49539626</v>
          </cell>
          <cell r="J298">
            <v>7698756442.999999</v>
          </cell>
          <cell r="K298">
            <v>696591107.69999993</v>
          </cell>
          <cell r="L298">
            <v>1169206150</v>
          </cell>
          <cell r="M298">
            <v>76613538.199999988</v>
          </cell>
          <cell r="N298">
            <v>512793780</v>
          </cell>
          <cell r="O298">
            <v>11127076705.395397</v>
          </cell>
          <cell r="P298">
            <v>133524920464.74477</v>
          </cell>
          <cell r="Q298">
            <v>3338123011.6186194</v>
          </cell>
          <cell r="R298">
            <v>136863043476.36339</v>
          </cell>
          <cell r="S298">
            <v>11127076705.395397</v>
          </cell>
          <cell r="T298">
            <v>147990120181.75879</v>
          </cell>
          <cell r="V298" t="str">
            <v>K</v>
          </cell>
          <cell r="Y298">
            <v>117639924272</v>
          </cell>
          <cell r="Z298">
            <v>30350195909.758789</v>
          </cell>
          <cell r="AA298">
            <v>0.25799231083815455</v>
          </cell>
          <cell r="AC298">
            <v>5828</v>
          </cell>
          <cell r="AD298">
            <v>256</v>
          </cell>
        </row>
        <row r="299">
          <cell r="B299" t="str">
            <v>Kab. Barito Kuala</v>
          </cell>
          <cell r="C299" t="str">
            <v>03-2005</v>
          </cell>
          <cell r="D299">
            <v>18083752.875451855</v>
          </cell>
          <cell r="E299">
            <v>159860073.05973181</v>
          </cell>
          <cell r="F299">
            <v>367955392.45318007</v>
          </cell>
          <cell r="G299">
            <v>102426125.44792074</v>
          </cell>
          <cell r="H299">
            <v>4038</v>
          </cell>
          <cell r="I299">
            <v>648325343.8362844</v>
          </cell>
          <cell r="J299">
            <v>4947416311</v>
          </cell>
          <cell r="K299">
            <v>473890048.44999999</v>
          </cell>
          <cell r="L299">
            <v>790454700</v>
          </cell>
          <cell r="M299">
            <v>45332959.75</v>
          </cell>
          <cell r="N299">
            <v>350307780</v>
          </cell>
          <cell r="O299">
            <v>7255727143.0362844</v>
          </cell>
          <cell r="P299">
            <v>87068725716.43541</v>
          </cell>
          <cell r="Q299">
            <v>2176718142.9108853</v>
          </cell>
          <cell r="R299">
            <v>89245443859.346298</v>
          </cell>
          <cell r="S299">
            <v>7255727143.0362844</v>
          </cell>
          <cell r="T299">
            <v>96501171002.382584</v>
          </cell>
          <cell r="V299" t="str">
            <v>K</v>
          </cell>
          <cell r="Y299">
            <v>76629193212</v>
          </cell>
          <cell r="Z299">
            <v>19871977790.382584</v>
          </cell>
          <cell r="AA299">
            <v>0.25932646498580997</v>
          </cell>
          <cell r="AC299">
            <v>3772</v>
          </cell>
          <cell r="AD299">
            <v>265</v>
          </cell>
        </row>
        <row r="300">
          <cell r="B300" t="str">
            <v>Kab. Tapin</v>
          </cell>
          <cell r="C300" t="str">
            <v>03-2005</v>
          </cell>
          <cell r="D300">
            <v>17588307.591192901</v>
          </cell>
          <cell r="E300">
            <v>142600547.35202491</v>
          </cell>
          <cell r="F300">
            <v>312507949.47153717</v>
          </cell>
          <cell r="G300">
            <v>120046053.78060164</v>
          </cell>
          <cell r="H300">
            <v>3680</v>
          </cell>
          <cell r="I300">
            <v>592742858.19535661</v>
          </cell>
          <cell r="J300">
            <v>4661398523</v>
          </cell>
          <cell r="K300">
            <v>428021887.89999998</v>
          </cell>
          <cell r="L300">
            <v>672265150</v>
          </cell>
          <cell r="M300">
            <v>121694071.8</v>
          </cell>
          <cell r="N300">
            <v>317479590</v>
          </cell>
          <cell r="O300">
            <v>6793602080.8953562</v>
          </cell>
          <cell r="P300">
            <v>81523224970.744278</v>
          </cell>
          <cell r="Q300">
            <v>2038080624.2686071</v>
          </cell>
          <cell r="R300">
            <v>83561305595.012878</v>
          </cell>
          <cell r="S300">
            <v>6793602080.8953562</v>
          </cell>
          <cell r="T300">
            <v>90354907675.908234</v>
          </cell>
          <cell r="V300" t="str">
            <v>K</v>
          </cell>
          <cell r="Y300">
            <v>71777238299</v>
          </cell>
          <cell r="Z300">
            <v>18577669376.908234</v>
          </cell>
          <cell r="AA300">
            <v>0.25882396449303147</v>
          </cell>
          <cell r="AC300">
            <v>3517</v>
          </cell>
          <cell r="AD300">
            <v>183</v>
          </cell>
        </row>
        <row r="301">
          <cell r="B301" t="str">
            <v>Kab. Hulu Sungai Selatan</v>
          </cell>
          <cell r="C301" t="str">
            <v>03-2005</v>
          </cell>
          <cell r="D301">
            <v>16349694.380545514</v>
          </cell>
          <cell r="E301">
            <v>178460144.45347419</v>
          </cell>
          <cell r="F301">
            <v>470841203.31911743</v>
          </cell>
          <cell r="G301">
            <v>157426649.40227047</v>
          </cell>
          <cell r="H301">
            <v>5144</v>
          </cell>
          <cell r="I301">
            <v>823077691.55540764</v>
          </cell>
          <cell r="J301">
            <v>6289413126.4439993</v>
          </cell>
          <cell r="K301">
            <v>655147200.67124999</v>
          </cell>
          <cell r="L301">
            <v>911509148.75999999</v>
          </cell>
          <cell r="M301">
            <v>192176512.19689995</v>
          </cell>
          <cell r="N301">
            <v>478542303.09899998</v>
          </cell>
          <cell r="O301">
            <v>9349865982.7265549</v>
          </cell>
          <cell r="P301">
            <v>112198391792.71866</v>
          </cell>
          <cell r="Q301">
            <v>2804959794.8179665</v>
          </cell>
          <cell r="R301">
            <v>115003351587.53662</v>
          </cell>
          <cell r="S301">
            <v>9349865982.7265549</v>
          </cell>
          <cell r="T301">
            <v>124353217570.26318</v>
          </cell>
          <cell r="V301" t="str">
            <v>K</v>
          </cell>
          <cell r="W301" t="str">
            <v>x</v>
          </cell>
          <cell r="Y301">
            <v>98746824449</v>
          </cell>
          <cell r="Z301">
            <v>25606393121.263184</v>
          </cell>
          <cell r="AA301">
            <v>0.25931358566865281</v>
          </cell>
          <cell r="AC301">
            <v>4985</v>
          </cell>
          <cell r="AD301">
            <v>252</v>
          </cell>
        </row>
        <row r="302">
          <cell r="B302" t="str">
            <v>Kab. Hulu Sungai Tengah</v>
          </cell>
          <cell r="C302" t="str">
            <v>03-2005</v>
          </cell>
          <cell r="D302">
            <v>15854249.096286559</v>
          </cell>
          <cell r="E302">
            <v>137741069.24014628</v>
          </cell>
          <cell r="F302">
            <v>438650882.25477475</v>
          </cell>
          <cell r="G302">
            <v>180974777.92164773</v>
          </cell>
          <cell r="H302">
            <v>4833</v>
          </cell>
          <cell r="I302">
            <v>773220978.51285529</v>
          </cell>
          <cell r="J302">
            <v>6193326567.3119984</v>
          </cell>
          <cell r="K302">
            <v>645138184.09499991</v>
          </cell>
          <cell r="L302">
            <v>897583560.48000002</v>
          </cell>
          <cell r="M302">
            <v>189240534.00119999</v>
          </cell>
          <cell r="N302">
            <v>471231369.25199997</v>
          </cell>
          <cell r="O302">
            <v>9169741193.6530552</v>
          </cell>
          <cell r="P302">
            <v>110036894323.83667</v>
          </cell>
          <cell r="Q302">
            <v>2750922358.0959167</v>
          </cell>
          <cell r="R302">
            <v>112787816681.93259</v>
          </cell>
          <cell r="S302">
            <v>9169741193.6530552</v>
          </cell>
          <cell r="T302">
            <v>121957557875.58565</v>
          </cell>
          <cell r="V302" t="str">
            <v>K</v>
          </cell>
          <cell r="W302" t="str">
            <v>x</v>
          </cell>
          <cell r="Y302">
            <v>97238219052</v>
          </cell>
          <cell r="Z302">
            <v>24719338823.585648</v>
          </cell>
          <cell r="AA302">
            <v>0.25421422836185953</v>
          </cell>
          <cell r="AC302">
            <v>4793</v>
          </cell>
          <cell r="AD302">
            <v>72</v>
          </cell>
        </row>
        <row r="303">
          <cell r="B303" t="str">
            <v>Kab. Hulu Sungai Utara</v>
          </cell>
          <cell r="C303" t="str">
            <v>03-2005</v>
          </cell>
          <cell r="D303">
            <v>9661183.0430496223</v>
          </cell>
          <cell r="E303">
            <v>122827498.48300149</v>
          </cell>
          <cell r="F303">
            <v>322057231.31837571</v>
          </cell>
          <cell r="G303">
            <v>137995326.56809899</v>
          </cell>
          <cell r="H303">
            <v>3701</v>
          </cell>
          <cell r="I303">
            <v>592541239.41252577</v>
          </cell>
          <cell r="J303">
            <v>4598742667.4639997</v>
          </cell>
          <cell r="K303">
            <v>479035694.52749991</v>
          </cell>
          <cell r="L303">
            <v>666484444.55999994</v>
          </cell>
          <cell r="M303">
            <v>140517137.0614</v>
          </cell>
          <cell r="N303">
            <v>349904333.39399999</v>
          </cell>
          <cell r="O303">
            <v>6827225516.419426</v>
          </cell>
          <cell r="P303">
            <v>81926706197.033112</v>
          </cell>
          <cell r="Q303">
            <v>2048167654.925828</v>
          </cell>
          <cell r="R303">
            <v>83974873851.958939</v>
          </cell>
          <cell r="S303">
            <v>6827225516.419426</v>
          </cell>
          <cell r="T303">
            <v>90802099368.378357</v>
          </cell>
          <cell r="V303" t="str">
            <v>K</v>
          </cell>
          <cell r="W303" t="str">
            <v>x</v>
          </cell>
          <cell r="Y303">
            <v>72202481494</v>
          </cell>
          <cell r="Z303">
            <v>18599617874.378357</v>
          </cell>
          <cell r="AA303">
            <v>0.25760358216945739</v>
          </cell>
          <cell r="AC303">
            <v>4796</v>
          </cell>
          <cell r="AD303">
            <v>292</v>
          </cell>
        </row>
        <row r="304">
          <cell r="B304" t="str">
            <v>Kab. Kota Baru</v>
          </cell>
          <cell r="C304" t="str">
            <v>06-2005</v>
          </cell>
          <cell r="D304">
            <v>1734058.4949063424</v>
          </cell>
          <cell r="E304">
            <v>175611484.87064877</v>
          </cell>
          <cell r="F304">
            <v>312661970.14648622</v>
          </cell>
          <cell r="G304">
            <v>51707079.406185068</v>
          </cell>
          <cell r="H304">
            <v>3399</v>
          </cell>
          <cell r="I304">
            <v>541714592.91822636</v>
          </cell>
          <cell r="J304">
            <v>4053209508.6479998</v>
          </cell>
          <cell r="K304">
            <v>422209323.81749994</v>
          </cell>
          <cell r="L304">
            <v>587421667.91999996</v>
          </cell>
          <cell r="M304">
            <v>123848068.31979997</v>
          </cell>
          <cell r="N304">
            <v>308396375.65799999</v>
          </cell>
          <cell r="O304">
            <v>6036799537.2815266</v>
          </cell>
          <cell r="P304">
            <v>72441594447.378326</v>
          </cell>
          <cell r="Q304">
            <v>1811039861.1844583</v>
          </cell>
          <cell r="R304">
            <v>74252634308.56279</v>
          </cell>
          <cell r="S304">
            <v>6036799537.2815266</v>
          </cell>
          <cell r="T304">
            <v>80289433845.844315</v>
          </cell>
          <cell r="V304" t="str">
            <v>K</v>
          </cell>
          <cell r="W304" t="str">
            <v>x</v>
          </cell>
          <cell r="Y304">
            <v>63637347358</v>
          </cell>
          <cell r="Z304">
            <v>16652086487.844315</v>
          </cell>
          <cell r="AA304">
            <v>0.26167159976304294</v>
          </cell>
          <cell r="AC304">
            <v>3220</v>
          </cell>
          <cell r="AD304">
            <v>256</v>
          </cell>
        </row>
        <row r="305">
          <cell r="B305" t="str">
            <v>Kab. Tanah Bumbu</v>
          </cell>
          <cell r="C305" t="str">
            <v>06-2005</v>
          </cell>
          <cell r="D305">
            <v>12386132.106473874</v>
          </cell>
          <cell r="E305">
            <v>87638174.224569961</v>
          </cell>
          <cell r="F305">
            <v>212086469.40478399</v>
          </cell>
          <cell r="G305">
            <v>46108223.674305156</v>
          </cell>
          <cell r="H305">
            <v>2230</v>
          </cell>
          <cell r="I305">
            <v>358218999.41013294</v>
          </cell>
          <cell r="J305">
            <v>2456108323.1999993</v>
          </cell>
          <cell r="K305">
            <v>255844616.99999997</v>
          </cell>
          <cell r="L305">
            <v>355957728</v>
          </cell>
          <cell r="M305">
            <v>75047754.319999993</v>
          </cell>
          <cell r="N305">
            <v>186877807.19999999</v>
          </cell>
          <cell r="O305">
            <v>3688055229.1301322</v>
          </cell>
          <cell r="P305">
            <v>44256662749.561584</v>
          </cell>
          <cell r="Q305">
            <v>1106416568.7390397</v>
          </cell>
          <cell r="R305">
            <v>45363079318.300621</v>
          </cell>
          <cell r="S305">
            <v>3688055229.1301322</v>
          </cell>
          <cell r="T305">
            <v>49051134547.430756</v>
          </cell>
          <cell r="V305" t="str">
            <v>K</v>
          </cell>
          <cell r="W305" t="str">
            <v>x</v>
          </cell>
          <cell r="Y305">
            <v>38562087200</v>
          </cell>
          <cell r="Z305">
            <v>10489047347.430756</v>
          </cell>
          <cell r="AA305">
            <v>0.27200413953295444</v>
          </cell>
          <cell r="AC305">
            <v>2140</v>
          </cell>
          <cell r="AD305">
            <v>0</v>
          </cell>
        </row>
        <row r="306">
          <cell r="B306" t="str">
            <v>Kab. Balangan</v>
          </cell>
          <cell r="C306" t="str">
            <v>03-2005</v>
          </cell>
          <cell r="D306">
            <v>10899796.25369701</v>
          </cell>
          <cell r="E306">
            <v>63005647.243667886</v>
          </cell>
          <cell r="F306">
            <v>144471393.10216948</v>
          </cell>
          <cell r="G306">
            <v>50389701.586919203</v>
          </cell>
          <cell r="H306">
            <v>1664</v>
          </cell>
          <cell r="I306">
            <v>268766538.18645358</v>
          </cell>
          <cell r="J306">
            <v>2031081629.4359996</v>
          </cell>
          <cell r="K306">
            <v>211571003.06625</v>
          </cell>
          <cell r="L306">
            <v>294359656.44</v>
          </cell>
          <cell r="M306">
            <v>62060827.566099994</v>
          </cell>
          <cell r="N306">
            <v>154538819.63100001</v>
          </cell>
          <cell r="O306">
            <v>3022378474.3258033</v>
          </cell>
          <cell r="P306">
            <v>36268541691.909637</v>
          </cell>
          <cell r="Q306">
            <v>906713542.29774094</v>
          </cell>
          <cell r="R306">
            <v>37175255234.207382</v>
          </cell>
          <cell r="S306">
            <v>3022378474.3258033</v>
          </cell>
          <cell r="T306">
            <v>40197633708.533188</v>
          </cell>
          <cell r="V306" t="str">
            <v>K</v>
          </cell>
          <cell r="W306" t="str">
            <v>x</v>
          </cell>
          <cell r="Y306">
            <v>31888962781</v>
          </cell>
          <cell r="Z306">
            <v>8308670927.5331879</v>
          </cell>
          <cell r="AA306">
            <v>0.26055005252424324</v>
          </cell>
          <cell r="AC306">
            <v>41</v>
          </cell>
          <cell r="AD306">
            <v>207</v>
          </cell>
        </row>
        <row r="307">
          <cell r="B307" t="str">
            <v>Kab. Tabalong</v>
          </cell>
          <cell r="C307" t="str">
            <v>03-2005</v>
          </cell>
          <cell r="D307">
            <v>10899796.25369701</v>
          </cell>
          <cell r="E307">
            <v>151314094.31125557</v>
          </cell>
          <cell r="F307">
            <v>348086725.38475806</v>
          </cell>
          <cell r="G307">
            <v>148369676.89481765</v>
          </cell>
          <cell r="H307">
            <v>4108</v>
          </cell>
          <cell r="I307">
            <v>658670292.8445282</v>
          </cell>
          <cell r="J307">
            <v>5187176561.3759995</v>
          </cell>
          <cell r="K307">
            <v>540330891.80999994</v>
          </cell>
          <cell r="L307">
            <v>751764719.03999996</v>
          </cell>
          <cell r="M307">
            <v>158497061.59759998</v>
          </cell>
          <cell r="N307">
            <v>394676477.49599999</v>
          </cell>
          <cell r="O307">
            <v>7691116004.1641273</v>
          </cell>
          <cell r="P307">
            <v>92293392049.969528</v>
          </cell>
          <cell r="Q307">
            <v>2307334801.2492385</v>
          </cell>
          <cell r="R307">
            <v>94600726851.218765</v>
          </cell>
          <cell r="S307">
            <v>7691116004.1641273</v>
          </cell>
          <cell r="T307">
            <v>102291842855.38289</v>
          </cell>
          <cell r="V307" t="str">
            <v>K</v>
          </cell>
          <cell r="W307" t="str">
            <v>x</v>
          </cell>
          <cell r="Y307">
            <v>81441177896</v>
          </cell>
          <cell r="Z307">
            <v>20850664959.382889</v>
          </cell>
          <cell r="AA307">
            <v>0.25602116150639531</v>
          </cell>
          <cell r="AC307">
            <v>3879</v>
          </cell>
          <cell r="AD307">
            <v>224</v>
          </cell>
        </row>
        <row r="308">
          <cell r="B308" t="str">
            <v>Kab. Tanah Laut</v>
          </cell>
          <cell r="C308" t="str">
            <v>03-2005</v>
          </cell>
          <cell r="D308">
            <v>18331475.517581336</v>
          </cell>
          <cell r="E308">
            <v>132881591.12826763</v>
          </cell>
          <cell r="F308">
            <v>367493330.42833304</v>
          </cell>
          <cell r="G308">
            <v>72785124.514438853</v>
          </cell>
          <cell r="H308">
            <v>3695</v>
          </cell>
          <cell r="I308">
            <v>591491521.5886209</v>
          </cell>
          <cell r="J308">
            <v>4660948369.1159992</v>
          </cell>
          <cell r="K308">
            <v>485515455.11624992</v>
          </cell>
          <cell r="L308">
            <v>675499763.63999999</v>
          </cell>
          <cell r="M308">
            <v>142417866.83409998</v>
          </cell>
          <cell r="N308">
            <v>354637375.91100001</v>
          </cell>
          <cell r="O308">
            <v>6910510352.2059708</v>
          </cell>
          <cell r="P308">
            <v>82926124226.471649</v>
          </cell>
          <cell r="Q308">
            <v>2073153105.6617913</v>
          </cell>
          <cell r="R308">
            <v>84999277332.133438</v>
          </cell>
          <cell r="S308">
            <v>6910510352.2059708</v>
          </cell>
          <cell r="T308">
            <v>91909787684.339417</v>
          </cell>
          <cell r="V308" t="str">
            <v>K</v>
          </cell>
          <cell r="W308" t="str">
            <v>x</v>
          </cell>
          <cell r="Y308">
            <v>73179141061</v>
          </cell>
          <cell r="Z308">
            <v>18730646623.339417</v>
          </cell>
          <cell r="AA308">
            <v>0.25595608737366971</v>
          </cell>
          <cell r="AC308">
            <v>3652</v>
          </cell>
          <cell r="AD308">
            <v>262</v>
          </cell>
        </row>
        <row r="309">
          <cell r="B309" t="str">
            <v>Provinsi Kalimantan Timur</v>
          </cell>
          <cell r="C309" t="str">
            <v>06-2005</v>
          </cell>
          <cell r="D309">
            <v>23750000</v>
          </cell>
          <cell r="E309">
            <v>301990823.74040711</v>
          </cell>
          <cell r="F309">
            <v>583263537.6020627</v>
          </cell>
          <cell r="G309">
            <v>97499111.111111104</v>
          </cell>
          <cell r="H309">
            <v>6321</v>
          </cell>
          <cell r="I309">
            <v>1006503472.4535809</v>
          </cell>
          <cell r="J309">
            <v>8012012651.4499998</v>
          </cell>
          <cell r="K309">
            <v>839676430.69999993</v>
          </cell>
          <cell r="L309">
            <v>706660350</v>
          </cell>
          <cell r="M309">
            <v>54433821.699999996</v>
          </cell>
          <cell r="N309">
            <v>602151080</v>
          </cell>
          <cell r="O309">
            <v>11221437806.303581</v>
          </cell>
          <cell r="P309">
            <v>134657253675.64297</v>
          </cell>
          <cell r="Q309">
            <v>3366431341.8910747</v>
          </cell>
          <cell r="R309">
            <v>138023685017.53406</v>
          </cell>
          <cell r="S309">
            <v>11221437806.303581</v>
          </cell>
          <cell r="T309">
            <v>149245122823.83765</v>
          </cell>
          <cell r="V309" t="str">
            <v>P</v>
          </cell>
          <cell r="Y309">
            <v>117692459677</v>
          </cell>
          <cell r="Z309">
            <v>31552663146.837646</v>
          </cell>
          <cell r="AA309">
            <v>0.26809417726022605</v>
          </cell>
          <cell r="AC309">
            <v>6638</v>
          </cell>
          <cell r="AD309">
            <v>0</v>
          </cell>
        </row>
        <row r="310">
          <cell r="B310" t="str">
            <v>Kota Samarinda</v>
          </cell>
          <cell r="C310" t="str">
            <v>06-2005</v>
          </cell>
          <cell r="D310">
            <v>19817811.370358199</v>
          </cell>
          <cell r="E310">
            <v>224541402.41094404</v>
          </cell>
          <cell r="F310">
            <v>804449985.25866866</v>
          </cell>
          <cell r="G310">
            <v>261170152.66945705</v>
          </cell>
          <cell r="H310">
            <v>8229</v>
          </cell>
          <cell r="I310">
            <v>1309979351.7094278</v>
          </cell>
          <cell r="J310">
            <v>10550758881</v>
          </cell>
          <cell r="K310">
            <v>1039973308.4</v>
          </cell>
          <cell r="L310">
            <v>1449149950</v>
          </cell>
          <cell r="M310">
            <v>414286729.49999994</v>
          </cell>
          <cell r="N310">
            <v>755048370</v>
          </cell>
          <cell r="O310">
            <v>15519196590.609426</v>
          </cell>
          <cell r="P310">
            <v>186230359087.31311</v>
          </cell>
          <cell r="Q310">
            <v>4655758977.1828279</v>
          </cell>
          <cell r="R310">
            <v>190886118064.49594</v>
          </cell>
          <cell r="S310">
            <v>15519196590.609426</v>
          </cell>
          <cell r="T310">
            <v>206405314655.10538</v>
          </cell>
          <cell r="V310" t="str">
            <v>K</v>
          </cell>
          <cell r="Y310">
            <v>164363487678</v>
          </cell>
          <cell r="Z310">
            <v>42041826977.105377</v>
          </cell>
          <cell r="AA310">
            <v>0.25578568312853256</v>
          </cell>
          <cell r="AC310">
            <v>8210</v>
          </cell>
          <cell r="AD310">
            <v>193</v>
          </cell>
        </row>
        <row r="311">
          <cell r="B311" t="str">
            <v>Kab. Kutai Barat</v>
          </cell>
          <cell r="C311" t="str">
            <v>06-2005</v>
          </cell>
          <cell r="D311">
            <v>17588307.591192901</v>
          </cell>
          <cell r="E311">
            <v>186000713.9374238</v>
          </cell>
          <cell r="F311">
            <v>257830609.86463937</v>
          </cell>
          <cell r="G311">
            <v>50719046.041735671</v>
          </cell>
          <cell r="H311">
            <v>3163</v>
          </cell>
          <cell r="I311">
            <v>512138677.43499172</v>
          </cell>
          <cell r="J311">
            <v>3760116205.8999996</v>
          </cell>
          <cell r="K311">
            <v>731807893.5</v>
          </cell>
          <cell r="L311">
            <v>572646000</v>
          </cell>
          <cell r="M311">
            <v>145104463.09999999</v>
          </cell>
          <cell r="N311">
            <v>310709340</v>
          </cell>
          <cell r="O311">
            <v>6032522579.9349918</v>
          </cell>
          <cell r="P311">
            <v>72390270959.21991</v>
          </cell>
          <cell r="Q311">
            <v>1809756773.9804978</v>
          </cell>
          <cell r="R311">
            <v>74200027733.200409</v>
          </cell>
          <cell r="S311">
            <v>6032522579.9349918</v>
          </cell>
          <cell r="T311">
            <v>80232550313.135406</v>
          </cell>
          <cell r="V311" t="str">
            <v>K</v>
          </cell>
          <cell r="Y311">
            <v>63902203170</v>
          </cell>
          <cell r="Z311">
            <v>16330347143.135406</v>
          </cell>
          <cell r="AA311">
            <v>0.25555217712434009</v>
          </cell>
          <cell r="AC311">
            <v>3134</v>
          </cell>
          <cell r="AD311">
            <v>182</v>
          </cell>
        </row>
        <row r="312">
          <cell r="B312" t="str">
            <v>Kab. Kutai</v>
          </cell>
          <cell r="C312" t="str">
            <v>06-2005</v>
          </cell>
          <cell r="D312">
            <v>54994426.552744001</v>
          </cell>
          <cell r="E312">
            <v>465336921.26506835</v>
          </cell>
          <cell r="F312">
            <v>927512504.54292607</v>
          </cell>
          <cell r="G312">
            <v>183115516.87795475</v>
          </cell>
          <cell r="H312">
            <v>10133</v>
          </cell>
          <cell r="I312">
            <v>1630959369.238693</v>
          </cell>
          <cell r="J312">
            <v>12243476081</v>
          </cell>
          <cell r="K312">
            <v>1291923510.1999998</v>
          </cell>
          <cell r="L312">
            <v>1565078150</v>
          </cell>
          <cell r="M312">
            <v>912857006.14999998</v>
          </cell>
          <cell r="N312">
            <v>972749520</v>
          </cell>
          <cell r="O312">
            <v>18617043636.588696</v>
          </cell>
          <cell r="P312">
            <v>223404523639.06433</v>
          </cell>
          <cell r="Q312">
            <v>5585113090.9766083</v>
          </cell>
          <cell r="R312">
            <v>228989636730.04095</v>
          </cell>
          <cell r="S312">
            <v>18617043636.588696</v>
          </cell>
          <cell r="T312">
            <v>247606680366.62964</v>
          </cell>
          <cell r="V312" t="str">
            <v>K</v>
          </cell>
          <cell r="Y312">
            <v>196319877767</v>
          </cell>
          <cell r="Z312">
            <v>51286802599.629639</v>
          </cell>
          <cell r="AA312">
            <v>0.26124100719183818</v>
          </cell>
          <cell r="AC312">
            <v>10031</v>
          </cell>
          <cell r="AD312">
            <v>244</v>
          </cell>
        </row>
        <row r="313">
          <cell r="B313" t="str">
            <v>Kab. Kutai Timur</v>
          </cell>
          <cell r="C313" t="str">
            <v>06-2005</v>
          </cell>
          <cell r="D313">
            <v>7927124.5481432797</v>
          </cell>
          <cell r="E313">
            <v>133049159.33902207</v>
          </cell>
          <cell r="F313">
            <v>198532650.00927129</v>
          </cell>
          <cell r="G313">
            <v>34581167.755728863</v>
          </cell>
          <cell r="H313">
            <v>2325</v>
          </cell>
          <cell r="I313">
            <v>374090101.65216547</v>
          </cell>
          <cell r="J313">
            <v>2712002881.25</v>
          </cell>
          <cell r="K313">
            <v>310371189.64999998</v>
          </cell>
          <cell r="L313">
            <v>407362650</v>
          </cell>
          <cell r="M313">
            <v>114690832.84999999</v>
          </cell>
          <cell r="N313">
            <v>232415180</v>
          </cell>
          <cell r="O313">
            <v>4150932835.4021654</v>
          </cell>
          <cell r="P313">
            <v>49811194024.825989</v>
          </cell>
          <cell r="Q313">
            <v>1245279850.6206498</v>
          </cell>
          <cell r="R313">
            <v>51056473875.44664</v>
          </cell>
          <cell r="S313">
            <v>4150932835.4021654</v>
          </cell>
          <cell r="T313">
            <v>55207406710.848808</v>
          </cell>
          <cell r="V313" t="str">
            <v>K</v>
          </cell>
          <cell r="Y313">
            <v>43779584615</v>
          </cell>
          <cell r="Z313">
            <v>11427822095.848808</v>
          </cell>
          <cell r="AA313">
            <v>0.26103084797047948</v>
          </cell>
          <cell r="AC313">
            <v>2321</v>
          </cell>
          <cell r="AD313">
            <v>264</v>
          </cell>
        </row>
        <row r="314">
          <cell r="B314" t="str">
            <v>Kota Bontang</v>
          </cell>
          <cell r="C314" t="str">
            <v>06-2005</v>
          </cell>
          <cell r="D314">
            <v>4211284.9162011174</v>
          </cell>
          <cell r="E314">
            <v>95011175.497765139</v>
          </cell>
          <cell r="F314">
            <v>142623145.00278139</v>
          </cell>
          <cell r="G314">
            <v>24371489.656418439</v>
          </cell>
          <cell r="H314">
            <v>1658</v>
          </cell>
          <cell r="I314">
            <v>266217095.07316607</v>
          </cell>
          <cell r="J314">
            <v>1839249083.3499999</v>
          </cell>
          <cell r="K314">
            <v>214052519.89999998</v>
          </cell>
          <cell r="L314">
            <v>262103950</v>
          </cell>
          <cell r="M314">
            <v>69607133.299999997</v>
          </cell>
          <cell r="N314">
            <v>154532700</v>
          </cell>
          <cell r="O314">
            <v>2805762481.6231661</v>
          </cell>
          <cell r="P314">
            <v>33669149779.477993</v>
          </cell>
          <cell r="Q314">
            <v>841728744.48694992</v>
          </cell>
          <cell r="R314">
            <v>34510878523.964943</v>
          </cell>
          <cell r="S314">
            <v>2805762481.6231661</v>
          </cell>
          <cell r="T314">
            <v>37316641005.588112</v>
          </cell>
          <cell r="V314" t="str">
            <v>K</v>
          </cell>
          <cell r="Y314">
            <v>29414375211</v>
          </cell>
          <cell r="Z314">
            <v>7902265794.5881119</v>
          </cell>
          <cell r="AA314">
            <v>0.26865319211787736</v>
          </cell>
          <cell r="AC314">
            <v>1443</v>
          </cell>
          <cell r="AD314">
            <v>197</v>
          </cell>
        </row>
        <row r="315">
          <cell r="B315" t="str">
            <v>Kota Balikpapan</v>
          </cell>
          <cell r="C315" t="str">
            <v>06-2005</v>
          </cell>
          <cell r="D315">
            <v>11642964.180085443</v>
          </cell>
          <cell r="E315">
            <v>128357249.43789786</v>
          </cell>
          <cell r="F315">
            <v>454052949.74967551</v>
          </cell>
          <cell r="G315">
            <v>184268222.46981239</v>
          </cell>
          <cell r="H315">
            <v>4880</v>
          </cell>
          <cell r="I315">
            <v>778321385.83747125</v>
          </cell>
          <cell r="J315">
            <v>6390313938.3499994</v>
          </cell>
          <cell r="K315">
            <v>663055835.79999995</v>
          </cell>
          <cell r="L315">
            <v>909925750</v>
          </cell>
          <cell r="M315">
            <v>254925394.39999998</v>
          </cell>
          <cell r="N315">
            <v>455351970</v>
          </cell>
          <cell r="O315">
            <v>9451894274.3874702</v>
          </cell>
          <cell r="P315">
            <v>113422731292.64964</v>
          </cell>
          <cell r="Q315">
            <v>2835568282.3162413</v>
          </cell>
          <cell r="R315">
            <v>116258299574.96588</v>
          </cell>
          <cell r="S315">
            <v>9451894274.3874702</v>
          </cell>
          <cell r="T315">
            <v>125710193849.35335</v>
          </cell>
          <cell r="V315" t="str">
            <v>K</v>
          </cell>
          <cell r="Y315">
            <v>100364120961</v>
          </cell>
          <cell r="Z315">
            <v>25346072888.353348</v>
          </cell>
          <cell r="AA315">
            <v>0.25254117353553523</v>
          </cell>
          <cell r="AC315">
            <v>4960</v>
          </cell>
          <cell r="AD315">
            <v>146</v>
          </cell>
        </row>
        <row r="316">
          <cell r="B316" t="str">
            <v>Kab. Pasir</v>
          </cell>
          <cell r="C316" t="str">
            <v>06-2005</v>
          </cell>
          <cell r="D316">
            <v>19322366.086099245</v>
          </cell>
          <cell r="E316">
            <v>191530464.89232019</v>
          </cell>
          <cell r="F316">
            <v>344236208.51103282</v>
          </cell>
          <cell r="G316">
            <v>50225029.359510973</v>
          </cell>
          <cell r="H316">
            <v>3761</v>
          </cell>
          <cell r="I316">
            <v>605314068.84896326</v>
          </cell>
          <cell r="J316">
            <v>4521806528.5499992</v>
          </cell>
          <cell r="K316">
            <v>465748224.39999998</v>
          </cell>
          <cell r="L316">
            <v>652112400</v>
          </cell>
          <cell r="M316">
            <v>159851370.79999998</v>
          </cell>
          <cell r="N316">
            <v>165103830</v>
          </cell>
          <cell r="O316">
            <v>6569936422.5989618</v>
          </cell>
          <cell r="P316">
            <v>78839237071.187546</v>
          </cell>
          <cell r="Q316">
            <v>1970980926.7796888</v>
          </cell>
          <cell r="R316">
            <v>80810217997.967239</v>
          </cell>
          <cell r="S316">
            <v>6569936422.5989618</v>
          </cell>
          <cell r="T316">
            <v>87380154420.566208</v>
          </cell>
          <cell r="V316" t="str">
            <v>K</v>
          </cell>
          <cell r="Y316">
            <v>68811880215</v>
          </cell>
          <cell r="Z316">
            <v>18568274205.566208</v>
          </cell>
          <cell r="AA316">
            <v>0.26984111097604613</v>
          </cell>
          <cell r="AC316">
            <v>3824</v>
          </cell>
          <cell r="AD316">
            <v>236</v>
          </cell>
        </row>
        <row r="317">
          <cell r="B317" t="str">
            <v>Kab. Penajam Paser Utara</v>
          </cell>
          <cell r="C317" t="str">
            <v>06-2005</v>
          </cell>
          <cell r="D317">
            <v>5697620.768977982</v>
          </cell>
          <cell r="E317">
            <v>96854425.816063926</v>
          </cell>
          <cell r="F317">
            <v>170654907.84350085</v>
          </cell>
          <cell r="G317">
            <v>24206817.429010205</v>
          </cell>
          <cell r="H317">
            <v>1856</v>
          </cell>
          <cell r="I317">
            <v>297413771.85755295</v>
          </cell>
          <cell r="J317">
            <v>2110030959.4999998</v>
          </cell>
          <cell r="K317">
            <v>211007197.99999997</v>
          </cell>
          <cell r="L317">
            <v>308306400</v>
          </cell>
          <cell r="M317">
            <v>159851370.79999998</v>
          </cell>
          <cell r="N317">
            <v>165103830</v>
          </cell>
          <cell r="O317">
            <v>3251713530.1575527</v>
          </cell>
          <cell r="P317">
            <v>39020562361.890633</v>
          </cell>
          <cell r="Q317">
            <v>975514059.04726589</v>
          </cell>
          <cell r="R317">
            <v>39996076420.937897</v>
          </cell>
          <cell r="S317">
            <v>3251713530.1575527</v>
          </cell>
          <cell r="T317">
            <v>43247789951.095451</v>
          </cell>
          <cell r="V317" t="str">
            <v>K</v>
          </cell>
          <cell r="Y317">
            <v>34199171136</v>
          </cell>
          <cell r="Z317">
            <v>9048618815.0954514</v>
          </cell>
          <cell r="AA317">
            <v>0.26458590996582249</v>
          </cell>
          <cell r="AC317">
            <v>1518</v>
          </cell>
          <cell r="AD317">
            <v>290</v>
          </cell>
        </row>
        <row r="318">
          <cell r="B318" t="str">
            <v>Kab. Malinau</v>
          </cell>
          <cell r="C318" t="str">
            <v>03-2005</v>
          </cell>
          <cell r="D318">
            <v>6440788.6953664152</v>
          </cell>
          <cell r="E318">
            <v>114951792.57754301</v>
          </cell>
          <cell r="F318">
            <v>111664989.33803079</v>
          </cell>
          <cell r="G318">
            <v>18937306.151946761</v>
          </cell>
          <cell r="H318">
            <v>1552</v>
          </cell>
          <cell r="I318">
            <v>251994876.76288697</v>
          </cell>
          <cell r="J318">
            <v>1694738232.9999998</v>
          </cell>
          <cell r="K318">
            <v>178740900.5</v>
          </cell>
          <cell r="L318">
            <v>252111320</v>
          </cell>
          <cell r="M318">
            <v>66484213.999999993</v>
          </cell>
          <cell r="N318">
            <v>142500300</v>
          </cell>
          <cell r="O318">
            <v>2586569844.262887</v>
          </cell>
          <cell r="P318">
            <v>31038838131.154644</v>
          </cell>
          <cell r="Q318">
            <v>775970953.27886617</v>
          </cell>
          <cell r="R318">
            <v>31814809084.43351</v>
          </cell>
          <cell r="S318">
            <v>2586569844.262887</v>
          </cell>
          <cell r="T318">
            <v>34401378928.696396</v>
          </cell>
          <cell r="V318" t="str">
            <v>K</v>
          </cell>
          <cell r="Y318">
            <v>27060961005</v>
          </cell>
          <cell r="Z318">
            <v>7340417923.6963959</v>
          </cell>
          <cell r="AA318">
            <v>0.27125488715423379</v>
          </cell>
          <cell r="AC318">
            <v>1527</v>
          </cell>
          <cell r="AD318">
            <v>224</v>
          </cell>
        </row>
        <row r="319">
          <cell r="B319" t="str">
            <v>Kab. Berau</v>
          </cell>
          <cell r="C319" t="str">
            <v>03-2005</v>
          </cell>
          <cell r="D319">
            <v>22047315.149523497</v>
          </cell>
          <cell r="E319">
            <v>205271058.17418393</v>
          </cell>
          <cell r="F319">
            <v>273232677.35954016</v>
          </cell>
          <cell r="G319">
            <v>38368628.98611822</v>
          </cell>
          <cell r="H319">
            <v>3321</v>
          </cell>
          <cell r="I319">
            <v>538919679.66936576</v>
          </cell>
          <cell r="J319">
            <v>3885592238.9999995</v>
          </cell>
          <cell r="K319">
            <v>403490750.29999995</v>
          </cell>
          <cell r="L319">
            <v>564638900</v>
          </cell>
          <cell r="M319">
            <v>294756909.39999998</v>
          </cell>
          <cell r="N319">
            <v>309593010</v>
          </cell>
          <cell r="O319">
            <v>5996991488.3693647</v>
          </cell>
          <cell r="P319">
            <v>71963897860.432373</v>
          </cell>
          <cell r="Q319">
            <v>1799097446.5108094</v>
          </cell>
          <cell r="R319">
            <v>73762995306.943176</v>
          </cell>
          <cell r="S319">
            <v>5996991488.3693647</v>
          </cell>
          <cell r="T319">
            <v>79759986795.312546</v>
          </cell>
          <cell r="V319" t="str">
            <v>K</v>
          </cell>
          <cell r="Y319">
            <v>63184431193</v>
          </cell>
          <cell r="Z319">
            <v>16575555602.312546</v>
          </cell>
          <cell r="AA319">
            <v>0.26233607376604662</v>
          </cell>
          <cell r="AC319">
            <v>3288</v>
          </cell>
          <cell r="AD319">
            <v>214</v>
          </cell>
        </row>
        <row r="320">
          <cell r="B320" t="str">
            <v>Kab. Bulungan</v>
          </cell>
          <cell r="C320" t="str">
            <v>03-2005</v>
          </cell>
          <cell r="D320">
            <v>17340584.949063424</v>
          </cell>
          <cell r="E320">
            <v>187508827.83421373</v>
          </cell>
          <cell r="F320">
            <v>229798847.02391991</v>
          </cell>
          <cell r="G320">
            <v>28323623.114216022</v>
          </cell>
          <cell r="H320">
            <v>2853</v>
          </cell>
          <cell r="I320">
            <v>462971882.92141312</v>
          </cell>
          <cell r="J320">
            <v>3336907550.9999995</v>
          </cell>
          <cell r="K320">
            <v>331380532.75</v>
          </cell>
          <cell r="L320">
            <v>496789300</v>
          </cell>
          <cell r="M320">
            <v>128069584.39999999</v>
          </cell>
          <cell r="N320">
            <v>258465950</v>
          </cell>
          <cell r="O320">
            <v>5014584801.0714121</v>
          </cell>
          <cell r="P320">
            <v>60175017612.856949</v>
          </cell>
          <cell r="Q320">
            <v>1504375440.3214238</v>
          </cell>
          <cell r="R320">
            <v>61679393053.178375</v>
          </cell>
          <cell r="S320">
            <v>5014584801.0714121</v>
          </cell>
          <cell r="T320">
            <v>66693977854.249786</v>
          </cell>
          <cell r="V320" t="str">
            <v>K</v>
          </cell>
          <cell r="Y320">
            <v>52735431060</v>
          </cell>
          <cell r="Z320">
            <v>13958546794.249786</v>
          </cell>
          <cell r="AA320">
            <v>0.26469010518503927</v>
          </cell>
          <cell r="AC320">
            <v>2800</v>
          </cell>
          <cell r="AD320">
            <v>239</v>
          </cell>
        </row>
        <row r="321">
          <cell r="B321" t="str">
            <v>Kota Tarakan</v>
          </cell>
          <cell r="C321" t="str">
            <v>03-2005</v>
          </cell>
          <cell r="D321">
            <v>4211284.9162011174</v>
          </cell>
          <cell r="E321">
            <v>90319265.59664093</v>
          </cell>
          <cell r="F321">
            <v>166804390.96977565</v>
          </cell>
          <cell r="G321">
            <v>45614206.992080458</v>
          </cell>
          <cell r="H321">
            <v>1916</v>
          </cell>
          <cell r="I321">
            <v>306949148.47469813</v>
          </cell>
          <cell r="J321">
            <v>2302337467</v>
          </cell>
          <cell r="K321">
            <v>233987917.09999999</v>
          </cell>
          <cell r="L321">
            <v>365789500</v>
          </cell>
          <cell r="M321">
            <v>94560307.099999994</v>
          </cell>
          <cell r="N321">
            <v>175236900</v>
          </cell>
          <cell r="O321">
            <v>3478861239.6746979</v>
          </cell>
          <cell r="P321">
            <v>41746334876.096375</v>
          </cell>
          <cell r="Q321">
            <v>1043658371.9024094</v>
          </cell>
          <cell r="R321">
            <v>42789993247.998787</v>
          </cell>
          <cell r="S321">
            <v>3478861239.6746979</v>
          </cell>
          <cell r="T321">
            <v>46268854487.673485</v>
          </cell>
          <cell r="V321" t="str">
            <v>K</v>
          </cell>
          <cell r="Y321">
            <v>36775005020</v>
          </cell>
          <cell r="Z321">
            <v>9493849467.6734848</v>
          </cell>
          <cell r="AA321">
            <v>0.25816038536256564</v>
          </cell>
          <cell r="AC321">
            <v>1903</v>
          </cell>
          <cell r="AD321">
            <v>248</v>
          </cell>
        </row>
        <row r="322">
          <cell r="B322" t="str">
            <v>Kab. Nunukan</v>
          </cell>
          <cell r="C322" t="str">
            <v>03-2005</v>
          </cell>
          <cell r="D322">
            <v>11147518.895826487</v>
          </cell>
          <cell r="E322">
            <v>118303156.79263172</v>
          </cell>
          <cell r="F322">
            <v>126142932.78323753</v>
          </cell>
          <cell r="G322">
            <v>29641000.933481883</v>
          </cell>
          <cell r="H322">
            <v>1750</v>
          </cell>
          <cell r="I322">
            <v>285234609.40517759</v>
          </cell>
          <cell r="J322">
            <v>1939953054.9999998</v>
          </cell>
          <cell r="K322">
            <v>203061263.79999998</v>
          </cell>
          <cell r="L322">
            <v>315471350</v>
          </cell>
          <cell r="M322">
            <v>186916849.64999998</v>
          </cell>
          <cell r="N322">
            <v>159507090</v>
          </cell>
          <cell r="O322">
            <v>3090144217.8551774</v>
          </cell>
          <cell r="P322">
            <v>37081730614.262131</v>
          </cell>
          <cell r="Q322">
            <v>927043265.35655332</v>
          </cell>
          <cell r="R322">
            <v>38008773879.618683</v>
          </cell>
          <cell r="S322">
            <v>3090144217.8551774</v>
          </cell>
          <cell r="T322">
            <v>41098918097.473862</v>
          </cell>
          <cell r="V322" t="str">
            <v>K</v>
          </cell>
          <cell r="Y322">
            <v>32514156207</v>
          </cell>
          <cell r="Z322">
            <v>8584761890.4738617</v>
          </cell>
          <cell r="AA322">
            <v>0.26403151402174913</v>
          </cell>
          <cell r="AC322">
            <v>1725</v>
          </cell>
          <cell r="AD322">
            <v>266</v>
          </cell>
        </row>
        <row r="323">
          <cell r="B323" t="str">
            <v>Provinsi Sulawesi Utara</v>
          </cell>
          <cell r="C323" t="str">
            <v>06-2005</v>
          </cell>
          <cell r="D323">
            <v>19000000</v>
          </cell>
          <cell r="E323">
            <v>270666847.18051386</v>
          </cell>
          <cell r="F323">
            <v>563584681.56424582</v>
          </cell>
          <cell r="G323">
            <v>71632000</v>
          </cell>
          <cell r="H323">
            <v>5845</v>
          </cell>
          <cell r="I323">
            <v>924883528.74475968</v>
          </cell>
          <cell r="J323">
            <v>7333394013.999999</v>
          </cell>
          <cell r="K323">
            <v>668792404.94999993</v>
          </cell>
          <cell r="L323">
            <v>573933158</v>
          </cell>
          <cell r="M323">
            <v>125764808.44999999</v>
          </cell>
          <cell r="N323">
            <v>483606480</v>
          </cell>
          <cell r="O323">
            <v>10110374394.14476</v>
          </cell>
          <cell r="P323">
            <v>121324492729.73712</v>
          </cell>
          <cell r="Q323">
            <v>3033112318.2434282</v>
          </cell>
          <cell r="R323">
            <v>124357605047.98055</v>
          </cell>
          <cell r="S323">
            <v>10110374394.14476</v>
          </cell>
          <cell r="T323">
            <v>134467979442.12531</v>
          </cell>
          <cell r="V323" t="str">
            <v>P</v>
          </cell>
          <cell r="Y323">
            <v>105629203082</v>
          </cell>
          <cell r="Z323">
            <v>28838776360.125305</v>
          </cell>
          <cell r="AA323">
            <v>0.27301897125681945</v>
          </cell>
          <cell r="AC323">
            <v>6082</v>
          </cell>
          <cell r="AD323">
            <v>164</v>
          </cell>
        </row>
        <row r="324">
          <cell r="B324" t="str">
            <v>Kota Manado</v>
          </cell>
          <cell r="C324" t="str">
            <v>03-2005</v>
          </cell>
          <cell r="D324">
            <v>27249490.634242523</v>
          </cell>
          <cell r="E324">
            <v>253698271.08221588</v>
          </cell>
          <cell r="F324">
            <v>752390997.12590396</v>
          </cell>
          <cell r="G324">
            <v>268580402.9028275</v>
          </cell>
          <cell r="H324">
            <v>8140</v>
          </cell>
          <cell r="I324">
            <v>1301919161.7451899</v>
          </cell>
          <cell r="J324">
            <v>10485901710</v>
          </cell>
          <cell r="K324">
            <v>920450992.04999995</v>
          </cell>
          <cell r="L324">
            <v>1386665031</v>
          </cell>
          <cell r="M324">
            <v>227872773.69999999</v>
          </cell>
          <cell r="N324">
            <v>653825810</v>
          </cell>
          <cell r="O324">
            <v>14976635478.49519</v>
          </cell>
          <cell r="P324">
            <v>179719625741.94226</v>
          </cell>
          <cell r="Q324">
            <v>4492990643.5485563</v>
          </cell>
          <cell r="R324">
            <v>184212616385.49081</v>
          </cell>
          <cell r="S324">
            <v>14976635478.49519</v>
          </cell>
          <cell r="T324">
            <v>199189251863.98599</v>
          </cell>
          <cell r="V324" t="str">
            <v>K</v>
          </cell>
          <cell r="Y324">
            <v>158043712398</v>
          </cell>
          <cell r="Z324">
            <v>41145539465.985992</v>
          </cell>
          <cell r="AA324">
            <v>0.26034278011876594</v>
          </cell>
          <cell r="AC324">
            <v>8029</v>
          </cell>
          <cell r="AD324">
            <v>248</v>
          </cell>
        </row>
        <row r="325">
          <cell r="B325" t="str">
            <v>Kota Bitung</v>
          </cell>
          <cell r="C325" t="str">
            <v>06-2005</v>
          </cell>
          <cell r="D325">
            <v>14615635.885639172</v>
          </cell>
          <cell r="E325">
            <v>168070915.38669917</v>
          </cell>
          <cell r="F325">
            <v>319900941.8690896</v>
          </cell>
          <cell r="G325">
            <v>87440952.753771558</v>
          </cell>
          <cell r="H325">
            <v>3670</v>
          </cell>
          <cell r="I325">
            <v>590028445.89519954</v>
          </cell>
          <cell r="J325">
            <v>4433505484</v>
          </cell>
          <cell r="K325">
            <v>428219410.74999994</v>
          </cell>
          <cell r="L325">
            <v>691386005</v>
          </cell>
          <cell r="M325">
            <v>187790235.54999998</v>
          </cell>
          <cell r="N325">
            <v>317088420</v>
          </cell>
          <cell r="O325">
            <v>6648018001.1952</v>
          </cell>
          <cell r="P325">
            <v>79776216014.342407</v>
          </cell>
          <cell r="Q325">
            <v>1994405400.3585603</v>
          </cell>
          <cell r="R325">
            <v>81770621414.700974</v>
          </cell>
          <cell r="S325">
            <v>6648018001.1952</v>
          </cell>
          <cell r="T325">
            <v>88418639415.896179</v>
          </cell>
          <cell r="V325" t="str">
            <v>K</v>
          </cell>
          <cell r="Y325">
            <v>70191642911</v>
          </cell>
          <cell r="Z325">
            <v>18226996504.896179</v>
          </cell>
          <cell r="AA325">
            <v>0.25967473831617294</v>
          </cell>
          <cell r="AC325">
            <v>3639</v>
          </cell>
          <cell r="AD325">
            <v>227</v>
          </cell>
        </row>
        <row r="326">
          <cell r="B326" t="str">
            <v xml:space="preserve">Kab. Minahasa </v>
          </cell>
          <cell r="C326" t="str">
            <v>06-2005</v>
          </cell>
          <cell r="D326">
            <v>26258600.065724615</v>
          </cell>
          <cell r="E326">
            <v>175276348.44913992</v>
          </cell>
          <cell r="F326">
            <v>568336290.56183946</v>
          </cell>
          <cell r="G326">
            <v>209627745.49068022</v>
          </cell>
          <cell r="H326">
            <v>6115</v>
          </cell>
          <cell r="I326">
            <v>979498984.56738424</v>
          </cell>
          <cell r="J326">
            <v>7910931948.999999</v>
          </cell>
          <cell r="K326">
            <v>787215359.24999988</v>
          </cell>
          <cell r="L326">
            <v>1211336376</v>
          </cell>
          <cell r="M326">
            <v>325568129.14999998</v>
          </cell>
          <cell r="N326">
            <v>527959140</v>
          </cell>
          <cell r="O326">
            <v>11742509937.967382</v>
          </cell>
          <cell r="P326">
            <v>140910119255.60858</v>
          </cell>
          <cell r="Q326">
            <v>3522752981.3902149</v>
          </cell>
          <cell r="R326">
            <v>144432872236.99881</v>
          </cell>
          <cell r="S326">
            <v>11742509937.967382</v>
          </cell>
          <cell r="T326">
            <v>156175382174.96619</v>
          </cell>
          <cell r="V326" t="str">
            <v>K</v>
          </cell>
          <cell r="Y326">
            <v>124618059696</v>
          </cell>
          <cell r="Z326">
            <v>31557322478.966187</v>
          </cell>
          <cell r="AA326">
            <v>0.25323233691768926</v>
          </cell>
          <cell r="AC326" t="e">
            <v>#N/A</v>
          </cell>
          <cell r="AD326">
            <v>282</v>
          </cell>
        </row>
        <row r="327">
          <cell r="B327" t="str">
            <v>Kab. Minahasa Selatan</v>
          </cell>
          <cell r="C327" t="str">
            <v>06-2005</v>
          </cell>
          <cell r="D327">
            <v>14120190.601380218</v>
          </cell>
          <cell r="E327">
            <v>141930274.50900719</v>
          </cell>
          <cell r="F327">
            <v>486705332.83886522</v>
          </cell>
          <cell r="G327">
            <v>165330916.31786561</v>
          </cell>
          <cell r="H327">
            <v>5068</v>
          </cell>
          <cell r="I327">
            <v>808086714.26711822</v>
          </cell>
          <cell r="J327">
            <v>6713268634.999999</v>
          </cell>
          <cell r="K327">
            <v>717926985.25</v>
          </cell>
          <cell r="L327">
            <v>1065283325</v>
          </cell>
          <cell r="M327">
            <v>277354670.09999996</v>
          </cell>
          <cell r="N327">
            <v>476867670</v>
          </cell>
          <cell r="O327">
            <v>10058787999.617117</v>
          </cell>
          <cell r="P327">
            <v>120705455995.4054</v>
          </cell>
          <cell r="Q327">
            <v>3017636399.8851352</v>
          </cell>
          <cell r="R327">
            <v>123723092395.29053</v>
          </cell>
          <cell r="S327">
            <v>10058787999.617117</v>
          </cell>
          <cell r="T327">
            <v>133781880394.90764</v>
          </cell>
          <cell r="V327" t="str">
            <v>K</v>
          </cell>
          <cell r="Y327">
            <v>107188096652</v>
          </cell>
          <cell r="Z327">
            <v>26593783742.907639</v>
          </cell>
          <cell r="AA327">
            <v>0.24810389001726368</v>
          </cell>
          <cell r="AC327">
            <v>0</v>
          </cell>
          <cell r="AD327">
            <v>0</v>
          </cell>
        </row>
        <row r="328">
          <cell r="B328" t="str">
            <v>Kota Tomohon</v>
          </cell>
          <cell r="C328" t="str">
            <v>06-2005</v>
          </cell>
          <cell r="D328">
            <v>3468116.9898126847</v>
          </cell>
          <cell r="E328">
            <v>49097485.751049705</v>
          </cell>
          <cell r="F328">
            <v>182052437.78972745</v>
          </cell>
          <cell r="G328">
            <v>59446674.094372004</v>
          </cell>
          <cell r="H328">
            <v>1850</v>
          </cell>
          <cell r="I328">
            <v>294064714.62496185</v>
          </cell>
          <cell r="J328">
            <v>2425951070.5</v>
          </cell>
          <cell r="K328">
            <v>237107133.39999998</v>
          </cell>
          <cell r="L328">
            <v>381649495</v>
          </cell>
          <cell r="M328">
            <v>99814709.999999985</v>
          </cell>
          <cell r="N328">
            <v>160379700</v>
          </cell>
          <cell r="O328">
            <v>3598966823.5249619</v>
          </cell>
          <cell r="P328">
            <v>43187601882.299545</v>
          </cell>
          <cell r="Q328">
            <v>1079690047.0574887</v>
          </cell>
          <cell r="R328">
            <v>44267291929.357033</v>
          </cell>
          <cell r="S328">
            <v>3598966823.5249619</v>
          </cell>
          <cell r="T328">
            <v>47866258752.881996</v>
          </cell>
          <cell r="V328" t="str">
            <v>K</v>
          </cell>
          <cell r="Y328">
            <v>38278855953</v>
          </cell>
          <cell r="Z328">
            <v>9587402799.8819962</v>
          </cell>
          <cell r="AA328">
            <v>0.25046210397859631</v>
          </cell>
          <cell r="AC328">
            <v>130</v>
          </cell>
          <cell r="AD328">
            <v>0</v>
          </cell>
        </row>
        <row r="329">
          <cell r="B329" t="str">
            <v>Kab. Minahasa Utara</v>
          </cell>
          <cell r="C329" t="str">
            <v>03-2005</v>
          </cell>
          <cell r="D329">
            <v>16349694.380545514</v>
          </cell>
          <cell r="E329">
            <v>182481781.51158065</v>
          </cell>
          <cell r="F329">
            <v>394292927.86946046</v>
          </cell>
          <cell r="G329">
            <v>113623836.91168056</v>
          </cell>
          <cell r="H329">
            <v>4405</v>
          </cell>
          <cell r="I329">
            <v>706748240.67326725</v>
          </cell>
          <cell r="J329">
            <v>5767405793.9499998</v>
          </cell>
          <cell r="K329">
            <v>602656876.69999993</v>
          </cell>
          <cell r="L329">
            <v>708625888</v>
          </cell>
          <cell r="M329">
            <v>207939686.84999999</v>
          </cell>
          <cell r="N329">
            <v>381962480</v>
          </cell>
          <cell r="O329">
            <v>8375338966.1732674</v>
          </cell>
          <cell r="P329">
            <v>100504067594.07921</v>
          </cell>
          <cell r="Q329">
            <v>2512601689.8519802</v>
          </cell>
          <cell r="R329">
            <v>103016669283.93118</v>
          </cell>
          <cell r="S329">
            <v>8375338966.1732674</v>
          </cell>
          <cell r="T329">
            <v>111392008250.10445</v>
          </cell>
          <cell r="V329" t="str">
            <v>K</v>
          </cell>
          <cell r="Y329">
            <v>88537675434</v>
          </cell>
          <cell r="Z329">
            <v>22854332816.104446</v>
          </cell>
          <cell r="AA329">
            <v>0.25813115946488907</v>
          </cell>
          <cell r="AC329" t="e">
            <v>#N/A</v>
          </cell>
          <cell r="AD329">
            <v>0</v>
          </cell>
        </row>
        <row r="330">
          <cell r="B330" t="str">
            <v>Kab. Sangihe</v>
          </cell>
          <cell r="C330" t="str">
            <v>06-2005</v>
          </cell>
          <cell r="D330">
            <v>31708498.192573119</v>
          </cell>
          <cell r="E330">
            <v>376860905.98672622</v>
          </cell>
          <cell r="F330">
            <v>505187813.83274621</v>
          </cell>
          <cell r="G330">
            <v>72949796.741847083</v>
          </cell>
          <cell r="H330">
            <v>6100</v>
          </cell>
          <cell r="I330">
            <v>986707014.75389266</v>
          </cell>
          <cell r="J330">
            <v>7350176354.999999</v>
          </cell>
          <cell r="K330">
            <v>673334083.8499999</v>
          </cell>
          <cell r="L330">
            <v>191625000</v>
          </cell>
          <cell r="M330">
            <v>252685394.49999997</v>
          </cell>
          <cell r="N330">
            <v>432728780</v>
          </cell>
          <cell r="O330">
            <v>9887256628.1038914</v>
          </cell>
          <cell r="P330">
            <v>118647079537.2467</v>
          </cell>
          <cell r="Q330">
            <v>2966176988.4311676</v>
          </cell>
          <cell r="R330">
            <v>121613256525.67787</v>
          </cell>
          <cell r="S330">
            <v>9887256628.1038914</v>
          </cell>
          <cell r="T330">
            <v>131500513153.78177</v>
          </cell>
          <cell r="V330" t="str">
            <v>K</v>
          </cell>
          <cell r="Y330">
            <v>102059809280</v>
          </cell>
          <cell r="Z330">
            <v>29440703873.781769</v>
          </cell>
          <cell r="AA330">
            <v>0.28846520566202033</v>
          </cell>
          <cell r="AC330">
            <v>4988</v>
          </cell>
          <cell r="AD330">
            <v>299</v>
          </cell>
        </row>
        <row r="331">
          <cell r="B331" t="str">
            <v>Kab. Kepulauan Talaud</v>
          </cell>
          <cell r="C331" t="str">
            <v>06-2005</v>
          </cell>
          <cell r="D331">
            <v>5945343.41110746</v>
          </cell>
          <cell r="E331">
            <v>124000475.95828253</v>
          </cell>
          <cell r="F331">
            <v>207003787.13146672</v>
          </cell>
          <cell r="G331">
            <v>32769773.254238304</v>
          </cell>
          <cell r="H331">
            <v>2307</v>
          </cell>
          <cell r="I331">
            <v>369719379.75509501</v>
          </cell>
          <cell r="J331">
            <v>2906097196</v>
          </cell>
          <cell r="K331">
            <v>296673114.14999998</v>
          </cell>
          <cell r="L331">
            <v>473514350</v>
          </cell>
          <cell r="M331">
            <v>60011616.099999994</v>
          </cell>
          <cell r="N331">
            <v>219173700</v>
          </cell>
          <cell r="O331">
            <v>4325189356.0050945</v>
          </cell>
          <cell r="P331">
            <v>51902272272.061134</v>
          </cell>
          <cell r="Q331">
            <v>1297556806.8015285</v>
          </cell>
          <cell r="R331">
            <v>53199829078.862663</v>
          </cell>
          <cell r="S331">
            <v>4325189356.0050945</v>
          </cell>
          <cell r="T331">
            <v>57525018434.86776</v>
          </cell>
          <cell r="V331" t="str">
            <v>K</v>
          </cell>
          <cell r="Y331">
            <v>48445292584</v>
          </cell>
          <cell r="Z331">
            <v>9079725850.8677597</v>
          </cell>
          <cell r="AA331">
            <v>0.18742225232976539</v>
          </cell>
          <cell r="AC331">
            <v>2014</v>
          </cell>
          <cell r="AD331">
            <v>280</v>
          </cell>
        </row>
        <row r="332">
          <cell r="B332" t="str">
            <v>Kab. Bolaang Mongondow</v>
          </cell>
          <cell r="C332" t="str">
            <v>06-2005</v>
          </cell>
          <cell r="D332">
            <v>26754045.349983569</v>
          </cell>
          <cell r="E332">
            <v>349212151.21224433</v>
          </cell>
          <cell r="F332">
            <v>755317389.9499352</v>
          </cell>
          <cell r="G332">
            <v>173399855.46086901</v>
          </cell>
          <cell r="H332">
            <v>8149</v>
          </cell>
          <cell r="I332">
            <v>1304683441.9730322</v>
          </cell>
          <cell r="J332">
            <v>10168524250</v>
          </cell>
          <cell r="K332">
            <v>1069549449.9999999</v>
          </cell>
          <cell r="L332">
            <v>1440171000</v>
          </cell>
          <cell r="M332">
            <v>397862049.99999994</v>
          </cell>
          <cell r="N332">
            <v>772019000</v>
          </cell>
          <cell r="O332">
            <v>15152809191.973032</v>
          </cell>
          <cell r="P332">
            <v>181833710303.67639</v>
          </cell>
          <cell r="Q332">
            <v>4545842757.5919104</v>
          </cell>
          <cell r="R332">
            <v>186379553061.26831</v>
          </cell>
          <cell r="S332">
            <v>15152809191.973032</v>
          </cell>
          <cell r="T332">
            <v>201532362253.24133</v>
          </cell>
          <cell r="V332" t="str">
            <v>K</v>
          </cell>
          <cell r="Y332">
            <v>160300387000</v>
          </cell>
          <cell r="Z332">
            <v>41231975253.241333</v>
          </cell>
          <cell r="AA332">
            <v>0.25721694142411106</v>
          </cell>
          <cell r="AC332">
            <v>7988</v>
          </cell>
          <cell r="AD332">
            <v>282</v>
          </cell>
        </row>
        <row r="333">
          <cell r="B333" t="str">
            <v>Provinsi Gorontalo</v>
          </cell>
          <cell r="C333" t="str">
            <v>06-2005</v>
          </cell>
          <cell r="D333">
            <v>16500000</v>
          </cell>
          <cell r="E333">
            <v>300433277.94461131</v>
          </cell>
          <cell r="F333">
            <v>569799057.15513539</v>
          </cell>
          <cell r="G333">
            <v>136209333.33333331</v>
          </cell>
          <cell r="H333">
            <v>6406</v>
          </cell>
          <cell r="I333">
            <v>1022941668.43308</v>
          </cell>
          <cell r="J333">
            <v>7975444349.999999</v>
          </cell>
          <cell r="K333">
            <v>748467150</v>
          </cell>
          <cell r="L333">
            <v>1135770000</v>
          </cell>
          <cell r="M333">
            <v>161856750</v>
          </cell>
          <cell r="N333">
            <v>549804000</v>
          </cell>
          <cell r="O333">
            <v>11594283918.433079</v>
          </cell>
          <cell r="P333">
            <v>139131407021.19696</v>
          </cell>
          <cell r="Q333">
            <v>3478285175.5299244</v>
          </cell>
          <cell r="R333">
            <v>142609692196.7269</v>
          </cell>
          <cell r="S333">
            <v>11594283918.433079</v>
          </cell>
          <cell r="T333">
            <v>154203976115.15997</v>
          </cell>
          <cell r="V333" t="str">
            <v>P</v>
          </cell>
          <cell r="Y333">
            <v>122364294000</v>
          </cell>
          <cell r="Z333">
            <v>31839682115.159973</v>
          </cell>
          <cell r="AA333">
            <v>0.2602040274523218</v>
          </cell>
          <cell r="AC333">
            <v>1226</v>
          </cell>
          <cell r="AD333">
            <v>129</v>
          </cell>
        </row>
        <row r="334">
          <cell r="B334" t="str">
            <v>Kota Gorontalo</v>
          </cell>
          <cell r="C334" t="str">
            <v>06-2005</v>
          </cell>
          <cell r="D334">
            <v>6193066.0532369372</v>
          </cell>
          <cell r="E334">
            <v>148633002.93918461</v>
          </cell>
          <cell r="F334">
            <v>412467367.51344335</v>
          </cell>
          <cell r="G334">
            <v>120869414.9176428</v>
          </cell>
          <cell r="H334">
            <v>4324</v>
          </cell>
          <cell r="I334">
            <v>688162851.42350769</v>
          </cell>
          <cell r="J334">
            <v>5497907350</v>
          </cell>
          <cell r="K334">
            <v>490857949.99999994</v>
          </cell>
          <cell r="L334">
            <v>825105000</v>
          </cell>
          <cell r="M334">
            <v>254400699.99999997</v>
          </cell>
          <cell r="N334">
            <v>356747000</v>
          </cell>
          <cell r="O334">
            <v>8113180851.4235077</v>
          </cell>
          <cell r="P334">
            <v>97358170217.082092</v>
          </cell>
          <cell r="Q334">
            <v>2433954255.4270525</v>
          </cell>
          <cell r="R334">
            <v>99792124472.50914</v>
          </cell>
          <cell r="S334">
            <v>8113180851.4235077</v>
          </cell>
          <cell r="T334">
            <v>107905305323.93265</v>
          </cell>
          <cell r="V334" t="str">
            <v>K</v>
          </cell>
          <cell r="Y334">
            <v>85941726000</v>
          </cell>
          <cell r="Z334">
            <v>21963579323.932648</v>
          </cell>
          <cell r="AA334">
            <v>0.2555636283582744</v>
          </cell>
          <cell r="AC334">
            <v>4218</v>
          </cell>
          <cell r="AD334">
            <v>246</v>
          </cell>
        </row>
        <row r="335">
          <cell r="B335" t="str">
            <v xml:space="preserve">Kab. Gorontalo   </v>
          </cell>
          <cell r="C335" t="str">
            <v>06-2005</v>
          </cell>
          <cell r="D335">
            <v>15358803.812027605</v>
          </cell>
          <cell r="E335">
            <v>288384890.7083841</v>
          </cell>
          <cell r="F335">
            <v>591131350.45429265</v>
          </cell>
          <cell r="G335">
            <v>125480237.28507331</v>
          </cell>
          <cell r="H335">
            <v>6383</v>
          </cell>
          <cell r="I335">
            <v>1020355282.2597777</v>
          </cell>
          <cell r="J335">
            <v>7782422728.2479992</v>
          </cell>
          <cell r="K335">
            <v>810669034.19249988</v>
          </cell>
          <cell r="L335">
            <v>1127887351.9200001</v>
          </cell>
          <cell r="M335">
            <v>237796250.02979997</v>
          </cell>
          <cell r="N335">
            <v>592140859.75800002</v>
          </cell>
          <cell r="O335">
            <v>11571271506.408075</v>
          </cell>
          <cell r="P335">
            <v>138855258076.89691</v>
          </cell>
          <cell r="Q335">
            <v>3471381451.9224229</v>
          </cell>
          <cell r="R335">
            <v>142326639528.81934</v>
          </cell>
          <cell r="S335">
            <v>11571271506.408075</v>
          </cell>
          <cell r="T335">
            <v>153897911035.22742</v>
          </cell>
          <cell r="V335" t="str">
            <v>K</v>
          </cell>
          <cell r="W335" t="str">
            <v>x</v>
          </cell>
          <cell r="Y335">
            <v>122187796458</v>
          </cell>
          <cell r="Z335">
            <v>31710114577.227417</v>
          </cell>
          <cell r="AA335">
            <v>0.25951948964172733</v>
          </cell>
          <cell r="AC335">
            <v>6364</v>
          </cell>
          <cell r="AD335">
            <v>283</v>
          </cell>
        </row>
        <row r="336">
          <cell r="B336" t="str">
            <v>Kab. Boalemo</v>
          </cell>
          <cell r="C336" t="str">
            <v>06-2005</v>
          </cell>
          <cell r="D336">
            <v>2724949.0634242524</v>
          </cell>
          <cell r="E336">
            <v>101546335.71718813</v>
          </cell>
          <cell r="F336">
            <v>130455511.68180977</v>
          </cell>
          <cell r="G336">
            <v>20419356.198620852</v>
          </cell>
          <cell r="H336">
            <v>1588</v>
          </cell>
          <cell r="I336">
            <v>255146152.66104302</v>
          </cell>
          <cell r="J336">
            <v>1824896670.4079998</v>
          </cell>
          <cell r="K336">
            <v>190093403.16749996</v>
          </cell>
          <cell r="L336">
            <v>264477778.31999999</v>
          </cell>
          <cell r="M336">
            <v>55760731.59579999</v>
          </cell>
          <cell r="N336">
            <v>138850833.618</v>
          </cell>
          <cell r="O336">
            <v>2729225569.7703428</v>
          </cell>
          <cell r="P336">
            <v>32750706837.244114</v>
          </cell>
          <cell r="Q336">
            <v>818767670.93110287</v>
          </cell>
          <cell r="R336">
            <v>33569474508.175217</v>
          </cell>
          <cell r="S336">
            <v>2729225569.7703428</v>
          </cell>
          <cell r="T336">
            <v>36298700077.945557</v>
          </cell>
          <cell r="V336" t="str">
            <v>K</v>
          </cell>
          <cell r="W336" t="str">
            <v>x</v>
          </cell>
          <cell r="Y336">
            <v>28651759318</v>
          </cell>
          <cell r="Z336">
            <v>7646940759.9455566</v>
          </cell>
          <cell r="AA336">
            <v>0.26689253790923378</v>
          </cell>
          <cell r="AC336">
            <v>1370</v>
          </cell>
          <cell r="AD336">
            <v>293</v>
          </cell>
        </row>
        <row r="337">
          <cell r="B337" t="str">
            <v>Kab. Pohuwato</v>
          </cell>
          <cell r="C337" t="str">
            <v>06-2005</v>
          </cell>
          <cell r="D337">
            <v>8422569.8324022349</v>
          </cell>
          <cell r="E337">
            <v>94843607.2870107</v>
          </cell>
          <cell r="F337">
            <v>113205196.08752087</v>
          </cell>
          <cell r="G337">
            <v>14326483.784516243</v>
          </cell>
          <cell r="H337">
            <v>1422</v>
          </cell>
          <cell r="I337">
            <v>230797856.99145004</v>
          </cell>
          <cell r="J337">
            <v>1607064197.2919998</v>
          </cell>
          <cell r="K337">
            <v>167402520.55124998</v>
          </cell>
          <cell r="L337">
            <v>232907854.67999998</v>
          </cell>
          <cell r="M337">
            <v>49104739.361699991</v>
          </cell>
          <cell r="N337">
            <v>122276623.707</v>
          </cell>
          <cell r="O337">
            <v>2409553792.5833998</v>
          </cell>
          <cell r="P337">
            <v>28914645511.000797</v>
          </cell>
          <cell r="Q337">
            <v>722866137.77502</v>
          </cell>
          <cell r="R337">
            <v>29637511648.775818</v>
          </cell>
          <cell r="S337">
            <v>2409553792.5833998</v>
          </cell>
          <cell r="T337">
            <v>32047065441.359219</v>
          </cell>
          <cell r="V337" t="str">
            <v>K</v>
          </cell>
          <cell r="W337" t="str">
            <v>x</v>
          </cell>
          <cell r="Y337">
            <v>25231684257</v>
          </cell>
          <cell r="Z337">
            <v>6815381184.3592186</v>
          </cell>
          <cell r="AA337">
            <v>0.27011201927467188</v>
          </cell>
          <cell r="AC337">
            <v>1106</v>
          </cell>
          <cell r="AD337">
            <v>264</v>
          </cell>
        </row>
        <row r="338">
          <cell r="B338" t="str">
            <v>Kab. Bone Bolango</v>
          </cell>
          <cell r="C338" t="str">
            <v>06-2005</v>
          </cell>
          <cell r="D338">
            <v>4211284.9162011174</v>
          </cell>
          <cell r="E338">
            <v>83113832.534200191</v>
          </cell>
          <cell r="F338">
            <v>237499880.77137032</v>
          </cell>
          <cell r="G338">
            <v>72291107.832214147</v>
          </cell>
          <cell r="H338">
            <v>2494</v>
          </cell>
          <cell r="I338">
            <v>397116106.05398571</v>
          </cell>
          <cell r="J338">
            <v>3173851863.9000001</v>
          </cell>
          <cell r="K338">
            <v>330609569.15625</v>
          </cell>
          <cell r="L338">
            <v>459978531</v>
          </cell>
          <cell r="M338">
            <v>96978806.952499986</v>
          </cell>
          <cell r="N338">
            <v>241488728.77500001</v>
          </cell>
          <cell r="O338">
            <v>4700023605.8377352</v>
          </cell>
          <cell r="P338">
            <v>56400283270.052826</v>
          </cell>
          <cell r="Q338">
            <v>1410007081.7513208</v>
          </cell>
          <cell r="R338">
            <v>57810290351.804146</v>
          </cell>
          <cell r="S338">
            <v>4700023605.8377352</v>
          </cell>
          <cell r="T338">
            <v>62510313957.641884</v>
          </cell>
          <cell r="V338" t="str">
            <v>K</v>
          </cell>
          <cell r="W338" t="str">
            <v>x</v>
          </cell>
          <cell r="Y338">
            <v>49831007525</v>
          </cell>
          <cell r="Z338">
            <v>12679306432.641884</v>
          </cell>
          <cell r="AA338">
            <v>0.25444611823834246</v>
          </cell>
          <cell r="AC338">
            <v>3154</v>
          </cell>
          <cell r="AD338">
            <v>257</v>
          </cell>
        </row>
        <row r="339">
          <cell r="B339" t="str">
            <v>Provinsi Sulawesi Tengah</v>
          </cell>
          <cell r="C339" t="str">
            <v>06-2005</v>
          </cell>
          <cell r="D339">
            <v>20750000</v>
          </cell>
          <cell r="E339">
            <v>286069244.4944945</v>
          </cell>
          <cell r="F339">
            <v>558406035.23850453</v>
          </cell>
          <cell r="G339">
            <v>57884444.44444444</v>
          </cell>
          <cell r="H339">
            <v>5830</v>
          </cell>
          <cell r="I339">
            <v>923109724.1774435</v>
          </cell>
          <cell r="J339">
            <v>7276277582.6999998</v>
          </cell>
          <cell r="K339">
            <v>718001051</v>
          </cell>
          <cell r="L339">
            <v>574972662</v>
          </cell>
          <cell r="M339">
            <v>321364904.44999999</v>
          </cell>
          <cell r="N339">
            <v>543816570</v>
          </cell>
          <cell r="O339">
            <v>10357542494.327444</v>
          </cell>
          <cell r="P339">
            <v>124290509931.92932</v>
          </cell>
          <cell r="Q339">
            <v>3107262748.298233</v>
          </cell>
          <cell r="R339">
            <v>127397772680.22755</v>
          </cell>
          <cell r="S339">
            <v>10357542494.327444</v>
          </cell>
          <cell r="T339">
            <v>137755315174.55499</v>
          </cell>
          <cell r="V339" t="str">
            <v>P</v>
          </cell>
          <cell r="Y339">
            <v>108551120171</v>
          </cell>
          <cell r="Z339">
            <v>29204195003.554993</v>
          </cell>
          <cell r="AA339">
            <v>0.2690363301415018</v>
          </cell>
          <cell r="AC339">
            <v>5998</v>
          </cell>
          <cell r="AD339">
            <v>133</v>
          </cell>
        </row>
        <row r="340">
          <cell r="B340" t="str">
            <v>Kab. Donggala</v>
          </cell>
          <cell r="C340" t="str">
            <v>06-2005</v>
          </cell>
          <cell r="D340">
            <v>54251258.626355574</v>
          </cell>
          <cell r="E340">
            <v>450088214.08641469</v>
          </cell>
          <cell r="F340">
            <v>796594930.83626926</v>
          </cell>
          <cell r="G340">
            <v>75419880.152970567</v>
          </cell>
          <cell r="H340">
            <v>8535</v>
          </cell>
          <cell r="I340">
            <v>1376354283.7020102</v>
          </cell>
          <cell r="J340">
            <v>10249272949</v>
          </cell>
          <cell r="K340">
            <v>1083383923.55</v>
          </cell>
          <cell r="L340">
            <v>1442669850</v>
          </cell>
          <cell r="M340">
            <v>387512807.84999996</v>
          </cell>
          <cell r="N340">
            <v>823202220</v>
          </cell>
          <cell r="O340">
            <v>15362396034.102011</v>
          </cell>
          <cell r="P340">
            <v>184348752409.22412</v>
          </cell>
          <cell r="Q340">
            <v>4608718810.2306032</v>
          </cell>
          <cell r="R340">
            <v>188957471219.45471</v>
          </cell>
          <cell r="S340">
            <v>15362396034.102011</v>
          </cell>
          <cell r="T340">
            <v>204319867253.55673</v>
          </cell>
          <cell r="V340" t="str">
            <v>K</v>
          </cell>
          <cell r="Y340">
            <v>161950840441</v>
          </cell>
          <cell r="Z340">
            <v>42369026812.556732</v>
          </cell>
          <cell r="AA340">
            <v>0.26161659116546609</v>
          </cell>
          <cell r="AC340">
            <v>8372</v>
          </cell>
          <cell r="AD340">
            <v>283</v>
          </cell>
        </row>
        <row r="341">
          <cell r="B341" t="str">
            <v>Kota Palu</v>
          </cell>
          <cell r="C341" t="str">
            <v>06-2005</v>
          </cell>
          <cell r="D341">
            <v>25515432.13933618</v>
          </cell>
          <cell r="E341">
            <v>234427926.84545577</v>
          </cell>
          <cell r="F341">
            <v>639031780.36343408</v>
          </cell>
          <cell r="G341">
            <v>129267698.51546267</v>
          </cell>
          <cell r="H341">
            <v>6436</v>
          </cell>
          <cell r="I341">
            <v>1028242837.8636887</v>
          </cell>
          <cell r="J341">
            <v>8339605396.999999</v>
          </cell>
          <cell r="K341">
            <v>703055787.8499999</v>
          </cell>
          <cell r="L341">
            <v>1259192020</v>
          </cell>
          <cell r="M341">
            <v>322469687.59999996</v>
          </cell>
          <cell r="N341">
            <v>556273830</v>
          </cell>
          <cell r="O341">
            <v>12208839560.313688</v>
          </cell>
          <cell r="P341">
            <v>146506074723.76425</v>
          </cell>
          <cell r="Q341">
            <v>3662651868.0941067</v>
          </cell>
          <cell r="R341">
            <v>150168726591.85837</v>
          </cell>
          <cell r="S341">
            <v>12208839560.313688</v>
          </cell>
          <cell r="T341">
            <v>162377566152.17206</v>
          </cell>
          <cell r="V341" t="str">
            <v>K</v>
          </cell>
          <cell r="Y341">
            <v>129472231954</v>
          </cell>
          <cell r="Z341">
            <v>32905334198.172058</v>
          </cell>
          <cell r="AA341">
            <v>0.25414974084839248</v>
          </cell>
          <cell r="AC341">
            <v>6331</v>
          </cell>
          <cell r="AD341">
            <v>0</v>
          </cell>
        </row>
        <row r="342">
          <cell r="B342" t="str">
            <v>Kab. Parigi Moutong</v>
          </cell>
          <cell r="C342" t="str">
            <v>06-2005</v>
          </cell>
          <cell r="D342">
            <v>27249490.634242523</v>
          </cell>
          <cell r="E342">
            <v>189519646.36326694</v>
          </cell>
          <cell r="F342">
            <v>393830865.84461343</v>
          </cell>
          <cell r="G342">
            <v>37874612.303893521</v>
          </cell>
          <cell r="H342">
            <v>4028</v>
          </cell>
          <cell r="I342">
            <v>648474615.14601648</v>
          </cell>
          <cell r="J342">
            <v>4826212590</v>
          </cell>
          <cell r="K342">
            <v>526859092.14999998</v>
          </cell>
          <cell r="L342">
            <v>775517200</v>
          </cell>
          <cell r="M342">
            <v>180348730.44999999</v>
          </cell>
          <cell r="N342">
            <v>393547110</v>
          </cell>
          <cell r="O342">
            <v>7350959337.7460155</v>
          </cell>
          <cell r="P342">
            <v>88211512052.952179</v>
          </cell>
          <cell r="Q342">
            <v>2205287801.3238044</v>
          </cell>
          <cell r="R342">
            <v>90416799854.275986</v>
          </cell>
          <cell r="S342">
            <v>7350959337.7460155</v>
          </cell>
          <cell r="T342">
            <v>97767759192.022003</v>
          </cell>
          <cell r="V342" t="str">
            <v>K</v>
          </cell>
          <cell r="Y342">
            <v>77751998376</v>
          </cell>
          <cell r="Z342">
            <v>20015760816.022003</v>
          </cell>
          <cell r="AA342">
            <v>0.25743082151056768</v>
          </cell>
          <cell r="AC342">
            <v>3456</v>
          </cell>
          <cell r="AD342">
            <v>289</v>
          </cell>
        </row>
        <row r="343">
          <cell r="B343" t="str">
            <v>Kab. Poso</v>
          </cell>
          <cell r="C343" t="str">
            <v>06-2005</v>
          </cell>
          <cell r="D343">
            <v>20808701.938876111</v>
          </cell>
          <cell r="E343">
            <v>235433336.10998237</v>
          </cell>
          <cell r="F343">
            <v>518587612.55330986</v>
          </cell>
          <cell r="G343">
            <v>76407913.517419964</v>
          </cell>
          <cell r="H343">
            <v>5320</v>
          </cell>
          <cell r="I343">
            <v>851237564.11958826</v>
          </cell>
          <cell r="J343">
            <v>7232977290.499999</v>
          </cell>
          <cell r="K343">
            <v>708883556.5999999</v>
          </cell>
          <cell r="L343">
            <v>940580390</v>
          </cell>
          <cell r="M343">
            <v>56083010.249999993</v>
          </cell>
          <cell r="N343">
            <v>539589420</v>
          </cell>
          <cell r="O343">
            <v>10329351231.469587</v>
          </cell>
          <cell r="P343">
            <v>123952214777.63504</v>
          </cell>
          <cell r="Q343">
            <v>3098805369.440876</v>
          </cell>
          <cell r="R343">
            <v>127051020147.07591</v>
          </cell>
          <cell r="S343">
            <v>10329351231.469587</v>
          </cell>
          <cell r="T343">
            <v>137380371378.5455</v>
          </cell>
          <cell r="V343" t="str">
            <v>K</v>
          </cell>
          <cell r="Y343">
            <v>110552916474</v>
          </cell>
          <cell r="Z343">
            <v>26827454904.545502</v>
          </cell>
          <cell r="AA343">
            <v>0.24266618882781643</v>
          </cell>
          <cell r="AC343">
            <v>6893</v>
          </cell>
          <cell r="AD343">
            <v>279</v>
          </cell>
        </row>
        <row r="344">
          <cell r="B344" t="str">
            <v>Kab. Tojo Una Una</v>
          </cell>
          <cell r="C344" t="str">
            <v>06-2005</v>
          </cell>
          <cell r="D344">
            <v>13129300.032862308</v>
          </cell>
          <cell r="E344">
            <v>113276110.46999864</v>
          </cell>
          <cell r="F344">
            <v>184208727.23901355</v>
          </cell>
          <cell r="G344">
            <v>19101978.379354991</v>
          </cell>
          <cell r="H344">
            <v>2041</v>
          </cell>
          <cell r="I344">
            <v>329716116.12122953</v>
          </cell>
          <cell r="J344">
            <v>2375960087.5</v>
          </cell>
          <cell r="K344">
            <v>246915207.39999998</v>
          </cell>
          <cell r="L344">
            <v>383219150</v>
          </cell>
          <cell r="M344">
            <v>92590725.099999994</v>
          </cell>
          <cell r="N344">
            <v>189897990</v>
          </cell>
          <cell r="O344">
            <v>3618299276.1212296</v>
          </cell>
          <cell r="P344">
            <v>43419591313.454758</v>
          </cell>
          <cell r="Q344">
            <v>1085489782.836369</v>
          </cell>
          <cell r="R344">
            <v>44505081096.29113</v>
          </cell>
          <cell r="S344">
            <v>3618299276.1212296</v>
          </cell>
          <cell r="T344">
            <v>48123380372.412361</v>
          </cell>
          <cell r="V344" t="str">
            <v>K</v>
          </cell>
          <cell r="Y344">
            <v>38148421337</v>
          </cell>
          <cell r="Z344">
            <v>9974959035.4123611</v>
          </cell>
          <cell r="AA344">
            <v>0.26147763618563397</v>
          </cell>
          <cell r="AC344" t="e">
            <v>#N/A</v>
          </cell>
          <cell r="AD344">
            <v>277</v>
          </cell>
        </row>
        <row r="345">
          <cell r="B345" t="str">
            <v>Kab. Morowali</v>
          </cell>
          <cell r="C345" t="str">
            <v>06-2005</v>
          </cell>
          <cell r="D345">
            <v>15111081.169898126</v>
          </cell>
          <cell r="E345">
            <v>164216846.53934714</v>
          </cell>
          <cell r="F345">
            <v>300186295.47561657</v>
          </cell>
          <cell r="G345">
            <v>47919618.175795712</v>
          </cell>
          <cell r="H345">
            <v>3281</v>
          </cell>
          <cell r="I345">
            <v>527433841.36065757</v>
          </cell>
          <cell r="J345">
            <v>4215133984.9999995</v>
          </cell>
          <cell r="K345">
            <v>446000371.49999994</v>
          </cell>
          <cell r="L345">
            <v>653770800</v>
          </cell>
          <cell r="M345">
            <v>162283958.89999998</v>
          </cell>
          <cell r="N345">
            <v>317299050</v>
          </cell>
          <cell r="O345">
            <v>6321922006.7606564</v>
          </cell>
          <cell r="P345">
            <v>75863064081.127869</v>
          </cell>
          <cell r="Q345">
            <v>1896576602.0281968</v>
          </cell>
          <cell r="R345">
            <v>77759640683.156067</v>
          </cell>
          <cell r="S345">
            <v>6321922006.7606564</v>
          </cell>
          <cell r="T345">
            <v>84081562689.916718</v>
          </cell>
          <cell r="V345" t="str">
            <v>K</v>
          </cell>
          <cell r="Y345">
            <v>67151697821</v>
          </cell>
          <cell r="Z345">
            <v>16929864868.916718</v>
          </cell>
          <cell r="AA345">
            <v>0.25211372784713609</v>
          </cell>
          <cell r="AC345">
            <v>3322</v>
          </cell>
          <cell r="AD345">
            <v>297</v>
          </cell>
        </row>
        <row r="346">
          <cell r="B346" t="str">
            <v>Kab. Banggai</v>
          </cell>
          <cell r="C346" t="str">
            <v>06-2005</v>
          </cell>
          <cell r="D346">
            <v>31956220.834702596</v>
          </cell>
          <cell r="E346">
            <v>237611722.84979004</v>
          </cell>
          <cell r="F346">
            <v>607611562.67383647</v>
          </cell>
          <cell r="G346">
            <v>79042669.155951694</v>
          </cell>
          <cell r="H346">
            <v>5972</v>
          </cell>
          <cell r="I346">
            <v>956222175.5142808</v>
          </cell>
          <cell r="J346">
            <v>7379279059.999999</v>
          </cell>
          <cell r="K346">
            <v>744822650.5</v>
          </cell>
          <cell r="L346">
            <v>1090196350</v>
          </cell>
          <cell r="M346">
            <v>288203724.09999996</v>
          </cell>
          <cell r="N346">
            <v>556875630</v>
          </cell>
          <cell r="O346">
            <v>11015599590.114281</v>
          </cell>
          <cell r="P346">
            <v>132187195081.37137</v>
          </cell>
          <cell r="Q346">
            <v>3304679877.0342846</v>
          </cell>
          <cell r="R346">
            <v>135491874958.40565</v>
          </cell>
          <cell r="S346">
            <v>11015599590.114281</v>
          </cell>
          <cell r="T346">
            <v>146507474548.51993</v>
          </cell>
          <cell r="V346" t="str">
            <v>K</v>
          </cell>
          <cell r="Y346">
            <v>116511413031</v>
          </cell>
          <cell r="Z346">
            <v>29996061517.519928</v>
          </cell>
          <cell r="AA346">
            <v>0.25745170140146634</v>
          </cell>
          <cell r="AC346">
            <v>6048</v>
          </cell>
          <cell r="AD346">
            <v>295</v>
          </cell>
        </row>
        <row r="347">
          <cell r="B347" t="str">
            <v>Kab. Banggai Kepulauan</v>
          </cell>
          <cell r="C347" t="str">
            <v>06-2005</v>
          </cell>
          <cell r="D347">
            <v>18083752.875451855</v>
          </cell>
          <cell r="E347">
            <v>132378886.49600433</v>
          </cell>
          <cell r="F347">
            <v>212548531.42963102</v>
          </cell>
          <cell r="G347">
            <v>21736734.017886717</v>
          </cell>
          <cell r="H347">
            <v>2375</v>
          </cell>
          <cell r="I347">
            <v>384747904.8189739</v>
          </cell>
          <cell r="J347">
            <v>2769598548.5999999</v>
          </cell>
          <cell r="K347">
            <v>300097141.39999998</v>
          </cell>
          <cell r="L347">
            <v>443672064</v>
          </cell>
          <cell r="M347">
            <v>109595127.64999999</v>
          </cell>
          <cell r="N347">
            <v>223207590</v>
          </cell>
          <cell r="O347">
            <v>4230918376.4689741</v>
          </cell>
          <cell r="P347">
            <v>50771020517.627686</v>
          </cell>
          <cell r="Q347">
            <v>1269275512.9406922</v>
          </cell>
          <cell r="R347">
            <v>52040296030.568375</v>
          </cell>
          <cell r="S347">
            <v>4230918376.4689741</v>
          </cell>
          <cell r="T347">
            <v>56271214407.037346</v>
          </cell>
          <cell r="V347" t="str">
            <v>K</v>
          </cell>
          <cell r="Y347">
            <v>44610743632</v>
          </cell>
          <cell r="Z347">
            <v>11660470775.037346</v>
          </cell>
          <cell r="AA347">
            <v>0.26138256898889944</v>
          </cell>
          <cell r="AC347">
            <v>2377</v>
          </cell>
          <cell r="AD347">
            <v>281</v>
          </cell>
        </row>
        <row r="348">
          <cell r="B348" t="str">
            <v>Kab. Toli-toli</v>
          </cell>
          <cell r="C348" t="str">
            <v>06-2005</v>
          </cell>
          <cell r="D348">
            <v>19570088.728228722</v>
          </cell>
          <cell r="E348">
            <v>235265767.89922795</v>
          </cell>
          <cell r="F348">
            <v>345314353.23567587</v>
          </cell>
          <cell r="G348">
            <v>51213062.72396037</v>
          </cell>
          <cell r="H348">
            <v>4036</v>
          </cell>
          <cell r="I348">
            <v>651363272.58709288</v>
          </cell>
          <cell r="J348">
            <v>4721371621</v>
          </cell>
          <cell r="K348">
            <v>461061974.39999998</v>
          </cell>
          <cell r="L348">
            <v>717929550</v>
          </cell>
          <cell r="M348">
            <v>187596230.54999998</v>
          </cell>
          <cell r="N348">
            <v>361019820</v>
          </cell>
          <cell r="O348">
            <v>7100342468.5370932</v>
          </cell>
          <cell r="P348">
            <v>85204109622.445114</v>
          </cell>
          <cell r="Q348">
            <v>2130102740.5611279</v>
          </cell>
          <cell r="R348">
            <v>87334212363.006241</v>
          </cell>
          <cell r="S348">
            <v>7100342468.5370932</v>
          </cell>
          <cell r="T348">
            <v>94434554831.543335</v>
          </cell>
          <cell r="V348" t="str">
            <v>K</v>
          </cell>
          <cell r="Y348">
            <v>74733602294</v>
          </cell>
          <cell r="Z348">
            <v>19700952537.543335</v>
          </cell>
          <cell r="AA348">
            <v>0.26361572214919216</v>
          </cell>
          <cell r="AC348">
            <v>3790</v>
          </cell>
          <cell r="AD348">
            <v>296</v>
          </cell>
        </row>
        <row r="349">
          <cell r="B349" t="str">
            <v xml:space="preserve">Kab. Buol </v>
          </cell>
          <cell r="C349" t="str">
            <v>06-2005</v>
          </cell>
          <cell r="D349">
            <v>17092862.306933947</v>
          </cell>
          <cell r="E349">
            <v>156676277.05539754</v>
          </cell>
          <cell r="F349">
            <v>221943792.60152051</v>
          </cell>
          <cell r="G349">
            <v>20254683.971212622</v>
          </cell>
          <cell r="H349">
            <v>2568</v>
          </cell>
          <cell r="I349">
            <v>415967615.93506461</v>
          </cell>
          <cell r="J349">
            <v>2982547632</v>
          </cell>
          <cell r="K349">
            <v>306244879.25</v>
          </cell>
          <cell r="L349">
            <v>432000350</v>
          </cell>
          <cell r="M349">
            <v>118664960.3</v>
          </cell>
          <cell r="N349">
            <v>239335860</v>
          </cell>
          <cell r="O349">
            <v>4494761297.4850655</v>
          </cell>
          <cell r="P349">
            <v>53937135569.820786</v>
          </cell>
          <cell r="Q349">
            <v>1348428389.2455196</v>
          </cell>
          <cell r="R349">
            <v>55285563959.066307</v>
          </cell>
          <cell r="S349">
            <v>4494761297.4850655</v>
          </cell>
          <cell r="T349">
            <v>59780325256.551376</v>
          </cell>
          <cell r="V349" t="str">
            <v>K</v>
          </cell>
          <cell r="Y349">
            <v>47248124859</v>
          </cell>
          <cell r="Z349">
            <v>12532200397.551376</v>
          </cell>
          <cell r="AA349">
            <v>0.26524228072437878</v>
          </cell>
          <cell r="AC349">
            <v>2572</v>
          </cell>
          <cell r="AD349">
            <v>283</v>
          </cell>
        </row>
        <row r="350">
          <cell r="B350" t="str">
            <v>Provinsi Sulawesi Selatan</v>
          </cell>
          <cell r="C350" t="str">
            <v>06-2005</v>
          </cell>
          <cell r="D350">
            <v>32250000</v>
          </cell>
          <cell r="E350">
            <v>359620018.18485153</v>
          </cell>
          <cell r="F350">
            <v>944141205.84443486</v>
          </cell>
          <cell r="G350">
            <v>150499555.55555555</v>
          </cell>
          <cell r="H350">
            <v>9420</v>
          </cell>
          <cell r="I350">
            <v>1486510779.584842</v>
          </cell>
          <cell r="J350">
            <v>12128078113.15</v>
          </cell>
          <cell r="K350">
            <v>1189798886.05</v>
          </cell>
          <cell r="L350">
            <v>1085378400</v>
          </cell>
          <cell r="M350">
            <v>457331815.99999994</v>
          </cell>
          <cell r="N350">
            <v>873572880</v>
          </cell>
          <cell r="O350">
            <v>17220670874.784843</v>
          </cell>
          <cell r="P350">
            <v>206648050497.41812</v>
          </cell>
          <cell r="Q350">
            <v>5166201262.4354534</v>
          </cell>
          <cell r="R350">
            <v>211814251759.85358</v>
          </cell>
          <cell r="S350">
            <v>17220670874.784843</v>
          </cell>
          <cell r="T350">
            <v>229034922634.63843</v>
          </cell>
          <cell r="V350" t="str">
            <v>P</v>
          </cell>
          <cell r="Y350">
            <v>181186118464</v>
          </cell>
          <cell r="Z350">
            <v>47848804170.638428</v>
          </cell>
          <cell r="AA350">
            <v>0.26408647956187403</v>
          </cell>
          <cell r="AC350">
            <v>9845</v>
          </cell>
          <cell r="AD350">
            <v>0</v>
          </cell>
        </row>
        <row r="351">
          <cell r="B351" t="str">
            <v>Kota Makassar</v>
          </cell>
          <cell r="C351" t="str">
            <v>06-2005</v>
          </cell>
          <cell r="D351">
            <v>35919783.108774237</v>
          </cell>
          <cell r="E351">
            <v>262579386.25220099</v>
          </cell>
          <cell r="F351">
            <v>1215531166.697571</v>
          </cell>
          <cell r="G351">
            <v>707761233.4005841</v>
          </cell>
          <cell r="H351">
            <v>13902</v>
          </cell>
          <cell r="I351">
            <v>2221791569.4591303</v>
          </cell>
          <cell r="J351">
            <v>18686136442.699997</v>
          </cell>
          <cell r="K351">
            <v>1570130294.6499999</v>
          </cell>
          <cell r="L351">
            <v>2759948705</v>
          </cell>
          <cell r="M351">
            <v>766888558.39999998</v>
          </cell>
          <cell r="N351">
            <v>1162677600</v>
          </cell>
          <cell r="O351">
            <v>27167573170.209129</v>
          </cell>
          <cell r="P351">
            <v>326010878042.50952</v>
          </cell>
          <cell r="Q351">
            <v>8150271951.0627384</v>
          </cell>
          <cell r="R351">
            <v>334161149993.57227</v>
          </cell>
          <cell r="S351">
            <v>27167573170.209129</v>
          </cell>
          <cell r="T351">
            <v>361328723163.78137</v>
          </cell>
          <cell r="V351" t="str">
            <v>K</v>
          </cell>
          <cell r="Y351">
            <v>288647201830</v>
          </cell>
          <cell r="Z351">
            <v>72681521333.781372</v>
          </cell>
          <cell r="AA351">
            <v>0.25180054015069742</v>
          </cell>
          <cell r="AC351">
            <v>13609</v>
          </cell>
          <cell r="AD351">
            <v>268</v>
          </cell>
        </row>
        <row r="352">
          <cell r="B352" t="str">
            <v>Kab. G o w a</v>
          </cell>
          <cell r="C352" t="str">
            <v>06-2005</v>
          </cell>
          <cell r="D352">
            <v>32947111.403220508</v>
          </cell>
          <cell r="E352">
            <v>209795399.86455369</v>
          </cell>
          <cell r="F352">
            <v>660286633.50639725</v>
          </cell>
          <cell r="G352">
            <v>334943310.54834527</v>
          </cell>
          <cell r="H352">
            <v>7706</v>
          </cell>
          <cell r="I352">
            <v>1237972455.3225167</v>
          </cell>
          <cell r="J352">
            <v>9989638783</v>
          </cell>
          <cell r="K352">
            <v>945718766.74999988</v>
          </cell>
          <cell r="L352">
            <v>1509325820</v>
          </cell>
          <cell r="M352">
            <v>402983706.09999996</v>
          </cell>
          <cell r="N352">
            <v>690415050</v>
          </cell>
          <cell r="O352">
            <v>14776054581.172518</v>
          </cell>
          <cell r="P352">
            <v>177312654974.07022</v>
          </cell>
          <cell r="Q352">
            <v>4432816374.3517561</v>
          </cell>
          <cell r="R352">
            <v>181745471348.42197</v>
          </cell>
          <cell r="S352">
            <v>14776054581.172518</v>
          </cell>
          <cell r="T352">
            <v>196521525929.59448</v>
          </cell>
          <cell r="V352" t="str">
            <v>K</v>
          </cell>
          <cell r="Y352">
            <v>156769184637</v>
          </cell>
          <cell r="Z352">
            <v>39752341292.594482</v>
          </cell>
          <cell r="AA352">
            <v>0.25357241848671519</v>
          </cell>
          <cell r="AC352">
            <v>7471</v>
          </cell>
          <cell r="AD352">
            <v>267</v>
          </cell>
        </row>
        <row r="353">
          <cell r="B353" t="str">
            <v xml:space="preserve">Kab. Takalar </v>
          </cell>
          <cell r="C353" t="str">
            <v>06-2005</v>
          </cell>
          <cell r="D353">
            <v>19817811.370358199</v>
          </cell>
          <cell r="E353">
            <v>156676277.05539754</v>
          </cell>
          <cell r="F353">
            <v>428639538.38308918</v>
          </cell>
          <cell r="G353">
            <v>162696160.6793339</v>
          </cell>
          <cell r="H353">
            <v>4786</v>
          </cell>
          <cell r="I353">
            <v>767829787.48817885</v>
          </cell>
          <cell r="J353">
            <v>6061895686</v>
          </cell>
          <cell r="K353">
            <v>571021893.54999995</v>
          </cell>
          <cell r="L353">
            <v>934003144</v>
          </cell>
          <cell r="M353">
            <v>244953820.29999998</v>
          </cell>
          <cell r="N353">
            <v>420658200</v>
          </cell>
          <cell r="O353">
            <v>9000362531.3381805</v>
          </cell>
          <cell r="P353">
            <v>108004350376.05817</v>
          </cell>
          <cell r="Q353">
            <v>2700108759.4014544</v>
          </cell>
          <cell r="R353">
            <v>110704459135.45963</v>
          </cell>
          <cell r="S353">
            <v>9000362531.3381805</v>
          </cell>
          <cell r="T353">
            <v>119704821666.79781</v>
          </cell>
          <cell r="V353" t="str">
            <v>K</v>
          </cell>
          <cell r="Y353">
            <v>95360448079</v>
          </cell>
          <cell r="Z353">
            <v>24344373587.797806</v>
          </cell>
          <cell r="AA353">
            <v>0.25528795300573731</v>
          </cell>
          <cell r="AC353">
            <v>4517</v>
          </cell>
          <cell r="AD353">
            <v>280</v>
          </cell>
        </row>
        <row r="354">
          <cell r="B354" t="str">
            <v xml:space="preserve">Kab. M a r o s </v>
          </cell>
          <cell r="C354" t="str">
            <v>06-2005</v>
          </cell>
          <cell r="D354">
            <v>19570088.728228722</v>
          </cell>
          <cell r="E354">
            <v>189854782.78477582</v>
          </cell>
          <cell r="F354">
            <v>485473167.43927318</v>
          </cell>
          <cell r="G354">
            <v>179163383.42015716</v>
          </cell>
          <cell r="H354">
            <v>5452</v>
          </cell>
          <cell r="I354">
            <v>874061422.37243485</v>
          </cell>
          <cell r="J354">
            <v>6911078363.999999</v>
          </cell>
          <cell r="K354">
            <v>630252950.5999999</v>
          </cell>
          <cell r="L354">
            <v>1042783350</v>
          </cell>
          <cell r="M354">
            <v>278921088.54999995</v>
          </cell>
          <cell r="N354">
            <v>468922560</v>
          </cell>
          <cell r="O354">
            <v>10206019735.522432</v>
          </cell>
          <cell r="P354">
            <v>122472236826.2692</v>
          </cell>
          <cell r="Q354">
            <v>3061805920.6567302</v>
          </cell>
          <cell r="R354">
            <v>125534042746.92592</v>
          </cell>
          <cell r="S354">
            <v>10206019735.522432</v>
          </cell>
          <cell r="T354">
            <v>135740062482.44835</v>
          </cell>
          <cell r="V354" t="str">
            <v>K</v>
          </cell>
          <cell r="Y354">
            <v>108055030083</v>
          </cell>
          <cell r="Z354">
            <v>27685032399.448349</v>
          </cell>
          <cell r="AA354">
            <v>0.25621234271262266</v>
          </cell>
          <cell r="AC354">
            <v>5112</v>
          </cell>
          <cell r="AD354">
            <v>283</v>
          </cell>
        </row>
        <row r="355">
          <cell r="B355" t="str">
            <v>Kab. Mamasa</v>
          </cell>
          <cell r="C355" t="str">
            <v>03-2005</v>
          </cell>
          <cell r="D355">
            <v>9661183.0430496223</v>
          </cell>
          <cell r="E355">
            <v>87470606.013815522</v>
          </cell>
          <cell r="F355">
            <v>153250571.57426295</v>
          </cell>
          <cell r="G355">
            <v>39027317.895751148</v>
          </cell>
          <cell r="H355">
            <v>1793</v>
          </cell>
          <cell r="I355">
            <v>289409678.52687919</v>
          </cell>
          <cell r="J355">
            <v>2085320299.9999998</v>
          </cell>
          <cell r="K355">
            <v>222100649.99999997</v>
          </cell>
          <cell r="L355">
            <v>391098000</v>
          </cell>
          <cell r="M355">
            <v>84480150</v>
          </cell>
          <cell r="N355">
            <v>167872000</v>
          </cell>
          <cell r="O355">
            <v>3240280778.5268788</v>
          </cell>
          <cell r="P355">
            <v>38883369342.322548</v>
          </cell>
          <cell r="Q355">
            <v>972084233.55806375</v>
          </cell>
          <cell r="R355">
            <v>39855453575.880615</v>
          </cell>
          <cell r="S355">
            <v>3240280778.5268788</v>
          </cell>
          <cell r="T355">
            <v>43095734354.407494</v>
          </cell>
          <cell r="V355" t="str">
            <v>K</v>
          </cell>
          <cell r="Y355">
            <v>34305492000</v>
          </cell>
          <cell r="Z355">
            <v>8790242354.4074936</v>
          </cell>
          <cell r="AA355">
            <v>0.2562342599373737</v>
          </cell>
          <cell r="AC355">
            <v>1431</v>
          </cell>
          <cell r="AD355">
            <v>293</v>
          </cell>
        </row>
        <row r="356">
          <cell r="B356" t="str">
            <v>Kab. Mamuju Utara</v>
          </cell>
          <cell r="C356" t="str">
            <v>03-2005</v>
          </cell>
          <cell r="D356">
            <v>2724949.0634242524</v>
          </cell>
          <cell r="E356">
            <v>76243535.893268317</v>
          </cell>
          <cell r="F356">
            <v>65150745.503430374</v>
          </cell>
          <cell r="G356">
            <v>7245578.0059622386</v>
          </cell>
          <cell r="H356">
            <v>933</v>
          </cell>
          <cell r="I356">
            <v>151364808.4660852</v>
          </cell>
          <cell r="J356">
            <v>917368799.99999988</v>
          </cell>
          <cell r="K356">
            <v>85666950</v>
          </cell>
          <cell r="L356">
            <v>175073000</v>
          </cell>
          <cell r="M356">
            <v>36643600</v>
          </cell>
          <cell r="N356">
            <v>77662000</v>
          </cell>
          <cell r="O356">
            <v>1443779158.466085</v>
          </cell>
          <cell r="P356">
            <v>17325349901.593018</v>
          </cell>
          <cell r="Q356">
            <v>433133747.53982544</v>
          </cell>
          <cell r="R356">
            <v>17758483649.132843</v>
          </cell>
          <cell r="S356">
            <v>1443779158.466085</v>
          </cell>
          <cell r="T356">
            <v>19202262807.598927</v>
          </cell>
          <cell r="V356" t="str">
            <v>K</v>
          </cell>
          <cell r="Y356">
            <v>15038452000</v>
          </cell>
          <cell r="Z356">
            <v>4163810807.5989265</v>
          </cell>
          <cell r="AA356">
            <v>0.27687762062205118</v>
          </cell>
          <cell r="AC356">
            <v>135</v>
          </cell>
          <cell r="AD356">
            <v>294</v>
          </cell>
        </row>
        <row r="357">
          <cell r="B357" t="str">
            <v>Kab. Selayar</v>
          </cell>
          <cell r="C357" t="str">
            <v>06-2005</v>
          </cell>
          <cell r="D357">
            <v>12386132.106473874</v>
          </cell>
          <cell r="E357">
            <v>125173453.43356359</v>
          </cell>
          <cell r="F357">
            <v>241350397.6450955</v>
          </cell>
          <cell r="G357">
            <v>75419880.152970567</v>
          </cell>
          <cell r="H357">
            <v>2822</v>
          </cell>
          <cell r="I357">
            <v>454329863.33810353</v>
          </cell>
          <cell r="J357">
            <v>3461150399.9999995</v>
          </cell>
          <cell r="K357">
            <v>290124300</v>
          </cell>
          <cell r="L357">
            <v>501057000</v>
          </cell>
          <cell r="M357">
            <v>141126850</v>
          </cell>
          <cell r="N357">
            <v>221734000</v>
          </cell>
          <cell r="O357">
            <v>5069522413.3381033</v>
          </cell>
          <cell r="P357">
            <v>60834268960.057236</v>
          </cell>
          <cell r="Q357">
            <v>1520856724.001431</v>
          </cell>
          <cell r="R357">
            <v>62355125684.05867</v>
          </cell>
          <cell r="S357">
            <v>5069522413.3381033</v>
          </cell>
          <cell r="T357">
            <v>67424648097.396774</v>
          </cell>
          <cell r="V357" t="str">
            <v>K</v>
          </cell>
          <cell r="Y357">
            <v>53397344000</v>
          </cell>
          <cell r="Z357">
            <v>14027304097.396774</v>
          </cell>
          <cell r="AA357">
            <v>0.26269666329090779</v>
          </cell>
          <cell r="AC357">
            <v>2679</v>
          </cell>
          <cell r="AD357">
            <v>208</v>
          </cell>
        </row>
        <row r="358">
          <cell r="B358" t="str">
            <v>Kab. Tana Toraja</v>
          </cell>
          <cell r="C358" t="str">
            <v>06-2005</v>
          </cell>
          <cell r="D358">
            <v>20313256.654617153</v>
          </cell>
          <cell r="E358">
            <v>186335850.35893267</v>
          </cell>
          <cell r="F358">
            <v>621165382.06934917</v>
          </cell>
          <cell r="G358">
            <v>337248721.73206055</v>
          </cell>
          <cell r="H358">
            <v>7275</v>
          </cell>
          <cell r="I358">
            <v>1165063210.8149595</v>
          </cell>
          <cell r="J358">
            <v>9373313901</v>
          </cell>
          <cell r="K358">
            <v>969701763.74999988</v>
          </cell>
          <cell r="L358">
            <v>1676840000</v>
          </cell>
          <cell r="M358">
            <v>413721182.49999994</v>
          </cell>
          <cell r="N358">
            <v>678831400</v>
          </cell>
          <cell r="O358">
            <v>14277471458.06496</v>
          </cell>
          <cell r="P358">
            <v>171329657496.77954</v>
          </cell>
          <cell r="Q358">
            <v>4283241437.4194889</v>
          </cell>
          <cell r="R358">
            <v>175612898934.19904</v>
          </cell>
          <cell r="S358">
            <v>14277471458.06496</v>
          </cell>
          <cell r="T358">
            <v>189890370392.26401</v>
          </cell>
          <cell r="V358" t="str">
            <v>K</v>
          </cell>
          <cell r="Y358">
            <v>152221622995</v>
          </cell>
          <cell r="Z358">
            <v>37668747397.264008</v>
          </cell>
          <cell r="AA358">
            <v>0.24745989864068987</v>
          </cell>
          <cell r="AC358">
            <v>7146</v>
          </cell>
          <cell r="AD358">
            <v>283</v>
          </cell>
        </row>
        <row r="359">
          <cell r="B359" t="str">
            <v>Kab. Pangkajene Kepulauan</v>
          </cell>
          <cell r="C359" t="str">
            <v>06-2005</v>
          </cell>
          <cell r="D359">
            <v>22542760.433782451</v>
          </cell>
          <cell r="E359">
            <v>187173691.41270486</v>
          </cell>
          <cell r="F359">
            <v>414469636.28778046</v>
          </cell>
          <cell r="G359">
            <v>174387888.82531843</v>
          </cell>
          <cell r="H359">
            <v>4958</v>
          </cell>
          <cell r="I359">
            <v>798573976.95958626</v>
          </cell>
          <cell r="J359">
            <v>6347666729.999999</v>
          </cell>
          <cell r="K359">
            <v>583549289.75</v>
          </cell>
          <cell r="L359">
            <v>961116450</v>
          </cell>
          <cell r="M359">
            <v>256960990.99999997</v>
          </cell>
          <cell r="N359">
            <v>428331150</v>
          </cell>
          <cell r="O359">
            <v>9376198587.7095852</v>
          </cell>
          <cell r="P359">
            <v>112514383052.51501</v>
          </cell>
          <cell r="Q359">
            <v>2812859576.3128757</v>
          </cell>
          <cell r="R359">
            <v>115327242628.8279</v>
          </cell>
          <cell r="S359">
            <v>9376198587.7095852</v>
          </cell>
          <cell r="T359">
            <v>124703441216.53748</v>
          </cell>
          <cell r="V359" t="str">
            <v>K</v>
          </cell>
          <cell r="Y359">
            <v>99320471965</v>
          </cell>
          <cell r="Z359">
            <v>25382969251.537476</v>
          </cell>
          <cell r="AA359">
            <v>0.25556633742620855</v>
          </cell>
          <cell r="AC359">
            <v>5010</v>
          </cell>
          <cell r="AD359">
            <v>179</v>
          </cell>
        </row>
        <row r="360">
          <cell r="B360" t="str">
            <v xml:space="preserve">Kab. Bone </v>
          </cell>
          <cell r="C360" t="str">
            <v>03-2005</v>
          </cell>
          <cell r="D360">
            <v>30222162.339796253</v>
          </cell>
          <cell r="E360">
            <v>280676753.01368004</v>
          </cell>
          <cell r="F360">
            <v>904409403.3005749</v>
          </cell>
          <cell r="G360">
            <v>416126718.660604</v>
          </cell>
          <cell r="H360">
            <v>10196</v>
          </cell>
          <cell r="I360">
            <v>1631435037.3146553</v>
          </cell>
          <cell r="J360">
            <v>13375963949.999998</v>
          </cell>
          <cell r="K360">
            <v>1170763250</v>
          </cell>
          <cell r="L360">
            <v>2133418000</v>
          </cell>
          <cell r="M360">
            <v>556332050</v>
          </cell>
          <cell r="N360">
            <v>865118000</v>
          </cell>
          <cell r="O360">
            <v>19733030287.314651</v>
          </cell>
          <cell r="P360">
            <v>236796363447.77582</v>
          </cell>
          <cell r="Q360">
            <v>5919909086.194396</v>
          </cell>
          <cell r="R360">
            <v>242716272533.97021</v>
          </cell>
          <cell r="S360">
            <v>19733030287.314651</v>
          </cell>
          <cell r="T360">
            <v>262449302821.28485</v>
          </cell>
          <cell r="V360" t="str">
            <v>K</v>
          </cell>
          <cell r="Y360">
            <v>209711203000</v>
          </cell>
          <cell r="Z360">
            <v>52738099821.284851</v>
          </cell>
          <cell r="AA360">
            <v>0.25147964947435286</v>
          </cell>
          <cell r="AC360">
            <v>10055</v>
          </cell>
          <cell r="AD360">
            <v>277</v>
          </cell>
        </row>
        <row r="361">
          <cell r="B361" t="str">
            <v>Kab. Soppeng</v>
          </cell>
          <cell r="C361" t="str">
            <v>03-2005</v>
          </cell>
          <cell r="D361">
            <v>16349694.380545514</v>
          </cell>
          <cell r="E361">
            <v>176281757.71366653</v>
          </cell>
          <cell r="F361">
            <v>476848009.64212871</v>
          </cell>
          <cell r="G361">
            <v>233340546.23746571</v>
          </cell>
          <cell r="H361">
            <v>5631</v>
          </cell>
          <cell r="I361">
            <v>902820007.9738065</v>
          </cell>
          <cell r="J361">
            <v>7284329999.999999</v>
          </cell>
          <cell r="K361">
            <v>606731950</v>
          </cell>
          <cell r="L361">
            <v>1127313000</v>
          </cell>
          <cell r="M361">
            <v>607125250</v>
          </cell>
          <cell r="N361">
            <v>446084000</v>
          </cell>
          <cell r="O361">
            <v>10974404207.973804</v>
          </cell>
          <cell r="P361">
            <v>131692850495.68565</v>
          </cell>
          <cell r="Q361">
            <v>3292321262.3921413</v>
          </cell>
          <cell r="R361">
            <v>134985171758.07779</v>
          </cell>
          <cell r="S361">
            <v>10974404207.973804</v>
          </cell>
          <cell r="T361">
            <v>145959575966.05161</v>
          </cell>
          <cell r="V361" t="str">
            <v>K</v>
          </cell>
          <cell r="Y361">
            <v>116520625000</v>
          </cell>
          <cell r="Z361">
            <v>29438950966.051605</v>
          </cell>
          <cell r="AA361">
            <v>0.25265012924580182</v>
          </cell>
          <cell r="AC361">
            <v>5391</v>
          </cell>
          <cell r="AD361">
            <v>274</v>
          </cell>
        </row>
        <row r="362">
          <cell r="B362" t="str">
            <v>Kab. Wajo</v>
          </cell>
          <cell r="C362" t="str">
            <v>03-2005</v>
          </cell>
          <cell r="D362">
            <v>22047315.149523497</v>
          </cell>
          <cell r="E362">
            <v>150643821.46823785</v>
          </cell>
          <cell r="F362">
            <v>477156050.99202675</v>
          </cell>
          <cell r="G362">
            <v>222636851.45593059</v>
          </cell>
          <cell r="H362">
            <v>5438</v>
          </cell>
          <cell r="I362">
            <v>872484039.06571865</v>
          </cell>
          <cell r="J362">
            <v>7150573499.999999</v>
          </cell>
          <cell r="K362">
            <v>648443600</v>
          </cell>
          <cell r="L362">
            <v>1160348000</v>
          </cell>
          <cell r="M362">
            <v>286784700</v>
          </cell>
          <cell r="N362">
            <v>463887000</v>
          </cell>
          <cell r="O362">
            <v>10582520839.065718</v>
          </cell>
          <cell r="P362">
            <v>126990250068.7886</v>
          </cell>
          <cell r="Q362">
            <v>3174756251.7197151</v>
          </cell>
          <cell r="R362">
            <v>130165006320.50832</v>
          </cell>
          <cell r="S362">
            <v>10582520839.065718</v>
          </cell>
          <cell r="T362">
            <v>140747527159.57404</v>
          </cell>
          <cell r="V362" t="str">
            <v>K</v>
          </cell>
          <cell r="Y362">
            <v>112519771000</v>
          </cell>
          <cell r="Z362">
            <v>28227756159.574036</v>
          </cell>
          <cell r="AA362">
            <v>0.25086929975687594</v>
          </cell>
          <cell r="AC362">
            <v>5561</v>
          </cell>
          <cell r="AD362">
            <v>0</v>
          </cell>
        </row>
        <row r="363">
          <cell r="B363" t="str">
            <v>Kota Palopo</v>
          </cell>
          <cell r="C363" t="str">
            <v>06-2005</v>
          </cell>
          <cell r="D363">
            <v>4211284.9162011174</v>
          </cell>
          <cell r="E363">
            <v>52448849.966138422</v>
          </cell>
          <cell r="F363">
            <v>227334516.22473577</v>
          </cell>
          <cell r="G363">
            <v>118399331.5065193</v>
          </cell>
          <cell r="H363">
            <v>2525</v>
          </cell>
          <cell r="I363">
            <v>402393982.61359465</v>
          </cell>
          <cell r="J363">
            <v>3347908036.9999995</v>
          </cell>
          <cell r="K363">
            <v>309872928</v>
          </cell>
          <cell r="L363">
            <v>602406600</v>
          </cell>
          <cell r="M363">
            <v>140650166.94999999</v>
          </cell>
          <cell r="N363">
            <v>227149410</v>
          </cell>
          <cell r="O363">
            <v>5030381124.5635939</v>
          </cell>
          <cell r="P363">
            <v>60364573494.763123</v>
          </cell>
          <cell r="Q363">
            <v>1509114337.3690782</v>
          </cell>
          <cell r="R363">
            <v>61873687832.132202</v>
          </cell>
          <cell r="S363">
            <v>5030381124.5635939</v>
          </cell>
          <cell r="T363">
            <v>66904068956.695793</v>
          </cell>
          <cell r="V363" t="str">
            <v>K</v>
          </cell>
          <cell r="Y363">
            <v>53724601853</v>
          </cell>
          <cell r="Z363">
            <v>13179467103.695793</v>
          </cell>
          <cell r="AA363">
            <v>0.24531530526288761</v>
          </cell>
          <cell r="AC363">
            <v>2334</v>
          </cell>
          <cell r="AD363">
            <v>285</v>
          </cell>
        </row>
        <row r="364">
          <cell r="B364" t="str">
            <v>Kab. Luwu</v>
          </cell>
          <cell r="C364" t="str">
            <v>06-2005</v>
          </cell>
          <cell r="D364">
            <v>17588307.591192901</v>
          </cell>
          <cell r="E364">
            <v>171589847.81254232</v>
          </cell>
          <cell r="F364">
            <v>443117481.82829595</v>
          </cell>
          <cell r="G364">
            <v>142276804.48071304</v>
          </cell>
          <cell r="H364">
            <v>4836</v>
          </cell>
          <cell r="I364">
            <v>774572441.71274412</v>
          </cell>
          <cell r="J364">
            <v>6080825997</v>
          </cell>
          <cell r="K364">
            <v>633608368.8499999</v>
          </cell>
          <cell r="L364">
            <v>937184400</v>
          </cell>
          <cell r="M364">
            <v>239261688.29999998</v>
          </cell>
          <cell r="N364">
            <v>466725990</v>
          </cell>
          <cell r="O364">
            <v>9132178885.8627434</v>
          </cell>
          <cell r="P364">
            <v>109586146630.35292</v>
          </cell>
          <cell r="Q364">
            <v>2739653665.7588234</v>
          </cell>
          <cell r="R364">
            <v>112325800296.11174</v>
          </cell>
          <cell r="S364">
            <v>9132178885.8627434</v>
          </cell>
          <cell r="T364">
            <v>121457979181.97449</v>
          </cell>
          <cell r="V364" t="str">
            <v>K</v>
          </cell>
          <cell r="Y364">
            <v>96860900981</v>
          </cell>
          <cell r="Z364">
            <v>24597078200.974487</v>
          </cell>
          <cell r="AA364">
            <v>0.2539422816828783</v>
          </cell>
          <cell r="AC364">
            <v>4713</v>
          </cell>
          <cell r="AD364">
            <v>286</v>
          </cell>
        </row>
        <row r="365">
          <cell r="B365" t="str">
            <v>Kab. Luwu Timur</v>
          </cell>
          <cell r="C365" t="str">
            <v>06-2005</v>
          </cell>
          <cell r="D365">
            <v>6440788.6953664152</v>
          </cell>
          <cell r="E365">
            <v>85794923.90627116</v>
          </cell>
          <cell r="F365">
            <v>198070587.98442426</v>
          </cell>
          <cell r="G365">
            <v>44955518.082447521</v>
          </cell>
          <cell r="H365">
            <v>2097</v>
          </cell>
          <cell r="I365">
            <v>335261818.66850936</v>
          </cell>
          <cell r="J365">
            <v>2492005771</v>
          </cell>
          <cell r="K365">
            <v>253434267.59999999</v>
          </cell>
          <cell r="L365">
            <v>375309600</v>
          </cell>
          <cell r="M365">
            <v>96583379.049999997</v>
          </cell>
          <cell r="N365">
            <v>190529880</v>
          </cell>
          <cell r="O365">
            <v>3743124716.3185096</v>
          </cell>
          <cell r="P365">
            <v>44917496595.822113</v>
          </cell>
          <cell r="Q365">
            <v>1122937414.8955529</v>
          </cell>
          <cell r="R365">
            <v>46040434010.717667</v>
          </cell>
          <cell r="S365">
            <v>3743124716.3185096</v>
          </cell>
          <cell r="T365">
            <v>49783558727.036179</v>
          </cell>
          <cell r="V365" t="str">
            <v>K</v>
          </cell>
          <cell r="Y365">
            <v>39484487692</v>
          </cell>
          <cell r="Z365">
            <v>10299071035.036179</v>
          </cell>
          <cell r="AA365">
            <v>0.26083841115970424</v>
          </cell>
          <cell r="AC365">
            <v>296</v>
          </cell>
          <cell r="AD365">
            <v>287</v>
          </cell>
        </row>
        <row r="366">
          <cell r="B366" t="str">
            <v>Kab. Luwu Utara</v>
          </cell>
          <cell r="C366" t="str">
            <v>06-2005</v>
          </cell>
          <cell r="D366">
            <v>15854249.096286559</v>
          </cell>
          <cell r="E366">
            <v>133384295.76053095</v>
          </cell>
          <cell r="F366">
            <v>296643819.95178938</v>
          </cell>
          <cell r="G366">
            <v>80195374.747809321</v>
          </cell>
          <cell r="H366">
            <v>3273</v>
          </cell>
          <cell r="I366">
            <v>526077739.55641615</v>
          </cell>
          <cell r="J366">
            <v>3987248397.9999995</v>
          </cell>
          <cell r="K366">
            <v>400288608.64999998</v>
          </cell>
          <cell r="L366">
            <v>620729650</v>
          </cell>
          <cell r="M366">
            <v>157008431.64999998</v>
          </cell>
          <cell r="N366">
            <v>299154780</v>
          </cell>
          <cell r="O366">
            <v>5990507607.8564148</v>
          </cell>
          <cell r="P366">
            <v>71886091294.276978</v>
          </cell>
          <cell r="Q366">
            <v>1797152282.3569245</v>
          </cell>
          <cell r="R366">
            <v>73683243576.633896</v>
          </cell>
          <cell r="S366">
            <v>5990507607.8564148</v>
          </cell>
          <cell r="T366">
            <v>79673751184.490311</v>
          </cell>
          <cell r="V366" t="str">
            <v>K</v>
          </cell>
          <cell r="Y366">
            <v>63333715926</v>
          </cell>
          <cell r="Z366">
            <v>16340035258.490311</v>
          </cell>
          <cell r="AA366">
            <v>0.25799899815735172</v>
          </cell>
          <cell r="AC366">
            <v>4429</v>
          </cell>
          <cell r="AD366">
            <v>273</v>
          </cell>
        </row>
        <row r="367">
          <cell r="B367" t="str">
            <v>Kab. Sinjai</v>
          </cell>
          <cell r="C367" t="str">
            <v>03-2005</v>
          </cell>
          <cell r="D367">
            <v>31460775.550443642</v>
          </cell>
          <cell r="E367">
            <v>186838554.99119598</v>
          </cell>
          <cell r="F367">
            <v>553088243.74188769</v>
          </cell>
          <cell r="G367">
            <v>262981547.17094761</v>
          </cell>
          <cell r="H367">
            <v>6430</v>
          </cell>
          <cell r="I367">
            <v>1034369121.4544749</v>
          </cell>
          <cell r="J367">
            <v>8397177852.749999</v>
          </cell>
          <cell r="K367">
            <v>776532299.69999993</v>
          </cell>
          <cell r="L367">
            <v>1265386250</v>
          </cell>
          <cell r="M367">
            <v>342479626.64999998</v>
          </cell>
          <cell r="N367">
            <v>552271860</v>
          </cell>
          <cell r="O367">
            <v>12368217010.554474</v>
          </cell>
          <cell r="P367">
            <v>148418604126.65369</v>
          </cell>
          <cell r="Q367">
            <v>3710465103.1663423</v>
          </cell>
          <cell r="R367">
            <v>152129069229.82004</v>
          </cell>
          <cell r="S367">
            <v>12368217010.554474</v>
          </cell>
          <cell r="T367">
            <v>164497286240.37451</v>
          </cell>
          <cell r="V367" t="str">
            <v>K</v>
          </cell>
          <cell r="Y367">
            <v>132240324164</v>
          </cell>
          <cell r="Z367">
            <v>32256962076.374512</v>
          </cell>
          <cell r="AA367">
            <v>0.24392682247489436</v>
          </cell>
          <cell r="AC367">
            <v>4270</v>
          </cell>
          <cell r="AD367">
            <v>320</v>
          </cell>
        </row>
        <row r="368">
          <cell r="B368" t="str">
            <v xml:space="preserve">Kab. Bulukumba   </v>
          </cell>
          <cell r="C368" t="str">
            <v>03-2005</v>
          </cell>
          <cell r="D368">
            <v>19074643.443969768</v>
          </cell>
          <cell r="E368">
            <v>132043750.07449545</v>
          </cell>
          <cell r="F368">
            <v>375810446.87557948</v>
          </cell>
          <cell r="G368">
            <v>165660260.7726821</v>
          </cell>
          <cell r="H368">
            <v>4311</v>
          </cell>
          <cell r="I368">
            <v>692589101.16672683</v>
          </cell>
          <cell r="J368">
            <v>5612176086.8499994</v>
          </cell>
          <cell r="K368">
            <v>514486673.39999998</v>
          </cell>
          <cell r="L368">
            <v>829613500</v>
          </cell>
          <cell r="M368">
            <v>227416720.49999997</v>
          </cell>
          <cell r="N368">
            <v>375071850</v>
          </cell>
          <cell r="O368">
            <v>8251353931.9167261</v>
          </cell>
          <cell r="P368">
            <v>99016247183.000717</v>
          </cell>
          <cell r="Q368">
            <v>2475406179.5750179</v>
          </cell>
          <cell r="R368">
            <v>101491653362.57573</v>
          </cell>
          <cell r="S368">
            <v>8251353931.9167261</v>
          </cell>
          <cell r="T368">
            <v>109743007294.49246</v>
          </cell>
          <cell r="V368" t="str">
            <v>K</v>
          </cell>
          <cell r="Y368">
            <v>88178132354</v>
          </cell>
          <cell r="Z368">
            <v>21564874940.492462</v>
          </cell>
          <cell r="AA368">
            <v>0.24456035033627269</v>
          </cell>
          <cell r="AC368">
            <v>6522</v>
          </cell>
          <cell r="AD368">
            <v>276</v>
          </cell>
        </row>
        <row r="369">
          <cell r="B369" t="str">
            <v>Kab. Bantaeng</v>
          </cell>
          <cell r="C369" t="str">
            <v>03-2005</v>
          </cell>
          <cell r="D369">
            <v>27001767.992113046</v>
          </cell>
          <cell r="E369">
            <v>85459787.484762281</v>
          </cell>
          <cell r="F369">
            <v>253672051.64101616</v>
          </cell>
          <cell r="G369">
            <v>77725291.336685836</v>
          </cell>
          <cell r="H369">
            <v>2738</v>
          </cell>
          <cell r="I369">
            <v>443858898.45457733</v>
          </cell>
          <cell r="J369">
            <v>3476522928.3999996</v>
          </cell>
          <cell r="K369">
            <v>320800283.19999999</v>
          </cell>
          <cell r="L369">
            <v>541868400</v>
          </cell>
          <cell r="M369">
            <v>144313963.44999999</v>
          </cell>
          <cell r="N369">
            <v>238703970</v>
          </cell>
          <cell r="O369">
            <v>5166068443.5045767</v>
          </cell>
          <cell r="P369">
            <v>61992821322.054916</v>
          </cell>
          <cell r="Q369">
            <v>1549820533.051373</v>
          </cell>
          <cell r="R369">
            <v>63542641855.106293</v>
          </cell>
          <cell r="S369">
            <v>5166068443.5045767</v>
          </cell>
          <cell r="T369">
            <v>68708710298.61087</v>
          </cell>
          <cell r="V369" t="str">
            <v>K</v>
          </cell>
          <cell r="Y369">
            <v>54705078441</v>
          </cell>
          <cell r="Z369">
            <v>14003631857.61087</v>
          </cell>
          <cell r="AA369">
            <v>0.2559841290185505</v>
          </cell>
          <cell r="AC369">
            <v>2752</v>
          </cell>
          <cell r="AD369">
            <v>215</v>
          </cell>
        </row>
        <row r="370">
          <cell r="B370" t="str">
            <v>Kab. Jeneponto</v>
          </cell>
          <cell r="C370" t="str">
            <v>03-2005</v>
          </cell>
          <cell r="D370">
            <v>21799592.50739402</v>
          </cell>
          <cell r="E370">
            <v>152487071.78653663</v>
          </cell>
          <cell r="F370">
            <v>414777677.6376785</v>
          </cell>
          <cell r="G370">
            <v>142770821.16293773</v>
          </cell>
          <cell r="H370">
            <v>4558</v>
          </cell>
          <cell r="I370">
            <v>731835163.09454691</v>
          </cell>
          <cell r="J370">
            <v>5771243667.0999994</v>
          </cell>
          <cell r="K370">
            <v>566200508.19999993</v>
          </cell>
          <cell r="L370">
            <v>840341250</v>
          </cell>
          <cell r="M370">
            <v>228444443.29999998</v>
          </cell>
          <cell r="N370">
            <v>417589020</v>
          </cell>
          <cell r="O370">
            <v>8555654051.6945467</v>
          </cell>
          <cell r="P370">
            <v>102667848620.33456</v>
          </cell>
          <cell r="Q370">
            <v>2566696215.5083642</v>
          </cell>
          <cell r="R370">
            <v>105234544835.84293</v>
          </cell>
          <cell r="S370">
            <v>8555654051.6945467</v>
          </cell>
          <cell r="T370">
            <v>113790198887.53748</v>
          </cell>
          <cell r="V370" t="str">
            <v>K</v>
          </cell>
          <cell r="Y370">
            <v>90576182242</v>
          </cell>
          <cell r="Z370">
            <v>23214016645.537476</v>
          </cell>
          <cell r="AA370">
            <v>0.2562927258682049</v>
          </cell>
          <cell r="AC370">
            <v>4623</v>
          </cell>
          <cell r="AD370">
            <v>261</v>
          </cell>
        </row>
        <row r="371">
          <cell r="B371" t="str">
            <v>Kota Pare-Pare</v>
          </cell>
          <cell r="C371" t="str">
            <v>06-2005</v>
          </cell>
          <cell r="D371">
            <v>12138409.464344397</v>
          </cell>
          <cell r="E371">
            <v>106070677.4075579</v>
          </cell>
          <cell r="F371">
            <v>295103613.2022993</v>
          </cell>
          <cell r="G371">
            <v>155285910.44596344</v>
          </cell>
          <cell r="H371">
            <v>3541</v>
          </cell>
          <cell r="I371">
            <v>568598610.52016497</v>
          </cell>
          <cell r="J371">
            <v>4495783208.4499998</v>
          </cell>
          <cell r="K371">
            <v>394740533.69999999</v>
          </cell>
          <cell r="L371">
            <v>684956950</v>
          </cell>
          <cell r="M371">
            <v>184032819.84999999</v>
          </cell>
          <cell r="N371">
            <v>295243080</v>
          </cell>
          <cell r="O371">
            <v>6623355202.5201654</v>
          </cell>
          <cell r="P371">
            <v>79480262430.241989</v>
          </cell>
          <cell r="Q371">
            <v>1987006560.7560499</v>
          </cell>
          <cell r="R371">
            <v>81467268990.998032</v>
          </cell>
          <cell r="S371">
            <v>6623355202.5201654</v>
          </cell>
          <cell r="T371">
            <v>88090624193.518204</v>
          </cell>
          <cell r="V371" t="str">
            <v>K</v>
          </cell>
          <cell r="Y371">
            <v>70107152830</v>
          </cell>
          <cell r="Z371">
            <v>17983471363.518204</v>
          </cell>
          <cell r="AA371">
            <v>0.2565140736370452</v>
          </cell>
          <cell r="AC371">
            <v>3293</v>
          </cell>
          <cell r="AD371">
            <v>275</v>
          </cell>
        </row>
        <row r="372">
          <cell r="B372" t="str">
            <v>Kab. Pinrang</v>
          </cell>
          <cell r="C372" t="str">
            <v>06-2005</v>
          </cell>
          <cell r="D372">
            <v>16349694.380545514</v>
          </cell>
          <cell r="E372">
            <v>183989895.40837058</v>
          </cell>
          <cell r="F372">
            <v>499797090.20953089</v>
          </cell>
          <cell r="G372">
            <v>214403240.08551896</v>
          </cell>
          <cell r="H372">
            <v>5711</v>
          </cell>
          <cell r="I372">
            <v>914539920.0839659</v>
          </cell>
          <cell r="J372">
            <v>7297807838.999999</v>
          </cell>
          <cell r="K372">
            <v>692641953.64999998</v>
          </cell>
          <cell r="L372">
            <v>1064036155</v>
          </cell>
          <cell r="M372">
            <v>292964120.34999996</v>
          </cell>
          <cell r="N372">
            <v>501299400</v>
          </cell>
          <cell r="O372">
            <v>10763289388.083965</v>
          </cell>
          <cell r="P372">
            <v>129159472657.00758</v>
          </cell>
          <cell r="Q372">
            <v>3228986816.42519</v>
          </cell>
          <cell r="R372">
            <v>132388459473.43277</v>
          </cell>
          <cell r="S372">
            <v>10763289388.083965</v>
          </cell>
          <cell r="T372">
            <v>143151748861.51672</v>
          </cell>
          <cell r="V372" t="str">
            <v>K</v>
          </cell>
          <cell r="Y372">
            <v>113987954275</v>
          </cell>
          <cell r="Z372">
            <v>29163794586.516724</v>
          </cell>
          <cell r="AA372">
            <v>0.25584979370853544</v>
          </cell>
          <cell r="AC372">
            <v>5466</v>
          </cell>
          <cell r="AD372">
            <v>293</v>
          </cell>
        </row>
        <row r="373">
          <cell r="B373" t="str">
            <v xml:space="preserve">Kab. Sidenreng Rappang </v>
          </cell>
          <cell r="C373" t="str">
            <v>06-2005</v>
          </cell>
          <cell r="D373">
            <v>23285928.360170886</v>
          </cell>
          <cell r="E373">
            <v>163714141.90708384</v>
          </cell>
          <cell r="F373">
            <v>404766333.765993</v>
          </cell>
          <cell r="G373">
            <v>204028889.7588003</v>
          </cell>
          <cell r="H373">
            <v>4938</v>
          </cell>
          <cell r="I373">
            <v>795795293.79204798</v>
          </cell>
          <cell r="J373">
            <v>6248740833.1499996</v>
          </cell>
          <cell r="K373">
            <v>574011384.0999999</v>
          </cell>
          <cell r="L373">
            <v>957882500</v>
          </cell>
          <cell r="M373">
            <v>254269558.59999999</v>
          </cell>
          <cell r="N373">
            <v>417498750</v>
          </cell>
          <cell r="O373">
            <v>9248198319.6420479</v>
          </cell>
          <cell r="P373">
            <v>110978379835.70457</v>
          </cell>
          <cell r="Q373">
            <v>2774459495.8926144</v>
          </cell>
          <cell r="R373">
            <v>113752839331.59718</v>
          </cell>
          <cell r="S373">
            <v>9248198319.6420479</v>
          </cell>
          <cell r="T373">
            <v>123001037651.23923</v>
          </cell>
          <cell r="V373" t="str">
            <v>K</v>
          </cell>
          <cell r="Y373">
            <v>97881071977</v>
          </cell>
          <cell r="Z373">
            <v>25119965674.239227</v>
          </cell>
          <cell r="AA373">
            <v>0.25663762325919248</v>
          </cell>
          <cell r="AC373">
            <v>4768</v>
          </cell>
          <cell r="AD373">
            <v>275</v>
          </cell>
        </row>
        <row r="374">
          <cell r="B374" t="str">
            <v>Kab. Barru</v>
          </cell>
          <cell r="C374" t="str">
            <v>06-2005</v>
          </cell>
          <cell r="D374">
            <v>17340584.949063424</v>
          </cell>
          <cell r="E374">
            <v>107578791.30434783</v>
          </cell>
          <cell r="F374">
            <v>305268977.74893379</v>
          </cell>
          <cell r="G374">
            <v>161378782.86006802</v>
          </cell>
          <cell r="H374">
            <v>3674</v>
          </cell>
          <cell r="I374">
            <v>591567136.86241305</v>
          </cell>
          <cell r="J374">
            <v>4974084673</v>
          </cell>
          <cell r="K374">
            <v>440624995.49999994</v>
          </cell>
          <cell r="L374">
            <v>703324691</v>
          </cell>
          <cell r="M374">
            <v>198931280.29999998</v>
          </cell>
          <cell r="N374">
            <v>326867670</v>
          </cell>
          <cell r="O374">
            <v>7235400446.6624136</v>
          </cell>
          <cell r="P374">
            <v>86824805359.948959</v>
          </cell>
          <cell r="Q374">
            <v>2170620133.998724</v>
          </cell>
          <cell r="R374">
            <v>88995425493.947678</v>
          </cell>
          <cell r="S374">
            <v>7235400446.6624136</v>
          </cell>
          <cell r="T374">
            <v>96230825940.610092</v>
          </cell>
          <cell r="V374" t="str">
            <v>K</v>
          </cell>
          <cell r="Y374">
            <v>76851050549</v>
          </cell>
          <cell r="Z374">
            <v>19379775391.610092</v>
          </cell>
          <cell r="AA374">
            <v>0.25217320066761617</v>
          </cell>
          <cell r="AC374">
            <v>3711</v>
          </cell>
          <cell r="AD374">
            <v>272</v>
          </cell>
        </row>
        <row r="375">
          <cell r="B375" t="str">
            <v>Kab. Enrekang</v>
          </cell>
          <cell r="C375" t="str">
            <v>06-2005</v>
          </cell>
          <cell r="D375">
            <v>16349694.380545514</v>
          </cell>
          <cell r="E375">
            <v>98362539.712853849</v>
          </cell>
          <cell r="F375">
            <v>321749189.96847767</v>
          </cell>
          <cell r="G375">
            <v>140959426.6614472</v>
          </cell>
          <cell r="H375">
            <v>3598</v>
          </cell>
          <cell r="I375">
            <v>577420850.72332418</v>
          </cell>
          <cell r="J375">
            <v>4671504311.2999992</v>
          </cell>
          <cell r="K375">
            <v>493717022.49999994</v>
          </cell>
          <cell r="L375">
            <v>725163050</v>
          </cell>
          <cell r="M375">
            <v>184540357.39999998</v>
          </cell>
          <cell r="N375">
            <v>353948670</v>
          </cell>
          <cell r="O375">
            <v>7006294261.9233227</v>
          </cell>
          <cell r="P375">
            <v>84075531143.079865</v>
          </cell>
          <cell r="Q375">
            <v>2101888278.5769968</v>
          </cell>
          <cell r="R375">
            <v>86177419421.65686</v>
          </cell>
          <cell r="S375">
            <v>7006294261.9233227</v>
          </cell>
          <cell r="T375">
            <v>93183713683.580185</v>
          </cell>
          <cell r="V375" t="str">
            <v>K</v>
          </cell>
          <cell r="Y375">
            <v>74504019304</v>
          </cell>
          <cell r="Z375">
            <v>18679694379.580185</v>
          </cell>
          <cell r="AA375">
            <v>0.2507206262706595</v>
          </cell>
          <cell r="AC375">
            <v>3627</v>
          </cell>
          <cell r="AD375">
            <v>260</v>
          </cell>
        </row>
        <row r="376">
          <cell r="B376" t="str">
            <v>Kab. Mamuju</v>
          </cell>
          <cell r="C376" t="str">
            <v>03-2005</v>
          </cell>
          <cell r="D376">
            <v>23285928.360170886</v>
          </cell>
          <cell r="E376">
            <v>221357606.40660977</v>
          </cell>
          <cell r="F376">
            <v>411389222.7888003</v>
          </cell>
          <cell r="G376">
            <v>68832991.056641266</v>
          </cell>
          <cell r="H376">
            <v>4504</v>
          </cell>
          <cell r="I376">
            <v>724865748.61222219</v>
          </cell>
          <cell r="J376">
            <v>5350981050</v>
          </cell>
          <cell r="K376">
            <v>543226650</v>
          </cell>
          <cell r="L376">
            <v>802106000</v>
          </cell>
          <cell r="M376">
            <v>196536149.99999997</v>
          </cell>
          <cell r="N376">
            <v>425563000</v>
          </cell>
          <cell r="O376">
            <v>8043278598.6122227</v>
          </cell>
          <cell r="P376">
            <v>96519343183.34668</v>
          </cell>
          <cell r="Q376">
            <v>2412983579.5836673</v>
          </cell>
          <cell r="R376">
            <v>98932326762.930344</v>
          </cell>
          <cell r="S376">
            <v>8043278598.6122227</v>
          </cell>
          <cell r="T376">
            <v>106975605361.54257</v>
          </cell>
          <cell r="V376" t="str">
            <v>K</v>
          </cell>
          <cell r="Y376">
            <v>84811584000</v>
          </cell>
          <cell r="Z376">
            <v>22164021361.542572</v>
          </cell>
          <cell r="AA376">
            <v>0.2613324774307077</v>
          </cell>
          <cell r="AC376">
            <v>4738</v>
          </cell>
          <cell r="AD376">
            <v>239</v>
          </cell>
        </row>
        <row r="377">
          <cell r="B377" t="str">
            <v xml:space="preserve">Kab. Majene    </v>
          </cell>
          <cell r="C377" t="str">
            <v>03-2005</v>
          </cell>
          <cell r="D377">
            <v>8422569.8324022349</v>
          </cell>
          <cell r="E377">
            <v>109086905.20113775</v>
          </cell>
          <cell r="F377">
            <v>308657432.597812</v>
          </cell>
          <cell r="G377">
            <v>105719569.99608539</v>
          </cell>
          <cell r="H377">
            <v>3331</v>
          </cell>
          <cell r="I377">
            <v>531886477.62743735</v>
          </cell>
          <cell r="J377">
            <v>4298896650</v>
          </cell>
          <cell r="K377">
            <v>395826549.99999994</v>
          </cell>
          <cell r="L377">
            <v>685039000</v>
          </cell>
          <cell r="M377">
            <v>175818900</v>
          </cell>
          <cell r="N377">
            <v>292264000</v>
          </cell>
          <cell r="O377">
            <v>6379731577.6274376</v>
          </cell>
          <cell r="P377">
            <v>76556778931.529251</v>
          </cell>
          <cell r="Q377">
            <v>1913919473.2882314</v>
          </cell>
          <cell r="R377">
            <v>78470698404.81749</v>
          </cell>
          <cell r="S377">
            <v>6379731577.6274376</v>
          </cell>
          <cell r="T377">
            <v>84850429982.444931</v>
          </cell>
          <cell r="V377" t="str">
            <v>K</v>
          </cell>
          <cell r="Y377">
            <v>67763241000</v>
          </cell>
          <cell r="Z377">
            <v>17087188982.444931</v>
          </cell>
          <cell r="AA377">
            <v>0.2521601495188952</v>
          </cell>
          <cell r="AC377">
            <v>3358</v>
          </cell>
          <cell r="AD377">
            <v>256</v>
          </cell>
        </row>
        <row r="378">
          <cell r="B378" t="str">
            <v>Kab. Polewali Mamasa</v>
          </cell>
          <cell r="C378" t="str">
            <v>03-2005</v>
          </cell>
          <cell r="D378">
            <v>287605987.51232338</v>
          </cell>
          <cell r="E378">
            <v>523985795.02912092</v>
          </cell>
          <cell r="F378">
            <v>149400054.70053774</v>
          </cell>
          <cell r="G378">
            <v>18113945.014905594</v>
          </cell>
          <cell r="H378">
            <v>5368</v>
          </cell>
          <cell r="I378">
            <v>979105782.25688756</v>
          </cell>
          <cell r="J378">
            <v>6923656649.999999</v>
          </cell>
          <cell r="K378">
            <v>659907950</v>
          </cell>
          <cell r="L378">
            <v>1063491000</v>
          </cell>
          <cell r="M378">
            <v>279336150</v>
          </cell>
          <cell r="N378">
            <v>485442000</v>
          </cell>
          <cell r="O378">
            <v>10390939532.256886</v>
          </cell>
          <cell r="P378">
            <v>124691274387.08263</v>
          </cell>
          <cell r="Q378">
            <v>3117281859.6770658</v>
          </cell>
          <cell r="R378">
            <v>127808556246.75969</v>
          </cell>
          <cell r="S378">
            <v>10390939532.256886</v>
          </cell>
          <cell r="T378">
            <v>138199495779.01657</v>
          </cell>
          <cell r="V378" t="str">
            <v>K</v>
          </cell>
          <cell r="Y378">
            <v>109021094000</v>
          </cell>
          <cell r="Z378">
            <v>29178401779.016571</v>
          </cell>
          <cell r="AA378">
            <v>0.26763996496876624</v>
          </cell>
          <cell r="AC378">
            <v>5447</v>
          </cell>
          <cell r="AD378">
            <v>257</v>
          </cell>
        </row>
        <row r="379">
          <cell r="B379" t="str">
            <v>Provinsi Sulawesi Tenggara</v>
          </cell>
          <cell r="C379" t="str">
            <v>06-2005</v>
          </cell>
          <cell r="D379">
            <v>23250000</v>
          </cell>
          <cell r="E379">
            <v>295933701.2012012</v>
          </cell>
          <cell r="F379">
            <v>531477074.34464973</v>
          </cell>
          <cell r="G379">
            <v>59874222.222222216</v>
          </cell>
          <cell r="H379">
            <v>5726</v>
          </cell>
          <cell r="I379">
            <v>910534997.7680732</v>
          </cell>
          <cell r="J379">
            <v>7095861513.999999</v>
          </cell>
          <cell r="K379">
            <v>737089245.5</v>
          </cell>
          <cell r="L379">
            <v>548299350</v>
          </cell>
          <cell r="M379">
            <v>251096253.19999999</v>
          </cell>
          <cell r="N379">
            <v>554137440</v>
          </cell>
          <cell r="O379">
            <v>10097018800.468073</v>
          </cell>
          <cell r="P379">
            <v>121164225605.61688</v>
          </cell>
          <cell r="Q379">
            <v>3029105640.1404223</v>
          </cell>
          <cell r="R379">
            <v>124193331245.75731</v>
          </cell>
          <cell r="S379">
            <v>10097018800.468073</v>
          </cell>
          <cell r="T379">
            <v>134290350046.22539</v>
          </cell>
          <cell r="V379" t="str">
            <v>P</v>
          </cell>
          <cell r="Y379">
            <v>105716557544</v>
          </cell>
          <cell r="Z379">
            <v>28573792502.225388</v>
          </cell>
          <cell r="AA379">
            <v>0.27028682323800385</v>
          </cell>
          <cell r="AC379">
            <v>5834</v>
          </cell>
          <cell r="AD379">
            <v>134</v>
          </cell>
        </row>
        <row r="380">
          <cell r="B380" t="str">
            <v>Kab. Konawe</v>
          </cell>
          <cell r="C380" t="str">
            <v>06-2005</v>
          </cell>
          <cell r="D380">
            <v>25515432.13933618</v>
          </cell>
          <cell r="E380">
            <v>305476848.20533657</v>
          </cell>
          <cell r="F380">
            <v>697559636.8440572</v>
          </cell>
          <cell r="G380">
            <v>102426125.44792074</v>
          </cell>
          <cell r="H380">
            <v>7077</v>
          </cell>
          <cell r="I380">
            <v>1130978042.6366508</v>
          </cell>
          <cell r="J380">
            <v>8743226279</v>
          </cell>
          <cell r="K380">
            <v>1350796113.3999999</v>
          </cell>
          <cell r="L380">
            <v>1323955050</v>
          </cell>
          <cell r="M380">
            <v>332717779.19999999</v>
          </cell>
          <cell r="N380">
            <v>753664230</v>
          </cell>
          <cell r="O380">
            <v>13635337494.23665</v>
          </cell>
          <cell r="P380">
            <v>163624049930.83981</v>
          </cell>
          <cell r="Q380">
            <v>4090601248.2709956</v>
          </cell>
          <cell r="R380">
            <v>167714651179.11081</v>
          </cell>
          <cell r="S380">
            <v>13635337494.23665</v>
          </cell>
          <cell r="T380">
            <v>181349988673.34747</v>
          </cell>
          <cell r="V380" t="str">
            <v>K</v>
          </cell>
          <cell r="Y380">
            <v>144876548232</v>
          </cell>
          <cell r="Z380">
            <v>36473440441.347473</v>
          </cell>
          <cell r="AA380">
            <v>0.25175531089365988</v>
          </cell>
          <cell r="AC380">
            <v>10105</v>
          </cell>
          <cell r="AD380">
            <v>318</v>
          </cell>
        </row>
        <row r="381">
          <cell r="B381" t="str">
            <v>Kab. Konawe Selatan</v>
          </cell>
          <cell r="C381" t="str">
            <v>06-2005</v>
          </cell>
          <cell r="D381">
            <v>15111081.169898126</v>
          </cell>
          <cell r="E381">
            <v>174103370.97385886</v>
          </cell>
          <cell r="F381">
            <v>340693732.98720568</v>
          </cell>
          <cell r="G381">
            <v>42979451.353548735</v>
          </cell>
          <cell r="H381">
            <v>3573</v>
          </cell>
          <cell r="I381">
            <v>572887636.48451138</v>
          </cell>
          <cell r="J381">
            <v>4307130696</v>
          </cell>
          <cell r="K381">
            <v>489898255.44999999</v>
          </cell>
          <cell r="L381">
            <v>643629900</v>
          </cell>
          <cell r="M381">
            <v>161105337.69999999</v>
          </cell>
          <cell r="N381">
            <v>375884280</v>
          </cell>
          <cell r="O381">
            <v>6550536105.634511</v>
          </cell>
          <cell r="P381">
            <v>78606433267.614136</v>
          </cell>
          <cell r="Q381">
            <v>1965160831.6903534</v>
          </cell>
          <cell r="R381">
            <v>80571594099.304489</v>
          </cell>
          <cell r="S381">
            <v>6550536105.634511</v>
          </cell>
          <cell r="T381">
            <v>87122130204.938995</v>
          </cell>
          <cell r="V381" t="str">
            <v>K</v>
          </cell>
          <cell r="Y381">
            <v>69302158913</v>
          </cell>
          <cell r="Z381">
            <v>17819971291.938995</v>
          </cell>
          <cell r="AA381">
            <v>0.25713443233867633</v>
          </cell>
          <cell r="AC381">
            <v>150</v>
          </cell>
          <cell r="AD381">
            <v>261</v>
          </cell>
        </row>
        <row r="382">
          <cell r="B382" t="str">
            <v>Kota Kendari</v>
          </cell>
          <cell r="C382" t="str">
            <v>06-2005</v>
          </cell>
          <cell r="D382">
            <v>10899796.25369701</v>
          </cell>
          <cell r="E382">
            <v>194714260.89665446</v>
          </cell>
          <cell r="F382">
            <v>523362253.47672909</v>
          </cell>
          <cell r="G382">
            <v>134701882.01993436</v>
          </cell>
          <cell r="H382">
            <v>5422</v>
          </cell>
          <cell r="I382">
            <v>863678192.64701486</v>
          </cell>
          <cell r="J382">
            <v>6740277741.999999</v>
          </cell>
          <cell r="K382">
            <v>594680720.5</v>
          </cell>
          <cell r="L382">
            <v>966590050</v>
          </cell>
          <cell r="M382">
            <v>266027899.19999999</v>
          </cell>
          <cell r="N382">
            <v>466304730</v>
          </cell>
          <cell r="O382">
            <v>9897559334.3470154</v>
          </cell>
          <cell r="P382">
            <v>118770712012.16418</v>
          </cell>
          <cell r="Q382">
            <v>2969267800.3041048</v>
          </cell>
          <cell r="R382">
            <v>121739979812.46829</v>
          </cell>
          <cell r="S382">
            <v>9897559334.3470154</v>
          </cell>
          <cell r="T382">
            <v>131637539146.81531</v>
          </cell>
          <cell r="V382" t="str">
            <v>K</v>
          </cell>
          <cell r="Y382">
            <v>104551825794</v>
          </cell>
          <cell r="Z382">
            <v>27085713352.815308</v>
          </cell>
          <cell r="AA382">
            <v>0.2590649483843801</v>
          </cell>
          <cell r="AC382">
            <v>5090</v>
          </cell>
          <cell r="AD382">
            <v>282</v>
          </cell>
        </row>
        <row r="383">
          <cell r="B383" t="str">
            <v>Kab. Buton</v>
          </cell>
          <cell r="C383" t="str">
            <v>06-2005</v>
          </cell>
          <cell r="D383">
            <v>13129300.032862308</v>
          </cell>
          <cell r="E383">
            <v>257887476.35107678</v>
          </cell>
          <cell r="F383">
            <v>469455017.24457633</v>
          </cell>
          <cell r="G383">
            <v>76901930.19964467</v>
          </cell>
          <cell r="H383">
            <v>5107</v>
          </cell>
          <cell r="I383">
            <v>817373723.82816017</v>
          </cell>
          <cell r="J383">
            <v>6763015449.999999</v>
          </cell>
          <cell r="K383">
            <v>723320100</v>
          </cell>
          <cell r="L383">
            <v>898387000</v>
          </cell>
          <cell r="M383">
            <v>274523400</v>
          </cell>
          <cell r="N383">
            <v>549143000</v>
          </cell>
          <cell r="O383">
            <v>10025762673.828159</v>
          </cell>
          <cell r="P383">
            <v>120309152085.93791</v>
          </cell>
          <cell r="Q383">
            <v>3007728802.148448</v>
          </cell>
          <cell r="R383">
            <v>123316880888.08636</v>
          </cell>
          <cell r="S383">
            <v>10025762673.828159</v>
          </cell>
          <cell r="T383">
            <v>133342643561.91452</v>
          </cell>
          <cell r="V383" t="str">
            <v>K</v>
          </cell>
          <cell r="Y383">
            <v>106549339000</v>
          </cell>
          <cell r="Z383">
            <v>26793304561.91452</v>
          </cell>
          <cell r="AA383">
            <v>0.25146382711876347</v>
          </cell>
          <cell r="AC383">
            <v>7820</v>
          </cell>
          <cell r="AD383">
            <v>290</v>
          </cell>
        </row>
        <row r="384">
          <cell r="B384" t="str">
            <v>Kota Bau-bau</v>
          </cell>
          <cell r="C384" t="str">
            <v>06-2005</v>
          </cell>
          <cell r="D384">
            <v>6440788.6953664152</v>
          </cell>
          <cell r="E384">
            <v>128692385.85940674</v>
          </cell>
          <cell r="F384">
            <v>319438879.84424257</v>
          </cell>
          <cell r="G384">
            <v>88758330.573037416</v>
          </cell>
          <cell r="H384">
            <v>3407</v>
          </cell>
          <cell r="I384">
            <v>543330384.97205317</v>
          </cell>
          <cell r="J384">
            <v>4404789800</v>
          </cell>
          <cell r="K384">
            <v>399043099.99999994</v>
          </cell>
          <cell r="L384">
            <v>642215000</v>
          </cell>
          <cell r="M384">
            <v>175847650</v>
          </cell>
          <cell r="N384">
            <v>299907000</v>
          </cell>
          <cell r="O384">
            <v>6465132934.9720535</v>
          </cell>
          <cell r="P384">
            <v>77581595219.664642</v>
          </cell>
          <cell r="Q384">
            <v>1939539880.4916162</v>
          </cell>
          <cell r="R384">
            <v>79521135100.156265</v>
          </cell>
          <cell r="S384">
            <v>6465132934.9720535</v>
          </cell>
          <cell r="T384">
            <v>85986268035.128326</v>
          </cell>
          <cell r="V384" t="str">
            <v>K</v>
          </cell>
          <cell r="Y384">
            <v>68539627000</v>
          </cell>
          <cell r="Z384">
            <v>17446641035.128326</v>
          </cell>
          <cell r="AA384">
            <v>0.25454823433936002</v>
          </cell>
          <cell r="AC384">
            <v>3170</v>
          </cell>
          <cell r="AD384">
            <v>272</v>
          </cell>
        </row>
        <row r="385">
          <cell r="B385" t="str">
            <v>Kab. Wakatobi</v>
          </cell>
          <cell r="C385" t="str">
            <v>06-2005</v>
          </cell>
          <cell r="D385">
            <v>3468116.9898126847</v>
          </cell>
          <cell r="E385">
            <v>79930036.529865906</v>
          </cell>
          <cell r="F385">
            <v>159257377.89727426</v>
          </cell>
          <cell r="G385">
            <v>36227890.029811189</v>
          </cell>
          <cell r="H385">
            <v>1745</v>
          </cell>
          <cell r="I385">
            <v>278883421.44676405</v>
          </cell>
          <cell r="J385">
            <v>2102135599.9999998</v>
          </cell>
          <cell r="K385">
            <v>217586899.99999997</v>
          </cell>
          <cell r="L385">
            <v>404448000</v>
          </cell>
          <cell r="M385">
            <v>97598199.999999985</v>
          </cell>
          <cell r="N385">
            <v>162366000</v>
          </cell>
          <cell r="O385">
            <v>3263018121.446764</v>
          </cell>
          <cell r="P385">
            <v>39156217457.361168</v>
          </cell>
          <cell r="Q385">
            <v>978905436.43402922</v>
          </cell>
          <cell r="R385">
            <v>40135122893.795197</v>
          </cell>
          <cell r="S385">
            <v>3263018121.446764</v>
          </cell>
          <cell r="T385">
            <v>43398141015.241959</v>
          </cell>
          <cell r="V385" t="str">
            <v>K</v>
          </cell>
          <cell r="Y385">
            <v>34694816000</v>
          </cell>
          <cell r="Z385">
            <v>8703325015.2419586</v>
          </cell>
          <cell r="AA385">
            <v>0.25085375911035118</v>
          </cell>
          <cell r="AC385" t="e">
            <v>#N/A</v>
          </cell>
          <cell r="AD385">
            <v>303</v>
          </cell>
        </row>
        <row r="386">
          <cell r="B386" t="str">
            <v>Kab. Bombana</v>
          </cell>
          <cell r="C386" t="str">
            <v>06-2005</v>
          </cell>
          <cell r="D386">
            <v>4706730.2004600726</v>
          </cell>
          <cell r="E386">
            <v>83616537.166463494</v>
          </cell>
          <cell r="F386">
            <v>148937992.67569071</v>
          </cell>
          <cell r="G386">
            <v>28817639.796440721</v>
          </cell>
          <cell r="H386">
            <v>1660</v>
          </cell>
          <cell r="I386">
            <v>266078899.839055</v>
          </cell>
          <cell r="J386">
            <v>1947420349.9999998</v>
          </cell>
          <cell r="K386">
            <v>206420399.99999997</v>
          </cell>
          <cell r="L386">
            <v>334240000</v>
          </cell>
          <cell r="M386">
            <v>82814950</v>
          </cell>
          <cell r="N386">
            <v>156378000</v>
          </cell>
          <cell r="O386">
            <v>2993352599.8390546</v>
          </cell>
          <cell r="P386">
            <v>35920231198.068657</v>
          </cell>
          <cell r="Q386">
            <v>898005779.95171642</v>
          </cell>
          <cell r="R386">
            <v>36818236978.02037</v>
          </cell>
          <cell r="S386">
            <v>2993352599.8390546</v>
          </cell>
          <cell r="T386">
            <v>39811589577.859428</v>
          </cell>
          <cell r="V386" t="str">
            <v>K</v>
          </cell>
          <cell r="Y386">
            <v>31661968000</v>
          </cell>
          <cell r="Z386">
            <v>8149621577.8594284</v>
          </cell>
          <cell r="AA386">
            <v>0.25739466282890022</v>
          </cell>
          <cell r="AC386" t="e">
            <v>#N/A</v>
          </cell>
          <cell r="AD386">
            <v>295</v>
          </cell>
        </row>
        <row r="387">
          <cell r="B387" t="str">
            <v>Kab. Muna</v>
          </cell>
          <cell r="C387" t="str">
            <v>06-2005</v>
          </cell>
          <cell r="D387">
            <v>27744935.918501478</v>
          </cell>
          <cell r="E387">
            <v>343012127.41433018</v>
          </cell>
          <cell r="F387">
            <v>666447460.50435758</v>
          </cell>
          <cell r="G387">
            <v>142935493.39034599</v>
          </cell>
          <cell r="H387">
            <v>7354</v>
          </cell>
          <cell r="I387">
            <v>1180140017.2275352</v>
          </cell>
          <cell r="J387">
            <v>9163012550</v>
          </cell>
          <cell r="K387">
            <v>1002231899.9999999</v>
          </cell>
          <cell r="L387">
            <v>1297443000</v>
          </cell>
          <cell r="M387">
            <v>348866300</v>
          </cell>
          <cell r="N387">
            <v>751557000</v>
          </cell>
          <cell r="O387">
            <v>13743250767.227535</v>
          </cell>
          <cell r="P387">
            <v>164919009206.73041</v>
          </cell>
          <cell r="Q387">
            <v>4122975230.1682606</v>
          </cell>
          <cell r="R387">
            <v>169041984436.89868</v>
          </cell>
          <cell r="S387">
            <v>13743250767.227535</v>
          </cell>
          <cell r="T387">
            <v>182785235204.12622</v>
          </cell>
          <cell r="V387" t="str">
            <v>K</v>
          </cell>
          <cell r="Y387">
            <v>145497053000</v>
          </cell>
          <cell r="Z387">
            <v>37288182204.126221</v>
          </cell>
          <cell r="AA387">
            <v>0.25628135714973016</v>
          </cell>
          <cell r="AC387">
            <v>7417</v>
          </cell>
          <cell r="AD387">
            <v>297</v>
          </cell>
        </row>
        <row r="388">
          <cell r="B388" t="str">
            <v>Kab. Kolaka</v>
          </cell>
          <cell r="C388" t="str">
            <v>06-2005</v>
          </cell>
          <cell r="D388">
            <v>17588307.591192901</v>
          </cell>
          <cell r="E388">
            <v>267438864.36407962</v>
          </cell>
          <cell r="F388">
            <v>515661219.72927874</v>
          </cell>
          <cell r="G388">
            <v>83324147.068565741</v>
          </cell>
          <cell r="H388">
            <v>5521</v>
          </cell>
          <cell r="I388">
            <v>884012538.75311697</v>
          </cell>
          <cell r="J388">
            <v>6697881746.5499992</v>
          </cell>
          <cell r="K388">
            <v>679553600.0999999</v>
          </cell>
          <cell r="L388">
            <v>944154960</v>
          </cell>
          <cell r="M388">
            <v>256909756.19999999</v>
          </cell>
          <cell r="N388">
            <v>518691420</v>
          </cell>
          <cell r="O388">
            <v>9981204021.603117</v>
          </cell>
          <cell r="P388">
            <v>119774448259.2374</v>
          </cell>
          <cell r="Q388">
            <v>2994361206.4809351</v>
          </cell>
          <cell r="R388">
            <v>122768809465.71834</v>
          </cell>
          <cell r="S388">
            <v>9981204021.603117</v>
          </cell>
          <cell r="T388">
            <v>132750013487.32146</v>
          </cell>
          <cell r="V388" t="str">
            <v>K</v>
          </cell>
          <cell r="Y388">
            <v>105318295407</v>
          </cell>
          <cell r="Z388">
            <v>27431718080.321457</v>
          </cell>
          <cell r="AA388">
            <v>0.26046488859615746</v>
          </cell>
          <cell r="AC388">
            <v>6193</v>
          </cell>
          <cell r="AD388">
            <v>269</v>
          </cell>
        </row>
        <row r="389">
          <cell r="B389" t="str">
            <v>Kab. Kolaka Utara</v>
          </cell>
          <cell r="C389" t="str">
            <v>06-2005</v>
          </cell>
          <cell r="D389">
            <v>2477226.4212947749</v>
          </cell>
          <cell r="E389">
            <v>57978600.921034805</v>
          </cell>
          <cell r="F389">
            <v>105042100.31522344</v>
          </cell>
          <cell r="G389">
            <v>12021072.600800987</v>
          </cell>
          <cell r="H389">
            <v>1111</v>
          </cell>
          <cell r="I389">
            <v>177519000.25835401</v>
          </cell>
          <cell r="J389">
            <v>1238606511</v>
          </cell>
          <cell r="K389">
            <v>124578908.89999999</v>
          </cell>
          <cell r="L389">
            <v>227184700</v>
          </cell>
          <cell r="M389">
            <v>49504881.449999996</v>
          </cell>
          <cell r="N389">
            <v>99056280</v>
          </cell>
          <cell r="O389">
            <v>1916450281.6083541</v>
          </cell>
          <cell r="P389">
            <v>22997403379.300247</v>
          </cell>
          <cell r="Q389">
            <v>574935084.48250616</v>
          </cell>
          <cell r="R389">
            <v>23572338463.782753</v>
          </cell>
          <cell r="S389">
            <v>1916450281.6083541</v>
          </cell>
          <cell r="T389">
            <v>25488788745.391106</v>
          </cell>
          <cell r="V389" t="str">
            <v>K</v>
          </cell>
          <cell r="Y389">
            <v>20210675277</v>
          </cell>
          <cell r="Z389">
            <v>5278113468.3911057</v>
          </cell>
          <cell r="AA389">
            <v>0.26115473115327642</v>
          </cell>
          <cell r="AC389" t="e">
            <v>#N/A</v>
          </cell>
          <cell r="AD389">
            <v>258</v>
          </cell>
        </row>
        <row r="390">
          <cell r="B390" t="str">
            <v>Provinsi Bali</v>
          </cell>
          <cell r="C390" t="str">
            <v>06-2005</v>
          </cell>
          <cell r="D390">
            <v>23750000</v>
          </cell>
          <cell r="E390">
            <v>285896183.85051721</v>
          </cell>
          <cell r="F390">
            <v>647182829.39406955</v>
          </cell>
          <cell r="G390">
            <v>86645777.777777776</v>
          </cell>
          <cell r="H390">
            <v>6600</v>
          </cell>
          <cell r="I390">
            <v>1043474791.0223645</v>
          </cell>
          <cell r="J390">
            <v>8408959389.999999</v>
          </cell>
          <cell r="K390">
            <v>849495490.64999998</v>
          </cell>
          <cell r="L390">
            <v>568941250</v>
          </cell>
          <cell r="M390">
            <v>306626375.64999998</v>
          </cell>
          <cell r="N390">
            <v>591731420</v>
          </cell>
          <cell r="O390">
            <v>11769228717.322363</v>
          </cell>
          <cell r="P390">
            <v>141230744607.86835</v>
          </cell>
          <cell r="Q390">
            <v>3530768615.1967087</v>
          </cell>
          <cell r="R390">
            <v>144761513223.06506</v>
          </cell>
          <cell r="S390">
            <v>11769228717.322363</v>
          </cell>
          <cell r="T390">
            <v>156530741940.38742</v>
          </cell>
          <cell r="V390" t="str">
            <v>P</v>
          </cell>
          <cell r="Y390">
            <v>123220118346</v>
          </cell>
          <cell r="Z390">
            <v>33310623594.387421</v>
          </cell>
          <cell r="AA390">
            <v>0.27033429314563517</v>
          </cell>
          <cell r="AC390">
            <v>6591</v>
          </cell>
          <cell r="AD390">
            <v>49</v>
          </cell>
        </row>
        <row r="391">
          <cell r="B391" t="str">
            <v xml:space="preserve">Kab. Gianyar </v>
          </cell>
          <cell r="C391" t="str">
            <v>06-2005</v>
          </cell>
          <cell r="D391">
            <v>13624745.317121262</v>
          </cell>
          <cell r="E391">
            <v>134389705.02505755</v>
          </cell>
          <cell r="F391">
            <v>480698526.51585388</v>
          </cell>
          <cell r="G391">
            <v>506367099.28031552</v>
          </cell>
          <cell r="H391">
            <v>7053</v>
          </cell>
          <cell r="I391">
            <v>1135080076.1383481</v>
          </cell>
          <cell r="J391">
            <v>9661380253</v>
          </cell>
          <cell r="K391">
            <v>967043156.94999993</v>
          </cell>
          <cell r="L391">
            <v>1429697937</v>
          </cell>
          <cell r="M391">
            <v>408530873.69999999</v>
          </cell>
          <cell r="N391">
            <v>623193990</v>
          </cell>
          <cell r="O391">
            <v>14224926286.788349</v>
          </cell>
          <cell r="P391">
            <v>170699115441.46021</v>
          </cell>
          <cell r="Q391">
            <v>4267477886.0365052</v>
          </cell>
          <cell r="R391">
            <v>174966593327.4967</v>
          </cell>
          <cell r="S391">
            <v>14224926286.788349</v>
          </cell>
          <cell r="T391">
            <v>189191519614.28506</v>
          </cell>
          <cell r="V391" t="str">
            <v>K</v>
          </cell>
          <cell r="Y391">
            <v>151457581990</v>
          </cell>
          <cell r="Z391">
            <v>37733937624.285065</v>
          </cell>
          <cell r="AA391">
            <v>0.24913865075950078</v>
          </cell>
          <cell r="AC391">
            <v>6925</v>
          </cell>
          <cell r="AD391">
            <v>248</v>
          </cell>
        </row>
        <row r="392">
          <cell r="B392" t="str">
            <v>Kota Denpasar</v>
          </cell>
          <cell r="C392" t="str">
            <v>06-2005</v>
          </cell>
          <cell r="D392">
            <v>7431679.2638843246</v>
          </cell>
          <cell r="E392">
            <v>121319384.58621156</v>
          </cell>
          <cell r="F392">
            <v>501029255.60912299</v>
          </cell>
          <cell r="G392">
            <v>448402475.23261762</v>
          </cell>
          <cell r="H392">
            <v>6730</v>
          </cell>
          <cell r="I392">
            <v>1078182794.6918364</v>
          </cell>
          <cell r="J392">
            <v>9279457755</v>
          </cell>
          <cell r="K392">
            <v>833779851.69999993</v>
          </cell>
          <cell r="L392">
            <v>1323122450</v>
          </cell>
          <cell r="M392">
            <v>387545274.64999998</v>
          </cell>
          <cell r="N392">
            <v>553625910</v>
          </cell>
          <cell r="O392">
            <v>13455714036.041838</v>
          </cell>
          <cell r="P392">
            <v>161468568432.50204</v>
          </cell>
          <cell r="Q392">
            <v>4036714210.8125515</v>
          </cell>
          <cell r="R392">
            <v>165505282643.31461</v>
          </cell>
          <cell r="S392">
            <v>13455714036.041838</v>
          </cell>
          <cell r="T392">
            <v>178960996679.35645</v>
          </cell>
          <cell r="V392" t="str">
            <v>K</v>
          </cell>
          <cell r="Y392">
            <v>143106576171</v>
          </cell>
          <cell r="Z392">
            <v>35854420508.356445</v>
          </cell>
          <cell r="AA392">
            <v>0.25054348631409856</v>
          </cell>
          <cell r="AC392">
            <v>6810</v>
          </cell>
          <cell r="AD392">
            <v>0</v>
          </cell>
        </row>
        <row r="393">
          <cell r="B393" t="str">
            <v>Kab. Badung</v>
          </cell>
          <cell r="C393" t="str">
            <v>06-2005</v>
          </cell>
          <cell r="D393">
            <v>11395241.537955964</v>
          </cell>
          <cell r="E393">
            <v>138914046.71542734</v>
          </cell>
          <cell r="F393">
            <v>519357715.92805493</v>
          </cell>
          <cell r="G393">
            <v>372159233.94260585</v>
          </cell>
          <cell r="H393">
            <v>6507</v>
          </cell>
          <cell r="I393">
            <v>1041826238.1240441</v>
          </cell>
          <cell r="J393">
            <v>8771893088</v>
          </cell>
          <cell r="K393">
            <v>880316964.94999993</v>
          </cell>
          <cell r="L393">
            <v>1269537750</v>
          </cell>
          <cell r="M393">
            <v>343999097.5</v>
          </cell>
          <cell r="N393">
            <v>579683850</v>
          </cell>
          <cell r="O393">
            <v>12887256988.574045</v>
          </cell>
          <cell r="P393">
            <v>154647083862.88855</v>
          </cell>
          <cell r="Q393">
            <v>3866177096.5722141</v>
          </cell>
          <cell r="R393">
            <v>158513260959.46075</v>
          </cell>
          <cell r="S393">
            <v>12887256988.574045</v>
          </cell>
          <cell r="T393">
            <v>171400517948.03479</v>
          </cell>
          <cell r="V393" t="str">
            <v>K</v>
          </cell>
          <cell r="Y393">
            <v>137044603722</v>
          </cell>
          <cell r="Z393">
            <v>34355914226.03479</v>
          </cell>
          <cell r="AA393">
            <v>0.25069147775951123</v>
          </cell>
          <cell r="AC393">
            <v>6437</v>
          </cell>
          <cell r="AD393">
            <v>267</v>
          </cell>
        </row>
        <row r="394">
          <cell r="B394" t="str">
            <v>Kab. Tabanan</v>
          </cell>
          <cell r="C394" t="str">
            <v>06-2005</v>
          </cell>
          <cell r="D394">
            <v>22542760.433782451</v>
          </cell>
          <cell r="E394">
            <v>190189919.2062847</v>
          </cell>
          <cell r="F394">
            <v>588512998.98015952</v>
          </cell>
          <cell r="G394">
            <v>514436038.42331892</v>
          </cell>
          <cell r="H394">
            <v>8171</v>
          </cell>
          <cell r="I394">
            <v>1315681717.0435455</v>
          </cell>
          <cell r="J394">
            <v>11061067678</v>
          </cell>
          <cell r="K394">
            <v>1052986211.5999999</v>
          </cell>
          <cell r="L394">
            <v>1584691200</v>
          </cell>
          <cell r="M394">
            <v>459040664.24999994</v>
          </cell>
          <cell r="N394">
            <v>682080120</v>
          </cell>
          <cell r="O394">
            <v>16155547590.893545</v>
          </cell>
          <cell r="P394">
            <v>193866571090.72253</v>
          </cell>
          <cell r="Q394">
            <v>4846664277.2680635</v>
          </cell>
          <cell r="R394">
            <v>198713235367.9906</v>
          </cell>
          <cell r="S394">
            <v>16155547590.893545</v>
          </cell>
          <cell r="T394">
            <v>214868782958.88416</v>
          </cell>
          <cell r="V394" t="str">
            <v>K</v>
          </cell>
          <cell r="Y394">
            <v>171598827764</v>
          </cell>
          <cell r="Z394">
            <v>43269955194.884155</v>
          </cell>
          <cell r="AA394">
            <v>0.25215763859642071</v>
          </cell>
          <cell r="AC394">
            <v>8108</v>
          </cell>
          <cell r="AD394">
            <v>279</v>
          </cell>
        </row>
        <row r="395">
          <cell r="B395" t="str">
            <v>Kab. Buleleng</v>
          </cell>
          <cell r="C395" t="str">
            <v>06-2005</v>
          </cell>
          <cell r="D395">
            <v>24276818.928688794</v>
          </cell>
          <cell r="E395">
            <v>248838792.97033724</v>
          </cell>
          <cell r="F395">
            <v>735602743.55646217</v>
          </cell>
          <cell r="G395">
            <v>585903785.11849189</v>
          </cell>
          <cell r="H395">
            <v>9917</v>
          </cell>
          <cell r="I395">
            <v>1594622140.5739801</v>
          </cell>
          <cell r="J395">
            <v>13388805102.999998</v>
          </cell>
          <cell r="K395">
            <v>1333290683.4499998</v>
          </cell>
          <cell r="L395">
            <v>2015768550</v>
          </cell>
          <cell r="M395">
            <v>162882193.5</v>
          </cell>
          <cell r="N395">
            <v>870804600</v>
          </cell>
          <cell r="O395">
            <v>19366173270.523979</v>
          </cell>
          <cell r="P395">
            <v>232394079246.28775</v>
          </cell>
          <cell r="Q395">
            <v>5809851981.1571941</v>
          </cell>
          <cell r="R395">
            <v>238203931227.44495</v>
          </cell>
          <cell r="S395">
            <v>19366173270.523979</v>
          </cell>
          <cell r="T395">
            <v>257570104497.96893</v>
          </cell>
          <cell r="V395" t="str">
            <v>K</v>
          </cell>
          <cell r="Y395">
            <v>207460876883</v>
          </cell>
          <cell r="Z395">
            <v>50109227614.968933</v>
          </cell>
          <cell r="AA395">
            <v>0.24153579396672761</v>
          </cell>
          <cell r="AC395">
            <v>9999</v>
          </cell>
          <cell r="AD395">
            <v>277</v>
          </cell>
        </row>
        <row r="396">
          <cell r="B396" t="str">
            <v>Kab. Jembrana</v>
          </cell>
          <cell r="C396" t="str">
            <v>06-2005</v>
          </cell>
          <cell r="D396">
            <v>8422569.8324022349</v>
          </cell>
          <cell r="E396">
            <v>94340902.654747382</v>
          </cell>
          <cell r="F396">
            <v>309581556.64750606</v>
          </cell>
          <cell r="G396">
            <v>311230509.80155981</v>
          </cell>
          <cell r="H396">
            <v>4497</v>
          </cell>
          <cell r="I396">
            <v>723575538.9362154</v>
          </cell>
          <cell r="J396">
            <v>6199207249.999999</v>
          </cell>
          <cell r="K396">
            <v>600301695.0999999</v>
          </cell>
          <cell r="L396">
            <v>849629950</v>
          </cell>
          <cell r="M396">
            <v>76385504.699999988</v>
          </cell>
          <cell r="N396">
            <v>382323540</v>
          </cell>
          <cell r="O396">
            <v>8831423478.7362137</v>
          </cell>
          <cell r="P396">
            <v>105977081744.83456</v>
          </cell>
          <cell r="Q396">
            <v>2649427043.6208644</v>
          </cell>
          <cell r="R396">
            <v>108626508788.45543</v>
          </cell>
          <cell r="S396">
            <v>8831423478.7362137</v>
          </cell>
          <cell r="T396">
            <v>117457932267.19165</v>
          </cell>
          <cell r="V396" t="str">
            <v>K</v>
          </cell>
          <cell r="Y396">
            <v>94514350528</v>
          </cell>
          <cell r="Z396">
            <v>22943581739.19165</v>
          </cell>
          <cell r="AA396">
            <v>0.24275236100146066</v>
          </cell>
          <cell r="AC396">
            <v>4582</v>
          </cell>
          <cell r="AD396">
            <v>0</v>
          </cell>
        </row>
        <row r="397">
          <cell r="B397" t="str">
            <v xml:space="preserve">Kab. Karangasem   </v>
          </cell>
          <cell r="C397" t="str">
            <v>06-2005</v>
          </cell>
          <cell r="D397">
            <v>16597417.022674993</v>
          </cell>
          <cell r="E397">
            <v>159357368.42746851</v>
          </cell>
          <cell r="F397">
            <v>456055218.52401263</v>
          </cell>
          <cell r="G397">
            <v>281424836.64066964</v>
          </cell>
          <cell r="H397">
            <v>5688</v>
          </cell>
          <cell r="I397">
            <v>913434840.61482573</v>
          </cell>
          <cell r="J397">
            <v>7512519715.999999</v>
          </cell>
          <cell r="K397">
            <v>745723108.54999995</v>
          </cell>
          <cell r="L397">
            <v>1151770400</v>
          </cell>
          <cell r="M397">
            <v>310972353.29999995</v>
          </cell>
          <cell r="N397">
            <v>505271280</v>
          </cell>
          <cell r="O397">
            <v>11139691698.464823</v>
          </cell>
          <cell r="P397">
            <v>133676300381.57788</v>
          </cell>
          <cell r="Q397">
            <v>3341907509.5394473</v>
          </cell>
          <cell r="R397">
            <v>137018207891.11732</v>
          </cell>
          <cell r="S397">
            <v>11139691698.464823</v>
          </cell>
          <cell r="T397">
            <v>148157899589.58215</v>
          </cell>
          <cell r="V397" t="str">
            <v>K</v>
          </cell>
          <cell r="Y397">
            <v>118414426832</v>
          </cell>
          <cell r="Z397">
            <v>29743472757.582153</v>
          </cell>
          <cell r="AA397">
            <v>0.25118115717251738</v>
          </cell>
          <cell r="AC397">
            <v>5770</v>
          </cell>
          <cell r="AD397">
            <v>279</v>
          </cell>
        </row>
        <row r="398">
          <cell r="B398" t="str">
            <v>Kab. Klungkung</v>
          </cell>
          <cell r="C398" t="str">
            <v>06-2005</v>
          </cell>
          <cell r="D398">
            <v>13872467.959250739</v>
          </cell>
          <cell r="E398">
            <v>95513880.130028442</v>
          </cell>
          <cell r="F398">
            <v>282781959.20637864</v>
          </cell>
          <cell r="G398">
            <v>220331440.27221534</v>
          </cell>
          <cell r="H398">
            <v>3800</v>
          </cell>
          <cell r="I398">
            <v>612499747.56787312</v>
          </cell>
          <cell r="J398">
            <v>5073087017.25</v>
          </cell>
          <cell r="K398">
            <v>505476327.94999999</v>
          </cell>
          <cell r="L398">
            <v>744322700</v>
          </cell>
          <cell r="M398">
            <v>200007761.94999999</v>
          </cell>
          <cell r="N398">
            <v>336255750</v>
          </cell>
          <cell r="O398">
            <v>7471649304.7178726</v>
          </cell>
          <cell r="P398">
            <v>89659791656.614471</v>
          </cell>
          <cell r="Q398">
            <v>2241494791.4153619</v>
          </cell>
          <cell r="R398">
            <v>91901286448.029831</v>
          </cell>
          <cell r="S398">
            <v>7471649304.7178726</v>
          </cell>
          <cell r="T398">
            <v>99372935752.747711</v>
          </cell>
          <cell r="V398" t="str">
            <v>K</v>
          </cell>
          <cell r="Y398">
            <v>79372869810</v>
          </cell>
          <cell r="Z398">
            <v>20000065942.747711</v>
          </cell>
          <cell r="AA398">
            <v>0.2519760970042178</v>
          </cell>
          <cell r="AC398">
            <v>3873</v>
          </cell>
          <cell r="AD398">
            <v>265</v>
          </cell>
        </row>
        <row r="399">
          <cell r="B399" t="str">
            <v>Kab. Bangli</v>
          </cell>
          <cell r="C399" t="str">
            <v>06-2005</v>
          </cell>
          <cell r="D399">
            <v>12633854.748603351</v>
          </cell>
          <cell r="E399">
            <v>126178862.6980902</v>
          </cell>
          <cell r="F399">
            <v>269536181.16076398</v>
          </cell>
          <cell r="G399">
            <v>193160522.74985695</v>
          </cell>
          <cell r="H399">
            <v>3727</v>
          </cell>
          <cell r="I399">
            <v>601509421.35731447</v>
          </cell>
          <cell r="J399">
            <v>4847185830</v>
          </cell>
          <cell r="K399">
            <v>477277390.69999999</v>
          </cell>
          <cell r="L399">
            <v>681713800</v>
          </cell>
          <cell r="M399">
            <v>50131859.149999999</v>
          </cell>
          <cell r="N399">
            <v>324129480</v>
          </cell>
          <cell r="O399">
            <v>6981947781.2073135</v>
          </cell>
          <cell r="P399">
            <v>83783373374.487762</v>
          </cell>
          <cell r="Q399">
            <v>2094584334.3621941</v>
          </cell>
          <cell r="R399">
            <v>85877957708.84996</v>
          </cell>
          <cell r="S399">
            <v>6981947781.2073135</v>
          </cell>
          <cell r="T399">
            <v>92859905490.057281</v>
          </cell>
          <cell r="V399" t="str">
            <v>K</v>
          </cell>
          <cell r="Y399">
            <v>73834622134</v>
          </cell>
          <cell r="Z399">
            <v>19025283356.057281</v>
          </cell>
          <cell r="AA399">
            <v>0.25767428350251359</v>
          </cell>
          <cell r="AC399">
            <v>3539</v>
          </cell>
          <cell r="AD399">
            <v>259</v>
          </cell>
        </row>
        <row r="400">
          <cell r="B400" t="str">
            <v>Provinsi Nusa Tenggara Barat</v>
          </cell>
          <cell r="C400" t="str">
            <v>06-2005</v>
          </cell>
          <cell r="D400">
            <v>17500000</v>
          </cell>
          <cell r="E400">
            <v>225151897.81448117</v>
          </cell>
          <cell r="F400">
            <v>499221505.8014611</v>
          </cell>
          <cell r="G400">
            <v>78686666.666666657</v>
          </cell>
          <cell r="H400">
            <v>5180</v>
          </cell>
          <cell r="I400">
            <v>820560070.28260887</v>
          </cell>
          <cell r="J400">
            <v>6533687394.999999</v>
          </cell>
          <cell r="K400">
            <v>689833023.44999993</v>
          </cell>
          <cell r="L400">
            <v>655776950</v>
          </cell>
          <cell r="M400">
            <v>55210960.649999999</v>
          </cell>
          <cell r="N400">
            <v>493686630</v>
          </cell>
          <cell r="O400">
            <v>9248755029.3826084</v>
          </cell>
          <cell r="P400">
            <v>110985060352.59131</v>
          </cell>
          <cell r="Q400">
            <v>2774626508.8147831</v>
          </cell>
          <cell r="R400">
            <v>113759686861.4061</v>
          </cell>
          <cell r="S400">
            <v>9248755029.3826084</v>
          </cell>
          <cell r="T400">
            <v>123008441890.78871</v>
          </cell>
          <cell r="V400" t="str">
            <v>P</v>
          </cell>
          <cell r="Y400">
            <v>97227682500</v>
          </cell>
          <cell r="Z400">
            <v>25780759390.788712</v>
          </cell>
          <cell r="AA400">
            <v>0.26515863309596743</v>
          </cell>
          <cell r="AC400">
            <v>5165</v>
          </cell>
          <cell r="AD400">
            <v>143</v>
          </cell>
        </row>
        <row r="401">
          <cell r="B401" t="str">
            <v>Kota Mataram</v>
          </cell>
          <cell r="C401" t="str">
            <v>06-2005</v>
          </cell>
          <cell r="D401">
            <v>15854249.096286559</v>
          </cell>
          <cell r="E401">
            <v>178795280.87498307</v>
          </cell>
          <cell r="F401">
            <v>446813978.02707213</v>
          </cell>
          <cell r="G401">
            <v>196453967.29802161</v>
          </cell>
          <cell r="H401">
            <v>5225</v>
          </cell>
          <cell r="I401">
            <v>837917475.29636335</v>
          </cell>
          <cell r="J401">
            <v>6799920398.999999</v>
          </cell>
          <cell r="K401">
            <v>597213059.5999999</v>
          </cell>
          <cell r="L401">
            <v>979221900</v>
          </cell>
          <cell r="M401">
            <v>77614643.099999994</v>
          </cell>
          <cell r="N401">
            <v>444910740</v>
          </cell>
          <cell r="O401">
            <v>9736798216.9963627</v>
          </cell>
          <cell r="P401">
            <v>116841578603.95636</v>
          </cell>
          <cell r="Q401">
            <v>2921039465.0989094</v>
          </cell>
          <cell r="R401">
            <v>119762618069.05527</v>
          </cell>
          <cell r="S401">
            <v>9736798216.9963627</v>
          </cell>
          <cell r="T401">
            <v>129499416286.05164</v>
          </cell>
          <cell r="V401" t="str">
            <v>K</v>
          </cell>
          <cell r="Y401">
            <v>103014270853</v>
          </cell>
          <cell r="Z401">
            <v>26485145433.051636</v>
          </cell>
          <cell r="AA401">
            <v>0.25710171235251073</v>
          </cell>
          <cell r="AC401">
            <v>5035</v>
          </cell>
          <cell r="AD401">
            <v>214</v>
          </cell>
        </row>
        <row r="402">
          <cell r="B402" t="str">
            <v>Kab. Lombok Barat</v>
          </cell>
          <cell r="C402" t="str">
            <v>06-2005</v>
          </cell>
          <cell r="D402">
            <v>28983549.129148867</v>
          </cell>
          <cell r="E402">
            <v>361444630.59731817</v>
          </cell>
          <cell r="F402">
            <v>766714919.89616168</v>
          </cell>
          <cell r="G402">
            <v>181798139.05868888</v>
          </cell>
          <cell r="H402">
            <v>8356</v>
          </cell>
          <cell r="I402">
            <v>1338941238.6813176</v>
          </cell>
          <cell r="J402">
            <v>10374527545</v>
          </cell>
          <cell r="K402">
            <v>1110817875.05</v>
          </cell>
          <cell r="L402">
            <v>1429326650</v>
          </cell>
          <cell r="M402">
            <v>87302522.549999997</v>
          </cell>
          <cell r="N402">
            <v>799551480</v>
          </cell>
          <cell r="O402">
            <v>15140467311.281317</v>
          </cell>
          <cell r="P402">
            <v>181685607735.37579</v>
          </cell>
          <cell r="Q402">
            <v>4542140193.3843946</v>
          </cell>
          <cell r="R402">
            <v>186227747928.76019</v>
          </cell>
          <cell r="S402">
            <v>15140467311.281317</v>
          </cell>
          <cell r="T402">
            <v>201368215240.0415</v>
          </cell>
          <cell r="V402" t="str">
            <v>K</v>
          </cell>
          <cell r="Y402">
            <v>159801980442</v>
          </cell>
          <cell r="Z402">
            <v>41566234798.041504</v>
          </cell>
          <cell r="AA402">
            <v>0.26011088650511399</v>
          </cell>
          <cell r="AC402">
            <v>8171</v>
          </cell>
          <cell r="AD402">
            <v>242</v>
          </cell>
        </row>
        <row r="403">
          <cell r="B403" t="str">
            <v>Kab. Lombok Tengah</v>
          </cell>
          <cell r="C403" t="str">
            <v>06-2005</v>
          </cell>
          <cell r="D403">
            <v>33442556.687479462</v>
          </cell>
          <cell r="E403">
            <v>347201332.68319112</v>
          </cell>
          <cell r="F403">
            <v>861591655.6647507</v>
          </cell>
          <cell r="G403">
            <v>204358234.21361676</v>
          </cell>
          <cell r="H403">
            <v>9042</v>
          </cell>
          <cell r="I403">
            <v>1446593779.2490382</v>
          </cell>
          <cell r="J403">
            <v>11528078354</v>
          </cell>
          <cell r="K403">
            <v>1271256480.6999998</v>
          </cell>
          <cell r="L403">
            <v>1660635700</v>
          </cell>
          <cell r="M403">
            <v>108733106.05</v>
          </cell>
          <cell r="N403">
            <v>893823450</v>
          </cell>
          <cell r="O403">
            <v>16909120869.999039</v>
          </cell>
          <cell r="P403">
            <v>202909450439.98846</v>
          </cell>
          <cell r="Q403">
            <v>5072736260.999712</v>
          </cell>
          <cell r="R403">
            <v>207982186700.98819</v>
          </cell>
          <cell r="S403">
            <v>16909120869.999039</v>
          </cell>
          <cell r="T403">
            <v>224891307570.98724</v>
          </cell>
          <cell r="V403" t="str">
            <v>K</v>
          </cell>
          <cell r="Y403">
            <v>179131045873</v>
          </cell>
          <cell r="Z403">
            <v>45760261697.987244</v>
          </cell>
          <cell r="AA403">
            <v>0.25545690014242572</v>
          </cell>
          <cell r="AC403">
            <v>8931</v>
          </cell>
          <cell r="AD403">
            <v>213</v>
          </cell>
        </row>
        <row r="404">
          <cell r="B404" t="str">
            <v>Kab. Sumbawa</v>
          </cell>
          <cell r="C404" t="str">
            <v>06-2005</v>
          </cell>
          <cell r="D404">
            <v>15111081.169898126</v>
          </cell>
          <cell r="E404">
            <v>230406289.78734931</v>
          </cell>
          <cell r="F404">
            <v>530293183.84943449</v>
          </cell>
          <cell r="G404">
            <v>184926911.37944531</v>
          </cell>
          <cell r="H404">
            <v>6002</v>
          </cell>
          <cell r="I404">
            <v>960737466.18612719</v>
          </cell>
          <cell r="J404">
            <v>7613621390.999999</v>
          </cell>
          <cell r="K404">
            <v>795125301.89999998</v>
          </cell>
          <cell r="L404">
            <v>1121504200</v>
          </cell>
          <cell r="M404">
            <v>73626093.5</v>
          </cell>
          <cell r="N404">
            <v>571800270</v>
          </cell>
          <cell r="O404">
            <v>11136414722.586126</v>
          </cell>
          <cell r="P404">
            <v>133636976671.03351</v>
          </cell>
          <cell r="Q404">
            <v>3340924416.7758379</v>
          </cell>
          <cell r="R404">
            <v>136977901087.80934</v>
          </cell>
          <cell r="S404">
            <v>11136414722.586126</v>
          </cell>
          <cell r="T404">
            <v>148114315810.39548</v>
          </cell>
          <cell r="V404" t="str">
            <v>K</v>
          </cell>
          <cell r="Y404">
            <v>117904484269</v>
          </cell>
          <cell r="Z404">
            <v>30209831541.395477</v>
          </cell>
          <cell r="AA404">
            <v>0.25622292255205081</v>
          </cell>
          <cell r="AC404">
            <v>6876</v>
          </cell>
          <cell r="AD404">
            <v>270</v>
          </cell>
        </row>
        <row r="405">
          <cell r="B405" t="str">
            <v>Kab. Sumbawa Barat</v>
          </cell>
          <cell r="C405" t="str">
            <v>06-2005</v>
          </cell>
          <cell r="D405">
            <v>3220394.3476832076</v>
          </cell>
          <cell r="E405">
            <v>66189443.248002164</v>
          </cell>
          <cell r="F405">
            <v>94568694.418690905</v>
          </cell>
          <cell r="G405">
            <v>50554373.814327434</v>
          </cell>
          <cell r="H405">
            <v>1329</v>
          </cell>
          <cell r="I405">
            <v>214532905.8287037</v>
          </cell>
          <cell r="J405">
            <v>1577491063.9999998</v>
          </cell>
          <cell r="K405">
            <v>163038825.79999998</v>
          </cell>
          <cell r="L405">
            <v>252717650</v>
          </cell>
          <cell r="M405">
            <v>15003901.649999999</v>
          </cell>
          <cell r="N405">
            <v>121623780</v>
          </cell>
          <cell r="O405">
            <v>2344408127.2787032</v>
          </cell>
          <cell r="P405">
            <v>28132897527.344437</v>
          </cell>
          <cell r="Q405">
            <v>703322438.18361092</v>
          </cell>
          <cell r="R405">
            <v>28836219965.528046</v>
          </cell>
          <cell r="S405">
            <v>2344408127.2787032</v>
          </cell>
          <cell r="T405">
            <v>31180628092.806747</v>
          </cell>
          <cell r="V405" t="str">
            <v>K</v>
          </cell>
          <cell r="Y405">
            <v>24712396943</v>
          </cell>
          <cell r="Z405">
            <v>6468231149.8067474</v>
          </cell>
          <cell r="AA405">
            <v>0.26174033885607889</v>
          </cell>
          <cell r="AC405" t="e">
            <v>#N/A</v>
          </cell>
          <cell r="AD405">
            <v>222</v>
          </cell>
        </row>
        <row r="406">
          <cell r="B406" t="str">
            <v>Kab. Lombok Timur</v>
          </cell>
          <cell r="C406" t="str">
            <v>06-2005</v>
          </cell>
          <cell r="D406">
            <v>26258600.065724615</v>
          </cell>
          <cell r="E406">
            <v>377028474.19748068</v>
          </cell>
          <cell r="F406">
            <v>1035326977.0072317</v>
          </cell>
          <cell r="G406">
            <v>287353036.82736605</v>
          </cell>
          <cell r="H406">
            <v>10823</v>
          </cell>
          <cell r="I406">
            <v>1725967088.0978031</v>
          </cell>
          <cell r="J406">
            <v>13883802408.999998</v>
          </cell>
          <cell r="K406">
            <v>1530915010.5999999</v>
          </cell>
          <cell r="L406">
            <v>2033199050</v>
          </cell>
          <cell r="M406">
            <v>110890805.05</v>
          </cell>
          <cell r="N406">
            <v>1079538930</v>
          </cell>
          <cell r="O406">
            <v>20364313292.747799</v>
          </cell>
          <cell r="P406">
            <v>244371759512.97357</v>
          </cell>
          <cell r="Q406">
            <v>6109293987.8243399</v>
          </cell>
          <cell r="R406">
            <v>250481053500.79791</v>
          </cell>
          <cell r="S406">
            <v>20364313292.747799</v>
          </cell>
          <cell r="T406">
            <v>270845366793.54572</v>
          </cell>
          <cell r="V406" t="str">
            <v>K</v>
          </cell>
          <cell r="Y406">
            <v>215979377653</v>
          </cell>
          <cell r="Z406">
            <v>54865989140.545715</v>
          </cell>
          <cell r="AA406">
            <v>0.25403346253129466</v>
          </cell>
          <cell r="AC406">
            <v>10705</v>
          </cell>
          <cell r="AD406">
            <v>260</v>
          </cell>
        </row>
        <row r="407">
          <cell r="B407" t="str">
            <v>Kab. Bima</v>
          </cell>
          <cell r="C407" t="str">
            <v>06-2005</v>
          </cell>
          <cell r="D407">
            <v>15111081.169898126</v>
          </cell>
          <cell r="E407">
            <v>221022469.9851009</v>
          </cell>
          <cell r="F407">
            <v>646116731.41108847</v>
          </cell>
          <cell r="G407">
            <v>233175874.01005748</v>
          </cell>
          <cell r="H407">
            <v>6991</v>
          </cell>
          <cell r="I407">
            <v>1115426156.5761449</v>
          </cell>
          <cell r="J407">
            <v>8960220009</v>
          </cell>
          <cell r="K407">
            <v>959163668.5999999</v>
          </cell>
          <cell r="L407">
            <v>1414516600</v>
          </cell>
          <cell r="M407">
            <v>358257280.5</v>
          </cell>
          <cell r="N407">
            <v>683554530</v>
          </cell>
          <cell r="O407">
            <v>13491138244.676146</v>
          </cell>
          <cell r="P407">
            <v>161893658936.11374</v>
          </cell>
          <cell r="Q407">
            <v>4047341473.4028435</v>
          </cell>
          <cell r="R407">
            <v>165941000409.51657</v>
          </cell>
          <cell r="S407">
            <v>13491138244.676146</v>
          </cell>
          <cell r="T407">
            <v>179432138654.19272</v>
          </cell>
          <cell r="V407" t="str">
            <v>K</v>
          </cell>
          <cell r="Y407">
            <v>143461432777</v>
          </cell>
          <cell r="Z407">
            <v>35970705877.192719</v>
          </cell>
          <cell r="AA407">
            <v>0.25073432755343017</v>
          </cell>
          <cell r="AC407">
            <v>6762</v>
          </cell>
          <cell r="AD407">
            <v>272</v>
          </cell>
        </row>
        <row r="408">
          <cell r="B408" t="str">
            <v>Kab. Dompu</v>
          </cell>
          <cell r="C408" t="str">
            <v>06-2005</v>
          </cell>
          <cell r="D408">
            <v>29478994.413407821</v>
          </cell>
          <cell r="E408">
            <v>190357487.41703913</v>
          </cell>
          <cell r="F408">
            <v>378120756.99981457</v>
          </cell>
          <cell r="G408">
            <v>81348080.339666948</v>
          </cell>
          <cell r="H408">
            <v>4204</v>
          </cell>
          <cell r="I408">
            <v>679305319.16992843</v>
          </cell>
          <cell r="J408">
            <v>5162980187.3499994</v>
          </cell>
          <cell r="K408">
            <v>538439732.44999993</v>
          </cell>
          <cell r="L408">
            <v>739511050</v>
          </cell>
          <cell r="M408">
            <v>198574432.99999997</v>
          </cell>
          <cell r="N408">
            <v>401310330</v>
          </cell>
          <cell r="O408">
            <v>7720121051.9699278</v>
          </cell>
          <cell r="P408">
            <v>92641452623.63913</v>
          </cell>
          <cell r="Q408">
            <v>2316036315.5909781</v>
          </cell>
          <cell r="R408">
            <v>94957488939.230103</v>
          </cell>
          <cell r="S408">
            <v>7720121051.9699278</v>
          </cell>
          <cell r="T408">
            <v>102677609991.20003</v>
          </cell>
          <cell r="V408" t="str">
            <v>K</v>
          </cell>
          <cell r="Y408">
            <v>81529029114</v>
          </cell>
          <cell r="Z408">
            <v>21148580877.200027</v>
          </cell>
          <cell r="AA408">
            <v>0.25939939561439518</v>
          </cell>
          <cell r="AC408">
            <v>4036</v>
          </cell>
          <cell r="AD408">
            <v>193</v>
          </cell>
        </row>
        <row r="409">
          <cell r="B409" t="str">
            <v>Kota Bima</v>
          </cell>
          <cell r="C409" t="str">
            <v>06-2005</v>
          </cell>
          <cell r="D409">
            <v>7927124.5481432797</v>
          </cell>
          <cell r="E409">
            <v>76578672.314777181</v>
          </cell>
          <cell r="F409">
            <v>289558868.90413499</v>
          </cell>
          <cell r="G409">
            <v>127126959.55915564</v>
          </cell>
          <cell r="H409">
            <v>3141</v>
          </cell>
          <cell r="I409">
            <v>501191625.32621109</v>
          </cell>
          <cell r="J409">
            <v>3944032087.9999995</v>
          </cell>
          <cell r="K409">
            <v>355503438.75</v>
          </cell>
          <cell r="L409">
            <v>627739150</v>
          </cell>
          <cell r="M409">
            <v>160625693.39999998</v>
          </cell>
          <cell r="N409">
            <v>265213260</v>
          </cell>
          <cell r="O409">
            <v>5854305255.4762106</v>
          </cell>
          <cell r="P409">
            <v>70251663065.714523</v>
          </cell>
          <cell r="Q409">
            <v>1756291576.6428633</v>
          </cell>
          <cell r="R409">
            <v>72007954642.357391</v>
          </cell>
          <cell r="S409">
            <v>5854305255.4762106</v>
          </cell>
          <cell r="T409">
            <v>77862259897.833603</v>
          </cell>
          <cell r="V409" t="str">
            <v>K</v>
          </cell>
          <cell r="Y409">
            <v>62029550570</v>
          </cell>
          <cell r="Z409">
            <v>15832709327.833603</v>
          </cell>
          <cell r="AA409">
            <v>0.25524462425318523</v>
          </cell>
          <cell r="AC409">
            <v>2789</v>
          </cell>
          <cell r="AD409">
            <v>246</v>
          </cell>
        </row>
        <row r="410">
          <cell r="B410" t="str">
            <v>Provinsi Nusa Tenggara Timur</v>
          </cell>
          <cell r="C410" t="str">
            <v>06-2005</v>
          </cell>
          <cell r="D410">
            <v>13750000</v>
          </cell>
          <cell r="E410">
            <v>318085463.63029701</v>
          </cell>
          <cell r="F410">
            <v>543461941.55565107</v>
          </cell>
          <cell r="G410">
            <v>66747999.999999993</v>
          </cell>
          <cell r="H410">
            <v>5935</v>
          </cell>
          <cell r="I410">
            <v>942045405.18594813</v>
          </cell>
          <cell r="J410">
            <v>7355090649.999999</v>
          </cell>
          <cell r="K410">
            <v>709230300</v>
          </cell>
          <cell r="L410">
            <v>633166000</v>
          </cell>
          <cell r="M410">
            <v>49915.749999999993</v>
          </cell>
          <cell r="N410">
            <v>596712000</v>
          </cell>
          <cell r="O410">
            <v>10236294270.935947</v>
          </cell>
          <cell r="P410">
            <v>122835531251.23137</v>
          </cell>
          <cell r="Q410">
            <v>3070888281.2807846</v>
          </cell>
          <cell r="R410">
            <v>125906419532.51215</v>
          </cell>
          <cell r="S410">
            <v>10236294270.935947</v>
          </cell>
          <cell r="T410">
            <v>136142713803.44809</v>
          </cell>
          <cell r="V410" t="str">
            <v>P</v>
          </cell>
          <cell r="Y410">
            <v>107154845265</v>
          </cell>
          <cell r="Z410">
            <v>28987868538.44809</v>
          </cell>
          <cell r="AA410">
            <v>0.27052317108721913</v>
          </cell>
          <cell r="AC410">
            <v>6092</v>
          </cell>
          <cell r="AD410">
            <v>126</v>
          </cell>
        </row>
        <row r="411">
          <cell r="B411" t="str">
            <v>Kab. Ende</v>
          </cell>
          <cell r="C411" t="str">
            <v>06-2005</v>
          </cell>
          <cell r="D411">
            <v>18826920.80184029</v>
          </cell>
          <cell r="E411">
            <v>272968615.31897599</v>
          </cell>
          <cell r="F411">
            <v>463756252.27146304</v>
          </cell>
          <cell r="G411">
            <v>77066602.4270529</v>
          </cell>
          <cell r="H411">
            <v>5184</v>
          </cell>
          <cell r="I411">
            <v>832618390.81933224</v>
          </cell>
          <cell r="J411">
            <v>6288568891.249999</v>
          </cell>
          <cell r="K411">
            <v>615247552.79999995</v>
          </cell>
          <cell r="L411">
            <v>935266350</v>
          </cell>
          <cell r="M411">
            <v>54990456.199999996</v>
          </cell>
          <cell r="N411">
            <v>519462120</v>
          </cell>
          <cell r="O411">
            <v>9246153761.0693321</v>
          </cell>
          <cell r="P411">
            <v>110953845132.83199</v>
          </cell>
          <cell r="Q411">
            <v>2773846128.3207998</v>
          </cell>
          <cell r="R411">
            <v>113727691261.15279</v>
          </cell>
          <cell r="S411">
            <v>9246153761.0693321</v>
          </cell>
          <cell r="T411">
            <v>122973845022.22212</v>
          </cell>
          <cell r="V411" t="str">
            <v>K</v>
          </cell>
          <cell r="Y411">
            <v>97576243765</v>
          </cell>
          <cell r="Z411">
            <v>25397601257.222122</v>
          </cell>
          <cell r="AA411">
            <v>0.26028467870098609</v>
          </cell>
          <cell r="AC411">
            <v>5049</v>
          </cell>
          <cell r="AD411">
            <v>287</v>
          </cell>
        </row>
        <row r="412">
          <cell r="B412" t="str">
            <v>Kab. Sikka</v>
          </cell>
          <cell r="C412" t="str">
            <v>06-2005</v>
          </cell>
          <cell r="D412">
            <v>12386132.106473874</v>
          </cell>
          <cell r="E412">
            <v>274979433.84802926</v>
          </cell>
          <cell r="F412">
            <v>415855822.36232156</v>
          </cell>
          <cell r="G412">
            <v>70150368.875907123</v>
          </cell>
          <cell r="H412">
            <v>4817</v>
          </cell>
          <cell r="I412">
            <v>773371757.19273186</v>
          </cell>
          <cell r="J412">
            <v>5793269161.6999998</v>
          </cell>
          <cell r="K412">
            <v>531649478.09999996</v>
          </cell>
          <cell r="L412">
            <v>807978100</v>
          </cell>
          <cell r="M412">
            <v>46443917.25</v>
          </cell>
          <cell r="N412">
            <v>409946160</v>
          </cell>
          <cell r="O412">
            <v>8362658574.242732</v>
          </cell>
          <cell r="P412">
            <v>100351902890.91278</v>
          </cell>
          <cell r="Q412">
            <v>2508797572.2728195</v>
          </cell>
          <cell r="R412">
            <v>102860700463.18561</v>
          </cell>
          <cell r="S412">
            <v>8362658574.242732</v>
          </cell>
          <cell r="T412">
            <v>111223359037.42834</v>
          </cell>
          <cell r="V412" t="str">
            <v>K</v>
          </cell>
          <cell r="Y412">
            <v>87857113851</v>
          </cell>
          <cell r="Z412">
            <v>23366245186.428345</v>
          </cell>
          <cell r="AA412">
            <v>0.26595735009069371</v>
          </cell>
          <cell r="AC412">
            <v>4577</v>
          </cell>
          <cell r="AD412">
            <v>273</v>
          </cell>
        </row>
        <row r="413">
          <cell r="B413" t="str">
            <v>Kota Kupang</v>
          </cell>
          <cell r="C413" t="str">
            <v>06-2005</v>
          </cell>
          <cell r="D413">
            <v>11147518.895826487</v>
          </cell>
          <cell r="E413">
            <v>188681805.30949476</v>
          </cell>
          <cell r="F413">
            <v>480390485.1659559</v>
          </cell>
          <cell r="G413">
            <v>161049438.40525156</v>
          </cell>
          <cell r="H413">
            <v>5268</v>
          </cell>
          <cell r="I413">
            <v>841269247.7765286</v>
          </cell>
          <cell r="J413">
            <v>6697417149.999999</v>
          </cell>
          <cell r="K413">
            <v>564660350</v>
          </cell>
          <cell r="L413">
            <v>1020372000</v>
          </cell>
          <cell r="M413">
            <v>26855949.999999996</v>
          </cell>
          <cell r="N413">
            <v>462398000</v>
          </cell>
          <cell r="O413">
            <v>9612972697.7765274</v>
          </cell>
          <cell r="P413">
            <v>115355672373.31833</v>
          </cell>
          <cell r="Q413">
            <v>2883891809.3329582</v>
          </cell>
          <cell r="R413">
            <v>118239564182.65129</v>
          </cell>
          <cell r="S413">
            <v>9612972697.7765274</v>
          </cell>
          <cell r="T413">
            <v>127852536880.42783</v>
          </cell>
          <cell r="V413" t="str">
            <v>K</v>
          </cell>
          <cell r="Y413">
            <v>101675964000</v>
          </cell>
          <cell r="Z413">
            <v>26176572880.427826</v>
          </cell>
          <cell r="AA413">
            <v>0.2574509436706971</v>
          </cell>
          <cell r="AC413">
            <v>5094</v>
          </cell>
          <cell r="AD413">
            <v>191</v>
          </cell>
        </row>
        <row r="414">
          <cell r="B414" t="str">
            <v>Kab. Kupang</v>
          </cell>
          <cell r="C414" t="str">
            <v>06-2005</v>
          </cell>
          <cell r="D414">
            <v>17340584.949063424</v>
          </cell>
          <cell r="E414">
            <v>338655353.93471485</v>
          </cell>
          <cell r="F414">
            <v>516739364.45392179</v>
          </cell>
          <cell r="G414">
            <v>110659736.81833237</v>
          </cell>
          <cell r="H414">
            <v>6118</v>
          </cell>
          <cell r="I414">
            <v>983395040.15603256</v>
          </cell>
          <cell r="J414">
            <v>7531715699.999999</v>
          </cell>
          <cell r="K414">
            <v>781833249.99999988</v>
          </cell>
          <cell r="L414">
            <v>1057080000</v>
          </cell>
          <cell r="M414">
            <v>296636750</v>
          </cell>
          <cell r="N414">
            <v>580737000</v>
          </cell>
          <cell r="O414">
            <v>11231397740.156031</v>
          </cell>
          <cell r="P414">
            <v>134776772881.87238</v>
          </cell>
          <cell r="Q414">
            <v>3369419322.0468097</v>
          </cell>
          <cell r="R414">
            <v>138146192203.91919</v>
          </cell>
          <cell r="S414">
            <v>11231397740.156031</v>
          </cell>
          <cell r="T414">
            <v>149377589944.07523</v>
          </cell>
          <cell r="V414" t="str">
            <v>K</v>
          </cell>
          <cell r="Y414">
            <v>136229184000</v>
          </cell>
          <cell r="Z414">
            <v>13148405944.075226</v>
          </cell>
          <cell r="AA414">
            <v>9.6516807617927344E-2</v>
          </cell>
          <cell r="AC414">
            <v>5839</v>
          </cell>
          <cell r="AD414">
            <v>286</v>
          </cell>
        </row>
        <row r="415">
          <cell r="B415" t="str">
            <v>Kab. Timor Tengah Selatan</v>
          </cell>
          <cell r="C415" t="str">
            <v>06-2005</v>
          </cell>
          <cell r="D415">
            <v>20313256.654617153</v>
          </cell>
          <cell r="E415">
            <v>401325864.75687391</v>
          </cell>
          <cell r="F415">
            <v>617622906.54552197</v>
          </cell>
          <cell r="G415">
            <v>80689391.430034012</v>
          </cell>
          <cell r="H415">
            <v>6977</v>
          </cell>
          <cell r="I415">
            <v>1119951419.3870471</v>
          </cell>
          <cell r="J415">
            <v>8483667299.999999</v>
          </cell>
          <cell r="K415">
            <v>901482699.99999988</v>
          </cell>
          <cell r="L415">
            <v>1163168000</v>
          </cell>
          <cell r="M415">
            <v>329254200</v>
          </cell>
          <cell r="N415">
            <v>756661000</v>
          </cell>
          <cell r="O415">
            <v>12754184619.387047</v>
          </cell>
          <cell r="P415">
            <v>153050215432.64456</v>
          </cell>
          <cell r="Q415">
            <v>3826255385.8161144</v>
          </cell>
          <cell r="R415">
            <v>156876470818.46066</v>
          </cell>
          <cell r="S415">
            <v>12754184619.387047</v>
          </cell>
          <cell r="T415">
            <v>169630655437.84772</v>
          </cell>
          <cell r="V415" t="str">
            <v>K</v>
          </cell>
          <cell r="Y415">
            <v>134777071000</v>
          </cell>
          <cell r="Z415">
            <v>34853584437.847717</v>
          </cell>
          <cell r="AA415">
            <v>0.25860173528958585</v>
          </cell>
          <cell r="AC415">
            <v>6810</v>
          </cell>
          <cell r="AD415">
            <v>293</v>
          </cell>
        </row>
        <row r="416">
          <cell r="B416" t="str">
            <v>Kab. Rote Ndao</v>
          </cell>
          <cell r="C416" t="str">
            <v>06-2005</v>
          </cell>
          <cell r="D416">
            <v>8422569.8324022349</v>
          </cell>
          <cell r="E416">
            <v>72054330.624407426</v>
          </cell>
          <cell r="F416">
            <v>134768090.58038199</v>
          </cell>
          <cell r="G416">
            <v>36063217.802402958</v>
          </cell>
          <cell r="H416">
            <v>1558</v>
          </cell>
          <cell r="I416">
            <v>251308208.8395946</v>
          </cell>
          <cell r="J416">
            <v>1920968049.9999998</v>
          </cell>
          <cell r="K416">
            <v>208172999.99999997</v>
          </cell>
          <cell r="L416">
            <v>392716000</v>
          </cell>
          <cell r="M416">
            <v>81252100</v>
          </cell>
          <cell r="N416">
            <v>151262000</v>
          </cell>
          <cell r="O416">
            <v>3005679358.8395944</v>
          </cell>
          <cell r="P416">
            <v>36068152306.075134</v>
          </cell>
          <cell r="Q416">
            <v>901703807.65187836</v>
          </cell>
          <cell r="R416">
            <v>36969856113.727013</v>
          </cell>
          <cell r="S416">
            <v>3005679358.8395944</v>
          </cell>
          <cell r="T416">
            <v>39975535472.566605</v>
          </cell>
          <cell r="V416" t="str">
            <v>K</v>
          </cell>
          <cell r="Y416">
            <v>32059820000</v>
          </cell>
          <cell r="Z416">
            <v>7915715472.5666046</v>
          </cell>
          <cell r="AA416">
            <v>0.2469045513220787</v>
          </cell>
          <cell r="AC416">
            <v>1550</v>
          </cell>
          <cell r="AD416">
            <v>287</v>
          </cell>
        </row>
        <row r="417">
          <cell r="B417" t="str">
            <v>Kab. Belu</v>
          </cell>
          <cell r="C417" t="str">
            <v>06-2005</v>
          </cell>
          <cell r="D417">
            <v>50039973.710154451</v>
          </cell>
          <cell r="E417">
            <v>460980147.78545302</v>
          </cell>
          <cell r="F417">
            <v>534913804.09790474</v>
          </cell>
          <cell r="G417">
            <v>54177162.817308553</v>
          </cell>
          <cell r="H417">
            <v>6755</v>
          </cell>
          <cell r="I417">
            <v>1100111088.410821</v>
          </cell>
          <cell r="J417">
            <v>7918190449.999999</v>
          </cell>
          <cell r="K417">
            <v>839671349.99999988</v>
          </cell>
          <cell r="L417">
            <v>1041610000</v>
          </cell>
          <cell r="M417">
            <v>298106450</v>
          </cell>
          <cell r="N417">
            <v>738736000</v>
          </cell>
          <cell r="O417">
            <v>11936425338.41082</v>
          </cell>
          <cell r="P417">
            <v>143237104060.92984</v>
          </cell>
          <cell r="Q417">
            <v>3580927601.5232463</v>
          </cell>
          <cell r="R417">
            <v>146818031662.45309</v>
          </cell>
          <cell r="S417">
            <v>11936425338.41082</v>
          </cell>
          <cell r="T417">
            <v>158754457000.86392</v>
          </cell>
          <cell r="V417" t="str">
            <v>K</v>
          </cell>
          <cell r="Y417">
            <v>125516313000</v>
          </cell>
          <cell r="Z417">
            <v>33238144000.863922</v>
          </cell>
          <cell r="AA417">
            <v>0.26481134767608988</v>
          </cell>
          <cell r="AC417">
            <v>6507</v>
          </cell>
          <cell r="AD417">
            <v>288</v>
          </cell>
        </row>
        <row r="418">
          <cell r="B418" t="str">
            <v>Kab. Timor Tengah Utara</v>
          </cell>
          <cell r="C418" t="str">
            <v>06-2005</v>
          </cell>
          <cell r="D418">
            <v>27249490.634242523</v>
          </cell>
          <cell r="E418">
            <v>282855139.75348771</v>
          </cell>
          <cell r="F418">
            <v>337459298.81327647</v>
          </cell>
          <cell r="G418">
            <v>45614206.992080458</v>
          </cell>
          <cell r="H418">
            <v>4266</v>
          </cell>
          <cell r="I418">
            <v>693178136.1930871</v>
          </cell>
          <cell r="J418">
            <v>5743451900</v>
          </cell>
          <cell r="K418">
            <v>567413450</v>
          </cell>
          <cell r="L418">
            <v>812303000</v>
          </cell>
          <cell r="M418">
            <v>37133500</v>
          </cell>
          <cell r="N418">
            <v>515362000</v>
          </cell>
          <cell r="O418">
            <v>8368841986.1930866</v>
          </cell>
          <cell r="P418">
            <v>100426103834.31705</v>
          </cell>
          <cell r="Q418">
            <v>2510652595.8579264</v>
          </cell>
          <cell r="R418">
            <v>102936756430.17497</v>
          </cell>
          <cell r="S418">
            <v>8368841986.1930866</v>
          </cell>
          <cell r="T418">
            <v>111305598416.36806</v>
          </cell>
          <cell r="V418" t="str">
            <v>K</v>
          </cell>
          <cell r="Y418">
            <v>89022934000</v>
          </cell>
          <cell r="Z418">
            <v>22282664416.368057</v>
          </cell>
          <cell r="AA418">
            <v>0.25030251661182112</v>
          </cell>
          <cell r="AC418">
            <v>4329</v>
          </cell>
          <cell r="AD418">
            <v>303</v>
          </cell>
        </row>
        <row r="419">
          <cell r="B419" t="str">
            <v>Kab. Alor</v>
          </cell>
          <cell r="C419" t="str">
            <v>06-2005</v>
          </cell>
          <cell r="D419">
            <v>10404350.969438056</v>
          </cell>
          <cell r="E419">
            <v>130368067.9669511</v>
          </cell>
          <cell r="F419">
            <v>237037818.74652329</v>
          </cell>
          <cell r="G419">
            <v>24042145.201601975</v>
          </cell>
          <cell r="H419">
            <v>2505</v>
          </cell>
          <cell r="I419">
            <v>401852382.88451445</v>
          </cell>
          <cell r="J419">
            <v>5065967350</v>
          </cell>
          <cell r="K419">
            <v>564600550</v>
          </cell>
          <cell r="L419">
            <v>686191000</v>
          </cell>
          <cell r="M419">
            <v>273514850</v>
          </cell>
          <cell r="N419">
            <v>482094000</v>
          </cell>
          <cell r="O419">
            <v>7474220132.8845148</v>
          </cell>
          <cell r="P419">
            <v>89690641594.614182</v>
          </cell>
          <cell r="Q419">
            <v>2242266039.8653545</v>
          </cell>
          <cell r="R419">
            <v>91932907634.479538</v>
          </cell>
          <cell r="S419">
            <v>7474220132.8845148</v>
          </cell>
          <cell r="T419">
            <v>99407127767.364059</v>
          </cell>
          <cell r="V419" t="str">
            <v>K</v>
          </cell>
          <cell r="Y419">
            <v>81929510000</v>
          </cell>
          <cell r="Z419">
            <v>17477617767.364059</v>
          </cell>
          <cell r="AA419">
            <v>0.2133250615970248</v>
          </cell>
          <cell r="AC419">
            <v>4043</v>
          </cell>
          <cell r="AD419">
            <v>315</v>
          </cell>
        </row>
        <row r="420">
          <cell r="B420" t="str">
            <v>Kab. Flores Timur</v>
          </cell>
          <cell r="C420" t="str">
            <v>06-2005</v>
          </cell>
          <cell r="D420">
            <v>22790483.075911928</v>
          </cell>
          <cell r="E420">
            <v>289725436.39441961</v>
          </cell>
          <cell r="F420">
            <v>402147982.29185987</v>
          </cell>
          <cell r="G420">
            <v>71138402.24035652</v>
          </cell>
          <cell r="H420">
            <v>4864</v>
          </cell>
          <cell r="I420">
            <v>785802304.00254798</v>
          </cell>
          <cell r="J420">
            <v>5817252000</v>
          </cell>
          <cell r="K420">
            <v>580646500</v>
          </cell>
          <cell r="L420">
            <v>852579000</v>
          </cell>
          <cell r="M420">
            <v>225060749.99999997</v>
          </cell>
          <cell r="N420">
            <v>438742000</v>
          </cell>
          <cell r="O420">
            <v>8700082554.0025482</v>
          </cell>
          <cell r="P420">
            <v>104400990648.03058</v>
          </cell>
          <cell r="Q420">
            <v>2610024766.2007647</v>
          </cell>
          <cell r="R420">
            <v>107011015414.23134</v>
          </cell>
          <cell r="S420">
            <v>8700082554.0025482</v>
          </cell>
          <cell r="T420">
            <v>115711097968.23389</v>
          </cell>
          <cell r="V420" t="str">
            <v>K</v>
          </cell>
          <cell r="Y420">
            <v>91658528000</v>
          </cell>
          <cell r="Z420">
            <v>24052569968.233887</v>
          </cell>
          <cell r="AA420">
            <v>0.26241497101321426</v>
          </cell>
          <cell r="AC420">
            <v>4625</v>
          </cell>
          <cell r="AD420">
            <v>255</v>
          </cell>
        </row>
        <row r="421">
          <cell r="B421" t="str">
            <v>Kab. Lembata</v>
          </cell>
          <cell r="C421" t="str">
            <v>06-2005</v>
          </cell>
          <cell r="D421">
            <v>11890686.82221492</v>
          </cell>
          <cell r="E421">
            <v>163211437.27482054</v>
          </cell>
          <cell r="F421">
            <v>184978830.61375859</v>
          </cell>
          <cell r="G421">
            <v>30793706.525339514</v>
          </cell>
          <cell r="H421">
            <v>2410</v>
          </cell>
          <cell r="I421">
            <v>390874661.23613358</v>
          </cell>
          <cell r="J421">
            <v>2803995550</v>
          </cell>
          <cell r="K421">
            <v>290515300</v>
          </cell>
          <cell r="L421">
            <v>402454000</v>
          </cell>
          <cell r="M421">
            <v>106959199.99999999</v>
          </cell>
          <cell r="N421">
            <v>217701000</v>
          </cell>
          <cell r="O421">
            <v>4212499711.2361336</v>
          </cell>
          <cell r="P421">
            <v>50549996534.833603</v>
          </cell>
          <cell r="Q421">
            <v>1263749913.3708401</v>
          </cell>
          <cell r="R421">
            <v>51813746448.204445</v>
          </cell>
          <cell r="S421">
            <v>4212499711.2361336</v>
          </cell>
          <cell r="T421">
            <v>56026246159.440582</v>
          </cell>
          <cell r="V421" t="str">
            <v>K</v>
          </cell>
          <cell r="Y421">
            <v>44254080000</v>
          </cell>
          <cell r="Z421">
            <v>11772166159.440582</v>
          </cell>
          <cell r="AA421">
            <v>0.26601312600873372</v>
          </cell>
          <cell r="AC421">
            <v>2414</v>
          </cell>
          <cell r="AD421">
            <v>297</v>
          </cell>
        </row>
        <row r="422">
          <cell r="B422" t="str">
            <v>Kab. Ngada</v>
          </cell>
          <cell r="C422" t="str">
            <v>06-2005</v>
          </cell>
          <cell r="D422">
            <v>16349694.380545514</v>
          </cell>
          <cell r="E422">
            <v>230238721.57659486</v>
          </cell>
          <cell r="F422">
            <v>386437873.447061</v>
          </cell>
          <cell r="G422">
            <v>106872275.58794302</v>
          </cell>
          <cell r="H422">
            <v>4598</v>
          </cell>
          <cell r="I422">
            <v>739898564.99214435</v>
          </cell>
          <cell r="J422">
            <v>5700100350</v>
          </cell>
          <cell r="K422">
            <v>570421850</v>
          </cell>
          <cell r="L422">
            <v>844858000</v>
          </cell>
          <cell r="M422">
            <v>68242150</v>
          </cell>
          <cell r="N422">
            <v>473770000</v>
          </cell>
          <cell r="O422">
            <v>8397290914.9921446</v>
          </cell>
          <cell r="P422">
            <v>100767490979.90573</v>
          </cell>
          <cell r="Q422">
            <v>2519187274.4976435</v>
          </cell>
          <cell r="R422">
            <v>103286678254.40338</v>
          </cell>
          <cell r="S422">
            <v>8397290914.9921446</v>
          </cell>
          <cell r="T422">
            <v>111683969169.39552</v>
          </cell>
          <cell r="V422" t="str">
            <v>K</v>
          </cell>
          <cell r="Y422">
            <v>88800530000</v>
          </cell>
          <cell r="Z422">
            <v>22883439169.395523</v>
          </cell>
          <cell r="AA422">
            <v>0.25769484899916162</v>
          </cell>
          <cell r="AC422">
            <v>4401</v>
          </cell>
          <cell r="AD422">
            <v>266</v>
          </cell>
        </row>
        <row r="423">
          <cell r="B423" t="str">
            <v>Kab. Manggarai</v>
          </cell>
          <cell r="C423" t="str">
            <v>06-2005</v>
          </cell>
          <cell r="D423">
            <v>13872467.959250739</v>
          </cell>
          <cell r="E423">
            <v>276487547.74481916</v>
          </cell>
          <cell r="F423">
            <v>507960185.98182833</v>
          </cell>
          <cell r="G423">
            <v>129926387.42509559</v>
          </cell>
          <cell r="H423">
            <v>5793</v>
          </cell>
          <cell r="I423">
            <v>928246589.11099386</v>
          </cell>
          <cell r="J423">
            <v>7523320699.999999</v>
          </cell>
          <cell r="K423">
            <v>845283349.99999988</v>
          </cell>
          <cell r="L423">
            <v>1114070000</v>
          </cell>
          <cell r="M423">
            <v>69762450</v>
          </cell>
          <cell r="N423">
            <v>579202000</v>
          </cell>
          <cell r="O423">
            <v>11059885089.110992</v>
          </cell>
          <cell r="P423">
            <v>132718621069.33191</v>
          </cell>
          <cell r="Q423">
            <v>3317965526.7332978</v>
          </cell>
          <cell r="R423">
            <v>136036586596.0652</v>
          </cell>
          <cell r="S423">
            <v>11059885089.110992</v>
          </cell>
          <cell r="T423">
            <v>147096471685.17621</v>
          </cell>
          <cell r="V423" t="str">
            <v>K</v>
          </cell>
          <cell r="Y423">
            <v>117406458000</v>
          </cell>
          <cell r="Z423">
            <v>29690013685.176208</v>
          </cell>
          <cell r="AA423">
            <v>0.25288228766066861</v>
          </cell>
          <cell r="AC423">
            <v>7253</v>
          </cell>
          <cell r="AD423">
            <v>275</v>
          </cell>
        </row>
        <row r="424">
          <cell r="B424" t="str">
            <v>Kab. Manggarai Barat</v>
          </cell>
          <cell r="C424" t="str">
            <v>06-2005</v>
          </cell>
          <cell r="D424">
            <v>4459007.5583305946</v>
          </cell>
          <cell r="E424">
            <v>94340902.654747382</v>
          </cell>
          <cell r="F424">
            <v>191909760.98646393</v>
          </cell>
          <cell r="G424">
            <v>31617067.662380677</v>
          </cell>
          <cell r="H424">
            <v>2019</v>
          </cell>
          <cell r="I424">
            <v>322326738.86192262</v>
          </cell>
          <cell r="J424">
            <v>2620892550</v>
          </cell>
          <cell r="K424">
            <v>263146449.99999997</v>
          </cell>
          <cell r="L424">
            <v>375821000</v>
          </cell>
          <cell r="M424">
            <v>100086799.99999999</v>
          </cell>
          <cell r="N424">
            <v>200520000</v>
          </cell>
          <cell r="O424">
            <v>3882793538.8619227</v>
          </cell>
          <cell r="P424">
            <v>46593522466.343071</v>
          </cell>
          <cell r="Q424">
            <v>1164838061.6585767</v>
          </cell>
          <cell r="R424">
            <v>47758360528.001648</v>
          </cell>
          <cell r="S424">
            <v>3882793538.8619227</v>
          </cell>
          <cell r="T424">
            <v>51641154066.863571</v>
          </cell>
          <cell r="V424" t="str">
            <v>K</v>
          </cell>
          <cell r="Y424">
            <v>41227329000</v>
          </cell>
          <cell r="Z424">
            <v>10413825066.863571</v>
          </cell>
          <cell r="AA424">
            <v>0.2525951915745881</v>
          </cell>
          <cell r="AC424">
            <v>0</v>
          </cell>
          <cell r="AD424">
            <v>298</v>
          </cell>
        </row>
        <row r="425">
          <cell r="B425" t="str">
            <v>Kab. Sumba Timur</v>
          </cell>
          <cell r="C425" t="str">
            <v>06-2005</v>
          </cell>
          <cell r="D425">
            <v>12881577.39073283</v>
          </cell>
          <cell r="E425">
            <v>240460382.43261546</v>
          </cell>
          <cell r="F425">
            <v>357173945.2067495</v>
          </cell>
          <cell r="G425">
            <v>61587413.050679028</v>
          </cell>
          <cell r="H425">
            <v>4180</v>
          </cell>
          <cell r="I425">
            <v>672103318.08077669</v>
          </cell>
          <cell r="J425">
            <v>5003382050</v>
          </cell>
          <cell r="K425">
            <v>486437349.99999994</v>
          </cell>
          <cell r="L425">
            <v>705505000</v>
          </cell>
          <cell r="M425">
            <v>42574150</v>
          </cell>
          <cell r="N425">
            <v>418410000</v>
          </cell>
          <cell r="O425">
            <v>7328411868.0807762</v>
          </cell>
          <cell r="P425">
            <v>87940942416.969315</v>
          </cell>
          <cell r="Q425">
            <v>2198523560.424233</v>
          </cell>
          <cell r="R425">
            <v>90139465977.393555</v>
          </cell>
          <cell r="S425">
            <v>7328411868.0807762</v>
          </cell>
          <cell r="T425">
            <v>97467877845.474335</v>
          </cell>
          <cell r="V425" t="str">
            <v>K</v>
          </cell>
          <cell r="Y425">
            <v>77153596000</v>
          </cell>
          <cell r="Z425">
            <v>20314281845.474335</v>
          </cell>
          <cell r="AA425">
            <v>0.26329663034078588</v>
          </cell>
          <cell r="AC425">
            <v>3983</v>
          </cell>
          <cell r="AD425">
            <v>222</v>
          </cell>
        </row>
        <row r="426">
          <cell r="B426" t="str">
            <v>Kab. Sumba Barat</v>
          </cell>
          <cell r="C426" t="str">
            <v>06-2005</v>
          </cell>
          <cell r="D426">
            <v>16597417.022674993</v>
          </cell>
          <cell r="E426">
            <v>245990133.38751185</v>
          </cell>
          <cell r="F426">
            <v>396603237.99369556</v>
          </cell>
          <cell r="G426">
            <v>79701358.06558463</v>
          </cell>
          <cell r="H426">
            <v>4594</v>
          </cell>
          <cell r="I426">
            <v>738892146.46946704</v>
          </cell>
          <cell r="J426">
            <v>5590112050</v>
          </cell>
          <cell r="K426">
            <v>555347650</v>
          </cell>
          <cell r="L426">
            <v>777438000</v>
          </cell>
          <cell r="M426">
            <v>47236250</v>
          </cell>
          <cell r="N426">
            <v>426766000</v>
          </cell>
          <cell r="O426">
            <v>8135792096.4694672</v>
          </cell>
          <cell r="P426">
            <v>97629505157.633606</v>
          </cell>
          <cell r="Q426">
            <v>2440737628.9408402</v>
          </cell>
          <cell r="R426">
            <v>100070242786.57445</v>
          </cell>
          <cell r="S426">
            <v>8135792096.4694672</v>
          </cell>
          <cell r="T426">
            <v>108206034883.04391</v>
          </cell>
          <cell r="V426" t="str">
            <v>K</v>
          </cell>
          <cell r="Y426">
            <v>85662031000</v>
          </cell>
          <cell r="Z426">
            <v>22544003883.043915</v>
          </cell>
          <cell r="AA426">
            <v>0.26317381948419966</v>
          </cell>
          <cell r="AC426">
            <v>4461</v>
          </cell>
          <cell r="AD426">
            <v>269</v>
          </cell>
        </row>
        <row r="427">
          <cell r="B427" t="str">
            <v>Provinsi Maluku</v>
          </cell>
          <cell r="C427" t="str">
            <v>06-2005</v>
          </cell>
          <cell r="D427">
            <v>26250000</v>
          </cell>
          <cell r="E427">
            <v>282261910.3269937</v>
          </cell>
          <cell r="F427">
            <v>385143325.31155992</v>
          </cell>
          <cell r="G427">
            <v>48297333.333333328</v>
          </cell>
          <cell r="H427">
            <v>4606</v>
          </cell>
          <cell r="I427">
            <v>741952568.97188699</v>
          </cell>
          <cell r="J427">
            <v>5616203273</v>
          </cell>
          <cell r="K427">
            <v>548642146.04999995</v>
          </cell>
          <cell r="L427">
            <v>453576150</v>
          </cell>
          <cell r="M427">
            <v>200447746.19999999</v>
          </cell>
          <cell r="N427">
            <v>427247910</v>
          </cell>
          <cell r="O427">
            <v>7988069794.2218866</v>
          </cell>
          <cell r="P427">
            <v>95856837530.662643</v>
          </cell>
          <cell r="Q427">
            <v>2396420938.2665663</v>
          </cell>
          <cell r="R427">
            <v>98253258468.929214</v>
          </cell>
          <cell r="S427">
            <v>7988069794.2218866</v>
          </cell>
          <cell r="T427">
            <v>106241328263.15111</v>
          </cell>
          <cell r="V427" t="str">
            <v>P</v>
          </cell>
          <cell r="Y427">
            <v>83409268930</v>
          </cell>
          <cell r="Z427">
            <v>22832059333.151108</v>
          </cell>
          <cell r="AA427">
            <v>0.27373527697878008</v>
          </cell>
          <cell r="AC427">
            <v>4983</v>
          </cell>
          <cell r="AD427">
            <v>0</v>
          </cell>
        </row>
        <row r="428">
          <cell r="B428" t="str">
            <v>Kota Ambon</v>
          </cell>
          <cell r="C428" t="str">
            <v>06-2005</v>
          </cell>
          <cell r="D428">
            <v>26506322.707854092</v>
          </cell>
          <cell r="E428">
            <v>228395471.25829607</v>
          </cell>
          <cell r="F428">
            <v>618547030.59521604</v>
          </cell>
          <cell r="G428">
            <v>209133728.80845553</v>
          </cell>
          <cell r="H428">
            <v>6756</v>
          </cell>
          <cell r="I428">
            <v>1082582553.3698218</v>
          </cell>
          <cell r="J428">
            <v>8736017872</v>
          </cell>
          <cell r="K428">
            <v>816893572.54999995</v>
          </cell>
          <cell r="L428">
            <v>1194856445</v>
          </cell>
          <cell r="M428">
            <v>343268259.84999996</v>
          </cell>
          <cell r="N428">
            <v>611639430</v>
          </cell>
          <cell r="O428">
            <v>12785258132.769821</v>
          </cell>
          <cell r="P428">
            <v>153423097593.23785</v>
          </cell>
          <cell r="Q428">
            <v>3835577439.8309464</v>
          </cell>
          <cell r="R428">
            <v>157258675033.06879</v>
          </cell>
          <cell r="S428">
            <v>12785258132.769821</v>
          </cell>
          <cell r="T428">
            <v>170043933165.83862</v>
          </cell>
          <cell r="V428" t="str">
            <v>K</v>
          </cell>
          <cell r="Y428">
            <v>135354303903</v>
          </cell>
          <cell r="Z428">
            <v>34689629262.838623</v>
          </cell>
          <cell r="AA428">
            <v>0.25628759679262597</v>
          </cell>
          <cell r="AC428">
            <v>6938</v>
          </cell>
          <cell r="AD428">
            <v>0</v>
          </cell>
        </row>
        <row r="429">
          <cell r="B429" t="str">
            <v>Kab. Pulau Buru</v>
          </cell>
          <cell r="C429" t="str">
            <v>06-2005</v>
          </cell>
          <cell r="D429">
            <v>24276818.928688794</v>
          </cell>
          <cell r="E429">
            <v>195049397.31816334</v>
          </cell>
          <cell r="F429">
            <v>170808928.51844984</v>
          </cell>
          <cell r="G429">
            <v>20254683.971212622</v>
          </cell>
          <cell r="H429">
            <v>2494</v>
          </cell>
          <cell r="I429">
            <v>410389828.73651457</v>
          </cell>
          <cell r="J429">
            <v>2661609358</v>
          </cell>
          <cell r="K429">
            <v>281915058.34999996</v>
          </cell>
          <cell r="L429">
            <v>453053000</v>
          </cell>
          <cell r="M429">
            <v>99854486.199999988</v>
          </cell>
          <cell r="N429">
            <v>237079110</v>
          </cell>
          <cell r="O429">
            <v>4143900841.2865143</v>
          </cell>
          <cell r="P429">
            <v>49726810095.438171</v>
          </cell>
          <cell r="Q429">
            <v>1243170252.3859544</v>
          </cell>
          <cell r="R429">
            <v>50969980347.824127</v>
          </cell>
          <cell r="S429">
            <v>4143900841.2865143</v>
          </cell>
          <cell r="T429">
            <v>55113881189.110641</v>
          </cell>
          <cell r="V429" t="str">
            <v>K</v>
          </cell>
          <cell r="Y429">
            <v>43376739562</v>
          </cell>
          <cell r="Z429">
            <v>11737141627.110641</v>
          </cell>
          <cell r="AA429">
            <v>0.27058607321867301</v>
          </cell>
          <cell r="AC429">
            <v>2424</v>
          </cell>
          <cell r="AD429">
            <v>288</v>
          </cell>
        </row>
        <row r="430">
          <cell r="B430" t="str">
            <v>Kab. Maluku Tengah</v>
          </cell>
          <cell r="C430" t="str">
            <v>06-2005</v>
          </cell>
          <cell r="D430">
            <v>60692047.321721986</v>
          </cell>
          <cell r="E430">
            <v>502369495.84179872</v>
          </cell>
          <cell r="F430">
            <v>665677357.12961245</v>
          </cell>
          <cell r="G430">
            <v>82830130.38634105</v>
          </cell>
          <cell r="H430">
            <v>8068</v>
          </cell>
          <cell r="I430">
            <v>1311569030.6794744</v>
          </cell>
          <cell r="J430">
            <v>9572027059.6499996</v>
          </cell>
          <cell r="K430">
            <v>1030706719.9499999</v>
          </cell>
          <cell r="L430">
            <v>1311630850</v>
          </cell>
          <cell r="M430">
            <v>352208769.25</v>
          </cell>
          <cell r="N430">
            <v>814325670</v>
          </cell>
          <cell r="O430">
            <v>14392468099.529474</v>
          </cell>
          <cell r="P430">
            <v>172709617194.3537</v>
          </cell>
          <cell r="Q430">
            <v>4317740429.8588428</v>
          </cell>
          <cell r="R430">
            <v>177027357624.21255</v>
          </cell>
          <cell r="S430">
            <v>14392468099.529474</v>
          </cell>
          <cell r="T430">
            <v>191419825723.74203</v>
          </cell>
          <cell r="V430" t="str">
            <v>K</v>
          </cell>
          <cell r="Y430">
            <v>151774746890</v>
          </cell>
          <cell r="Z430">
            <v>39645078833.742035</v>
          </cell>
          <cell r="AA430">
            <v>0.26120998154241781</v>
          </cell>
          <cell r="AC430">
            <v>11180</v>
          </cell>
          <cell r="AD430">
            <v>231</v>
          </cell>
        </row>
        <row r="431">
          <cell r="B431" t="str">
            <v>Kab. Seram Bagian Barat</v>
          </cell>
          <cell r="C431" t="str">
            <v>06-2005</v>
          </cell>
          <cell r="D431">
            <v>14863358.527768649</v>
          </cell>
          <cell r="E431">
            <v>217503537.55925775</v>
          </cell>
          <cell r="F431">
            <v>204539456.3322826</v>
          </cell>
          <cell r="G431">
            <v>45284862.537263989</v>
          </cell>
          <cell r="H431">
            <v>2961</v>
          </cell>
          <cell r="I431">
            <v>482191214.95657301</v>
          </cell>
          <cell r="J431">
            <v>5678418089</v>
          </cell>
          <cell r="K431">
            <v>459186248.49999994</v>
          </cell>
          <cell r="L431">
            <v>463989000</v>
          </cell>
          <cell r="M431">
            <v>112719897.3</v>
          </cell>
          <cell r="N431">
            <v>264370740</v>
          </cell>
          <cell r="O431">
            <v>7460875189.7565737</v>
          </cell>
          <cell r="P431">
            <v>89530502277.078888</v>
          </cell>
          <cell r="Q431">
            <v>2238262556.9269724</v>
          </cell>
          <cell r="R431">
            <v>91768764834.005859</v>
          </cell>
          <cell r="S431">
            <v>7460875189.7565737</v>
          </cell>
          <cell r="T431">
            <v>99229640023.762436</v>
          </cell>
          <cell r="V431" t="str">
            <v>K</v>
          </cell>
          <cell r="Y431">
            <v>80789771712</v>
          </cell>
          <cell r="Z431">
            <v>18439868311.762436</v>
          </cell>
          <cell r="AA431">
            <v>0.22824508500280233</v>
          </cell>
          <cell r="AC431" t="e">
            <v>#N/A</v>
          </cell>
          <cell r="AD431">
            <v>295</v>
          </cell>
        </row>
        <row r="432">
          <cell r="B432" t="str">
            <v>Kab. Seram Bagian Timur</v>
          </cell>
          <cell r="C432" t="str">
            <v>06-2005</v>
          </cell>
          <cell r="D432">
            <v>6193066.0532369372</v>
          </cell>
          <cell r="E432">
            <v>41724484.477854528</v>
          </cell>
          <cell r="F432">
            <v>47284347.209345452</v>
          </cell>
          <cell r="G432">
            <v>1976066.7288987923</v>
          </cell>
          <cell r="H432">
            <v>593</v>
          </cell>
          <cell r="I432">
            <v>97177964.469335705</v>
          </cell>
          <cell r="J432">
            <v>869802315.99999988</v>
          </cell>
          <cell r="K432">
            <v>109769676.94999999</v>
          </cell>
          <cell r="L432">
            <v>161205900</v>
          </cell>
          <cell r="M432">
            <v>35993706.25</v>
          </cell>
          <cell r="N432">
            <v>82777590</v>
          </cell>
          <cell r="O432">
            <v>1356727153.6693356</v>
          </cell>
          <cell r="P432">
            <v>16280725844.032028</v>
          </cell>
          <cell r="Q432">
            <v>407018146.10080075</v>
          </cell>
          <cell r="R432">
            <v>16687743990.13283</v>
          </cell>
          <cell r="S432">
            <v>1356727153.6693356</v>
          </cell>
          <cell r="T432">
            <v>18044471143.802166</v>
          </cell>
          <cell r="V432" t="str">
            <v>K</v>
          </cell>
          <cell r="Y432">
            <v>15139406672</v>
          </cell>
          <cell r="Z432">
            <v>2905064471.802166</v>
          </cell>
          <cell r="AA432">
            <v>0.19188760396898638</v>
          </cell>
          <cell r="AC432" t="e">
            <v>#N/A</v>
          </cell>
          <cell r="AD432">
            <v>193</v>
          </cell>
        </row>
        <row r="433">
          <cell r="B433" t="str">
            <v>Kab. Maluku Tenggara</v>
          </cell>
          <cell r="C433" t="str">
            <v>06-2005</v>
          </cell>
          <cell r="D433">
            <v>14120190.601380218</v>
          </cell>
          <cell r="E433">
            <v>216162991.87322226</v>
          </cell>
          <cell r="F433">
            <v>314818259.59577233</v>
          </cell>
          <cell r="G433">
            <v>71632418.922581226</v>
          </cell>
          <cell r="H433">
            <v>3826</v>
          </cell>
          <cell r="I433">
            <v>616733860.99295604</v>
          </cell>
          <cell r="J433">
            <v>4632340385.0999994</v>
          </cell>
          <cell r="K433">
            <v>478256154.54999995</v>
          </cell>
          <cell r="L433">
            <v>632640690</v>
          </cell>
          <cell r="M433">
            <v>179512236.54999998</v>
          </cell>
          <cell r="N433">
            <v>369986640</v>
          </cell>
          <cell r="O433">
            <v>6909469967.192956</v>
          </cell>
          <cell r="P433">
            <v>82913639606.315475</v>
          </cell>
          <cell r="Q433">
            <v>2072840990.157887</v>
          </cell>
          <cell r="R433">
            <v>84986480596.473358</v>
          </cell>
          <cell r="S433">
            <v>6909469967.192956</v>
          </cell>
          <cell r="T433">
            <v>91895950563.666321</v>
          </cell>
          <cell r="V433" t="str">
            <v>K</v>
          </cell>
          <cell r="Y433">
            <v>73991734934</v>
          </cell>
          <cell r="Z433">
            <v>17904215629.666321</v>
          </cell>
          <cell r="AA433">
            <v>0.24197588616670132</v>
          </cell>
          <cell r="AC433">
            <v>4705</v>
          </cell>
          <cell r="AD433">
            <v>282</v>
          </cell>
        </row>
        <row r="434">
          <cell r="B434" t="str">
            <v>Kab. Kepulauan Aru</v>
          </cell>
          <cell r="C434" t="str">
            <v>06-2005</v>
          </cell>
          <cell r="D434">
            <v>2724949.0634242524</v>
          </cell>
          <cell r="E434">
            <v>50605599.647839628</v>
          </cell>
          <cell r="F434">
            <v>63456518.078991286</v>
          </cell>
          <cell r="G434">
            <v>11691728.145984521</v>
          </cell>
          <cell r="H434">
            <v>796</v>
          </cell>
          <cell r="I434">
            <v>128478794.93623967</v>
          </cell>
          <cell r="J434">
            <v>951308390.04999995</v>
          </cell>
          <cell r="K434">
            <v>109630123.3</v>
          </cell>
          <cell r="L434">
            <v>173932600</v>
          </cell>
          <cell r="M434">
            <v>39752522.649999999</v>
          </cell>
          <cell r="N434">
            <v>83439570</v>
          </cell>
          <cell r="O434">
            <v>1486542000.9362397</v>
          </cell>
          <cell r="P434">
            <v>17838504011.234879</v>
          </cell>
          <cell r="Q434">
            <v>445962600.28087199</v>
          </cell>
          <cell r="R434">
            <v>18284466611.515751</v>
          </cell>
          <cell r="S434">
            <v>1486542000.9362397</v>
          </cell>
          <cell r="T434">
            <v>19771008612.451992</v>
          </cell>
          <cell r="V434" t="str">
            <v>K</v>
          </cell>
          <cell r="Y434">
            <v>16287632530</v>
          </cell>
          <cell r="Z434">
            <v>3483376082.451992</v>
          </cell>
          <cell r="AA434">
            <v>0.21386632317717152</v>
          </cell>
          <cell r="AC434" t="e">
            <v>#N/A</v>
          </cell>
          <cell r="AD434">
            <v>278</v>
          </cell>
        </row>
        <row r="435">
          <cell r="B435" t="str">
            <v>Kab. Maluku Tenggara Barat</v>
          </cell>
          <cell r="C435" t="str">
            <v>06-2005</v>
          </cell>
          <cell r="D435">
            <v>13624745.317121262</v>
          </cell>
          <cell r="E435">
            <v>202589966.80211297</v>
          </cell>
          <cell r="F435">
            <v>349472911.45929909</v>
          </cell>
          <cell r="G435">
            <v>69985696.648498893</v>
          </cell>
          <cell r="H435">
            <v>3958</v>
          </cell>
          <cell r="I435">
            <v>635673320.22703218</v>
          </cell>
          <cell r="J435">
            <v>4808662904.5999994</v>
          </cell>
          <cell r="K435">
            <v>542173803.14999998</v>
          </cell>
          <cell r="L435">
            <v>782331350</v>
          </cell>
          <cell r="M435">
            <v>206203987.24999997</v>
          </cell>
          <cell r="N435">
            <v>408923100</v>
          </cell>
          <cell r="O435">
            <v>7383968465.2270317</v>
          </cell>
          <cell r="P435">
            <v>88607621582.72438</v>
          </cell>
          <cell r="Q435">
            <v>2215190539.5681095</v>
          </cell>
          <cell r="R435">
            <v>90822812122.292496</v>
          </cell>
          <cell r="S435">
            <v>7383968465.2270317</v>
          </cell>
          <cell r="T435">
            <v>98206780587.519531</v>
          </cell>
          <cell r="V435" t="str">
            <v>K</v>
          </cell>
          <cell r="Y435">
            <v>79674253750</v>
          </cell>
          <cell r="Z435">
            <v>18532526837.519531</v>
          </cell>
          <cell r="AA435">
            <v>0.23260370778834602</v>
          </cell>
          <cell r="AC435">
            <v>3915</v>
          </cell>
          <cell r="AD435">
            <v>283</v>
          </cell>
        </row>
        <row r="436">
          <cell r="B436" t="str">
            <v>Provinsi Maluku Utara</v>
          </cell>
          <cell r="C436" t="str">
            <v>06-2005</v>
          </cell>
          <cell r="D436">
            <v>2500000</v>
          </cell>
          <cell r="E436">
            <v>171849219.46946949</v>
          </cell>
          <cell r="F436">
            <v>195604869.78942844</v>
          </cell>
          <cell r="G436">
            <v>38891111.111111112</v>
          </cell>
          <cell r="H436">
            <v>2540</v>
          </cell>
          <cell r="I436">
            <v>408845200.37000901</v>
          </cell>
          <cell r="J436">
            <v>2997927466.1659999</v>
          </cell>
          <cell r="K436">
            <v>315571312.22799999</v>
          </cell>
          <cell r="L436">
            <v>257259221.92499998</v>
          </cell>
          <cell r="M436">
            <v>86782110.862699986</v>
          </cell>
          <cell r="N436">
            <v>216097746.417</v>
          </cell>
          <cell r="O436">
            <v>4282483057.968709</v>
          </cell>
          <cell r="P436">
            <v>51389796695.624512</v>
          </cell>
          <cell r="Q436">
            <v>1284744917.3906128</v>
          </cell>
          <cell r="R436">
            <v>52674541613.015121</v>
          </cell>
          <cell r="S436">
            <v>4282483057.968709</v>
          </cell>
          <cell r="T436">
            <v>56957024670.983833</v>
          </cell>
          <cell r="V436" t="str">
            <v>P</v>
          </cell>
          <cell r="W436" t="str">
            <v>x</v>
          </cell>
          <cell r="Y436">
            <v>44591598467</v>
          </cell>
          <cell r="Z436">
            <v>12365426203.983833</v>
          </cell>
          <cell r="AA436">
            <v>0.27730394579003181</v>
          </cell>
          <cell r="AC436">
            <v>1843</v>
          </cell>
          <cell r="AD436">
            <v>267</v>
          </cell>
        </row>
        <row r="437">
          <cell r="B437" t="str">
            <v>Kab. Halmahera Tengah</v>
          </cell>
          <cell r="C437" t="str">
            <v>06-2005</v>
          </cell>
          <cell r="D437">
            <v>2724949.0634242524</v>
          </cell>
          <cell r="E437">
            <v>144778934.09183258</v>
          </cell>
          <cell r="F437">
            <v>184208727.23901355</v>
          </cell>
          <cell r="G437">
            <v>33757806.618687704</v>
          </cell>
          <cell r="H437">
            <v>2276</v>
          </cell>
          <cell r="I437">
            <v>365470417.01295811</v>
          </cell>
          <cell r="J437">
            <v>2498567307.8759999</v>
          </cell>
          <cell r="K437">
            <v>260267427.90374997</v>
          </cell>
          <cell r="L437">
            <v>362111204.03999996</v>
          </cell>
          <cell r="M437">
            <v>76345112.185099989</v>
          </cell>
          <cell r="N437">
            <v>190108382.12099999</v>
          </cell>
          <cell r="O437">
            <v>3752869851.1388078</v>
          </cell>
          <cell r="P437">
            <v>45034438213.665695</v>
          </cell>
          <cell r="Q437">
            <v>1125860955.3416424</v>
          </cell>
          <cell r="R437">
            <v>46160299169.007339</v>
          </cell>
          <cell r="S437">
            <v>3752869851.1388078</v>
          </cell>
          <cell r="T437">
            <v>49913169020.146149</v>
          </cell>
          <cell r="V437" t="str">
            <v>K</v>
          </cell>
          <cell r="W437" t="str">
            <v>x</v>
          </cell>
          <cell r="Y437">
            <v>39228713771</v>
          </cell>
          <cell r="Z437">
            <v>10684455249.146149</v>
          </cell>
          <cell r="AA437">
            <v>0.27236312950552766</v>
          </cell>
          <cell r="AC437">
            <v>4202</v>
          </cell>
          <cell r="AD437">
            <v>287</v>
          </cell>
        </row>
        <row r="438">
          <cell r="B438" t="str">
            <v>Kab. Halmahera Barat</v>
          </cell>
          <cell r="C438" t="str">
            <v>06-2005</v>
          </cell>
          <cell r="D438">
            <v>13872467.959250739</v>
          </cell>
          <cell r="E438">
            <v>189184509.9417581</v>
          </cell>
          <cell r="F438">
            <v>212086469.40478399</v>
          </cell>
          <cell r="G438">
            <v>29641000.933481883</v>
          </cell>
          <cell r="H438">
            <v>2742</v>
          </cell>
          <cell r="I438">
            <v>444784448.23927468</v>
          </cell>
          <cell r="J438">
            <v>3220897007.2679996</v>
          </cell>
          <cell r="K438">
            <v>335510104.92374998</v>
          </cell>
          <cell r="L438">
            <v>466796667.71999997</v>
          </cell>
          <cell r="M438">
            <v>98416297.444299996</v>
          </cell>
          <cell r="N438">
            <v>245068250.553</v>
          </cell>
          <cell r="O438">
            <v>4811472776.148324</v>
          </cell>
          <cell r="P438">
            <v>57737673313.779892</v>
          </cell>
          <cell r="Q438">
            <v>1443441832.8444974</v>
          </cell>
          <cell r="R438">
            <v>59181115146.62439</v>
          </cell>
          <cell r="S438">
            <v>4811472776.148324</v>
          </cell>
          <cell r="T438">
            <v>63992587922.772713</v>
          </cell>
          <cell r="V438" t="str">
            <v>K</v>
          </cell>
          <cell r="W438" t="str">
            <v>x</v>
          </cell>
          <cell r="Y438">
            <v>50569639003</v>
          </cell>
          <cell r="Z438">
            <v>13422948919.772713</v>
          </cell>
          <cell r="AA438">
            <v>0.26543493654317779</v>
          </cell>
          <cell r="AC438">
            <v>8020</v>
          </cell>
          <cell r="AD438">
            <v>233</v>
          </cell>
        </row>
        <row r="439">
          <cell r="B439" t="str">
            <v>Kab. Halmahera Timur</v>
          </cell>
          <cell r="C439" t="str">
            <v>06-2005</v>
          </cell>
          <cell r="D439">
            <v>4706730.2004600726</v>
          </cell>
          <cell r="E439">
            <v>97692266.869836107</v>
          </cell>
          <cell r="F439">
            <v>78242502.874096051</v>
          </cell>
          <cell r="G439">
            <v>6092872.4141046098</v>
          </cell>
          <cell r="H439">
            <v>1147</v>
          </cell>
          <cell r="I439">
            <v>186734372.35849684</v>
          </cell>
          <cell r="J439">
            <v>1284375690.3599999</v>
          </cell>
          <cell r="K439">
            <v>133789134.41249999</v>
          </cell>
          <cell r="L439">
            <v>186141404.40000001</v>
          </cell>
          <cell r="M439">
            <v>39244812.761</v>
          </cell>
          <cell r="N439">
            <v>97724237.310000002</v>
          </cell>
          <cell r="O439">
            <v>1928009651.6019967</v>
          </cell>
          <cell r="P439">
            <v>23136115819.223961</v>
          </cell>
          <cell r="Q439">
            <v>578402895.48059905</v>
          </cell>
          <cell r="R439">
            <v>23714518714.704559</v>
          </cell>
          <cell r="S439">
            <v>1928009651.6019967</v>
          </cell>
          <cell r="T439">
            <v>25642528366.306557</v>
          </cell>
          <cell r="V439" t="str">
            <v>K</v>
          </cell>
          <cell r="W439" t="str">
            <v>x</v>
          </cell>
          <cell r="Y439">
            <v>20165318810</v>
          </cell>
          <cell r="Z439">
            <v>5477209556.3065567</v>
          </cell>
          <cell r="AA439">
            <v>0.27161532172704372</v>
          </cell>
          <cell r="AC439">
            <v>170</v>
          </cell>
          <cell r="AD439">
            <v>275</v>
          </cell>
        </row>
        <row r="440">
          <cell r="B440" t="str">
            <v>Kab. Halmahera Selatan</v>
          </cell>
          <cell r="C440" t="str">
            <v>06-2005</v>
          </cell>
          <cell r="D440">
            <v>8174847.1902727569</v>
          </cell>
          <cell r="E440">
            <v>163211437.27482054</v>
          </cell>
          <cell r="F440">
            <v>177739858.89115521</v>
          </cell>
          <cell r="G440">
            <v>26512228.612725463</v>
          </cell>
          <cell r="H440">
            <v>2322</v>
          </cell>
          <cell r="I440">
            <v>375638371.96897393</v>
          </cell>
          <cell r="J440">
            <v>2812374631.3319998</v>
          </cell>
          <cell r="K440">
            <v>292955690.76374996</v>
          </cell>
          <cell r="L440">
            <v>407590526.27999997</v>
          </cell>
          <cell r="M440">
            <v>85933669.290699974</v>
          </cell>
          <cell r="N440">
            <v>213985026.29699999</v>
          </cell>
          <cell r="O440">
            <v>4188477915.9324236</v>
          </cell>
          <cell r="P440">
            <v>50261734991.189087</v>
          </cell>
          <cell r="Q440">
            <v>1256543374.7797272</v>
          </cell>
          <cell r="R440">
            <v>51518278365.968811</v>
          </cell>
          <cell r="S440">
            <v>4188477915.9324236</v>
          </cell>
          <cell r="T440">
            <v>55706756281.901237</v>
          </cell>
          <cell r="V440" t="str">
            <v>K</v>
          </cell>
          <cell r="W440" t="str">
            <v>x</v>
          </cell>
          <cell r="Y440">
            <v>44155640347</v>
          </cell>
          <cell r="Z440">
            <v>11551115934.901237</v>
          </cell>
          <cell r="AA440">
            <v>0.261600009514663</v>
          </cell>
          <cell r="AC440">
            <v>174</v>
          </cell>
          <cell r="AD440">
            <v>308</v>
          </cell>
        </row>
        <row r="441">
          <cell r="B441" t="str">
            <v>Kab. Halmahera Utara</v>
          </cell>
          <cell r="C441" t="str">
            <v>06-2005</v>
          </cell>
          <cell r="D441">
            <v>14367913.243509695</v>
          </cell>
          <cell r="E441">
            <v>175779053.08140323</v>
          </cell>
          <cell r="F441">
            <v>214858841.55386615</v>
          </cell>
          <cell r="G441">
            <v>29476328.706073653</v>
          </cell>
          <cell r="H441">
            <v>2681</v>
          </cell>
          <cell r="I441">
            <v>434482136.5848527</v>
          </cell>
          <cell r="J441">
            <v>3229117669.4759994</v>
          </cell>
          <cell r="K441">
            <v>336366423.90374994</v>
          </cell>
          <cell r="L441">
            <v>467988068.03999996</v>
          </cell>
          <cell r="M441">
            <v>98667484.345099986</v>
          </cell>
          <cell r="N441">
            <v>245693735.72100002</v>
          </cell>
          <cell r="O441">
            <v>4812315518.0707026</v>
          </cell>
          <cell r="P441">
            <v>57747786216.848434</v>
          </cell>
          <cell r="Q441">
            <v>1443694655.421211</v>
          </cell>
          <cell r="R441">
            <v>59191480872.269646</v>
          </cell>
          <cell r="S441">
            <v>4812315518.0707026</v>
          </cell>
          <cell r="T441">
            <v>64003796390.340347</v>
          </cell>
          <cell r="V441" t="str">
            <v>K</v>
          </cell>
          <cell r="W441" t="str">
            <v>x</v>
          </cell>
          <cell r="Y441">
            <v>50698707371</v>
          </cell>
          <cell r="Z441">
            <v>13305089019.340347</v>
          </cell>
          <cell r="AA441">
            <v>0.26243448224384014</v>
          </cell>
          <cell r="AC441">
            <v>170</v>
          </cell>
          <cell r="AD441">
            <v>285</v>
          </cell>
        </row>
        <row r="442">
          <cell r="B442" t="str">
            <v>Kab. Kepulauan Sula</v>
          </cell>
          <cell r="C442" t="str">
            <v>06-2005</v>
          </cell>
          <cell r="D442">
            <v>8174847.1902727569</v>
          </cell>
          <cell r="E442">
            <v>142265410.93051603</v>
          </cell>
          <cell r="F442">
            <v>98111169.942518085</v>
          </cell>
          <cell r="G442">
            <v>21901406.245294947</v>
          </cell>
          <cell r="H442">
            <v>1652</v>
          </cell>
          <cell r="I442">
            <v>270452834.3086018</v>
          </cell>
          <cell r="J442">
            <v>1950169614.3359997</v>
          </cell>
          <cell r="K442">
            <v>203142668.16</v>
          </cell>
          <cell r="L442">
            <v>282633277.44</v>
          </cell>
          <cell r="M442">
            <v>59588515.993599996</v>
          </cell>
          <cell r="N442">
            <v>148382470.65599999</v>
          </cell>
          <cell r="O442">
            <v>2914369380.8942013</v>
          </cell>
          <cell r="P442">
            <v>34972432570.730415</v>
          </cell>
          <cell r="Q442">
            <v>874310814.26826048</v>
          </cell>
          <cell r="R442">
            <v>35846743384.998672</v>
          </cell>
          <cell r="S442">
            <v>2914369380.8942013</v>
          </cell>
          <cell r="T442">
            <v>38761112765.892876</v>
          </cell>
          <cell r="V442" t="str">
            <v>K</v>
          </cell>
          <cell r="W442" t="str">
            <v>x</v>
          </cell>
          <cell r="Y442">
            <v>30618605056</v>
          </cell>
          <cell r="Z442">
            <v>8142507709.8928757</v>
          </cell>
          <cell r="AA442">
            <v>0.26593333350753928</v>
          </cell>
          <cell r="AC442">
            <v>177</v>
          </cell>
          <cell r="AD442">
            <v>256</v>
          </cell>
        </row>
        <row r="443">
          <cell r="B443" t="str">
            <v>Kota Ternate</v>
          </cell>
          <cell r="C443" t="str">
            <v>06-2005</v>
          </cell>
          <cell r="D443">
            <v>23781373.64442984</v>
          </cell>
          <cell r="E443">
            <v>284363253.65027767</v>
          </cell>
          <cell r="F443">
            <v>298184026.70127946</v>
          </cell>
          <cell r="G443">
            <v>61422740.82327079</v>
          </cell>
          <cell r="H443">
            <v>4102</v>
          </cell>
          <cell r="I443">
            <v>667751394.81925774</v>
          </cell>
          <cell r="J443">
            <v>5630249054.7719994</v>
          </cell>
          <cell r="K443">
            <v>586484276.53874993</v>
          </cell>
          <cell r="L443">
            <v>815978123.88</v>
          </cell>
          <cell r="M443">
            <v>172035387.78469998</v>
          </cell>
          <cell r="N443">
            <v>428388515.037</v>
          </cell>
          <cell r="O443">
            <v>8300886752.831707</v>
          </cell>
          <cell r="P443">
            <v>99610641033.980484</v>
          </cell>
          <cell r="Q443">
            <v>2490266025.8495121</v>
          </cell>
          <cell r="R443">
            <v>102100907059.83</v>
          </cell>
          <cell r="S443">
            <v>8300886752.831707</v>
          </cell>
          <cell r="T443">
            <v>110401793812.66171</v>
          </cell>
          <cell r="V443" t="str">
            <v>K</v>
          </cell>
          <cell r="W443" t="str">
            <v>x</v>
          </cell>
          <cell r="Y443">
            <v>88397630087</v>
          </cell>
          <cell r="Z443">
            <v>22004163725.661713</v>
          </cell>
          <cell r="AA443">
            <v>0.24892255260695847</v>
          </cell>
          <cell r="AC443">
            <v>3462</v>
          </cell>
          <cell r="AD443">
            <v>292</v>
          </cell>
        </row>
        <row r="444">
          <cell r="B444" t="str">
            <v>Kota Tidore Kepulauan</v>
          </cell>
          <cell r="C444" t="str">
            <v>06-2005</v>
          </cell>
          <cell r="D444">
            <v>7431679.2638843246</v>
          </cell>
          <cell r="E444">
            <v>145449206.93485034</v>
          </cell>
          <cell r="F444">
            <v>213934717.50417209</v>
          </cell>
          <cell r="G444">
            <v>41332729.079466403</v>
          </cell>
          <cell r="H444">
            <v>2538</v>
          </cell>
          <cell r="I444">
            <v>408148332.78237313</v>
          </cell>
          <cell r="J444">
            <v>3085743952.5119996</v>
          </cell>
          <cell r="K444">
            <v>321431661.71999997</v>
          </cell>
          <cell r="L444">
            <v>447209268.47999996</v>
          </cell>
          <cell r="M444">
            <v>94286620.771199986</v>
          </cell>
          <cell r="N444">
            <v>234784865.95199999</v>
          </cell>
          <cell r="O444">
            <v>4591604702.2175722</v>
          </cell>
          <cell r="P444">
            <v>55099256426.61087</v>
          </cell>
          <cell r="Q444">
            <v>1377481410.6652718</v>
          </cell>
          <cell r="R444">
            <v>56476737837.276138</v>
          </cell>
          <cell r="S444">
            <v>4591604702.2175722</v>
          </cell>
          <cell r="T444">
            <v>61068342539.493713</v>
          </cell>
          <cell r="V444" t="str">
            <v>K</v>
          </cell>
          <cell r="W444" t="str">
            <v>x</v>
          </cell>
          <cell r="Y444">
            <v>48447670752</v>
          </cell>
          <cell r="Z444">
            <v>12620671787.493713</v>
          </cell>
          <cell r="AA444">
            <v>0.26050110545247857</v>
          </cell>
          <cell r="AC444">
            <v>164</v>
          </cell>
          <cell r="AD444">
            <v>295</v>
          </cell>
        </row>
        <row r="445">
          <cell r="B445" t="str">
            <v>Provinsi Papua</v>
          </cell>
          <cell r="C445" t="str">
            <v>06-2005</v>
          </cell>
          <cell r="D445">
            <v>31500000</v>
          </cell>
          <cell r="E445">
            <v>259937087.25392061</v>
          </cell>
          <cell r="F445">
            <v>288228658.35840136</v>
          </cell>
          <cell r="G445">
            <v>37444000</v>
          </cell>
          <cell r="H445">
            <v>3783</v>
          </cell>
          <cell r="I445">
            <v>617109745.61232197</v>
          </cell>
          <cell r="J445">
            <v>4493790600</v>
          </cell>
          <cell r="K445">
            <v>490842999.99999994</v>
          </cell>
          <cell r="L445">
            <v>651628000</v>
          </cell>
          <cell r="M445">
            <v>263647849.99999997</v>
          </cell>
          <cell r="N445">
            <v>428372000</v>
          </cell>
          <cell r="O445">
            <v>8545442195.6123219</v>
          </cell>
          <cell r="P445">
            <v>102545306347.34787</v>
          </cell>
          <cell r="Q445">
            <v>2563632658.6836967</v>
          </cell>
          <cell r="R445">
            <v>105108939006.03157</v>
          </cell>
          <cell r="S445">
            <v>8545442195.6123219</v>
          </cell>
          <cell r="T445">
            <v>113654381201.64389</v>
          </cell>
          <cell r="V445" t="str">
            <v>P</v>
          </cell>
          <cell r="Y445">
            <v>94169062000</v>
          </cell>
          <cell r="Z445">
            <v>19485319201.64389</v>
          </cell>
          <cell r="AA445">
            <v>0.20691848031409604</v>
          </cell>
          <cell r="AC445">
            <v>6351</v>
          </cell>
          <cell r="AD445">
            <v>224</v>
          </cell>
        </row>
        <row r="446">
          <cell r="B446" t="str">
            <v>Kab. Jayapura</v>
          </cell>
          <cell r="C446" t="str">
            <v>06-2005</v>
          </cell>
          <cell r="D446">
            <v>26506322.707854092</v>
          </cell>
          <cell r="E446">
            <v>416909708.35703641</v>
          </cell>
          <cell r="F446">
            <v>500259152.23437792</v>
          </cell>
          <cell r="G446">
            <v>48907651.540245108</v>
          </cell>
          <cell r="H446">
            <v>6140</v>
          </cell>
          <cell r="I446">
            <v>992582834.83951354</v>
          </cell>
          <cell r="J446">
            <v>7211089949.999999</v>
          </cell>
          <cell r="K446">
            <v>680686150</v>
          </cell>
          <cell r="L446">
            <v>625356000</v>
          </cell>
          <cell r="M446">
            <v>427085849.99999994</v>
          </cell>
          <cell r="N446">
            <v>600102000</v>
          </cell>
          <cell r="O446">
            <v>13105858784.839512</v>
          </cell>
          <cell r="P446">
            <v>157270305418.07416</v>
          </cell>
          <cell r="Q446">
            <v>3931757635.4518542</v>
          </cell>
          <cell r="R446">
            <v>161202063053.526</v>
          </cell>
          <cell r="S446">
            <v>13105858784.839512</v>
          </cell>
          <cell r="T446">
            <v>174307921838.36551</v>
          </cell>
          <cell r="V446" t="str">
            <v>K</v>
          </cell>
          <cell r="Y446">
            <v>143366691000</v>
          </cell>
          <cell r="Z446">
            <v>30941230838.365509</v>
          </cell>
          <cell r="AA446">
            <v>0.21581882529719201</v>
          </cell>
          <cell r="AC446">
            <v>6210</v>
          </cell>
          <cell r="AD446">
            <v>201</v>
          </cell>
        </row>
        <row r="447">
          <cell r="B447" t="str">
            <v>Kab. Jayawijaya</v>
          </cell>
          <cell r="C447" t="str">
            <v>06-2005</v>
          </cell>
          <cell r="D447">
            <v>46819579.362471245</v>
          </cell>
          <cell r="E447">
            <v>357087857.11770284</v>
          </cell>
          <cell r="F447">
            <v>216091006.95345819</v>
          </cell>
          <cell r="G447">
            <v>24206817.429010205</v>
          </cell>
          <cell r="H447">
            <v>3870</v>
          </cell>
          <cell r="I447">
            <v>644205260.86264241</v>
          </cell>
          <cell r="J447">
            <v>4105932399.9999995</v>
          </cell>
          <cell r="K447">
            <v>444112749.99999994</v>
          </cell>
          <cell r="L447">
            <v>590862000</v>
          </cell>
          <cell r="M447">
            <v>267778649.99999997</v>
          </cell>
          <cell r="N447">
            <v>421185000</v>
          </cell>
          <cell r="O447">
            <v>8319241060.8626423</v>
          </cell>
          <cell r="P447">
            <v>99830892730.351715</v>
          </cell>
          <cell r="Q447">
            <v>2495772318.2587929</v>
          </cell>
          <cell r="R447">
            <v>102326665048.6105</v>
          </cell>
          <cell r="S447">
            <v>8319241060.8626423</v>
          </cell>
          <cell r="T447">
            <v>110645906109.47314</v>
          </cell>
          <cell r="V447" t="str">
            <v>K</v>
          </cell>
          <cell r="Y447">
            <v>91606112000</v>
          </cell>
          <cell r="Z447">
            <v>19039794109.473145</v>
          </cell>
          <cell r="AA447">
            <v>0.20784414591761241</v>
          </cell>
          <cell r="AC447">
            <v>4221</v>
          </cell>
          <cell r="AD447">
            <v>294</v>
          </cell>
        </row>
        <row r="448">
          <cell r="B448" t="str">
            <v>Kab. Mimika</v>
          </cell>
          <cell r="C448" t="str">
            <v>06-2005</v>
          </cell>
          <cell r="D448">
            <v>20313256.654617153</v>
          </cell>
          <cell r="E448">
            <v>142432979.14127049</v>
          </cell>
          <cell r="F448">
            <v>116747671.61134805</v>
          </cell>
          <cell r="G448">
            <v>7574922.4607787039</v>
          </cell>
          <cell r="H448">
            <v>1736</v>
          </cell>
          <cell r="I448">
            <v>287068829.8680144</v>
          </cell>
          <cell r="J448">
            <v>1836608649.9999998</v>
          </cell>
          <cell r="K448">
            <v>178350050</v>
          </cell>
          <cell r="L448">
            <v>318929000</v>
          </cell>
          <cell r="M448">
            <v>122285249.99999999</v>
          </cell>
          <cell r="N448">
            <v>167986000</v>
          </cell>
          <cell r="O448">
            <v>3728708779.8680143</v>
          </cell>
          <cell r="P448">
            <v>44744505358.416168</v>
          </cell>
          <cell r="Q448">
            <v>1118612633.9604042</v>
          </cell>
          <cell r="R448">
            <v>45863117992.376572</v>
          </cell>
          <cell r="S448">
            <v>3728708779.8680143</v>
          </cell>
          <cell r="T448">
            <v>49591826772.244583</v>
          </cell>
          <cell r="V448" t="str">
            <v>K</v>
          </cell>
          <cell r="Y448">
            <v>41117297000</v>
          </cell>
          <cell r="Z448">
            <v>8474529772.2445831</v>
          </cell>
          <cell r="AA448">
            <v>0.20610619837788907</v>
          </cell>
          <cell r="AC448">
            <v>1707</v>
          </cell>
          <cell r="AD448">
            <v>254</v>
          </cell>
        </row>
        <row r="449">
          <cell r="B449" t="str">
            <v>Kab. Paniai</v>
          </cell>
          <cell r="C449" t="str">
            <v>03-2005</v>
          </cell>
          <cell r="D449">
            <v>26258600.065724615</v>
          </cell>
          <cell r="E449">
            <v>168573620.01896247</v>
          </cell>
          <cell r="F449">
            <v>90718177.544965699</v>
          </cell>
          <cell r="G449">
            <v>5434183.5044716792</v>
          </cell>
          <cell r="H449">
            <v>1734</v>
          </cell>
          <cell r="I449">
            <v>290984581.13412446</v>
          </cell>
          <cell r="J449">
            <v>1868938599.9999998</v>
          </cell>
          <cell r="K449">
            <v>231484649.99999997</v>
          </cell>
          <cell r="L449">
            <v>251415000</v>
          </cell>
          <cell r="M449">
            <v>117989999.99999999</v>
          </cell>
          <cell r="N449">
            <v>214855000</v>
          </cell>
          <cell r="O449">
            <v>3796792831.1341243</v>
          </cell>
          <cell r="P449">
            <v>45561513973.609489</v>
          </cell>
          <cell r="Q449">
            <v>1139037849.3402374</v>
          </cell>
          <cell r="R449">
            <v>46700551822.94973</v>
          </cell>
          <cell r="S449">
            <v>3796792831.1341243</v>
          </cell>
          <cell r="T449">
            <v>50497344654.083855</v>
          </cell>
          <cell r="V449" t="str">
            <v>K</v>
          </cell>
          <cell r="Y449">
            <v>41813850000</v>
          </cell>
          <cell r="Z449">
            <v>8683494654.0838547</v>
          </cell>
          <cell r="AA449">
            <v>0.20767029714039378</v>
          </cell>
          <cell r="AC449">
            <v>1596</v>
          </cell>
          <cell r="AD449">
            <v>0</v>
          </cell>
        </row>
        <row r="450">
          <cell r="B450" t="str">
            <v>Kab. Nabire</v>
          </cell>
          <cell r="C450" t="str">
            <v>06-2005</v>
          </cell>
          <cell r="D450">
            <v>35672060.466644756</v>
          </cell>
          <cell r="E450">
            <v>281179457.64594334</v>
          </cell>
          <cell r="F450">
            <v>310043618.67235309</v>
          </cell>
          <cell r="G450">
            <v>46108223.674305156</v>
          </cell>
          <cell r="H450">
            <v>4115</v>
          </cell>
          <cell r="I450">
            <v>673003360.4592464</v>
          </cell>
          <cell r="J450">
            <v>4764792700</v>
          </cell>
          <cell r="K450">
            <v>496916149.99999994</v>
          </cell>
          <cell r="L450">
            <v>647686000</v>
          </cell>
          <cell r="M450">
            <v>272116450</v>
          </cell>
          <cell r="N450">
            <v>442279000</v>
          </cell>
          <cell r="O450">
            <v>9029063660.4592476</v>
          </cell>
          <cell r="P450">
            <v>108348763925.51097</v>
          </cell>
          <cell r="Q450">
            <v>2708719098.1377745</v>
          </cell>
          <cell r="R450">
            <v>111057483023.64874</v>
          </cell>
          <cell r="S450">
            <v>9029063660.4592476</v>
          </cell>
          <cell r="T450">
            <v>120086546684.10799</v>
          </cell>
          <cell r="V450" t="str">
            <v>K</v>
          </cell>
          <cell r="Y450">
            <v>99245341000</v>
          </cell>
          <cell r="Z450">
            <v>20841205684.107986</v>
          </cell>
          <cell r="AA450">
            <v>0.20999681671815695</v>
          </cell>
          <cell r="AC450">
            <v>4172</v>
          </cell>
          <cell r="AD450">
            <v>275</v>
          </cell>
        </row>
        <row r="451">
          <cell r="B451" t="str">
            <v>Kab. Puncak Jaya</v>
          </cell>
          <cell r="C451" t="str">
            <v>06-2005</v>
          </cell>
          <cell r="D451">
            <v>31956220.834702596</v>
          </cell>
          <cell r="E451">
            <v>121822089.21847486</v>
          </cell>
          <cell r="F451">
            <v>48208471.259039499</v>
          </cell>
          <cell r="G451">
            <v>3952133.4577975846</v>
          </cell>
          <cell r="H451">
            <v>1193</v>
          </cell>
          <cell r="I451">
            <v>205938914.77001455</v>
          </cell>
          <cell r="J451">
            <v>1142926350</v>
          </cell>
          <cell r="K451">
            <v>122742949.99999999</v>
          </cell>
          <cell r="L451">
            <v>69966000</v>
          </cell>
          <cell r="M451">
            <v>77255850</v>
          </cell>
          <cell r="N451">
            <v>39347000</v>
          </cell>
          <cell r="O451">
            <v>2102534064.7700145</v>
          </cell>
          <cell r="P451">
            <v>25230408777.240173</v>
          </cell>
          <cell r="Q451">
            <v>630760219.43100441</v>
          </cell>
          <cell r="R451">
            <v>25861168996.671177</v>
          </cell>
          <cell r="S451">
            <v>2102534064.7700145</v>
          </cell>
          <cell r="T451">
            <v>27963703061.441193</v>
          </cell>
          <cell r="V451" t="str">
            <v>K</v>
          </cell>
          <cell r="Y451">
            <v>22378603000</v>
          </cell>
          <cell r="Z451">
            <v>5585100061.4411926</v>
          </cell>
          <cell r="AA451">
            <v>0.24957322230709364</v>
          </cell>
          <cell r="AC451">
            <v>955</v>
          </cell>
          <cell r="AD451">
            <v>300</v>
          </cell>
        </row>
        <row r="452">
          <cell r="B452" t="str">
            <v>Kab. Merauke</v>
          </cell>
          <cell r="C452" t="str">
            <v>06-2005</v>
          </cell>
          <cell r="D452">
            <v>21551869.865264542</v>
          </cell>
          <cell r="E452">
            <v>189519646.36326694</v>
          </cell>
          <cell r="F452">
            <v>268304015.76117191</v>
          </cell>
          <cell r="G452">
            <v>51707079.406185068</v>
          </cell>
          <cell r="H452">
            <v>3274</v>
          </cell>
          <cell r="I452">
            <v>531082611.39588851</v>
          </cell>
          <cell r="J452">
            <v>3926581849.9999995</v>
          </cell>
          <cell r="K452">
            <v>364501700</v>
          </cell>
          <cell r="L452">
            <v>573678000</v>
          </cell>
          <cell r="M452">
            <v>186847400</v>
          </cell>
          <cell r="N452">
            <v>321295000</v>
          </cell>
          <cell r="O452">
            <v>8094595561.3958883</v>
          </cell>
          <cell r="P452">
            <v>97135146736.750656</v>
          </cell>
          <cell r="Q452">
            <v>2428378668.4187665</v>
          </cell>
          <cell r="R452">
            <v>99563525405.169418</v>
          </cell>
          <cell r="S452">
            <v>8094595561.3958883</v>
          </cell>
          <cell r="T452">
            <v>107658120966.56531</v>
          </cell>
          <cell r="V452" t="str">
            <v>K</v>
          </cell>
          <cell r="Y452">
            <v>90732655000</v>
          </cell>
          <cell r="Z452">
            <v>16925465966.565308</v>
          </cell>
          <cell r="AA452">
            <v>0.18654216573476559</v>
          </cell>
          <cell r="AC452">
            <v>6797</v>
          </cell>
          <cell r="AD452">
            <v>300</v>
          </cell>
        </row>
        <row r="453">
          <cell r="B453" t="str">
            <v>Kab. Yapen Waropen</v>
          </cell>
          <cell r="C453" t="str">
            <v>06-2005</v>
          </cell>
          <cell r="D453">
            <v>25763154.781465661</v>
          </cell>
          <cell r="E453">
            <v>182146645.09007177</v>
          </cell>
          <cell r="F453">
            <v>203615332.28258854</v>
          </cell>
          <cell r="G453">
            <v>26018211.930500764</v>
          </cell>
          <cell r="H453">
            <v>2671</v>
          </cell>
          <cell r="I453">
            <v>437543344.08462667</v>
          </cell>
          <cell r="J453">
            <v>3139621899.9999995</v>
          </cell>
          <cell r="K453">
            <v>322312800</v>
          </cell>
          <cell r="L453">
            <v>447095000</v>
          </cell>
          <cell r="M453">
            <v>187032550</v>
          </cell>
          <cell r="N453">
            <v>284155000</v>
          </cell>
          <cell r="O453">
            <v>5967345594.0846262</v>
          </cell>
          <cell r="P453">
            <v>71608147129.015518</v>
          </cell>
          <cell r="Q453">
            <v>1790203678.2253881</v>
          </cell>
          <cell r="R453">
            <v>73398350807.240906</v>
          </cell>
          <cell r="S453">
            <v>5967345594.0846262</v>
          </cell>
          <cell r="T453">
            <v>79365696401.325531</v>
          </cell>
          <cell r="V453" t="str">
            <v>K</v>
          </cell>
          <cell r="Y453">
            <v>65700050000</v>
          </cell>
          <cell r="Z453">
            <v>13665646401.325531</v>
          </cell>
          <cell r="AA453">
            <v>0.20800054796496398</v>
          </cell>
          <cell r="AC453">
            <v>3424</v>
          </cell>
          <cell r="AD453">
            <v>215</v>
          </cell>
        </row>
        <row r="454">
          <cell r="B454" t="str">
            <v>Kota Jayapura</v>
          </cell>
          <cell r="C454" t="str">
            <v>06-2005</v>
          </cell>
          <cell r="D454">
            <v>27992658.560630955</v>
          </cell>
          <cell r="E454">
            <v>229736016.94433156</v>
          </cell>
          <cell r="F454">
            <v>364412916.92935288</v>
          </cell>
          <cell r="G454">
            <v>87111608.298955098</v>
          </cell>
          <cell r="H454">
            <v>4379</v>
          </cell>
          <cell r="I454">
            <v>709253200.73327053</v>
          </cell>
          <cell r="J454">
            <v>5201836400</v>
          </cell>
          <cell r="K454">
            <v>418757549.99999994</v>
          </cell>
          <cell r="L454">
            <v>764879000</v>
          </cell>
          <cell r="M454">
            <v>319334300</v>
          </cell>
          <cell r="N454">
            <v>388590000</v>
          </cell>
          <cell r="O454">
            <v>9686351450.7332706</v>
          </cell>
          <cell r="P454">
            <v>116236217408.79926</v>
          </cell>
          <cell r="Q454">
            <v>2905905435.2199817</v>
          </cell>
          <cell r="R454">
            <v>119142122844.01924</v>
          </cell>
          <cell r="S454">
            <v>9686351450.7332706</v>
          </cell>
          <cell r="T454">
            <v>128828474294.75252</v>
          </cell>
          <cell r="V454" t="str">
            <v>K</v>
          </cell>
          <cell r="Y454">
            <v>106630225000</v>
          </cell>
          <cell r="Z454">
            <v>22198249294.752518</v>
          </cell>
          <cell r="AA454">
            <v>0.20817970978446793</v>
          </cell>
          <cell r="AC454">
            <v>4382</v>
          </cell>
          <cell r="AD454">
            <v>100</v>
          </cell>
        </row>
        <row r="455">
          <cell r="B455" t="str">
            <v>Kab. Sarmi</v>
          </cell>
          <cell r="C455" t="str">
            <v>06-2005</v>
          </cell>
          <cell r="D455">
            <v>10404350.969438056</v>
          </cell>
          <cell r="E455">
            <v>90319265.59664093</v>
          </cell>
          <cell r="F455">
            <v>37273003.337659933</v>
          </cell>
          <cell r="G455">
            <v>3787461.230389352</v>
          </cell>
          <cell r="H455">
            <v>846</v>
          </cell>
          <cell r="I455">
            <v>141784081.13412827</v>
          </cell>
          <cell r="J455">
            <v>864520549.99999988</v>
          </cell>
          <cell r="K455">
            <v>82819550</v>
          </cell>
          <cell r="L455">
            <v>128288000</v>
          </cell>
          <cell r="M455">
            <v>106010449.99999999</v>
          </cell>
          <cell r="N455">
            <v>83842000</v>
          </cell>
          <cell r="O455">
            <v>1776338631.1341281</v>
          </cell>
          <cell r="P455">
            <v>21316063573.609535</v>
          </cell>
          <cell r="Q455">
            <v>532901589.34023839</v>
          </cell>
          <cell r="R455">
            <v>21848965162.949772</v>
          </cell>
          <cell r="S455">
            <v>1776338631.1341281</v>
          </cell>
          <cell r="T455">
            <v>23625303794.0839</v>
          </cell>
          <cell r="V455" t="str">
            <v>K</v>
          </cell>
          <cell r="Y455">
            <v>19463093000</v>
          </cell>
          <cell r="Z455">
            <v>4162210794.0839005</v>
          </cell>
          <cell r="AA455">
            <v>0.21385145691303536</v>
          </cell>
          <cell r="AC455">
            <v>155</v>
          </cell>
          <cell r="AD455">
            <v>178</v>
          </cell>
        </row>
        <row r="456">
          <cell r="B456" t="str">
            <v>Kab. Keerom</v>
          </cell>
          <cell r="C456" t="str">
            <v>06-2005</v>
          </cell>
          <cell r="D456">
            <v>10652073.611567533</v>
          </cell>
          <cell r="E456">
            <v>93670629.81172964</v>
          </cell>
          <cell r="F456">
            <v>86097557.296495467</v>
          </cell>
          <cell r="G456">
            <v>11856400.373392753</v>
          </cell>
          <cell r="H456">
            <v>1233</v>
          </cell>
          <cell r="I456">
            <v>202276661.0931854</v>
          </cell>
          <cell r="J456">
            <v>1341639450</v>
          </cell>
          <cell r="K456">
            <v>137234100</v>
          </cell>
          <cell r="L456">
            <v>214816000</v>
          </cell>
          <cell r="M456">
            <v>86480000</v>
          </cell>
          <cell r="N456">
            <v>104729000</v>
          </cell>
          <cell r="O456">
            <v>2581242211.0931854</v>
          </cell>
          <cell r="P456">
            <v>30974906533.118225</v>
          </cell>
          <cell r="Q456">
            <v>774372663.32795572</v>
          </cell>
          <cell r="R456">
            <v>31749279196.446182</v>
          </cell>
          <cell r="S456">
            <v>2581242211.0931854</v>
          </cell>
          <cell r="T456">
            <v>34330521407.539368</v>
          </cell>
          <cell r="V456" t="str">
            <v>K</v>
          </cell>
          <cell r="Y456">
            <v>28272257000</v>
          </cell>
          <cell r="Z456">
            <v>6058264407.5393677</v>
          </cell>
          <cell r="AA456">
            <v>0.21428301276192302</v>
          </cell>
          <cell r="AC456">
            <v>162</v>
          </cell>
          <cell r="AD456">
            <v>260</v>
          </cell>
        </row>
        <row r="457">
          <cell r="B457" t="str">
            <v>Kab. Pegunungan Bintang</v>
          </cell>
          <cell r="C457" t="str">
            <v>06-2005</v>
          </cell>
          <cell r="D457">
            <v>8422569.8324022349</v>
          </cell>
          <cell r="E457">
            <v>50438031.437085196</v>
          </cell>
          <cell r="F457">
            <v>28801866.215464491</v>
          </cell>
          <cell r="G457">
            <v>1317377.8192658615</v>
          </cell>
          <cell r="H457">
            <v>530</v>
          </cell>
          <cell r="I457">
            <v>88979845.304217786</v>
          </cell>
          <cell r="J457">
            <v>516637499.99999994</v>
          </cell>
          <cell r="K457">
            <v>47344350</v>
          </cell>
          <cell r="L457">
            <v>86234000</v>
          </cell>
          <cell r="M457">
            <v>34259650</v>
          </cell>
          <cell r="N457">
            <v>48674000</v>
          </cell>
          <cell r="O457">
            <v>1062884345.3042177</v>
          </cell>
          <cell r="P457">
            <v>12754612143.650612</v>
          </cell>
          <cell r="Q457">
            <v>318865303.59126532</v>
          </cell>
          <cell r="R457">
            <v>13073477447.241877</v>
          </cell>
          <cell r="S457">
            <v>1062884345.3042177</v>
          </cell>
          <cell r="T457">
            <v>14136361792.546095</v>
          </cell>
          <cell r="V457" t="str">
            <v>K</v>
          </cell>
          <cell r="Y457">
            <v>11646349000</v>
          </cell>
          <cell r="Z457">
            <v>2490012792.5460949</v>
          </cell>
          <cell r="AA457">
            <v>0.21380200718234485</v>
          </cell>
          <cell r="AC457">
            <v>160</v>
          </cell>
          <cell r="AD457">
            <v>252</v>
          </cell>
        </row>
        <row r="458">
          <cell r="B458" t="str">
            <v>Kab. Yahukimo</v>
          </cell>
          <cell r="C458" t="str">
            <v>06-2005</v>
          </cell>
          <cell r="D458">
            <v>9165737.7587906681</v>
          </cell>
          <cell r="E458">
            <v>58481305.553298116</v>
          </cell>
          <cell r="F458">
            <v>31882279.714444652</v>
          </cell>
          <cell r="G458">
            <v>2799427.8659399557</v>
          </cell>
          <cell r="H458">
            <v>610</v>
          </cell>
          <cell r="I458">
            <v>102328750.8924734</v>
          </cell>
          <cell r="J458">
            <v>600454100</v>
          </cell>
          <cell r="K458">
            <v>66506799.999999993</v>
          </cell>
          <cell r="L458">
            <v>108848000</v>
          </cell>
          <cell r="M458">
            <v>39716400</v>
          </cell>
          <cell r="N458">
            <v>66225000</v>
          </cell>
          <cell r="O458">
            <v>1264279050.8924735</v>
          </cell>
          <cell r="P458">
            <v>15171348610.709682</v>
          </cell>
          <cell r="Q458">
            <v>379283715.2677421</v>
          </cell>
          <cell r="R458">
            <v>15550632325.977425</v>
          </cell>
          <cell r="S458">
            <v>1264279050.8924735</v>
          </cell>
          <cell r="T458">
            <v>16814911376.869898</v>
          </cell>
          <cell r="V458" t="str">
            <v>K</v>
          </cell>
          <cell r="Y458">
            <v>13907075000</v>
          </cell>
          <cell r="Z458">
            <v>2907836376.8698978</v>
          </cell>
          <cell r="AA458">
            <v>0.2090904361175803</v>
          </cell>
          <cell r="AC458">
            <v>160</v>
          </cell>
          <cell r="AD458">
            <v>238</v>
          </cell>
        </row>
        <row r="459">
          <cell r="B459" t="str">
            <v>Kab. Tolikara</v>
          </cell>
          <cell r="C459" t="str">
            <v>06-2005</v>
          </cell>
          <cell r="D459">
            <v>17588307.591192901</v>
          </cell>
          <cell r="E459">
            <v>67194852.512528777</v>
          </cell>
          <cell r="F459">
            <v>23719183.942147229</v>
          </cell>
          <cell r="G459">
            <v>2799427.8659399557</v>
          </cell>
          <cell r="H459">
            <v>643</v>
          </cell>
          <cell r="I459">
            <v>111301771.91180886</v>
          </cell>
          <cell r="J459">
            <v>616918650</v>
          </cell>
          <cell r="K459">
            <v>71149350</v>
          </cell>
          <cell r="L459">
            <v>99933000</v>
          </cell>
          <cell r="M459">
            <v>38850450</v>
          </cell>
          <cell r="N459">
            <v>72811000</v>
          </cell>
          <cell r="O459">
            <v>1290664221.911809</v>
          </cell>
          <cell r="P459">
            <v>15487970662.941708</v>
          </cell>
          <cell r="Q459">
            <v>387199266.57354271</v>
          </cell>
          <cell r="R459">
            <v>15875169929.515251</v>
          </cell>
          <cell r="S459">
            <v>1290664221.911809</v>
          </cell>
          <cell r="T459">
            <v>17165834151.427059</v>
          </cell>
          <cell r="V459" t="str">
            <v>K</v>
          </cell>
          <cell r="Y459">
            <v>14099111000</v>
          </cell>
          <cell r="Z459">
            <v>3066723151.4270592</v>
          </cell>
          <cell r="AA459">
            <v>0.21751180988837235</v>
          </cell>
          <cell r="AC459">
            <v>148</v>
          </cell>
          <cell r="AD459">
            <v>200</v>
          </cell>
        </row>
        <row r="460">
          <cell r="B460" t="str">
            <v>Kab. Waropen</v>
          </cell>
          <cell r="C460" t="str">
            <v>06-2005</v>
          </cell>
          <cell r="D460">
            <v>8918015.1166611891</v>
          </cell>
          <cell r="E460">
            <v>63843488.297440059</v>
          </cell>
          <cell r="F460">
            <v>58989918.50547006</v>
          </cell>
          <cell r="G460">
            <v>4940166.8222469809</v>
          </cell>
          <cell r="H460">
            <v>830</v>
          </cell>
          <cell r="I460">
            <v>136691588.74181828</v>
          </cell>
          <cell r="J460">
            <v>880791899.99999988</v>
          </cell>
          <cell r="K460">
            <v>91358300</v>
          </cell>
          <cell r="L460">
            <v>161449000</v>
          </cell>
          <cell r="M460">
            <v>54879149.999999993</v>
          </cell>
          <cell r="N460">
            <v>85280000</v>
          </cell>
          <cell r="O460">
            <v>1808174938.7418182</v>
          </cell>
          <cell r="P460">
            <v>21698099264.901817</v>
          </cell>
          <cell r="Q460">
            <v>542452481.62254548</v>
          </cell>
          <cell r="R460">
            <v>22240551746.524364</v>
          </cell>
          <cell r="S460">
            <v>1808174938.7418182</v>
          </cell>
          <cell r="T460">
            <v>24048726685.266182</v>
          </cell>
          <cell r="V460" t="str">
            <v>K</v>
          </cell>
          <cell r="Y460">
            <v>19987799000</v>
          </cell>
          <cell r="Z460">
            <v>4060927685.2661819</v>
          </cell>
          <cell r="AA460">
            <v>0.203170328322102</v>
          </cell>
          <cell r="AC460">
            <v>27</v>
          </cell>
          <cell r="AD460">
            <v>0</v>
          </cell>
        </row>
        <row r="461">
          <cell r="B461" t="str">
            <v>Kab. Boven Digoel</v>
          </cell>
          <cell r="C461" t="str">
            <v>06-2005</v>
          </cell>
          <cell r="D461">
            <v>11642964.180085443</v>
          </cell>
          <cell r="E461">
            <v>128189681.22714344</v>
          </cell>
          <cell r="F461">
            <v>89794053.495271653</v>
          </cell>
          <cell r="G461">
            <v>5104839.049655213</v>
          </cell>
          <cell r="H461">
            <v>1426</v>
          </cell>
          <cell r="I461">
            <v>234731537.95215574</v>
          </cell>
          <cell r="J461">
            <v>1544294749.9999998</v>
          </cell>
          <cell r="K461">
            <v>147939450</v>
          </cell>
          <cell r="L461">
            <v>163456000</v>
          </cell>
          <cell r="M461">
            <v>107082249.99999999</v>
          </cell>
          <cell r="N461">
            <v>141064000</v>
          </cell>
          <cell r="O461">
            <v>3020681987.9521556</v>
          </cell>
          <cell r="P461">
            <v>36248183855.425865</v>
          </cell>
          <cell r="Q461">
            <v>906204596.3856467</v>
          </cell>
          <cell r="R461">
            <v>37154388451.811508</v>
          </cell>
          <cell r="S461">
            <v>3020681987.9521556</v>
          </cell>
          <cell r="T461">
            <v>40175070439.763664</v>
          </cell>
          <cell r="V461" t="str">
            <v>K</v>
          </cell>
          <cell r="Y461">
            <v>33166341000</v>
          </cell>
          <cell r="Z461">
            <v>7008729439.7636642</v>
          </cell>
          <cell r="AA461">
            <v>0.21132055054742591</v>
          </cell>
          <cell r="AC461">
            <v>179</v>
          </cell>
          <cell r="AD461">
            <v>187</v>
          </cell>
        </row>
        <row r="462">
          <cell r="B462" t="str">
            <v>Kab. Mappi</v>
          </cell>
          <cell r="C462" t="str">
            <v>06-2005</v>
          </cell>
          <cell r="D462">
            <v>13872467.959250739</v>
          </cell>
          <cell r="E462">
            <v>101043631.08492482</v>
          </cell>
          <cell r="F462">
            <v>61916311.329501212</v>
          </cell>
          <cell r="G462">
            <v>3952133.4577975846</v>
          </cell>
          <cell r="H462">
            <v>1085</v>
          </cell>
          <cell r="I462">
            <v>180784543.83147436</v>
          </cell>
          <cell r="J462">
            <v>1089424900</v>
          </cell>
          <cell r="K462">
            <v>92346150</v>
          </cell>
          <cell r="L462">
            <v>146914000</v>
          </cell>
          <cell r="M462">
            <v>75565350</v>
          </cell>
          <cell r="N462">
            <v>93871000</v>
          </cell>
          <cell r="O462">
            <v>2179277943.8314743</v>
          </cell>
          <cell r="P462">
            <v>26151335325.977692</v>
          </cell>
          <cell r="Q462">
            <v>653783383.14944232</v>
          </cell>
          <cell r="R462">
            <v>26805118709.127132</v>
          </cell>
          <cell r="S462">
            <v>2179277943.8314743</v>
          </cell>
          <cell r="T462">
            <v>28984396652.958607</v>
          </cell>
          <cell r="V462" t="str">
            <v>K</v>
          </cell>
          <cell r="Y462">
            <v>23848409000</v>
          </cell>
          <cell r="Z462">
            <v>5135987652.9586067</v>
          </cell>
          <cell r="AA462">
            <v>0.21535976060116241</v>
          </cell>
          <cell r="AC462">
            <v>169</v>
          </cell>
          <cell r="AD462">
            <v>202</v>
          </cell>
        </row>
        <row r="463">
          <cell r="B463" t="str">
            <v>Kab. Asmat</v>
          </cell>
          <cell r="C463" t="str">
            <v>06-2005</v>
          </cell>
          <cell r="D463">
            <v>10404350.969438056</v>
          </cell>
          <cell r="E463">
            <v>120649111.74319382</v>
          </cell>
          <cell r="F463">
            <v>83633226.497311339</v>
          </cell>
          <cell r="G463">
            <v>5104839.049655213</v>
          </cell>
          <cell r="H463">
            <v>1336</v>
          </cell>
          <cell r="I463">
            <v>219791528.25959843</v>
          </cell>
          <cell r="J463">
            <v>1416770100</v>
          </cell>
          <cell r="K463">
            <v>141937600</v>
          </cell>
          <cell r="L463">
            <v>184595000</v>
          </cell>
          <cell r="M463">
            <v>99800449.999999985</v>
          </cell>
          <cell r="N463">
            <v>132817000</v>
          </cell>
          <cell r="O463">
            <v>2844698678.2595987</v>
          </cell>
          <cell r="P463">
            <v>34136384139.115185</v>
          </cell>
          <cell r="Q463">
            <v>853409603.47787964</v>
          </cell>
          <cell r="R463">
            <v>34989793742.593063</v>
          </cell>
          <cell r="S463">
            <v>2844698678.2595987</v>
          </cell>
          <cell r="T463">
            <v>37834492420.852661</v>
          </cell>
          <cell r="V463" t="str">
            <v>K</v>
          </cell>
          <cell r="Y463">
            <v>31311540000</v>
          </cell>
          <cell r="Z463">
            <v>6522952420.8526611</v>
          </cell>
          <cell r="AA463">
            <v>0.20832422873013148</v>
          </cell>
          <cell r="AC463">
            <v>157</v>
          </cell>
          <cell r="AD463">
            <v>159</v>
          </cell>
        </row>
        <row r="464">
          <cell r="B464" t="str">
            <v>Kab. Biak Numfor</v>
          </cell>
          <cell r="C464" t="str">
            <v>06-2005</v>
          </cell>
          <cell r="D464">
            <v>31213052.908314165</v>
          </cell>
          <cell r="E464">
            <v>251687452.55316266</v>
          </cell>
          <cell r="F464">
            <v>300032274.80066752</v>
          </cell>
          <cell r="G464">
            <v>34087151.073504165</v>
          </cell>
          <cell r="H464">
            <v>3783</v>
          </cell>
          <cell r="I464">
            <v>617019931.33564854</v>
          </cell>
          <cell r="J464">
            <v>4494020600</v>
          </cell>
          <cell r="K464">
            <v>490842999.99999994</v>
          </cell>
          <cell r="L464">
            <v>651626000</v>
          </cell>
          <cell r="M464">
            <v>263647849.99999997</v>
          </cell>
          <cell r="N464">
            <v>428373000</v>
          </cell>
          <cell r="O464">
            <v>8545584381.3356485</v>
          </cell>
          <cell r="P464">
            <v>102547012576.02779</v>
          </cell>
          <cell r="Q464">
            <v>2563675314.4006948</v>
          </cell>
          <cell r="R464">
            <v>105110687890.42848</v>
          </cell>
          <cell r="S464">
            <v>8545584381.3356485</v>
          </cell>
          <cell r="T464">
            <v>113656272271.76413</v>
          </cell>
          <cell r="V464" t="str">
            <v>K</v>
          </cell>
          <cell r="Y464">
            <v>94171688000</v>
          </cell>
          <cell r="Z464">
            <v>19484584271.76413</v>
          </cell>
          <cell r="AA464">
            <v>0.20690490619393093</v>
          </cell>
          <cell r="AC464">
            <v>4187</v>
          </cell>
          <cell r="AD464">
            <v>234</v>
          </cell>
        </row>
        <row r="465">
          <cell r="B465" t="str">
            <v>Kab. Supiori</v>
          </cell>
          <cell r="C465" t="str">
            <v>06-2005</v>
          </cell>
          <cell r="D465">
            <v>3963562.2740716399</v>
          </cell>
          <cell r="E465">
            <v>25470368.03467425</v>
          </cell>
          <cell r="F465">
            <v>30496093.639903579</v>
          </cell>
          <cell r="G465">
            <v>2964100.0933481883</v>
          </cell>
          <cell r="H465">
            <v>384</v>
          </cell>
          <cell r="I465">
            <v>62894124.041997656</v>
          </cell>
          <cell r="J465">
            <v>447662799.99999994</v>
          </cell>
          <cell r="K465">
            <v>54822799.999999993</v>
          </cell>
          <cell r="L465">
            <v>94141000</v>
          </cell>
          <cell r="M465">
            <v>29032899.999999996</v>
          </cell>
          <cell r="N465">
            <v>47771000</v>
          </cell>
          <cell r="O465">
            <v>919044624.04199755</v>
          </cell>
          <cell r="P465">
            <v>11028535488.503971</v>
          </cell>
          <cell r="Q465">
            <v>275713387.21259928</v>
          </cell>
          <cell r="R465">
            <v>11304248875.71657</v>
          </cell>
          <cell r="S465">
            <v>919044624.04199755</v>
          </cell>
          <cell r="T465">
            <v>12223293499.758568</v>
          </cell>
          <cell r="V465" t="str">
            <v>K</v>
          </cell>
          <cell r="Y465">
            <v>10228686000</v>
          </cell>
          <cell r="Z465">
            <v>1994607499.7585678</v>
          </cell>
          <cell r="AA465">
            <v>0.19500134227979701</v>
          </cell>
          <cell r="AC465" t="e">
            <v>#N/A</v>
          </cell>
          <cell r="AD465">
            <v>0</v>
          </cell>
        </row>
        <row r="466">
          <cell r="B466" t="str">
            <v>Provinsi Irian Jaya Barat</v>
          </cell>
          <cell r="C466" t="str">
            <v>06-2005</v>
          </cell>
          <cell r="D466">
            <v>250000</v>
          </cell>
          <cell r="E466">
            <v>5711001.2512512514</v>
          </cell>
          <cell r="F466">
            <v>13316519.123334765</v>
          </cell>
          <cell r="G466">
            <v>6331111.111111111</v>
          </cell>
          <cell r="H466">
            <v>159</v>
          </cell>
          <cell r="I466">
            <v>25608631.485697128</v>
          </cell>
          <cell r="J466">
            <v>205695899.99999997</v>
          </cell>
          <cell r="K466">
            <v>24526049.999999996</v>
          </cell>
          <cell r="L466">
            <v>0</v>
          </cell>
          <cell r="M466">
            <v>13942599.999999998</v>
          </cell>
          <cell r="N466">
            <v>18888000</v>
          </cell>
          <cell r="O466">
            <v>360111181.48569709</v>
          </cell>
          <cell r="P466">
            <v>4321334177.8283653</v>
          </cell>
          <cell r="Q466">
            <v>108033354.44570914</v>
          </cell>
          <cell r="R466">
            <v>4429367532.2740746</v>
          </cell>
          <cell r="S466">
            <v>360111181.48569709</v>
          </cell>
          <cell r="T466">
            <v>4789478713.7597713</v>
          </cell>
          <cell r="V466" t="str">
            <v>P</v>
          </cell>
          <cell r="Y466">
            <v>3934515000</v>
          </cell>
          <cell r="Z466">
            <v>854963713.75977135</v>
          </cell>
          <cell r="AA466">
            <v>0.21729837445270161</v>
          </cell>
          <cell r="AC466">
            <v>0</v>
          </cell>
          <cell r="AD466">
            <v>294</v>
          </cell>
        </row>
        <row r="467">
          <cell r="B467" t="str">
            <v>Kab. Manokwari</v>
          </cell>
          <cell r="C467" t="str">
            <v>06-2005</v>
          </cell>
          <cell r="D467">
            <v>39387900.098586924</v>
          </cell>
          <cell r="E467">
            <v>312347144.84626842</v>
          </cell>
          <cell r="F467">
            <v>292793303.0780642</v>
          </cell>
          <cell r="G467">
            <v>52530440.543226227</v>
          </cell>
          <cell r="H467">
            <v>4243</v>
          </cell>
          <cell r="I467">
            <v>697058788.56614578</v>
          </cell>
          <cell r="J467">
            <v>4859816050</v>
          </cell>
          <cell r="K467">
            <v>489978199.99999994</v>
          </cell>
          <cell r="L467">
            <v>660431000</v>
          </cell>
          <cell r="M467">
            <v>290799350</v>
          </cell>
          <cell r="N467">
            <v>446214000</v>
          </cell>
          <cell r="O467">
            <v>9282326388.5661469</v>
          </cell>
          <cell r="P467">
            <v>111387916662.79376</v>
          </cell>
          <cell r="Q467">
            <v>2784697916.5698442</v>
          </cell>
          <cell r="R467">
            <v>114172614579.3636</v>
          </cell>
          <cell r="S467">
            <v>9282326388.5661469</v>
          </cell>
          <cell r="T467">
            <v>123454940967.92975</v>
          </cell>
          <cell r="V467" t="str">
            <v>K</v>
          </cell>
          <cell r="Y467">
            <v>102043994000</v>
          </cell>
          <cell r="Z467">
            <v>21410946967.929749</v>
          </cell>
          <cell r="AA467">
            <v>0.20982074621588948</v>
          </cell>
          <cell r="AC467">
            <v>5337</v>
          </cell>
          <cell r="AD467">
            <v>314</v>
          </cell>
        </row>
        <row r="468">
          <cell r="B468" t="str">
            <v>Kab. Sorong</v>
          </cell>
          <cell r="C468" t="str">
            <v>06-2005</v>
          </cell>
          <cell r="D468">
            <v>19074643.443969768</v>
          </cell>
          <cell r="E468">
            <v>239790109.5895977</v>
          </cell>
          <cell r="F468">
            <v>284476186.63081777</v>
          </cell>
          <cell r="G468">
            <v>28817639.796440721</v>
          </cell>
          <cell r="H468">
            <v>3530</v>
          </cell>
          <cell r="I468">
            <v>572158579.46082592</v>
          </cell>
          <cell r="J468">
            <v>4102285749.9999995</v>
          </cell>
          <cell r="K468">
            <v>424934199.99999994</v>
          </cell>
          <cell r="L468">
            <v>557835000</v>
          </cell>
          <cell r="M468">
            <v>250974849.99999997</v>
          </cell>
          <cell r="N468">
            <v>370038000</v>
          </cell>
          <cell r="O468">
            <v>7840088379.460825</v>
          </cell>
          <cell r="P468">
            <v>94081060553.529907</v>
          </cell>
          <cell r="Q468">
            <v>2352026513.8382478</v>
          </cell>
          <cell r="R468">
            <v>96433087067.368149</v>
          </cell>
          <cell r="S468">
            <v>7840088379.460825</v>
          </cell>
          <cell r="T468">
            <v>104273175446.82898</v>
          </cell>
          <cell r="V468" t="str">
            <v>K</v>
          </cell>
          <cell r="Y468">
            <v>86380931000</v>
          </cell>
          <cell r="Z468">
            <v>17892244446.828979</v>
          </cell>
          <cell r="AA468">
            <v>0.20713187783110348</v>
          </cell>
          <cell r="AC468">
            <v>5371</v>
          </cell>
          <cell r="AD468">
            <v>0</v>
          </cell>
        </row>
        <row r="469">
          <cell r="B469" t="str">
            <v>Kota Sorong</v>
          </cell>
          <cell r="C469" t="str">
            <v>06-2005</v>
          </cell>
          <cell r="D469">
            <v>19322366.086099245</v>
          </cell>
          <cell r="E469">
            <v>163211437.27482054</v>
          </cell>
          <cell r="F469">
            <v>251207720.84183201</v>
          </cell>
          <cell r="G469">
            <v>49236995.995061576</v>
          </cell>
          <cell r="H469">
            <v>2982</v>
          </cell>
          <cell r="I469">
            <v>482978520.19781333</v>
          </cell>
          <cell r="J469">
            <v>3486339999.9999995</v>
          </cell>
          <cell r="K469">
            <v>330255850</v>
          </cell>
          <cell r="L469">
            <v>530961000</v>
          </cell>
          <cell r="M469">
            <v>212135899.99999997</v>
          </cell>
          <cell r="N469">
            <v>295263000</v>
          </cell>
          <cell r="O469">
            <v>6574855270.197813</v>
          </cell>
          <cell r="P469">
            <v>78898263242.373749</v>
          </cell>
          <cell r="Q469">
            <v>1972456581.0593438</v>
          </cell>
          <cell r="R469">
            <v>80870719823.43309</v>
          </cell>
          <cell r="S469">
            <v>6574855270.197813</v>
          </cell>
          <cell r="T469">
            <v>87445575093.630905</v>
          </cell>
          <cell r="V469" t="str">
            <v>K</v>
          </cell>
          <cell r="Y469">
            <v>72363070000</v>
          </cell>
          <cell r="Z469">
            <v>15082505093.630905</v>
          </cell>
          <cell r="AA469">
            <v>0.20842820921819522</v>
          </cell>
          <cell r="AC469">
            <v>2857</v>
          </cell>
          <cell r="AD469">
            <v>308</v>
          </cell>
        </row>
        <row r="470">
          <cell r="B470" t="str">
            <v>Kab. Sorong Selatan</v>
          </cell>
          <cell r="C470" t="str">
            <v>06-2005</v>
          </cell>
          <cell r="D470">
            <v>10404350.969438056</v>
          </cell>
          <cell r="E470">
            <v>106070677.4075579</v>
          </cell>
          <cell r="F470">
            <v>109662720.56369369</v>
          </cell>
          <cell r="G470">
            <v>9550989.1896774955</v>
          </cell>
          <cell r="H470">
            <v>1445</v>
          </cell>
          <cell r="I470">
            <v>235688738.13036716</v>
          </cell>
          <cell r="J470">
            <v>1522205550</v>
          </cell>
          <cell r="K470">
            <v>140795650</v>
          </cell>
          <cell r="L470">
            <v>279212000</v>
          </cell>
          <cell r="M470">
            <v>170489800</v>
          </cell>
          <cell r="N470">
            <v>136160000</v>
          </cell>
          <cell r="O470">
            <v>3191885738.1303673</v>
          </cell>
          <cell r="P470">
            <v>38302628857.564407</v>
          </cell>
          <cell r="Q470">
            <v>957565721.43911028</v>
          </cell>
          <cell r="R470">
            <v>39260194579.003517</v>
          </cell>
          <cell r="S470">
            <v>3191885738.1303673</v>
          </cell>
          <cell r="T470">
            <v>42452080317.133881</v>
          </cell>
          <cell r="V470" t="str">
            <v>K</v>
          </cell>
          <cell r="Y470">
            <v>35321598000</v>
          </cell>
          <cell r="Z470">
            <v>7130482317.1338806</v>
          </cell>
          <cell r="AA470">
            <v>0.20187315186402044</v>
          </cell>
          <cell r="AC470">
            <v>205</v>
          </cell>
          <cell r="AD470">
            <v>198</v>
          </cell>
        </row>
        <row r="471">
          <cell r="B471" t="str">
            <v>Kab. Raja Ampat</v>
          </cell>
          <cell r="C471" t="str">
            <v>06-2005</v>
          </cell>
          <cell r="D471">
            <v>8422569.8324022349</v>
          </cell>
          <cell r="E471">
            <v>100205790.03115265</v>
          </cell>
          <cell r="F471">
            <v>77010337.474503994</v>
          </cell>
          <cell r="G471">
            <v>7739594.6881869361</v>
          </cell>
          <cell r="H471">
            <v>1179</v>
          </cell>
          <cell r="I471">
            <v>193378292.02624583</v>
          </cell>
          <cell r="J471">
            <v>1194277300</v>
          </cell>
          <cell r="K471">
            <v>103131999.99999999</v>
          </cell>
          <cell r="L471">
            <v>215008000</v>
          </cell>
          <cell r="M471">
            <v>91335300</v>
          </cell>
          <cell r="N471">
            <v>102162000</v>
          </cell>
          <cell r="O471">
            <v>2452122892.0262461</v>
          </cell>
          <cell r="P471">
            <v>29425474704.314953</v>
          </cell>
          <cell r="Q471">
            <v>735636867.60787392</v>
          </cell>
          <cell r="R471">
            <v>30161111571.922829</v>
          </cell>
          <cell r="S471">
            <v>2452122892.0262461</v>
          </cell>
          <cell r="T471">
            <v>32613234463.949074</v>
          </cell>
          <cell r="V471" t="str">
            <v>K</v>
          </cell>
          <cell r="Y471">
            <v>27008852000</v>
          </cell>
          <cell r="Z471">
            <v>5604382463.9490738</v>
          </cell>
          <cell r="AA471">
            <v>0.20750169107332195</v>
          </cell>
          <cell r="AC471">
            <v>205</v>
          </cell>
          <cell r="AD471">
            <v>250</v>
          </cell>
        </row>
        <row r="472">
          <cell r="B472" t="str">
            <v>Kab. Kaimana</v>
          </cell>
          <cell r="C472" t="str">
            <v>06-2005</v>
          </cell>
          <cell r="D472">
            <v>12633854.748603351</v>
          </cell>
          <cell r="E472">
            <v>85627355.69551672</v>
          </cell>
          <cell r="F472">
            <v>54985380.956795849</v>
          </cell>
          <cell r="G472">
            <v>9386316.9622692633</v>
          </cell>
          <cell r="H472">
            <v>976</v>
          </cell>
          <cell r="I472">
            <v>162632908.3631852</v>
          </cell>
          <cell r="J472">
            <v>1017394649.9999999</v>
          </cell>
          <cell r="K472">
            <v>92072450</v>
          </cell>
          <cell r="L472">
            <v>157925000</v>
          </cell>
          <cell r="M472">
            <v>63915849.999999993</v>
          </cell>
          <cell r="N472">
            <v>87787000</v>
          </cell>
          <cell r="O472">
            <v>2014042858.3631852</v>
          </cell>
          <cell r="P472">
            <v>24168514300.358223</v>
          </cell>
          <cell r="Q472">
            <v>604212857.5089556</v>
          </cell>
          <cell r="R472">
            <v>24772727157.86718</v>
          </cell>
          <cell r="S472">
            <v>2014042858.3631852</v>
          </cell>
          <cell r="T472">
            <v>26786770016.230366</v>
          </cell>
          <cell r="V472" t="str">
            <v>K</v>
          </cell>
          <cell r="Y472">
            <v>22078680000</v>
          </cell>
          <cell r="Z472">
            <v>4708090016.2303658</v>
          </cell>
          <cell r="AA472">
            <v>0.21324146263410521</v>
          </cell>
          <cell r="AC472">
            <v>220</v>
          </cell>
          <cell r="AD472">
            <v>0</v>
          </cell>
        </row>
        <row r="473">
          <cell r="B473" t="str">
            <v>Kab. Teluk Bintuni</v>
          </cell>
          <cell r="C473" t="str">
            <v>06-2005</v>
          </cell>
          <cell r="D473">
            <v>6193066.0532369372</v>
          </cell>
          <cell r="E473">
            <v>72054330.624407426</v>
          </cell>
          <cell r="F473">
            <v>33268465.788985725</v>
          </cell>
          <cell r="G473">
            <v>2634755.6385317231</v>
          </cell>
          <cell r="H473">
            <v>687</v>
          </cell>
          <cell r="I473">
            <v>114150618.10516182</v>
          </cell>
          <cell r="J473">
            <v>694780550</v>
          </cell>
          <cell r="K473">
            <v>67854600</v>
          </cell>
          <cell r="L473">
            <v>114309000</v>
          </cell>
          <cell r="M473">
            <v>42946750</v>
          </cell>
          <cell r="N473">
            <v>66425000</v>
          </cell>
          <cell r="O473">
            <v>1634709518.1051617</v>
          </cell>
          <cell r="P473">
            <v>19616514217.26194</v>
          </cell>
          <cell r="Q473">
            <v>490412855.43154854</v>
          </cell>
          <cell r="R473">
            <v>20106927072.693489</v>
          </cell>
          <cell r="S473">
            <v>1634709518.1051617</v>
          </cell>
          <cell r="T473">
            <v>21741636590.798653</v>
          </cell>
          <cell r="V473" t="str">
            <v>K</v>
          </cell>
          <cell r="Y473">
            <v>18401279000</v>
          </cell>
          <cell r="Z473">
            <v>3340357590.7986526</v>
          </cell>
          <cell r="AA473">
            <v>0.18152855520524702</v>
          </cell>
          <cell r="AC473">
            <v>150</v>
          </cell>
          <cell r="AD473">
            <v>262</v>
          </cell>
        </row>
        <row r="474">
          <cell r="B474" t="str">
            <v>Kab. Teluk Wondama</v>
          </cell>
          <cell r="C474" t="str">
            <v>06-2005</v>
          </cell>
          <cell r="D474">
            <v>4706730.2004600726</v>
          </cell>
          <cell r="E474">
            <v>42897461.95313558</v>
          </cell>
          <cell r="F474">
            <v>28031762.840719454</v>
          </cell>
          <cell r="G474">
            <v>2305411.1837152578</v>
          </cell>
          <cell r="H474">
            <v>471</v>
          </cell>
          <cell r="I474">
            <v>77941366.178030372</v>
          </cell>
          <cell r="J474">
            <v>480365349.99999994</v>
          </cell>
          <cell r="K474">
            <v>48125200</v>
          </cell>
          <cell r="L474">
            <v>95077000</v>
          </cell>
          <cell r="M474">
            <v>29697599.999999996</v>
          </cell>
          <cell r="N474">
            <v>47069000</v>
          </cell>
          <cell r="O474">
            <v>965754516.17803025</v>
          </cell>
          <cell r="P474">
            <v>11589054194.136364</v>
          </cell>
          <cell r="Q474">
            <v>289726354.85340911</v>
          </cell>
          <cell r="R474">
            <v>11878780548.989773</v>
          </cell>
          <cell r="S474">
            <v>965754516.17803025</v>
          </cell>
          <cell r="T474">
            <v>12844535065.167803</v>
          </cell>
          <cell r="V474" t="str">
            <v>K</v>
          </cell>
          <cell r="Y474">
            <v>10595078000</v>
          </cell>
          <cell r="Z474">
            <v>2249457065.1678028</v>
          </cell>
          <cell r="AA474">
            <v>0.21231151532511633</v>
          </cell>
          <cell r="AC474">
            <v>150</v>
          </cell>
          <cell r="AD474">
            <v>285</v>
          </cell>
        </row>
        <row r="475">
          <cell r="B475" t="str">
            <v>Kab. Fak Fak</v>
          </cell>
          <cell r="C475" t="str">
            <v>06-2005</v>
          </cell>
          <cell r="D475">
            <v>15111081.169898126</v>
          </cell>
          <cell r="E475">
            <v>216498128.29473114</v>
          </cell>
          <cell r="F475">
            <v>192525843.68625998</v>
          </cell>
          <cell r="G475">
            <v>27664934.204583094</v>
          </cell>
          <cell r="H475">
            <v>2771</v>
          </cell>
          <cell r="I475">
            <v>451799987.35547239</v>
          </cell>
          <cell r="J475">
            <v>3051774550</v>
          </cell>
          <cell r="K475">
            <v>269249500</v>
          </cell>
          <cell r="L475">
            <v>471517000</v>
          </cell>
          <cell r="M475">
            <v>185000500</v>
          </cell>
          <cell r="N475">
            <v>252096000</v>
          </cell>
          <cell r="O475">
            <v>5790772537.3554726</v>
          </cell>
          <cell r="P475">
            <v>69489270448.265671</v>
          </cell>
          <cell r="Q475">
            <v>1737231761.2066419</v>
          </cell>
          <cell r="R475">
            <v>71226502209.472305</v>
          </cell>
          <cell r="S475">
            <v>5790772537.3554726</v>
          </cell>
          <cell r="T475">
            <v>77017274746.827774</v>
          </cell>
          <cell r="V475" t="str">
            <v>K</v>
          </cell>
          <cell r="Y475">
            <v>63461645000</v>
          </cell>
          <cell r="Z475">
            <v>13555629746.827774</v>
          </cell>
          <cell r="AA475">
            <v>0.21360350408231263</v>
          </cell>
          <cell r="AC475">
            <v>3255</v>
          </cell>
          <cell r="AD475">
            <v>299</v>
          </cell>
        </row>
        <row r="476">
          <cell r="B476" t="str">
            <v>Provinsi Sulawesi Barat</v>
          </cell>
          <cell r="C476">
            <v>0</v>
          </cell>
          <cell r="D476">
            <v>16250000</v>
          </cell>
          <cell r="E476">
            <v>80992381.381381392</v>
          </cell>
          <cell r="F476">
            <v>46755778.25526429</v>
          </cell>
          <cell r="G476">
            <v>32379111.111111108</v>
          </cell>
          <cell r="H476">
            <v>1028</v>
          </cell>
          <cell r="I476">
            <v>176377270.74775678</v>
          </cell>
          <cell r="J476">
            <v>1268681233.0048234</v>
          </cell>
          <cell r="K476">
            <v>140992934.9897666</v>
          </cell>
          <cell r="L476">
            <v>114939892.65470104</v>
          </cell>
          <cell r="M476">
            <v>38773057.122185804</v>
          </cell>
          <cell r="N476">
            <v>96549509.829948872</v>
          </cell>
          <cell r="O476">
            <v>1836313898.3491824</v>
          </cell>
          <cell r="P476">
            <v>22035766780.190189</v>
          </cell>
          <cell r="Q476">
            <v>550894169.50475478</v>
          </cell>
          <cell r="R476">
            <v>22586660949.694942</v>
          </cell>
          <cell r="S476">
            <v>1836313898.3491824</v>
          </cell>
          <cell r="T476">
            <v>24422974848.044125</v>
          </cell>
          <cell r="V476" t="str">
            <v>P</v>
          </cell>
          <cell r="W476" t="str">
            <v>x</v>
          </cell>
          <cell r="Y476">
            <v>19922914726.814846</v>
          </cell>
          <cell r="Z476">
            <v>4500060121.2292786</v>
          </cell>
          <cell r="AA476">
            <v>0.22587358240170116</v>
          </cell>
          <cell r="AC476" t="e">
            <v>#N/A</v>
          </cell>
          <cell r="AD4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P1"/>
      <sheetName val="P2"/>
      <sheetName val="P3"/>
      <sheetName val="P4"/>
      <sheetName val="BOBOT"/>
      <sheetName val="F1"/>
      <sheetName val="F2"/>
      <sheetName val="F3"/>
      <sheetName val="F4"/>
      <sheetName val="cat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>
            <v>1</v>
          </cell>
          <cell r="B7" t="str">
            <v xml:space="preserve"> Nangroe Aceh Dar.</v>
          </cell>
          <cell r="C7">
            <v>0</v>
          </cell>
          <cell r="D7">
            <v>2.184986865711348E-2</v>
          </cell>
          <cell r="E7">
            <v>172.43189100000001</v>
          </cell>
          <cell r="F7">
            <v>184.02867900000001</v>
          </cell>
        </row>
        <row r="8">
          <cell r="A8">
            <v>2</v>
          </cell>
          <cell r="B8" t="str">
            <v xml:space="preserve"> Sumatera Utara</v>
          </cell>
          <cell r="C8">
            <v>3.7259818921885048E-2</v>
          </cell>
          <cell r="D8">
            <v>4.5034934004287076E-2</v>
          </cell>
          <cell r="E8">
            <v>301.75</v>
          </cell>
          <cell r="F8">
            <v>321.83961199999999</v>
          </cell>
        </row>
        <row r="9">
          <cell r="A9">
            <v>3</v>
          </cell>
          <cell r="B9" t="str">
            <v xml:space="preserve"> Sumatera Barat</v>
          </cell>
          <cell r="C9">
            <v>2.8690362051210446E-2</v>
          </cell>
          <cell r="D9">
            <v>3.0077550869686311E-2</v>
          </cell>
          <cell r="E9">
            <v>227.67977400000001</v>
          </cell>
          <cell r="F9">
            <v>240.96918400000001</v>
          </cell>
        </row>
        <row r="10">
          <cell r="A10">
            <v>4</v>
          </cell>
          <cell r="B10" t="str">
            <v xml:space="preserve"> Riau</v>
          </cell>
          <cell r="C10">
            <v>0</v>
          </cell>
          <cell r="D10">
            <v>2.1025453568676109E-2</v>
          </cell>
          <cell r="E10">
            <v>251.94574599999999</v>
          </cell>
          <cell r="F10">
            <v>261.23559399999999</v>
          </cell>
        </row>
        <row r="11">
          <cell r="A11">
            <v>5</v>
          </cell>
          <cell r="B11" t="str">
            <v xml:space="preserve"> Jambi</v>
          </cell>
          <cell r="C11">
            <v>2.9897131222795699E-2</v>
          </cell>
          <cell r="D11">
            <v>1.970472200542615E-2</v>
          </cell>
          <cell r="E11">
            <v>209.25</v>
          </cell>
          <cell r="F11">
            <v>217.956298</v>
          </cell>
        </row>
        <row r="12">
          <cell r="A12">
            <v>6</v>
          </cell>
          <cell r="B12" t="str">
            <v xml:space="preserve"> Sumatera Selatan</v>
          </cell>
          <cell r="C12">
            <v>3.1106617046000269E-2</v>
          </cell>
          <cell r="D12">
            <v>2.7107724315205167E-2</v>
          </cell>
          <cell r="E12">
            <v>231.93</v>
          </cell>
          <cell r="F12">
            <v>243.92459100000002</v>
          </cell>
        </row>
        <row r="13">
          <cell r="A13">
            <v>7</v>
          </cell>
          <cell r="B13" t="str">
            <v xml:space="preserve"> Bangka Belitung</v>
          </cell>
          <cell r="C13">
            <v>2.6563903441115248E-2</v>
          </cell>
          <cell r="D13">
            <v>1.7932326943793321E-3</v>
          </cell>
          <cell r="E13">
            <v>162.49</v>
          </cell>
          <cell r="F13">
            <v>170.839789</v>
          </cell>
        </row>
        <row r="14">
          <cell r="A14">
            <v>8</v>
          </cell>
          <cell r="B14" t="str">
            <v xml:space="preserve"> Bengkulu</v>
          </cell>
          <cell r="C14">
            <v>3.1469234288207221E-2</v>
          </cell>
          <cell r="D14">
            <v>1.6384650785627727E-2</v>
          </cell>
          <cell r="E14">
            <v>208.84</v>
          </cell>
          <cell r="F14">
            <v>217.48001400000001</v>
          </cell>
        </row>
        <row r="15">
          <cell r="A15">
            <v>9</v>
          </cell>
          <cell r="B15" t="str">
            <v xml:space="preserve"> Lampung</v>
          </cell>
          <cell r="C15">
            <v>3.7082851118629537E-2</v>
          </cell>
          <cell r="D15">
            <v>2.4184857199435725E-2</v>
          </cell>
          <cell r="E15">
            <v>252.78</v>
          </cell>
          <cell r="F15">
            <v>263.77817300000004</v>
          </cell>
        </row>
        <row r="16">
          <cell r="A16">
            <v>10</v>
          </cell>
          <cell r="B16" t="str">
            <v xml:space="preserve"> DKI Jakarta</v>
          </cell>
          <cell r="C16">
            <v>0</v>
          </cell>
          <cell r="D16">
            <v>0.3071122515103179</v>
          </cell>
          <cell r="E16">
            <v>773.02405999999996</v>
          </cell>
          <cell r="F16">
            <v>944.93342999999993</v>
          </cell>
        </row>
        <row r="17">
          <cell r="A17">
            <v>11</v>
          </cell>
          <cell r="B17" t="str">
            <v xml:space="preserve"> Jawa Barat</v>
          </cell>
          <cell r="C17">
            <v>6.1924463585572249E-2</v>
          </cell>
          <cell r="D17">
            <v>5.1052837081123549E-2</v>
          </cell>
          <cell r="E17">
            <v>552.32302600000003</v>
          </cell>
          <cell r="F17">
            <v>574.88011700000004</v>
          </cell>
        </row>
        <row r="18">
          <cell r="A18">
            <v>12</v>
          </cell>
          <cell r="B18" t="str">
            <v xml:space="preserve"> Banten</v>
          </cell>
          <cell r="C18">
            <v>2.9233482007512673E-2</v>
          </cell>
          <cell r="D18">
            <v>4.8417767723710871E-3</v>
          </cell>
          <cell r="E18">
            <v>171.86</v>
          </cell>
          <cell r="F18">
            <v>178.63207700000001</v>
          </cell>
        </row>
        <row r="19">
          <cell r="A19">
            <v>13</v>
          </cell>
          <cell r="B19" t="str">
            <v xml:space="preserve"> Jawa Tengah</v>
          </cell>
          <cell r="C19">
            <v>7.46125102085618E-2</v>
          </cell>
          <cell r="D19">
            <v>6.0448338046271963E-2</v>
          </cell>
          <cell r="E19">
            <v>754.80359299999998</v>
          </cell>
          <cell r="F19">
            <v>781.64034700000002</v>
          </cell>
        </row>
        <row r="20">
          <cell r="A20">
            <v>14</v>
          </cell>
          <cell r="B20" t="str">
            <v xml:space="preserve"> Yogyakarta</v>
          </cell>
          <cell r="C20">
            <v>2.9504594763532409E-2</v>
          </cell>
          <cell r="D20">
            <v>1.7332282008813021E-2</v>
          </cell>
          <cell r="E20">
            <v>221.92225300000001</v>
          </cell>
          <cell r="F20">
            <v>229.76396400000002</v>
          </cell>
        </row>
        <row r="21">
          <cell r="A21">
            <v>15</v>
          </cell>
          <cell r="B21" t="str">
            <v xml:space="preserve"> Jawa Timur</v>
          </cell>
          <cell r="C21">
            <v>4.7361224315686221E-2</v>
          </cell>
          <cell r="D21">
            <v>7.3576090175959355E-2</v>
          </cell>
          <cell r="E21">
            <v>660.372119</v>
          </cell>
          <cell r="F21">
            <v>694.40241300000002</v>
          </cell>
        </row>
        <row r="22">
          <cell r="A22">
            <v>16</v>
          </cell>
          <cell r="B22" t="str">
            <v xml:space="preserve"> Kalimantan Barat</v>
          </cell>
          <cell r="C22">
            <v>4.4134565268775183E-2</v>
          </cell>
          <cell r="D22">
            <v>1.8794397755504819E-2</v>
          </cell>
          <cell r="E22">
            <v>272.91000000000003</v>
          </cell>
          <cell r="F22">
            <v>281.21408200000002</v>
          </cell>
        </row>
        <row r="23">
          <cell r="A23">
            <v>17</v>
          </cell>
          <cell r="B23" t="str">
            <v xml:space="preserve"> Kalimantan Tengah</v>
          </cell>
          <cell r="C23">
            <v>4.1342563717849411E-2</v>
          </cell>
          <cell r="D23">
            <v>1.6019821068225294E-2</v>
          </cell>
          <cell r="E23">
            <v>253.6</v>
          </cell>
          <cell r="F23">
            <v>262.32065799999998</v>
          </cell>
        </row>
        <row r="24">
          <cell r="A24">
            <v>18</v>
          </cell>
          <cell r="B24" t="str">
            <v xml:space="preserve"> Kalimantan Selatan</v>
          </cell>
          <cell r="C24">
            <v>2.6831666373513974E-2</v>
          </cell>
          <cell r="D24">
            <v>2.2303108134955979E-2</v>
          </cell>
          <cell r="E24">
            <v>201.09</v>
          </cell>
          <cell r="F24">
            <v>210.94436400000001</v>
          </cell>
        </row>
        <row r="25">
          <cell r="A25">
            <v>19</v>
          </cell>
          <cell r="B25" t="str">
            <v xml:space="preserve"> Kalimantan Timur</v>
          </cell>
          <cell r="C25">
            <v>0</v>
          </cell>
          <cell r="D25">
            <v>2.1977638175774559E-2</v>
          </cell>
          <cell r="E25">
            <v>257.10682800000001</v>
          </cell>
          <cell r="F25">
            <v>267.82504699999998</v>
          </cell>
        </row>
        <row r="26">
          <cell r="A26">
            <v>20</v>
          </cell>
          <cell r="B26" t="str">
            <v xml:space="preserve"> Sulawesi Utara</v>
          </cell>
          <cell r="C26">
            <v>2.9158241436854238E-2</v>
          </cell>
          <cell r="D26">
            <v>2.0058647067581963E-2</v>
          </cell>
          <cell r="E26">
            <v>233.465844</v>
          </cell>
          <cell r="F26">
            <v>242.32852</v>
          </cell>
        </row>
        <row r="27">
          <cell r="A27">
            <v>21</v>
          </cell>
          <cell r="B27" t="str">
            <v xml:space="preserve"> Gorontalo</v>
          </cell>
          <cell r="C27">
            <v>3.3880748386787445E-2</v>
          </cell>
          <cell r="D27">
            <v>2.1579094343420293E-3</v>
          </cell>
          <cell r="E27">
            <v>177.13</v>
          </cell>
          <cell r="F27">
            <v>180.108847</v>
          </cell>
        </row>
        <row r="28">
          <cell r="A28">
            <v>22</v>
          </cell>
          <cell r="B28" t="str">
            <v xml:space="preserve"> Sulawesi Tengah</v>
          </cell>
          <cell r="C28">
            <v>3.6698995319245038E-2</v>
          </cell>
          <cell r="D28">
            <v>1.9720218002358202E-2</v>
          </cell>
          <cell r="E28">
            <v>240.7</v>
          </cell>
          <cell r="F28">
            <v>250.91456499999998</v>
          </cell>
        </row>
        <row r="29">
          <cell r="A29">
            <v>23</v>
          </cell>
          <cell r="B29" t="str">
            <v xml:space="preserve"> Sulawesi Selatan</v>
          </cell>
          <cell r="C29">
            <v>4.2879593028243186E-2</v>
          </cell>
          <cell r="D29">
            <v>3.2627546712209084E-2</v>
          </cell>
          <cell r="E29">
            <v>299.05</v>
          </cell>
          <cell r="F29">
            <v>313.691959</v>
          </cell>
        </row>
        <row r="30">
          <cell r="A30">
            <v>24</v>
          </cell>
          <cell r="B30" t="str">
            <v xml:space="preserve"> Sulawesi Tenggara</v>
          </cell>
          <cell r="C30">
            <v>3.4133535812488236E-2</v>
          </cell>
          <cell r="D30">
            <v>1.8670481190777917E-2</v>
          </cell>
          <cell r="E30">
            <v>226.43</v>
          </cell>
          <cell r="F30">
            <v>234.67933100000002</v>
          </cell>
        </row>
        <row r="31">
          <cell r="A31">
            <v>25</v>
          </cell>
          <cell r="B31" t="str">
            <v xml:space="preserve"> Bali</v>
          </cell>
          <cell r="C31">
            <v>2.3276942419895041E-2</v>
          </cell>
          <cell r="D31">
            <v>2.2389823605257667E-2</v>
          </cell>
          <cell r="E31">
            <v>184.87</v>
          </cell>
          <cell r="F31">
            <v>194.76267799999999</v>
          </cell>
        </row>
        <row r="32">
          <cell r="A32">
            <v>26</v>
          </cell>
          <cell r="B32" t="str">
            <v xml:space="preserve"> NT Barat</v>
          </cell>
          <cell r="C32">
            <v>3.4205277549573032E-2</v>
          </cell>
          <cell r="D32">
            <v>1.7453962212173085E-2</v>
          </cell>
          <cell r="E32">
            <v>223.95</v>
          </cell>
          <cell r="F32">
            <v>233.173316</v>
          </cell>
        </row>
        <row r="33">
          <cell r="A33">
            <v>27</v>
          </cell>
          <cell r="B33" t="str">
            <v xml:space="preserve"> NT Timur</v>
          </cell>
          <cell r="C33">
            <v>4.6272741410793843E-2</v>
          </cell>
          <cell r="D33">
            <v>1.8905286758475828E-2</v>
          </cell>
          <cell r="E33">
            <v>283.04000000000002</v>
          </cell>
          <cell r="F33">
            <v>291.896907</v>
          </cell>
        </row>
        <row r="34">
          <cell r="A34">
            <v>28</v>
          </cell>
          <cell r="B34" t="str">
            <v xml:space="preserve"> Maluku</v>
          </cell>
          <cell r="C34">
            <v>3.8984024518509401E-2</v>
          </cell>
          <cell r="D34">
            <v>1.8471697063810823E-2</v>
          </cell>
          <cell r="E34">
            <v>248.37</v>
          </cell>
          <cell r="F34">
            <v>256.53150099999999</v>
          </cell>
        </row>
        <row r="35">
          <cell r="A35">
            <v>29</v>
          </cell>
          <cell r="B35" t="str">
            <v xml:space="preserve"> Maluku Utara</v>
          </cell>
          <cell r="C35">
            <v>3.6149082801247401E-2</v>
          </cell>
          <cell r="D35">
            <v>3.6133626773515591E-3</v>
          </cell>
          <cell r="E35">
            <v>200.96</v>
          </cell>
          <cell r="F35">
            <v>204.72299100000001</v>
          </cell>
        </row>
        <row r="36">
          <cell r="A36">
            <v>30</v>
          </cell>
          <cell r="B36" t="str">
            <v xml:space="preserve"> Papua</v>
          </cell>
          <cell r="C36">
            <v>6.734582898551586E-2</v>
          </cell>
          <cell r="D36">
            <v>2.5309530446507682E-2</v>
          </cell>
          <cell r="E36">
            <v>395.16</v>
          </cell>
          <cell r="F36">
            <v>415.56282599999997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tode Pengadaan"/>
      <sheetName val="Lokasi"/>
      <sheetName val="SKPD"/>
      <sheetName val="KPA"/>
      <sheetName val="A1"/>
      <sheetName val="A3"/>
      <sheetName val="A2"/>
      <sheetName val="A4.P"/>
      <sheetName val="A4.S"/>
      <sheetName val="A5"/>
      <sheetName val="Rekap A5"/>
      <sheetName val="A6"/>
      <sheetName val="Rekap A6"/>
      <sheetName val="B"/>
      <sheetName val="B1"/>
      <sheetName val="B2"/>
      <sheetName val="B3"/>
      <sheetName val="B6"/>
    </sheetNames>
    <sheetDataSet>
      <sheetData sheetId="0"/>
      <sheetData sheetId="1"/>
      <sheetData sheetId="2"/>
      <sheetData sheetId="3"/>
      <sheetData sheetId="4">
        <row r="4">
          <cell r="B4" t="str">
            <v>APBA</v>
          </cell>
        </row>
        <row r="6">
          <cell r="A6" t="str">
            <v>SKPA</v>
          </cell>
          <cell r="B6" t="str">
            <v>TAMBEN</v>
          </cell>
        </row>
        <row r="7">
          <cell r="B7">
            <v>2013</v>
          </cell>
        </row>
        <row r="78">
          <cell r="M78" t="str">
            <v>Banda Aceh, 08 Februari 2013</v>
          </cell>
        </row>
        <row r="79">
          <cell r="D79" t="str">
            <v>Kepala Dinas Pertambangan &amp; Energi</v>
          </cell>
          <cell r="M79" t="str">
            <v>Kepala Bidang Program</v>
          </cell>
        </row>
        <row r="83">
          <cell r="D83" t="str">
            <v>( Ir. SAID IKHSAN, M.Si )</v>
          </cell>
          <cell r="M83" t="str">
            <v>( Ir. T. ZULFIKAR, MT )</v>
          </cell>
        </row>
        <row r="84">
          <cell r="D84" t="str">
            <v>NIP. 19561230 168903 1 004</v>
          </cell>
          <cell r="M84" t="str">
            <v>NIP. 19580912 199403 1 004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1"/>
      <sheetName val="P2"/>
      <sheetName val="P3"/>
      <sheetName val="P4"/>
      <sheetName val="BOBOT"/>
      <sheetName val="F1"/>
      <sheetName val="F2"/>
      <sheetName val="F3"/>
      <sheetName val="F4"/>
      <sheetName val="cat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>
            <v>1</v>
          </cell>
          <cell r="B7" t="str">
            <v xml:space="preserve"> Nangroe Aceh Dar.</v>
          </cell>
          <cell r="C7">
            <v>0</v>
          </cell>
          <cell r="D7">
            <v>2.184986865711348E-2</v>
          </cell>
          <cell r="E7">
            <v>172.43189100000001</v>
          </cell>
          <cell r="F7">
            <v>184.02867900000001</v>
          </cell>
        </row>
        <row r="8">
          <cell r="A8">
            <v>2</v>
          </cell>
          <cell r="B8" t="str">
            <v xml:space="preserve"> Sumatera Utara</v>
          </cell>
          <cell r="C8">
            <v>3.7259818921885048E-2</v>
          </cell>
          <cell r="D8">
            <v>4.5034934004287076E-2</v>
          </cell>
          <cell r="E8">
            <v>301.75</v>
          </cell>
          <cell r="F8">
            <v>321.83961199999999</v>
          </cell>
        </row>
        <row r="9">
          <cell r="A9">
            <v>3</v>
          </cell>
          <cell r="B9" t="str">
            <v xml:space="preserve"> Sumatera Barat</v>
          </cell>
          <cell r="C9">
            <v>2.8690362051210446E-2</v>
          </cell>
          <cell r="D9">
            <v>3.0077550869686311E-2</v>
          </cell>
          <cell r="E9">
            <v>227.67977400000001</v>
          </cell>
          <cell r="F9">
            <v>240.96918400000001</v>
          </cell>
        </row>
        <row r="10">
          <cell r="A10">
            <v>4</v>
          </cell>
          <cell r="B10" t="str">
            <v xml:space="preserve"> Riau</v>
          </cell>
          <cell r="C10">
            <v>0</v>
          </cell>
          <cell r="D10">
            <v>2.1025453568676109E-2</v>
          </cell>
          <cell r="E10">
            <v>251.94574599999999</v>
          </cell>
          <cell r="F10">
            <v>261.23559399999999</v>
          </cell>
        </row>
        <row r="11">
          <cell r="A11">
            <v>5</v>
          </cell>
          <cell r="B11" t="str">
            <v xml:space="preserve"> Jambi</v>
          </cell>
          <cell r="C11">
            <v>2.9897131222795699E-2</v>
          </cell>
          <cell r="D11">
            <v>1.970472200542615E-2</v>
          </cell>
          <cell r="E11">
            <v>209.25</v>
          </cell>
          <cell r="F11">
            <v>217.956298</v>
          </cell>
        </row>
        <row r="12">
          <cell r="A12">
            <v>6</v>
          </cell>
          <cell r="B12" t="str">
            <v xml:space="preserve"> Sumatera Selatan</v>
          </cell>
          <cell r="C12">
            <v>3.1106617046000269E-2</v>
          </cell>
          <cell r="D12">
            <v>2.7107724315205167E-2</v>
          </cell>
          <cell r="E12">
            <v>231.93</v>
          </cell>
          <cell r="F12">
            <v>243.92459100000002</v>
          </cell>
        </row>
        <row r="13">
          <cell r="A13">
            <v>7</v>
          </cell>
          <cell r="B13" t="str">
            <v xml:space="preserve"> Bangka Belitung</v>
          </cell>
          <cell r="C13">
            <v>2.6563903441115248E-2</v>
          </cell>
          <cell r="D13">
            <v>1.7932326943793321E-3</v>
          </cell>
          <cell r="E13">
            <v>162.49</v>
          </cell>
          <cell r="F13">
            <v>170.839789</v>
          </cell>
        </row>
        <row r="14">
          <cell r="A14">
            <v>8</v>
          </cell>
          <cell r="B14" t="str">
            <v xml:space="preserve"> Bengkulu</v>
          </cell>
          <cell r="C14">
            <v>3.1469234288207221E-2</v>
          </cell>
          <cell r="D14">
            <v>1.6384650785627727E-2</v>
          </cell>
          <cell r="E14">
            <v>208.84</v>
          </cell>
          <cell r="F14">
            <v>217.48001400000001</v>
          </cell>
        </row>
        <row r="15">
          <cell r="A15">
            <v>9</v>
          </cell>
          <cell r="B15" t="str">
            <v xml:space="preserve"> Lampung</v>
          </cell>
          <cell r="C15">
            <v>3.7082851118629537E-2</v>
          </cell>
          <cell r="D15">
            <v>2.4184857199435725E-2</v>
          </cell>
          <cell r="E15">
            <v>252.78</v>
          </cell>
          <cell r="F15">
            <v>263.77817300000004</v>
          </cell>
        </row>
        <row r="16">
          <cell r="A16">
            <v>10</v>
          </cell>
          <cell r="B16" t="str">
            <v xml:space="preserve"> DKI Jakarta</v>
          </cell>
          <cell r="C16">
            <v>0</v>
          </cell>
          <cell r="D16">
            <v>0.3071122515103179</v>
          </cell>
          <cell r="E16">
            <v>773.02405999999996</v>
          </cell>
          <cell r="F16">
            <v>944.93342999999993</v>
          </cell>
        </row>
        <row r="17">
          <cell r="A17">
            <v>11</v>
          </cell>
          <cell r="B17" t="str">
            <v xml:space="preserve"> Jawa Barat</v>
          </cell>
          <cell r="C17">
            <v>6.1924463585572249E-2</v>
          </cell>
          <cell r="D17">
            <v>5.1052837081123549E-2</v>
          </cell>
          <cell r="E17">
            <v>552.32302600000003</v>
          </cell>
          <cell r="F17">
            <v>574.88011700000004</v>
          </cell>
        </row>
        <row r="18">
          <cell r="A18">
            <v>12</v>
          </cell>
          <cell r="B18" t="str">
            <v xml:space="preserve"> Banten</v>
          </cell>
          <cell r="C18">
            <v>2.9233482007512673E-2</v>
          </cell>
          <cell r="D18">
            <v>4.8417767723710871E-3</v>
          </cell>
          <cell r="E18">
            <v>171.86</v>
          </cell>
          <cell r="F18">
            <v>178.63207700000001</v>
          </cell>
        </row>
        <row r="19">
          <cell r="A19">
            <v>13</v>
          </cell>
          <cell r="B19" t="str">
            <v xml:space="preserve"> Jawa Tengah</v>
          </cell>
          <cell r="C19">
            <v>7.46125102085618E-2</v>
          </cell>
          <cell r="D19">
            <v>6.0448338046271963E-2</v>
          </cell>
          <cell r="E19">
            <v>754.80359299999998</v>
          </cell>
          <cell r="F19">
            <v>781.64034700000002</v>
          </cell>
        </row>
        <row r="20">
          <cell r="A20">
            <v>14</v>
          </cell>
          <cell r="B20" t="str">
            <v xml:space="preserve"> Yogyakarta</v>
          </cell>
          <cell r="C20">
            <v>2.9504594763532409E-2</v>
          </cell>
          <cell r="D20">
            <v>1.7332282008813021E-2</v>
          </cell>
          <cell r="E20">
            <v>221.92225300000001</v>
          </cell>
          <cell r="F20">
            <v>229.76396400000002</v>
          </cell>
        </row>
        <row r="21">
          <cell r="A21">
            <v>15</v>
          </cell>
          <cell r="B21" t="str">
            <v xml:space="preserve"> Jawa Timur</v>
          </cell>
          <cell r="C21">
            <v>4.7361224315686221E-2</v>
          </cell>
          <cell r="D21">
            <v>7.3576090175959355E-2</v>
          </cell>
          <cell r="E21">
            <v>660.372119</v>
          </cell>
          <cell r="F21">
            <v>694.40241300000002</v>
          </cell>
        </row>
        <row r="22">
          <cell r="A22">
            <v>16</v>
          </cell>
          <cell r="B22" t="str">
            <v xml:space="preserve"> Kalimantan Barat</v>
          </cell>
          <cell r="C22">
            <v>4.4134565268775183E-2</v>
          </cell>
          <cell r="D22">
            <v>1.8794397755504819E-2</v>
          </cell>
          <cell r="E22">
            <v>272.91000000000003</v>
          </cell>
          <cell r="F22">
            <v>281.21408200000002</v>
          </cell>
        </row>
        <row r="23">
          <cell r="A23">
            <v>17</v>
          </cell>
          <cell r="B23" t="str">
            <v xml:space="preserve"> Kalimantan Tengah</v>
          </cell>
          <cell r="C23">
            <v>4.1342563717849411E-2</v>
          </cell>
          <cell r="D23">
            <v>1.6019821068225294E-2</v>
          </cell>
          <cell r="E23">
            <v>253.6</v>
          </cell>
          <cell r="F23">
            <v>262.32065799999998</v>
          </cell>
        </row>
        <row r="24">
          <cell r="A24">
            <v>18</v>
          </cell>
          <cell r="B24" t="str">
            <v xml:space="preserve"> Kalimantan Selatan</v>
          </cell>
          <cell r="C24">
            <v>2.6831666373513974E-2</v>
          </cell>
          <cell r="D24">
            <v>2.2303108134955979E-2</v>
          </cell>
          <cell r="E24">
            <v>201.09</v>
          </cell>
          <cell r="F24">
            <v>210.94436400000001</v>
          </cell>
        </row>
        <row r="25">
          <cell r="A25">
            <v>19</v>
          </cell>
          <cell r="B25" t="str">
            <v xml:space="preserve"> Kalimantan Timur</v>
          </cell>
          <cell r="C25">
            <v>0</v>
          </cell>
          <cell r="D25">
            <v>2.1977638175774559E-2</v>
          </cell>
          <cell r="E25">
            <v>257.10682800000001</v>
          </cell>
          <cell r="F25">
            <v>267.82504699999998</v>
          </cell>
        </row>
        <row r="26">
          <cell r="A26">
            <v>20</v>
          </cell>
          <cell r="B26" t="str">
            <v xml:space="preserve"> Sulawesi Utara</v>
          </cell>
          <cell r="C26">
            <v>2.9158241436854238E-2</v>
          </cell>
          <cell r="D26">
            <v>2.0058647067581963E-2</v>
          </cell>
          <cell r="E26">
            <v>233.465844</v>
          </cell>
          <cell r="F26">
            <v>242.32852</v>
          </cell>
        </row>
        <row r="27">
          <cell r="A27">
            <v>21</v>
          </cell>
          <cell r="B27" t="str">
            <v xml:space="preserve"> Gorontalo</v>
          </cell>
          <cell r="C27">
            <v>3.3880748386787445E-2</v>
          </cell>
          <cell r="D27">
            <v>2.1579094343420293E-3</v>
          </cell>
          <cell r="E27">
            <v>177.13</v>
          </cell>
          <cell r="F27">
            <v>180.108847</v>
          </cell>
        </row>
        <row r="28">
          <cell r="A28">
            <v>22</v>
          </cell>
          <cell r="B28" t="str">
            <v xml:space="preserve"> Sulawesi Tengah</v>
          </cell>
          <cell r="C28">
            <v>3.6698995319245038E-2</v>
          </cell>
          <cell r="D28">
            <v>1.9720218002358202E-2</v>
          </cell>
          <cell r="E28">
            <v>240.7</v>
          </cell>
          <cell r="F28">
            <v>250.91456499999998</v>
          </cell>
        </row>
        <row r="29">
          <cell r="A29">
            <v>23</v>
          </cell>
          <cell r="B29" t="str">
            <v xml:space="preserve"> Sulawesi Selatan</v>
          </cell>
          <cell r="C29">
            <v>4.2879593028243186E-2</v>
          </cell>
          <cell r="D29">
            <v>3.2627546712209084E-2</v>
          </cell>
          <cell r="E29">
            <v>299.05</v>
          </cell>
          <cell r="F29">
            <v>313.691959</v>
          </cell>
        </row>
        <row r="30">
          <cell r="A30">
            <v>24</v>
          </cell>
          <cell r="B30" t="str">
            <v xml:space="preserve"> Sulawesi Tenggara</v>
          </cell>
          <cell r="C30">
            <v>3.4133535812488236E-2</v>
          </cell>
          <cell r="D30">
            <v>1.8670481190777917E-2</v>
          </cell>
          <cell r="E30">
            <v>226.43</v>
          </cell>
          <cell r="F30">
            <v>234.67933100000002</v>
          </cell>
        </row>
        <row r="31">
          <cell r="A31">
            <v>25</v>
          </cell>
          <cell r="B31" t="str">
            <v xml:space="preserve"> Bali</v>
          </cell>
          <cell r="C31">
            <v>2.3276942419895041E-2</v>
          </cell>
          <cell r="D31">
            <v>2.2389823605257667E-2</v>
          </cell>
          <cell r="E31">
            <v>184.87</v>
          </cell>
          <cell r="F31">
            <v>194.76267799999999</v>
          </cell>
        </row>
        <row r="32">
          <cell r="A32">
            <v>26</v>
          </cell>
          <cell r="B32" t="str">
            <v xml:space="preserve"> NT Barat</v>
          </cell>
          <cell r="C32">
            <v>3.4205277549573032E-2</v>
          </cell>
          <cell r="D32">
            <v>1.7453962212173085E-2</v>
          </cell>
          <cell r="E32">
            <v>223.95</v>
          </cell>
          <cell r="F32">
            <v>233.173316</v>
          </cell>
        </row>
        <row r="33">
          <cell r="A33">
            <v>27</v>
          </cell>
          <cell r="B33" t="str">
            <v xml:space="preserve"> NT Timur</v>
          </cell>
          <cell r="C33">
            <v>4.6272741410793843E-2</v>
          </cell>
          <cell r="D33">
            <v>1.8905286758475828E-2</v>
          </cell>
          <cell r="E33">
            <v>283.04000000000002</v>
          </cell>
          <cell r="F33">
            <v>291.896907</v>
          </cell>
        </row>
        <row r="34">
          <cell r="A34">
            <v>28</v>
          </cell>
          <cell r="B34" t="str">
            <v xml:space="preserve"> Maluku</v>
          </cell>
          <cell r="C34">
            <v>3.8984024518509401E-2</v>
          </cell>
          <cell r="D34">
            <v>1.8471697063810823E-2</v>
          </cell>
          <cell r="E34">
            <v>248.37</v>
          </cell>
          <cell r="F34">
            <v>256.53150099999999</v>
          </cell>
        </row>
        <row r="35">
          <cell r="A35">
            <v>29</v>
          </cell>
          <cell r="B35" t="str">
            <v xml:space="preserve"> Maluku Utara</v>
          </cell>
          <cell r="C35">
            <v>3.6149082801247401E-2</v>
          </cell>
          <cell r="D35">
            <v>3.6133626773515591E-3</v>
          </cell>
          <cell r="E35">
            <v>200.96</v>
          </cell>
          <cell r="F35">
            <v>204.72299100000001</v>
          </cell>
        </row>
        <row r="36">
          <cell r="A36">
            <v>30</v>
          </cell>
          <cell r="B36" t="str">
            <v xml:space="preserve"> Papua</v>
          </cell>
          <cell r="C36">
            <v>6.734582898551586E-2</v>
          </cell>
          <cell r="D36">
            <v>2.5309530446507682E-2</v>
          </cell>
          <cell r="E36">
            <v>395.16</v>
          </cell>
          <cell r="F36">
            <v>415.56282599999997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1. DINAS PU musrenbang"/>
      <sheetName val="2. DISHUB musrenbang"/>
      <sheetName val="3. BLHK musrenbang"/>
      <sheetName val="4. PEMBANGUNAN musrenbang"/>
      <sheetName val="5. BPBD musrenbang"/>
      <sheetName val="6. DISTAMBEN musrenbang"/>
      <sheetName val="Pembahasan Bappeda"/>
      <sheetName val="renja PU"/>
      <sheetName val="DINAS PU "/>
      <sheetName val="Otsus Migas PU"/>
      <sheetName val="Pertambangan"/>
      <sheetName val="Perhubungan"/>
      <sheetName val="BPBD"/>
      <sheetName val="BLHK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1. DINAS PU musrenbang"/>
      <sheetName val="2. DISHUB musrenbang"/>
      <sheetName val="3. BLHK musrenbang"/>
      <sheetName val="4. PEMBANGUNAN musrenbang"/>
      <sheetName val="5. BPBD musrenbang"/>
      <sheetName val="6. DISTAMBEN musrenbang"/>
      <sheetName val="Pembahasan Bappeda"/>
      <sheetName val="renja PU"/>
      <sheetName val="DINAS PU "/>
      <sheetName val="Otsus Migas PU"/>
      <sheetName val="Pertambangan"/>
      <sheetName val="Perhubungan"/>
      <sheetName val="BPBD"/>
      <sheetName val="BLHK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LAP-BLN DES2003"/>
      <sheetName val="REKAP APBD"/>
      <sheetName val="REKAP KOTOR"/>
      <sheetName val="33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LAP-BLN DES2003"/>
      <sheetName val="REKAP APBD"/>
      <sheetName val="REKAP KOTOR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DAU suatu daerah"/>
      <sheetName val="Papua-riau"/>
    </sheetNames>
    <sheetDataSet>
      <sheetData sheetId="0">
        <row r="10">
          <cell r="A10">
            <v>1</v>
          </cell>
          <cell r="B10" t="str">
            <v xml:space="preserve"> Nangroe Aceh Dar.</v>
          </cell>
          <cell r="C10">
            <v>4239.9880000000012</v>
          </cell>
          <cell r="D10">
            <v>55517.05</v>
          </cell>
          <cell r="E10">
            <v>76.372717930797847</v>
          </cell>
          <cell r="F10">
            <v>1254.1853224774891</v>
          </cell>
          <cell r="G10">
            <v>6.7270000000000003</v>
          </cell>
          <cell r="H10">
            <v>5318.0092420618366</v>
          </cell>
          <cell r="I10">
            <v>92.403499999999994</v>
          </cell>
          <cell r="J10">
            <v>135.44137472759451</v>
          </cell>
          <cell r="K10">
            <v>1659.72440362</v>
          </cell>
          <cell r="L10">
            <v>23.3028219732</v>
          </cell>
          <cell r="M10">
            <v>37.161945576000008</v>
          </cell>
          <cell r="N10">
            <v>0.42352000000000001</v>
          </cell>
          <cell r="O10">
            <v>144.76108187849999</v>
          </cell>
          <cell r="P10">
            <v>90.95</v>
          </cell>
          <cell r="Q10">
            <v>172.43189100000001</v>
          </cell>
        </row>
        <row r="11">
          <cell r="A11">
            <v>2</v>
          </cell>
          <cell r="B11" t="str">
            <v xml:space="preserve"> Sumatera Utara</v>
          </cell>
          <cell r="C11">
            <v>11923.457</v>
          </cell>
          <cell r="D11">
            <v>70492.639998321538</v>
          </cell>
          <cell r="E11">
            <v>169.14470787707629</v>
          </cell>
          <cell r="F11">
            <v>1883.8610998607448</v>
          </cell>
          <cell r="G11">
            <v>2.6339999999999999</v>
          </cell>
          <cell r="H11">
            <v>31734.985250000002</v>
          </cell>
          <cell r="I11">
            <v>614.45938000000001</v>
          </cell>
          <cell r="J11">
            <v>649.03058425897473</v>
          </cell>
          <cell r="K11">
            <v>12.429561640000001</v>
          </cell>
          <cell r="L11">
            <v>47.467212813472003</v>
          </cell>
          <cell r="M11">
            <v>69.591533592000019</v>
          </cell>
          <cell r="N11">
            <v>12.480743679999998</v>
          </cell>
          <cell r="O11">
            <v>222.56092562825455</v>
          </cell>
          <cell r="P11">
            <v>91.33</v>
          </cell>
          <cell r="Q11">
            <v>301.75</v>
          </cell>
        </row>
        <row r="12">
          <cell r="A12">
            <v>3</v>
          </cell>
          <cell r="B12" t="str">
            <v xml:space="preserve"> Sumatera Barat</v>
          </cell>
          <cell r="C12">
            <v>4476.4809999999989</v>
          </cell>
          <cell r="D12">
            <v>43985.599999999999</v>
          </cell>
          <cell r="E12">
            <v>101.77151158560982</v>
          </cell>
          <cell r="F12">
            <v>501.10784071861644</v>
          </cell>
          <cell r="G12">
            <v>1.736</v>
          </cell>
          <cell r="H12">
            <v>15854.271939315911</v>
          </cell>
          <cell r="I12">
            <v>213.28455</v>
          </cell>
          <cell r="J12">
            <v>340.28355001940753</v>
          </cell>
          <cell r="K12">
            <v>1.65703076</v>
          </cell>
          <cell r="L12">
            <v>22.250460360304004</v>
          </cell>
          <cell r="M12">
            <v>19.855780392000003</v>
          </cell>
          <cell r="N12">
            <v>2.2304771200000002</v>
          </cell>
          <cell r="O12">
            <v>158.10048671010003</v>
          </cell>
          <cell r="P12">
            <v>92.25</v>
          </cell>
          <cell r="Q12">
            <v>227.67977400000001</v>
          </cell>
        </row>
        <row r="13">
          <cell r="A13">
            <v>4</v>
          </cell>
          <cell r="B13" t="str">
            <v xml:space="preserve"> Riau</v>
          </cell>
          <cell r="C13">
            <v>5596.268</v>
          </cell>
          <cell r="D13">
            <v>103151.01</v>
          </cell>
          <cell r="E13">
            <v>54.253157579358657</v>
          </cell>
          <cell r="F13">
            <v>751.32265547472173</v>
          </cell>
          <cell r="G13">
            <v>2.456</v>
          </cell>
          <cell r="H13">
            <v>11674.7491427</v>
          </cell>
          <cell r="I13">
            <v>504.38458000000003</v>
          </cell>
          <cell r="J13">
            <v>259.02679267188523</v>
          </cell>
          <cell r="K13">
            <v>650.13763940000001</v>
          </cell>
          <cell r="L13">
            <v>96.954180408368018</v>
          </cell>
          <cell r="M13">
            <v>88.544699376000011</v>
          </cell>
          <cell r="N13">
            <v>21.812290559999997</v>
          </cell>
          <cell r="O13">
            <v>117.44110313999998</v>
          </cell>
          <cell r="P13">
            <v>100.68</v>
          </cell>
          <cell r="Q13">
            <v>251.94574599999999</v>
          </cell>
        </row>
        <row r="14">
          <cell r="A14">
            <v>5</v>
          </cell>
          <cell r="B14" t="str">
            <v xml:space="preserve"> Jambi</v>
          </cell>
          <cell r="C14">
            <v>2582.7719999999999</v>
          </cell>
          <cell r="D14">
            <v>50613.279999999999</v>
          </cell>
          <cell r="E14">
            <v>51.029532170213038</v>
          </cell>
          <cell r="F14">
            <v>327.30190625513137</v>
          </cell>
          <cell r="G14">
            <v>2.0880000000000001</v>
          </cell>
          <cell r="H14">
            <v>4819.5825300000006</v>
          </cell>
          <cell r="I14">
            <v>149.64865</v>
          </cell>
          <cell r="J14">
            <v>125.75114443854702</v>
          </cell>
          <cell r="K14">
            <v>7.8316052999999997</v>
          </cell>
          <cell r="L14">
            <v>9.8168465533439999</v>
          </cell>
          <cell r="M14">
            <v>29.79842930400001</v>
          </cell>
          <cell r="N14">
            <v>2.7373774400000004</v>
          </cell>
          <cell r="O14">
            <v>107.23317468719999</v>
          </cell>
          <cell r="P14">
            <v>89.48</v>
          </cell>
          <cell r="Q14">
            <v>209.25</v>
          </cell>
        </row>
        <row r="15">
          <cell r="A15">
            <v>6</v>
          </cell>
          <cell r="B15" t="str">
            <v xml:space="preserve"> Sumatera Selatan</v>
          </cell>
          <cell r="C15">
            <v>6706.7887965075706</v>
          </cell>
          <cell r="D15">
            <v>97166.56</v>
          </cell>
          <cell r="E15">
            <v>69.023631139227021</v>
          </cell>
          <cell r="F15">
            <v>1397.0282268396088</v>
          </cell>
          <cell r="G15">
            <v>4.1609999999999996</v>
          </cell>
          <cell r="H15">
            <v>17173.745116827213</v>
          </cell>
          <cell r="I15">
            <v>289.63463000000002</v>
          </cell>
          <cell r="J15">
            <v>365.93626613771914</v>
          </cell>
          <cell r="K15">
            <v>137.67429206</v>
          </cell>
          <cell r="L15">
            <v>32.289321480216003</v>
          </cell>
          <cell r="M15">
            <v>58.599175152000001</v>
          </cell>
          <cell r="N15">
            <v>4.8788969599999996</v>
          </cell>
          <cell r="O15">
            <v>151.50685476000001</v>
          </cell>
          <cell r="P15">
            <v>95.66</v>
          </cell>
          <cell r="Q15">
            <v>231.93</v>
          </cell>
        </row>
        <row r="16">
          <cell r="A16">
            <v>7</v>
          </cell>
          <cell r="B16" t="str">
            <v xml:space="preserve"> Bangka Belitung</v>
          </cell>
          <cell r="C16">
            <v>987.92700000000002</v>
          </cell>
          <cell r="D16">
            <v>16424.139898681642</v>
          </cell>
          <cell r="E16">
            <v>60.150912382285568</v>
          </cell>
          <cell r="F16">
            <v>98.187175255576506</v>
          </cell>
          <cell r="G16">
            <v>1.5289999999999999</v>
          </cell>
          <cell r="H16">
            <v>1928.265138</v>
          </cell>
          <cell r="I16">
            <v>58.885489999999997</v>
          </cell>
          <cell r="J16">
            <v>69.539206576492234</v>
          </cell>
          <cell r="K16">
            <v>8.6511259000000003</v>
          </cell>
          <cell r="L16">
            <v>4.2507412815840002</v>
          </cell>
          <cell r="M16">
            <v>7.4141272800000007</v>
          </cell>
          <cell r="N16">
            <v>2.4078708799999999</v>
          </cell>
          <cell r="O16">
            <v>24.425999999999998</v>
          </cell>
          <cell r="P16">
            <v>92.56</v>
          </cell>
          <cell r="Q16">
            <v>162.49</v>
          </cell>
        </row>
        <row r="17">
          <cell r="A17">
            <v>8</v>
          </cell>
          <cell r="B17" t="str">
            <v xml:space="preserve"> Bengkulu</v>
          </cell>
          <cell r="C17">
            <v>1525.171</v>
          </cell>
          <cell r="D17">
            <v>19795.149986572265</v>
          </cell>
          <cell r="E17">
            <v>77.047711234043504</v>
          </cell>
          <cell r="F17">
            <v>344.16145310734197</v>
          </cell>
          <cell r="G17">
            <v>4.0270000000000001</v>
          </cell>
          <cell r="H17">
            <v>2826.181</v>
          </cell>
          <cell r="I17">
            <v>45.510349999999995</v>
          </cell>
          <cell r="J17">
            <v>86.996159168329086</v>
          </cell>
          <cell r="K17">
            <v>0.57373283000000008</v>
          </cell>
          <cell r="L17">
            <v>5.4076315689200003</v>
          </cell>
          <cell r="M17">
            <v>7.1820685439999998</v>
          </cell>
          <cell r="N17">
            <v>0.23080608</v>
          </cell>
          <cell r="O17">
            <v>101.00373981139468</v>
          </cell>
          <cell r="P17">
            <v>97.19</v>
          </cell>
          <cell r="Q17">
            <v>208.84</v>
          </cell>
        </row>
        <row r="18">
          <cell r="A18">
            <v>9</v>
          </cell>
          <cell r="B18" t="str">
            <v xml:space="preserve"> Lampung</v>
          </cell>
          <cell r="C18">
            <v>6962.5630000000001</v>
          </cell>
          <cell r="D18">
            <v>35446.33</v>
          </cell>
          <cell r="E18">
            <v>196.42549736460728</v>
          </cell>
          <cell r="F18">
            <v>1567.859365793352</v>
          </cell>
          <cell r="G18">
            <v>4.2619999999999996</v>
          </cell>
          <cell r="H18">
            <v>10560.729219999999</v>
          </cell>
          <cell r="I18">
            <v>237.01165</v>
          </cell>
          <cell r="J18">
            <v>237.36842377569607</v>
          </cell>
          <cell r="K18">
            <v>60.25519139</v>
          </cell>
          <cell r="L18">
            <v>15.799089325552002</v>
          </cell>
          <cell r="M18">
            <v>23.139260424</v>
          </cell>
          <cell r="N18">
            <v>3.7016628799999998</v>
          </cell>
          <cell r="O18">
            <v>142.35587524944279</v>
          </cell>
          <cell r="P18">
            <v>96.3</v>
          </cell>
          <cell r="Q18">
            <v>252.78</v>
          </cell>
        </row>
        <row r="19">
          <cell r="A19">
            <v>10</v>
          </cell>
          <cell r="B19" t="str">
            <v xml:space="preserve"> DKI Jakarta</v>
          </cell>
          <cell r="C19">
            <v>8640.1839999999993</v>
          </cell>
          <cell r="D19">
            <v>661.62</v>
          </cell>
          <cell r="E19">
            <v>13059.133641667422</v>
          </cell>
          <cell r="F19">
            <v>294.14810004810909</v>
          </cell>
          <cell r="G19">
            <v>0.49</v>
          </cell>
          <cell r="H19">
            <v>166341.9304014779</v>
          </cell>
          <cell r="I19">
            <v>4509.5297499999997</v>
          </cell>
          <cell r="J19">
            <v>3266.0097016646678</v>
          </cell>
          <cell r="K19">
            <v>65.878680849999995</v>
          </cell>
          <cell r="L19">
            <v>2082.0644852134001</v>
          </cell>
          <cell r="M19">
            <v>796.02225637000004</v>
          </cell>
          <cell r="N19">
            <v>814.22454693000009</v>
          </cell>
          <cell r="O19">
            <v>1692.1980000000001</v>
          </cell>
          <cell r="P19">
            <v>108.35</v>
          </cell>
          <cell r="Q19">
            <v>773.02405999999996</v>
          </cell>
        </row>
        <row r="20">
          <cell r="A20">
            <v>11</v>
          </cell>
          <cell r="B20" t="str">
            <v xml:space="preserve"> Jawa Barat</v>
          </cell>
          <cell r="C20">
            <v>38137.964999999997</v>
          </cell>
          <cell r="D20">
            <v>35249.280011520386</v>
          </cell>
          <cell r="E20">
            <v>1081.9501841607976</v>
          </cell>
          <cell r="F20">
            <v>4898.8225931924144</v>
          </cell>
          <cell r="G20">
            <v>2.1970000000000001</v>
          </cell>
          <cell r="H20">
            <v>66747.909193061656</v>
          </cell>
          <cell r="I20">
            <v>1551.4909700000001</v>
          </cell>
          <cell r="J20">
            <v>1329.7390773845996</v>
          </cell>
          <cell r="K20">
            <v>106.69330780999999</v>
          </cell>
          <cell r="L20">
            <v>228.78473684008802</v>
          </cell>
          <cell r="M20">
            <v>129.33312168000003</v>
          </cell>
          <cell r="N20">
            <v>58.043199999999999</v>
          </cell>
          <cell r="O20">
            <v>269.86404391251097</v>
          </cell>
          <cell r="P20">
            <v>93.21</v>
          </cell>
          <cell r="Q20">
            <v>552.32302600000003</v>
          </cell>
        </row>
        <row r="21">
          <cell r="A21">
            <v>12</v>
          </cell>
          <cell r="B21" t="str">
            <v xml:space="preserve"> Banten</v>
          </cell>
          <cell r="C21">
            <v>8999.3270000000011</v>
          </cell>
          <cell r="D21">
            <v>9164.41</v>
          </cell>
          <cell r="E21">
            <v>981.98651086103769</v>
          </cell>
          <cell r="F21">
            <v>855.82147749843159</v>
          </cell>
          <cell r="G21">
            <v>1.49</v>
          </cell>
          <cell r="H21">
            <v>18466.102729999999</v>
          </cell>
          <cell r="I21">
            <v>440.06540000000001</v>
          </cell>
          <cell r="J21">
            <v>391.06181134705054</v>
          </cell>
          <cell r="K21">
            <v>0.20778375999999998</v>
          </cell>
          <cell r="L21">
            <v>98.883490057511992</v>
          </cell>
          <cell r="M21">
            <v>42.386010408000004</v>
          </cell>
          <cell r="N21">
            <v>28.196259519999998</v>
          </cell>
          <cell r="O21">
            <v>40.210435539741482</v>
          </cell>
          <cell r="P21">
            <v>95.25</v>
          </cell>
          <cell r="Q21">
            <v>171.86</v>
          </cell>
        </row>
        <row r="22">
          <cell r="A22">
            <v>13</v>
          </cell>
          <cell r="B22" t="str">
            <v xml:space="preserve"> Jawa Tengah</v>
          </cell>
          <cell r="C22">
            <v>32175.360000000001</v>
          </cell>
          <cell r="D22">
            <v>32860.31</v>
          </cell>
          <cell r="E22">
            <v>979.15570486097067</v>
          </cell>
          <cell r="F22">
            <v>6979.7678716743503</v>
          </cell>
          <cell r="G22">
            <v>3.9279999999999999</v>
          </cell>
          <cell r="H22">
            <v>63515.681749999996</v>
          </cell>
          <cell r="I22">
            <v>1242.70946</v>
          </cell>
          <cell r="J22">
            <v>1266.8992906880133</v>
          </cell>
          <cell r="K22">
            <v>1.74660313</v>
          </cell>
          <cell r="L22">
            <v>88.384906829704008</v>
          </cell>
          <cell r="M22">
            <v>76.894802544000015</v>
          </cell>
          <cell r="N22">
            <v>15.062685120000003</v>
          </cell>
          <cell r="O22">
            <v>344.55519012728843</v>
          </cell>
          <cell r="P22">
            <v>95.04</v>
          </cell>
          <cell r="Q22">
            <v>754.80359299999998</v>
          </cell>
        </row>
        <row r="23">
          <cell r="A23">
            <v>14</v>
          </cell>
          <cell r="B23" t="str">
            <v xml:space="preserve"> Yogyakarta</v>
          </cell>
          <cell r="C23">
            <v>3211.4259999999999</v>
          </cell>
          <cell r="D23">
            <v>3187.09</v>
          </cell>
          <cell r="E23">
            <v>1007.6358057036356</v>
          </cell>
          <cell r="F23">
            <v>636.8190152007129</v>
          </cell>
          <cell r="G23">
            <v>3.9079999999999999</v>
          </cell>
          <cell r="H23">
            <v>9580.7831900048714</v>
          </cell>
          <cell r="I23">
            <v>200.80826000000002</v>
          </cell>
          <cell r="J23">
            <v>218.31667058572552</v>
          </cell>
          <cell r="K23">
            <v>4.1370399999999998E-3</v>
          </cell>
          <cell r="L23">
            <v>16.790796361591998</v>
          </cell>
          <cell r="M23">
            <v>10.242102023999999</v>
          </cell>
          <cell r="N23">
            <v>3.6844654399999999</v>
          </cell>
          <cell r="O23">
            <v>187.99335282580631</v>
          </cell>
          <cell r="P23">
            <v>95.38</v>
          </cell>
          <cell r="Q23">
            <v>221.92225300000001</v>
          </cell>
        </row>
        <row r="24">
          <cell r="A24">
            <v>15</v>
          </cell>
          <cell r="B24" t="str">
            <v xml:space="preserve"> Jawa Timur</v>
          </cell>
          <cell r="C24">
            <v>36269.938999999991</v>
          </cell>
          <cell r="D24">
            <v>46844.4</v>
          </cell>
          <cell r="E24">
            <v>774.26413829614626</v>
          </cell>
          <cell r="F24">
            <v>7578.1054079671458</v>
          </cell>
          <cell r="G24">
            <v>3.8039999999999998</v>
          </cell>
          <cell r="H24">
            <v>98938.383413048272</v>
          </cell>
          <cell r="I24">
            <v>1797.0525</v>
          </cell>
          <cell r="J24">
            <v>1955.5745327416098</v>
          </cell>
          <cell r="K24">
            <v>7.8951531500000005</v>
          </cell>
          <cell r="L24">
            <v>143.45201071881601</v>
          </cell>
          <cell r="M24">
            <v>126.54853092</v>
          </cell>
          <cell r="N24">
            <v>39.83236368</v>
          </cell>
          <cell r="O24">
            <v>422.62316977703</v>
          </cell>
          <cell r="P24">
            <v>92.94</v>
          </cell>
          <cell r="Q24">
            <v>660.372119</v>
          </cell>
        </row>
        <row r="25">
          <cell r="A25">
            <v>16</v>
          </cell>
          <cell r="B25" t="str">
            <v xml:space="preserve"> Kalimantan Barat</v>
          </cell>
          <cell r="C25">
            <v>3969.07</v>
          </cell>
          <cell r="D25">
            <v>148772.63</v>
          </cell>
          <cell r="E25">
            <v>26.6787647701059</v>
          </cell>
          <cell r="F25">
            <v>583.65926405710798</v>
          </cell>
          <cell r="G25">
            <v>2.6230000000000002</v>
          </cell>
          <cell r="H25">
            <v>9203.0911400000005</v>
          </cell>
          <cell r="I25">
            <v>168.50608</v>
          </cell>
          <cell r="J25">
            <v>210.97371954734783</v>
          </cell>
          <cell r="K25">
            <v>3.7572853799999999</v>
          </cell>
          <cell r="L25">
            <v>13.521608870048</v>
          </cell>
          <cell r="M25">
            <v>21.980652623999998</v>
          </cell>
          <cell r="N25">
            <v>4.0374033599999999</v>
          </cell>
          <cell r="O25">
            <v>107.8422917175842</v>
          </cell>
          <cell r="P25">
            <v>98.7</v>
          </cell>
          <cell r="Q25">
            <v>272.91000000000003</v>
          </cell>
        </row>
        <row r="26">
          <cell r="A26">
            <v>17</v>
          </cell>
          <cell r="B26" t="str">
            <v xml:space="preserve"> Kalimantan Tengah</v>
          </cell>
          <cell r="C26">
            <v>1858.7751100482367</v>
          </cell>
          <cell r="D26">
            <v>153564</v>
          </cell>
          <cell r="E26">
            <v>12.104237386680712</v>
          </cell>
          <cell r="F26">
            <v>207.71922562208744</v>
          </cell>
          <cell r="G26">
            <v>2.149</v>
          </cell>
          <cell r="H26">
            <v>5272.0557865841265</v>
          </cell>
          <cell r="I26">
            <v>69.062300000000008</v>
          </cell>
          <cell r="J26">
            <v>134.54796441193457</v>
          </cell>
          <cell r="K26">
            <v>11.848011679999999</v>
          </cell>
          <cell r="L26">
            <v>10.376117082544001</v>
          </cell>
          <cell r="M26">
            <v>24.891633816000006</v>
          </cell>
          <cell r="N26">
            <v>0.92214735999999997</v>
          </cell>
          <cell r="O26">
            <v>87.009184253106369</v>
          </cell>
          <cell r="P26">
            <v>104.67</v>
          </cell>
          <cell r="Q26">
            <v>253.6</v>
          </cell>
        </row>
        <row r="27">
          <cell r="A27">
            <v>18</v>
          </cell>
          <cell r="B27" t="str">
            <v xml:space="preserve"> Kalimantan Selatan</v>
          </cell>
          <cell r="C27">
            <v>3187.65</v>
          </cell>
          <cell r="D27">
            <v>38781.390113525391</v>
          </cell>
          <cell r="E27">
            <v>82.195351705257096</v>
          </cell>
          <cell r="F27">
            <v>258.95684756393416</v>
          </cell>
          <cell r="G27">
            <v>1.218</v>
          </cell>
          <cell r="H27">
            <v>7379.2963399999999</v>
          </cell>
          <cell r="I27">
            <v>212.00626</v>
          </cell>
          <cell r="J27">
            <v>175.51616644217884</v>
          </cell>
          <cell r="K27">
            <v>45.143196630000006</v>
          </cell>
          <cell r="L27">
            <v>13.290228766</v>
          </cell>
          <cell r="M27">
            <v>28.196434728000003</v>
          </cell>
          <cell r="N27">
            <v>2.5559654400000005</v>
          </cell>
          <cell r="O27">
            <v>108.03264016374533</v>
          </cell>
          <cell r="P27">
            <v>90.1</v>
          </cell>
          <cell r="Q27">
            <v>201.09</v>
          </cell>
        </row>
        <row r="28">
          <cell r="A28">
            <v>19</v>
          </cell>
          <cell r="B28" t="str">
            <v xml:space="preserve"> Kalimantan Timur</v>
          </cell>
          <cell r="C28">
            <v>2720.0340000000001</v>
          </cell>
          <cell r="D28">
            <v>212182.05</v>
          </cell>
          <cell r="E28">
            <v>12.819340750077588</v>
          </cell>
          <cell r="F28">
            <v>329.97874492872307</v>
          </cell>
          <cell r="G28">
            <v>2.2690000000000001</v>
          </cell>
          <cell r="H28">
            <v>13857.138147588852</v>
          </cell>
          <cell r="I28">
            <v>464.13639000000001</v>
          </cell>
          <cell r="J28">
            <v>301.45600347837689</v>
          </cell>
          <cell r="K28">
            <v>1047.8141376900001</v>
          </cell>
          <cell r="L28">
            <v>92.332251695440007</v>
          </cell>
          <cell r="M28">
            <v>89.255228328000015</v>
          </cell>
          <cell r="N28">
            <v>3.8185252799999998</v>
          </cell>
          <cell r="O28">
            <v>121.60966747624173</v>
          </cell>
          <cell r="P28">
            <v>87.65</v>
          </cell>
          <cell r="Q28">
            <v>257.10682800000001</v>
          </cell>
        </row>
        <row r="29">
          <cell r="A29">
            <v>20</v>
          </cell>
          <cell r="B29" t="str">
            <v xml:space="preserve"> Sulawesi Utara</v>
          </cell>
          <cell r="C29">
            <v>2135.52</v>
          </cell>
          <cell r="D29">
            <v>15365.289992065431</v>
          </cell>
          <cell r="E29">
            <v>138.9833840495541</v>
          </cell>
          <cell r="F29">
            <v>191.5965375196615</v>
          </cell>
          <cell r="G29">
            <v>1.8069999999999999</v>
          </cell>
          <cell r="H29">
            <v>5240.6054322776563</v>
          </cell>
          <cell r="I29">
            <v>104.669</v>
          </cell>
          <cell r="J29">
            <v>133.93651809790953</v>
          </cell>
          <cell r="K29">
            <v>0.43311097000000004</v>
          </cell>
          <cell r="L29">
            <v>11.867652642208</v>
          </cell>
          <cell r="M29">
            <v>7.998867744</v>
          </cell>
          <cell r="N29">
            <v>0.79920000000000002</v>
          </cell>
          <cell r="O29">
            <v>108.18237795959905</v>
          </cell>
          <cell r="P29">
            <v>93.54</v>
          </cell>
          <cell r="Q29">
            <v>233.465844</v>
          </cell>
        </row>
        <row r="30">
          <cell r="A30">
            <v>21</v>
          </cell>
          <cell r="B30" t="str">
            <v xml:space="preserve"> Gorontalo</v>
          </cell>
          <cell r="C30">
            <v>885.11900000000003</v>
          </cell>
          <cell r="D30">
            <v>12165.440115966798</v>
          </cell>
          <cell r="E30">
            <v>72.756841640139783</v>
          </cell>
          <cell r="F30">
            <v>257.72022123456594</v>
          </cell>
          <cell r="G30">
            <v>7.02</v>
          </cell>
          <cell r="H30">
            <v>905.06193119409193</v>
          </cell>
          <cell r="I30">
            <v>25.537560000000003</v>
          </cell>
          <cell r="J30">
            <v>49.646463136989254</v>
          </cell>
          <cell r="K30">
            <v>0.73172858000000007</v>
          </cell>
          <cell r="L30">
            <v>1.01304446596</v>
          </cell>
          <cell r="M30">
            <v>3.432429</v>
          </cell>
          <cell r="N30">
            <v>0.2</v>
          </cell>
          <cell r="O30">
            <v>19.350000000000001</v>
          </cell>
          <cell r="P30">
            <v>109.03</v>
          </cell>
          <cell r="Q30">
            <v>177.13</v>
          </cell>
        </row>
        <row r="31">
          <cell r="A31">
            <v>22</v>
          </cell>
          <cell r="B31" t="str">
            <v xml:space="preserve"> Sulawesi Tengah</v>
          </cell>
          <cell r="C31">
            <v>2358.6833999999999</v>
          </cell>
          <cell r="D31">
            <v>68032.86</v>
          </cell>
          <cell r="E31">
            <v>34.669766933214333</v>
          </cell>
          <cell r="F31">
            <v>509.08635147640894</v>
          </cell>
          <cell r="G31">
            <v>4.5759999999999996</v>
          </cell>
          <cell r="H31">
            <v>3784.2770075380968</v>
          </cell>
          <cell r="I31">
            <v>83.625330000000005</v>
          </cell>
          <cell r="J31">
            <v>105.62311219348982</v>
          </cell>
          <cell r="K31">
            <v>1.7588903100000002</v>
          </cell>
          <cell r="L31">
            <v>4.3427138171840003</v>
          </cell>
          <cell r="M31">
            <v>11.421036648000001</v>
          </cell>
          <cell r="N31">
            <v>0.43666112000000001</v>
          </cell>
          <cell r="O31">
            <v>107.69405523871265</v>
          </cell>
          <cell r="P31">
            <v>93.04</v>
          </cell>
          <cell r="Q31">
            <v>240.7</v>
          </cell>
        </row>
        <row r="32">
          <cell r="A32">
            <v>23</v>
          </cell>
          <cell r="B32" t="str">
            <v xml:space="preserve"> Sulawesi Selatan</v>
          </cell>
          <cell r="C32">
            <v>8252.6789999999983</v>
          </cell>
          <cell r="D32">
            <v>62439.950273437498</v>
          </cell>
          <cell r="E32">
            <v>132.16985221576579</v>
          </cell>
          <cell r="F32">
            <v>1301.7468850776195</v>
          </cell>
          <cell r="G32">
            <v>2.7250000000000001</v>
          </cell>
          <cell r="H32">
            <v>13916.728097055047</v>
          </cell>
          <cell r="I32">
            <v>325.11740000000003</v>
          </cell>
          <cell r="J32">
            <v>302.61452953499901</v>
          </cell>
          <cell r="K32">
            <v>12.682558499999999</v>
          </cell>
          <cell r="L32">
            <v>30.768175998767994</v>
          </cell>
          <cell r="M32">
            <v>45.127183584000008</v>
          </cell>
          <cell r="N32">
            <v>4.5607366400000009</v>
          </cell>
          <cell r="O32">
            <v>184.8477165246</v>
          </cell>
          <cell r="P32">
            <v>93.49</v>
          </cell>
          <cell r="Q32">
            <v>299.05</v>
          </cell>
        </row>
        <row r="33">
          <cell r="A33">
            <v>24</v>
          </cell>
          <cell r="B33" t="str">
            <v xml:space="preserve"> Sulawesi Tenggara</v>
          </cell>
          <cell r="C33">
            <v>1887.3519999999999</v>
          </cell>
          <cell r="D33">
            <v>37780.660000000003</v>
          </cell>
          <cell r="E33">
            <v>49.955506335781315</v>
          </cell>
          <cell r="F33">
            <v>428.42582090605794</v>
          </cell>
          <cell r="G33">
            <v>4.1269999999999998</v>
          </cell>
          <cell r="H33">
            <v>3158.9355499999997</v>
          </cell>
          <cell r="I33">
            <v>55.030320000000003</v>
          </cell>
          <cell r="J33">
            <v>93.465451726686837</v>
          </cell>
          <cell r="K33">
            <v>1.21025592</v>
          </cell>
          <cell r="L33">
            <v>6.4367839841599999</v>
          </cell>
          <cell r="M33">
            <v>8.2806847200000018</v>
          </cell>
          <cell r="N33">
            <v>0.25892383999999996</v>
          </cell>
          <cell r="O33">
            <v>104.95626357217391</v>
          </cell>
          <cell r="P33">
            <v>95.47</v>
          </cell>
          <cell r="Q33">
            <v>226.43</v>
          </cell>
        </row>
        <row r="34">
          <cell r="A34">
            <v>25</v>
          </cell>
          <cell r="B34" t="str">
            <v xml:space="preserve"> Bali</v>
          </cell>
          <cell r="C34">
            <v>3362.8330000000001</v>
          </cell>
          <cell r="D34">
            <v>5632.86</v>
          </cell>
          <cell r="E34">
            <v>597.00276591287559</v>
          </cell>
          <cell r="F34">
            <v>246.1272021531278</v>
          </cell>
          <cell r="G34">
            <v>1.052</v>
          </cell>
          <cell r="H34">
            <v>13796.116523351286</v>
          </cell>
          <cell r="I34">
            <v>465.74952000000002</v>
          </cell>
          <cell r="J34">
            <v>300.26964332318443</v>
          </cell>
          <cell r="K34">
            <v>2.2018E-4</v>
          </cell>
          <cell r="L34">
            <v>25.981957804407998</v>
          </cell>
          <cell r="M34">
            <v>16.499882112000002</v>
          </cell>
          <cell r="N34">
            <v>8.9346608000000014</v>
          </cell>
          <cell r="O34">
            <v>125.02020163325388</v>
          </cell>
          <cell r="P34">
            <v>97.6</v>
          </cell>
          <cell r="Q34">
            <v>184.87</v>
          </cell>
        </row>
        <row r="35">
          <cell r="A35">
            <v>26</v>
          </cell>
          <cell r="B35" t="str">
            <v xml:space="preserve"> NT Barat</v>
          </cell>
          <cell r="C35">
            <v>4024.857</v>
          </cell>
          <cell r="D35">
            <v>20176.97</v>
          </cell>
          <cell r="E35">
            <v>199.47777094380373</v>
          </cell>
          <cell r="F35">
            <v>1054.7394710852893</v>
          </cell>
          <cell r="G35">
            <v>4.8689999999999998</v>
          </cell>
          <cell r="H35">
            <v>5293.8704169999992</v>
          </cell>
          <cell r="I35">
            <v>104.55466</v>
          </cell>
          <cell r="J35">
            <v>134.9720764975927</v>
          </cell>
          <cell r="K35">
            <v>22.523116429999998</v>
          </cell>
          <cell r="L35">
            <v>18.259345661744</v>
          </cell>
          <cell r="M35">
            <v>11.133637031999999</v>
          </cell>
          <cell r="N35">
            <v>0.86239999999999994</v>
          </cell>
          <cell r="O35">
            <v>97.201583381757473</v>
          </cell>
          <cell r="P35">
            <v>90.59</v>
          </cell>
          <cell r="Q35">
            <v>223.95</v>
          </cell>
        </row>
        <row r="36">
          <cell r="A36">
            <v>27</v>
          </cell>
          <cell r="B36" t="str">
            <v xml:space="preserve"> NT Timur</v>
          </cell>
          <cell r="C36">
            <v>4093.9089999999992</v>
          </cell>
          <cell r="D36">
            <v>47375.09014648437</v>
          </cell>
          <cell r="E36">
            <v>86.414801266690603</v>
          </cell>
          <cell r="F36">
            <v>1165.9431907483513</v>
          </cell>
          <cell r="G36">
            <v>5.6079999999999997</v>
          </cell>
          <cell r="H36">
            <v>4211.3063949999996</v>
          </cell>
          <cell r="I36">
            <v>81.658559999999994</v>
          </cell>
          <cell r="J36">
            <v>113.92526174638809</v>
          </cell>
          <cell r="K36">
            <v>5.5377370000000002E-2</v>
          </cell>
          <cell r="L36">
            <v>6.1752438101599996</v>
          </cell>
          <cell r="M36">
            <v>16.296344736000002</v>
          </cell>
          <cell r="N36">
            <v>0.30380432000000002</v>
          </cell>
          <cell r="O36">
            <v>109.57519703380321</v>
          </cell>
          <cell r="P36">
            <v>118.83</v>
          </cell>
          <cell r="Q36">
            <v>283.04000000000002</v>
          </cell>
        </row>
        <row r="37">
          <cell r="A37">
            <v>28</v>
          </cell>
          <cell r="B37" t="str">
            <v xml:space="preserve"> Maluku</v>
          </cell>
          <cell r="C37">
            <v>1224.087</v>
          </cell>
          <cell r="D37">
            <v>54185</v>
          </cell>
          <cell r="E37">
            <v>22.590883085724833</v>
          </cell>
          <cell r="F37">
            <v>399.91329236893444</v>
          </cell>
          <cell r="G37">
            <v>6.7640000000000002</v>
          </cell>
          <cell r="H37">
            <v>1884.0568509815721</v>
          </cell>
          <cell r="I37">
            <v>18.998099999999997</v>
          </cell>
          <cell r="J37">
            <v>68.679725189307419</v>
          </cell>
          <cell r="K37">
            <v>2.8106194499999999</v>
          </cell>
          <cell r="L37">
            <v>4.0039086889600002</v>
          </cell>
          <cell r="M37">
            <v>10.307535168000003</v>
          </cell>
          <cell r="N37">
            <v>0.112</v>
          </cell>
          <cell r="O37">
            <v>116.03622102</v>
          </cell>
          <cell r="P37">
            <v>116.96</v>
          </cell>
          <cell r="Q37">
            <v>248.37</v>
          </cell>
        </row>
        <row r="38">
          <cell r="A38">
            <v>29</v>
          </cell>
          <cell r="B38" t="str">
            <v xml:space="preserve"> Maluku Utara</v>
          </cell>
          <cell r="C38">
            <v>858.06</v>
          </cell>
          <cell r="D38">
            <v>34984.392000000007</v>
          </cell>
          <cell r="E38">
            <v>24.526937612635937</v>
          </cell>
          <cell r="F38">
            <v>118.79213829692607</v>
          </cell>
          <cell r="G38">
            <v>2.0790000000000002</v>
          </cell>
          <cell r="H38">
            <v>805.51442000000009</v>
          </cell>
          <cell r="I38">
            <v>8.8742999999999999</v>
          </cell>
          <cell r="J38">
            <v>47.711096743438887</v>
          </cell>
          <cell r="K38">
            <v>7.4827514199999996</v>
          </cell>
          <cell r="L38">
            <v>2.0116773324000001</v>
          </cell>
          <cell r="M38">
            <v>8.4229588800000013</v>
          </cell>
          <cell r="N38">
            <v>2.4E-2</v>
          </cell>
          <cell r="O38">
            <v>26.442</v>
          </cell>
          <cell r="P38">
            <v>116.79</v>
          </cell>
          <cell r="Q38">
            <v>200.96</v>
          </cell>
        </row>
        <row r="39">
          <cell r="A39">
            <v>30</v>
          </cell>
          <cell r="B39" t="str">
            <v xml:space="preserve"> Papua</v>
          </cell>
          <cell r="C39">
            <v>2453.2620000000002</v>
          </cell>
          <cell r="D39">
            <v>420424.50001144409</v>
          </cell>
          <cell r="E39">
            <v>5.8352022775390617</v>
          </cell>
          <cell r="F39">
            <v>916.93204035354472</v>
          </cell>
          <cell r="G39">
            <v>10.688000000000001</v>
          </cell>
          <cell r="H39">
            <v>4302.4135291335915</v>
          </cell>
          <cell r="I39">
            <v>95.123999999999995</v>
          </cell>
          <cell r="J39">
            <v>115.6965334085299</v>
          </cell>
          <cell r="K39">
            <v>108.16939744</v>
          </cell>
          <cell r="L39">
            <v>44.991812378719999</v>
          </cell>
          <cell r="M39">
            <v>70.784127120000008</v>
          </cell>
          <cell r="N39">
            <v>0.59902703999999996</v>
          </cell>
          <cell r="O39">
            <v>162.17608924505222</v>
          </cell>
          <cell r="P39">
            <v>166.96</v>
          </cell>
          <cell r="Q39">
            <v>395.16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DAU suatu daerah"/>
      <sheetName val="Papua-riau"/>
    </sheetNames>
    <sheetDataSet>
      <sheetData sheetId="0">
        <row r="10">
          <cell r="A10">
            <v>1</v>
          </cell>
          <cell r="B10" t="str">
            <v xml:space="preserve"> Nangroe Aceh Dar.</v>
          </cell>
          <cell r="C10">
            <v>4239.9880000000012</v>
          </cell>
          <cell r="D10">
            <v>55517.05</v>
          </cell>
          <cell r="E10">
            <v>76.372717930797847</v>
          </cell>
          <cell r="F10">
            <v>1254.1853224774891</v>
          </cell>
          <cell r="G10">
            <v>6.7270000000000003</v>
          </cell>
          <cell r="H10">
            <v>5318.0092420618366</v>
          </cell>
          <cell r="I10">
            <v>92.403499999999994</v>
          </cell>
          <cell r="J10">
            <v>135.44137472759451</v>
          </cell>
          <cell r="K10">
            <v>1659.72440362</v>
          </cell>
          <cell r="L10">
            <v>23.3028219732</v>
          </cell>
          <cell r="M10">
            <v>37.161945576000008</v>
          </cell>
          <cell r="N10">
            <v>0.42352000000000001</v>
          </cell>
          <cell r="O10">
            <v>144.76108187849999</v>
          </cell>
          <cell r="P10">
            <v>90.95</v>
          </cell>
          <cell r="Q10">
            <v>172.43189100000001</v>
          </cell>
        </row>
        <row r="11">
          <cell r="A11">
            <v>2</v>
          </cell>
          <cell r="B11" t="str">
            <v xml:space="preserve"> Sumatera Utara</v>
          </cell>
          <cell r="C11">
            <v>11923.457</v>
          </cell>
          <cell r="D11">
            <v>70492.639998321538</v>
          </cell>
          <cell r="E11">
            <v>169.14470787707629</v>
          </cell>
          <cell r="F11">
            <v>1883.8610998607448</v>
          </cell>
          <cell r="G11">
            <v>2.6339999999999999</v>
          </cell>
          <cell r="H11">
            <v>31734.985250000002</v>
          </cell>
          <cell r="I11">
            <v>614.45938000000001</v>
          </cell>
          <cell r="J11">
            <v>649.03058425897473</v>
          </cell>
          <cell r="K11">
            <v>12.429561640000001</v>
          </cell>
          <cell r="L11">
            <v>47.467212813472003</v>
          </cell>
          <cell r="M11">
            <v>69.591533592000019</v>
          </cell>
          <cell r="N11">
            <v>12.480743679999998</v>
          </cell>
          <cell r="O11">
            <v>222.56092562825455</v>
          </cell>
          <cell r="P11">
            <v>91.33</v>
          </cell>
          <cell r="Q11">
            <v>301.75</v>
          </cell>
        </row>
        <row r="12">
          <cell r="A12">
            <v>3</v>
          </cell>
          <cell r="B12" t="str">
            <v xml:space="preserve"> Sumatera Barat</v>
          </cell>
          <cell r="C12">
            <v>4476.4809999999989</v>
          </cell>
          <cell r="D12">
            <v>43985.599999999999</v>
          </cell>
          <cell r="E12">
            <v>101.77151158560982</v>
          </cell>
          <cell r="F12">
            <v>501.10784071861644</v>
          </cell>
          <cell r="G12">
            <v>1.736</v>
          </cell>
          <cell r="H12">
            <v>15854.271939315911</v>
          </cell>
          <cell r="I12">
            <v>213.28455</v>
          </cell>
          <cell r="J12">
            <v>340.28355001940753</v>
          </cell>
          <cell r="K12">
            <v>1.65703076</v>
          </cell>
          <cell r="L12">
            <v>22.250460360304004</v>
          </cell>
          <cell r="M12">
            <v>19.855780392000003</v>
          </cell>
          <cell r="N12">
            <v>2.2304771200000002</v>
          </cell>
          <cell r="O12">
            <v>158.10048671010003</v>
          </cell>
          <cell r="P12">
            <v>92.25</v>
          </cell>
          <cell r="Q12">
            <v>227.67977400000001</v>
          </cell>
        </row>
        <row r="13">
          <cell r="A13">
            <v>4</v>
          </cell>
          <cell r="B13" t="str">
            <v xml:space="preserve"> Riau</v>
          </cell>
          <cell r="C13">
            <v>5596.268</v>
          </cell>
          <cell r="D13">
            <v>103151.01</v>
          </cell>
          <cell r="E13">
            <v>54.253157579358657</v>
          </cell>
          <cell r="F13">
            <v>751.32265547472173</v>
          </cell>
          <cell r="G13">
            <v>2.456</v>
          </cell>
          <cell r="H13">
            <v>11674.7491427</v>
          </cell>
          <cell r="I13">
            <v>504.38458000000003</v>
          </cell>
          <cell r="J13">
            <v>259.02679267188523</v>
          </cell>
          <cell r="K13">
            <v>650.13763940000001</v>
          </cell>
          <cell r="L13">
            <v>96.954180408368018</v>
          </cell>
          <cell r="M13">
            <v>88.544699376000011</v>
          </cell>
          <cell r="N13">
            <v>21.812290559999997</v>
          </cell>
          <cell r="O13">
            <v>117.44110313999998</v>
          </cell>
          <cell r="P13">
            <v>100.68</v>
          </cell>
          <cell r="Q13">
            <v>251.94574599999999</v>
          </cell>
        </row>
        <row r="14">
          <cell r="A14">
            <v>5</v>
          </cell>
          <cell r="B14" t="str">
            <v xml:space="preserve"> Jambi</v>
          </cell>
          <cell r="C14">
            <v>2582.7719999999999</v>
          </cell>
          <cell r="D14">
            <v>50613.279999999999</v>
          </cell>
          <cell r="E14">
            <v>51.029532170213038</v>
          </cell>
          <cell r="F14">
            <v>327.30190625513137</v>
          </cell>
          <cell r="G14">
            <v>2.0880000000000001</v>
          </cell>
          <cell r="H14">
            <v>4819.5825300000006</v>
          </cell>
          <cell r="I14">
            <v>149.64865</v>
          </cell>
          <cell r="J14">
            <v>125.75114443854702</v>
          </cell>
          <cell r="K14">
            <v>7.8316052999999997</v>
          </cell>
          <cell r="L14">
            <v>9.8168465533439999</v>
          </cell>
          <cell r="M14">
            <v>29.79842930400001</v>
          </cell>
          <cell r="N14">
            <v>2.7373774400000004</v>
          </cell>
          <cell r="O14">
            <v>107.23317468719999</v>
          </cell>
          <cell r="P14">
            <v>89.48</v>
          </cell>
          <cell r="Q14">
            <v>209.25</v>
          </cell>
        </row>
        <row r="15">
          <cell r="A15">
            <v>6</v>
          </cell>
          <cell r="B15" t="str">
            <v xml:space="preserve"> Sumatera Selatan</v>
          </cell>
          <cell r="C15">
            <v>6706.7887965075706</v>
          </cell>
          <cell r="D15">
            <v>97166.56</v>
          </cell>
          <cell r="E15">
            <v>69.023631139227021</v>
          </cell>
          <cell r="F15">
            <v>1397.0282268396088</v>
          </cell>
          <cell r="G15">
            <v>4.1609999999999996</v>
          </cell>
          <cell r="H15">
            <v>17173.745116827213</v>
          </cell>
          <cell r="I15">
            <v>289.63463000000002</v>
          </cell>
          <cell r="J15">
            <v>365.93626613771914</v>
          </cell>
          <cell r="K15">
            <v>137.67429206</v>
          </cell>
          <cell r="L15">
            <v>32.289321480216003</v>
          </cell>
          <cell r="M15">
            <v>58.599175152000001</v>
          </cell>
          <cell r="N15">
            <v>4.8788969599999996</v>
          </cell>
          <cell r="O15">
            <v>151.50685476000001</v>
          </cell>
          <cell r="P15">
            <v>95.66</v>
          </cell>
          <cell r="Q15">
            <v>231.93</v>
          </cell>
        </row>
        <row r="16">
          <cell r="A16">
            <v>7</v>
          </cell>
          <cell r="B16" t="str">
            <v xml:space="preserve"> Bangka Belitung</v>
          </cell>
          <cell r="C16">
            <v>987.92700000000002</v>
          </cell>
          <cell r="D16">
            <v>16424.139898681642</v>
          </cell>
          <cell r="E16">
            <v>60.150912382285568</v>
          </cell>
          <cell r="F16">
            <v>98.187175255576506</v>
          </cell>
          <cell r="G16">
            <v>1.5289999999999999</v>
          </cell>
          <cell r="H16">
            <v>1928.265138</v>
          </cell>
          <cell r="I16">
            <v>58.885489999999997</v>
          </cell>
          <cell r="J16">
            <v>69.539206576492234</v>
          </cell>
          <cell r="K16">
            <v>8.6511259000000003</v>
          </cell>
          <cell r="L16">
            <v>4.2507412815840002</v>
          </cell>
          <cell r="M16">
            <v>7.4141272800000007</v>
          </cell>
          <cell r="N16">
            <v>2.4078708799999999</v>
          </cell>
          <cell r="O16">
            <v>24.425999999999998</v>
          </cell>
          <cell r="P16">
            <v>92.56</v>
          </cell>
          <cell r="Q16">
            <v>162.49</v>
          </cell>
        </row>
        <row r="17">
          <cell r="A17">
            <v>8</v>
          </cell>
          <cell r="B17" t="str">
            <v xml:space="preserve"> Bengkulu</v>
          </cell>
          <cell r="C17">
            <v>1525.171</v>
          </cell>
          <cell r="D17">
            <v>19795.149986572265</v>
          </cell>
          <cell r="E17">
            <v>77.047711234043504</v>
          </cell>
          <cell r="F17">
            <v>344.16145310734197</v>
          </cell>
          <cell r="G17">
            <v>4.0270000000000001</v>
          </cell>
          <cell r="H17">
            <v>2826.181</v>
          </cell>
          <cell r="I17">
            <v>45.510349999999995</v>
          </cell>
          <cell r="J17">
            <v>86.996159168329086</v>
          </cell>
          <cell r="K17">
            <v>0.57373283000000008</v>
          </cell>
          <cell r="L17">
            <v>5.4076315689200003</v>
          </cell>
          <cell r="M17">
            <v>7.1820685439999998</v>
          </cell>
          <cell r="N17">
            <v>0.23080608</v>
          </cell>
          <cell r="O17">
            <v>101.00373981139468</v>
          </cell>
          <cell r="P17">
            <v>97.19</v>
          </cell>
          <cell r="Q17">
            <v>208.84</v>
          </cell>
        </row>
        <row r="18">
          <cell r="A18">
            <v>9</v>
          </cell>
          <cell r="B18" t="str">
            <v xml:space="preserve"> Lampung</v>
          </cell>
          <cell r="C18">
            <v>6962.5630000000001</v>
          </cell>
          <cell r="D18">
            <v>35446.33</v>
          </cell>
          <cell r="E18">
            <v>196.42549736460728</v>
          </cell>
          <cell r="F18">
            <v>1567.859365793352</v>
          </cell>
          <cell r="G18">
            <v>4.2619999999999996</v>
          </cell>
          <cell r="H18">
            <v>10560.729219999999</v>
          </cell>
          <cell r="I18">
            <v>237.01165</v>
          </cell>
          <cell r="J18">
            <v>237.36842377569607</v>
          </cell>
          <cell r="K18">
            <v>60.25519139</v>
          </cell>
          <cell r="L18">
            <v>15.799089325552002</v>
          </cell>
          <cell r="M18">
            <v>23.139260424</v>
          </cell>
          <cell r="N18">
            <v>3.7016628799999998</v>
          </cell>
          <cell r="O18">
            <v>142.35587524944279</v>
          </cell>
          <cell r="P18">
            <v>96.3</v>
          </cell>
          <cell r="Q18">
            <v>252.78</v>
          </cell>
        </row>
        <row r="19">
          <cell r="A19">
            <v>10</v>
          </cell>
          <cell r="B19" t="str">
            <v xml:space="preserve"> DKI Jakarta</v>
          </cell>
          <cell r="C19">
            <v>8640.1839999999993</v>
          </cell>
          <cell r="D19">
            <v>661.62</v>
          </cell>
          <cell r="E19">
            <v>13059.133641667422</v>
          </cell>
          <cell r="F19">
            <v>294.14810004810909</v>
          </cell>
          <cell r="G19">
            <v>0.49</v>
          </cell>
          <cell r="H19">
            <v>166341.9304014779</v>
          </cell>
          <cell r="I19">
            <v>4509.5297499999997</v>
          </cell>
          <cell r="J19">
            <v>3266.0097016646678</v>
          </cell>
          <cell r="K19">
            <v>65.878680849999995</v>
          </cell>
          <cell r="L19">
            <v>2082.0644852134001</v>
          </cell>
          <cell r="M19">
            <v>796.02225637000004</v>
          </cell>
          <cell r="N19">
            <v>814.22454693000009</v>
          </cell>
          <cell r="O19">
            <v>1692.1980000000001</v>
          </cell>
          <cell r="P19">
            <v>108.35</v>
          </cell>
          <cell r="Q19">
            <v>773.02405999999996</v>
          </cell>
        </row>
        <row r="20">
          <cell r="A20">
            <v>11</v>
          </cell>
          <cell r="B20" t="str">
            <v xml:space="preserve"> Jawa Barat</v>
          </cell>
          <cell r="C20">
            <v>38137.964999999997</v>
          </cell>
          <cell r="D20">
            <v>35249.280011520386</v>
          </cell>
          <cell r="E20">
            <v>1081.9501841607976</v>
          </cell>
          <cell r="F20">
            <v>4898.8225931924144</v>
          </cell>
          <cell r="G20">
            <v>2.1970000000000001</v>
          </cell>
          <cell r="H20">
            <v>66747.909193061656</v>
          </cell>
          <cell r="I20">
            <v>1551.4909700000001</v>
          </cell>
          <cell r="J20">
            <v>1329.7390773845996</v>
          </cell>
          <cell r="K20">
            <v>106.69330780999999</v>
          </cell>
          <cell r="L20">
            <v>228.78473684008802</v>
          </cell>
          <cell r="M20">
            <v>129.33312168000003</v>
          </cell>
          <cell r="N20">
            <v>58.043199999999999</v>
          </cell>
          <cell r="O20">
            <v>269.86404391251097</v>
          </cell>
          <cell r="P20">
            <v>93.21</v>
          </cell>
          <cell r="Q20">
            <v>552.32302600000003</v>
          </cell>
        </row>
        <row r="21">
          <cell r="A21">
            <v>12</v>
          </cell>
          <cell r="B21" t="str">
            <v xml:space="preserve"> Banten</v>
          </cell>
          <cell r="C21">
            <v>8999.3270000000011</v>
          </cell>
          <cell r="D21">
            <v>9164.41</v>
          </cell>
          <cell r="E21">
            <v>981.98651086103769</v>
          </cell>
          <cell r="F21">
            <v>855.82147749843159</v>
          </cell>
          <cell r="G21">
            <v>1.49</v>
          </cell>
          <cell r="H21">
            <v>18466.102729999999</v>
          </cell>
          <cell r="I21">
            <v>440.06540000000001</v>
          </cell>
          <cell r="J21">
            <v>391.06181134705054</v>
          </cell>
          <cell r="K21">
            <v>0.20778375999999998</v>
          </cell>
          <cell r="L21">
            <v>98.883490057511992</v>
          </cell>
          <cell r="M21">
            <v>42.386010408000004</v>
          </cell>
          <cell r="N21">
            <v>28.196259519999998</v>
          </cell>
          <cell r="O21">
            <v>40.210435539741482</v>
          </cell>
          <cell r="P21">
            <v>95.25</v>
          </cell>
          <cell r="Q21">
            <v>171.86</v>
          </cell>
        </row>
        <row r="22">
          <cell r="A22">
            <v>13</v>
          </cell>
          <cell r="B22" t="str">
            <v xml:space="preserve"> Jawa Tengah</v>
          </cell>
          <cell r="C22">
            <v>32175.360000000001</v>
          </cell>
          <cell r="D22">
            <v>32860.31</v>
          </cell>
          <cell r="E22">
            <v>979.15570486097067</v>
          </cell>
          <cell r="F22">
            <v>6979.7678716743503</v>
          </cell>
          <cell r="G22">
            <v>3.9279999999999999</v>
          </cell>
          <cell r="H22">
            <v>63515.681749999996</v>
          </cell>
          <cell r="I22">
            <v>1242.70946</v>
          </cell>
          <cell r="J22">
            <v>1266.8992906880133</v>
          </cell>
          <cell r="K22">
            <v>1.74660313</v>
          </cell>
          <cell r="L22">
            <v>88.384906829704008</v>
          </cell>
          <cell r="M22">
            <v>76.894802544000015</v>
          </cell>
          <cell r="N22">
            <v>15.062685120000003</v>
          </cell>
          <cell r="O22">
            <v>344.55519012728843</v>
          </cell>
          <cell r="P22">
            <v>95.04</v>
          </cell>
          <cell r="Q22">
            <v>754.80359299999998</v>
          </cell>
        </row>
        <row r="23">
          <cell r="A23">
            <v>14</v>
          </cell>
          <cell r="B23" t="str">
            <v xml:space="preserve"> Yogyakarta</v>
          </cell>
          <cell r="C23">
            <v>3211.4259999999999</v>
          </cell>
          <cell r="D23">
            <v>3187.09</v>
          </cell>
          <cell r="E23">
            <v>1007.6358057036356</v>
          </cell>
          <cell r="F23">
            <v>636.8190152007129</v>
          </cell>
          <cell r="G23">
            <v>3.9079999999999999</v>
          </cell>
          <cell r="H23">
            <v>9580.7831900048714</v>
          </cell>
          <cell r="I23">
            <v>200.80826000000002</v>
          </cell>
          <cell r="J23">
            <v>218.31667058572552</v>
          </cell>
          <cell r="K23">
            <v>4.1370399999999998E-3</v>
          </cell>
          <cell r="L23">
            <v>16.790796361591998</v>
          </cell>
          <cell r="M23">
            <v>10.242102023999999</v>
          </cell>
          <cell r="N23">
            <v>3.6844654399999999</v>
          </cell>
          <cell r="O23">
            <v>187.99335282580631</v>
          </cell>
          <cell r="P23">
            <v>95.38</v>
          </cell>
          <cell r="Q23">
            <v>221.92225300000001</v>
          </cell>
        </row>
        <row r="24">
          <cell r="A24">
            <v>15</v>
          </cell>
          <cell r="B24" t="str">
            <v xml:space="preserve"> Jawa Timur</v>
          </cell>
          <cell r="C24">
            <v>36269.938999999991</v>
          </cell>
          <cell r="D24">
            <v>46844.4</v>
          </cell>
          <cell r="E24">
            <v>774.26413829614626</v>
          </cell>
          <cell r="F24">
            <v>7578.1054079671458</v>
          </cell>
          <cell r="G24">
            <v>3.8039999999999998</v>
          </cell>
          <cell r="H24">
            <v>98938.383413048272</v>
          </cell>
          <cell r="I24">
            <v>1797.0525</v>
          </cell>
          <cell r="J24">
            <v>1955.5745327416098</v>
          </cell>
          <cell r="K24">
            <v>7.8951531500000005</v>
          </cell>
          <cell r="L24">
            <v>143.45201071881601</v>
          </cell>
          <cell r="M24">
            <v>126.54853092</v>
          </cell>
          <cell r="N24">
            <v>39.83236368</v>
          </cell>
          <cell r="O24">
            <v>422.62316977703</v>
          </cell>
          <cell r="P24">
            <v>92.94</v>
          </cell>
          <cell r="Q24">
            <v>660.372119</v>
          </cell>
        </row>
        <row r="25">
          <cell r="A25">
            <v>16</v>
          </cell>
          <cell r="B25" t="str">
            <v xml:space="preserve"> Kalimantan Barat</v>
          </cell>
          <cell r="C25">
            <v>3969.07</v>
          </cell>
          <cell r="D25">
            <v>148772.63</v>
          </cell>
          <cell r="E25">
            <v>26.6787647701059</v>
          </cell>
          <cell r="F25">
            <v>583.65926405710798</v>
          </cell>
          <cell r="G25">
            <v>2.6230000000000002</v>
          </cell>
          <cell r="H25">
            <v>9203.0911400000005</v>
          </cell>
          <cell r="I25">
            <v>168.50608</v>
          </cell>
          <cell r="J25">
            <v>210.97371954734783</v>
          </cell>
          <cell r="K25">
            <v>3.7572853799999999</v>
          </cell>
          <cell r="L25">
            <v>13.521608870048</v>
          </cell>
          <cell r="M25">
            <v>21.980652623999998</v>
          </cell>
          <cell r="N25">
            <v>4.0374033599999999</v>
          </cell>
          <cell r="O25">
            <v>107.8422917175842</v>
          </cell>
          <cell r="P25">
            <v>98.7</v>
          </cell>
          <cell r="Q25">
            <v>272.91000000000003</v>
          </cell>
        </row>
        <row r="26">
          <cell r="A26">
            <v>17</v>
          </cell>
          <cell r="B26" t="str">
            <v xml:space="preserve"> Kalimantan Tengah</v>
          </cell>
          <cell r="C26">
            <v>1858.7751100482367</v>
          </cell>
          <cell r="D26">
            <v>153564</v>
          </cell>
          <cell r="E26">
            <v>12.104237386680712</v>
          </cell>
          <cell r="F26">
            <v>207.71922562208744</v>
          </cell>
          <cell r="G26">
            <v>2.149</v>
          </cell>
          <cell r="H26">
            <v>5272.0557865841265</v>
          </cell>
          <cell r="I26">
            <v>69.062300000000008</v>
          </cell>
          <cell r="J26">
            <v>134.54796441193457</v>
          </cell>
          <cell r="K26">
            <v>11.848011679999999</v>
          </cell>
          <cell r="L26">
            <v>10.376117082544001</v>
          </cell>
          <cell r="M26">
            <v>24.891633816000006</v>
          </cell>
          <cell r="N26">
            <v>0.92214735999999997</v>
          </cell>
          <cell r="O26">
            <v>87.009184253106369</v>
          </cell>
          <cell r="P26">
            <v>104.67</v>
          </cell>
          <cell r="Q26">
            <v>253.6</v>
          </cell>
        </row>
        <row r="27">
          <cell r="A27">
            <v>18</v>
          </cell>
          <cell r="B27" t="str">
            <v xml:space="preserve"> Kalimantan Selatan</v>
          </cell>
          <cell r="C27">
            <v>3187.65</v>
          </cell>
          <cell r="D27">
            <v>38781.390113525391</v>
          </cell>
          <cell r="E27">
            <v>82.195351705257096</v>
          </cell>
          <cell r="F27">
            <v>258.95684756393416</v>
          </cell>
          <cell r="G27">
            <v>1.218</v>
          </cell>
          <cell r="H27">
            <v>7379.2963399999999</v>
          </cell>
          <cell r="I27">
            <v>212.00626</v>
          </cell>
          <cell r="J27">
            <v>175.51616644217884</v>
          </cell>
          <cell r="K27">
            <v>45.143196630000006</v>
          </cell>
          <cell r="L27">
            <v>13.290228766</v>
          </cell>
          <cell r="M27">
            <v>28.196434728000003</v>
          </cell>
          <cell r="N27">
            <v>2.5559654400000005</v>
          </cell>
          <cell r="O27">
            <v>108.03264016374533</v>
          </cell>
          <cell r="P27">
            <v>90.1</v>
          </cell>
          <cell r="Q27">
            <v>201.09</v>
          </cell>
        </row>
        <row r="28">
          <cell r="A28">
            <v>19</v>
          </cell>
          <cell r="B28" t="str">
            <v xml:space="preserve"> Kalimantan Timur</v>
          </cell>
          <cell r="C28">
            <v>2720.0340000000001</v>
          </cell>
          <cell r="D28">
            <v>212182.05</v>
          </cell>
          <cell r="E28">
            <v>12.819340750077588</v>
          </cell>
          <cell r="F28">
            <v>329.97874492872307</v>
          </cell>
          <cell r="G28">
            <v>2.2690000000000001</v>
          </cell>
          <cell r="H28">
            <v>13857.138147588852</v>
          </cell>
          <cell r="I28">
            <v>464.13639000000001</v>
          </cell>
          <cell r="J28">
            <v>301.45600347837689</v>
          </cell>
          <cell r="K28">
            <v>1047.8141376900001</v>
          </cell>
          <cell r="L28">
            <v>92.332251695440007</v>
          </cell>
          <cell r="M28">
            <v>89.255228328000015</v>
          </cell>
          <cell r="N28">
            <v>3.8185252799999998</v>
          </cell>
          <cell r="O28">
            <v>121.60966747624173</v>
          </cell>
          <cell r="P28">
            <v>87.65</v>
          </cell>
          <cell r="Q28">
            <v>257.10682800000001</v>
          </cell>
        </row>
        <row r="29">
          <cell r="A29">
            <v>20</v>
          </cell>
          <cell r="B29" t="str">
            <v xml:space="preserve"> Sulawesi Utara</v>
          </cell>
          <cell r="C29">
            <v>2135.52</v>
          </cell>
          <cell r="D29">
            <v>15365.289992065431</v>
          </cell>
          <cell r="E29">
            <v>138.9833840495541</v>
          </cell>
          <cell r="F29">
            <v>191.5965375196615</v>
          </cell>
          <cell r="G29">
            <v>1.8069999999999999</v>
          </cell>
          <cell r="H29">
            <v>5240.6054322776563</v>
          </cell>
          <cell r="I29">
            <v>104.669</v>
          </cell>
          <cell r="J29">
            <v>133.93651809790953</v>
          </cell>
          <cell r="K29">
            <v>0.43311097000000004</v>
          </cell>
          <cell r="L29">
            <v>11.867652642208</v>
          </cell>
          <cell r="M29">
            <v>7.998867744</v>
          </cell>
          <cell r="N29">
            <v>0.79920000000000002</v>
          </cell>
          <cell r="O29">
            <v>108.18237795959905</v>
          </cell>
          <cell r="P29">
            <v>93.54</v>
          </cell>
          <cell r="Q29">
            <v>233.465844</v>
          </cell>
        </row>
        <row r="30">
          <cell r="A30">
            <v>21</v>
          </cell>
          <cell r="B30" t="str">
            <v xml:space="preserve"> Gorontalo</v>
          </cell>
          <cell r="C30">
            <v>885.11900000000003</v>
          </cell>
          <cell r="D30">
            <v>12165.440115966798</v>
          </cell>
          <cell r="E30">
            <v>72.756841640139783</v>
          </cell>
          <cell r="F30">
            <v>257.72022123456594</v>
          </cell>
          <cell r="G30">
            <v>7.02</v>
          </cell>
          <cell r="H30">
            <v>905.06193119409193</v>
          </cell>
          <cell r="I30">
            <v>25.537560000000003</v>
          </cell>
          <cell r="J30">
            <v>49.646463136989254</v>
          </cell>
          <cell r="K30">
            <v>0.73172858000000007</v>
          </cell>
          <cell r="L30">
            <v>1.01304446596</v>
          </cell>
          <cell r="M30">
            <v>3.432429</v>
          </cell>
          <cell r="N30">
            <v>0.2</v>
          </cell>
          <cell r="O30">
            <v>19.350000000000001</v>
          </cell>
          <cell r="P30">
            <v>109.03</v>
          </cell>
          <cell r="Q30">
            <v>177.13</v>
          </cell>
        </row>
        <row r="31">
          <cell r="A31">
            <v>22</v>
          </cell>
          <cell r="B31" t="str">
            <v xml:space="preserve"> Sulawesi Tengah</v>
          </cell>
          <cell r="C31">
            <v>2358.6833999999999</v>
          </cell>
          <cell r="D31">
            <v>68032.86</v>
          </cell>
          <cell r="E31">
            <v>34.669766933214333</v>
          </cell>
          <cell r="F31">
            <v>509.08635147640894</v>
          </cell>
          <cell r="G31">
            <v>4.5759999999999996</v>
          </cell>
          <cell r="H31">
            <v>3784.2770075380968</v>
          </cell>
          <cell r="I31">
            <v>83.625330000000005</v>
          </cell>
          <cell r="J31">
            <v>105.62311219348982</v>
          </cell>
          <cell r="K31">
            <v>1.7588903100000002</v>
          </cell>
          <cell r="L31">
            <v>4.3427138171840003</v>
          </cell>
          <cell r="M31">
            <v>11.421036648000001</v>
          </cell>
          <cell r="N31">
            <v>0.43666112000000001</v>
          </cell>
          <cell r="O31">
            <v>107.69405523871265</v>
          </cell>
          <cell r="P31">
            <v>93.04</v>
          </cell>
          <cell r="Q31">
            <v>240.7</v>
          </cell>
        </row>
        <row r="32">
          <cell r="A32">
            <v>23</v>
          </cell>
          <cell r="B32" t="str">
            <v xml:space="preserve"> Sulawesi Selatan</v>
          </cell>
          <cell r="C32">
            <v>8252.6789999999983</v>
          </cell>
          <cell r="D32">
            <v>62439.950273437498</v>
          </cell>
          <cell r="E32">
            <v>132.16985221576579</v>
          </cell>
          <cell r="F32">
            <v>1301.7468850776195</v>
          </cell>
          <cell r="G32">
            <v>2.7250000000000001</v>
          </cell>
          <cell r="H32">
            <v>13916.728097055047</v>
          </cell>
          <cell r="I32">
            <v>325.11740000000003</v>
          </cell>
          <cell r="J32">
            <v>302.61452953499901</v>
          </cell>
          <cell r="K32">
            <v>12.682558499999999</v>
          </cell>
          <cell r="L32">
            <v>30.768175998767994</v>
          </cell>
          <cell r="M32">
            <v>45.127183584000008</v>
          </cell>
          <cell r="N32">
            <v>4.5607366400000009</v>
          </cell>
          <cell r="O32">
            <v>184.8477165246</v>
          </cell>
          <cell r="P32">
            <v>93.49</v>
          </cell>
          <cell r="Q32">
            <v>299.05</v>
          </cell>
        </row>
        <row r="33">
          <cell r="A33">
            <v>24</v>
          </cell>
          <cell r="B33" t="str">
            <v xml:space="preserve"> Sulawesi Tenggara</v>
          </cell>
          <cell r="C33">
            <v>1887.3519999999999</v>
          </cell>
          <cell r="D33">
            <v>37780.660000000003</v>
          </cell>
          <cell r="E33">
            <v>49.955506335781315</v>
          </cell>
          <cell r="F33">
            <v>428.42582090605794</v>
          </cell>
          <cell r="G33">
            <v>4.1269999999999998</v>
          </cell>
          <cell r="H33">
            <v>3158.9355499999997</v>
          </cell>
          <cell r="I33">
            <v>55.030320000000003</v>
          </cell>
          <cell r="J33">
            <v>93.465451726686837</v>
          </cell>
          <cell r="K33">
            <v>1.21025592</v>
          </cell>
          <cell r="L33">
            <v>6.4367839841599999</v>
          </cell>
          <cell r="M33">
            <v>8.2806847200000018</v>
          </cell>
          <cell r="N33">
            <v>0.25892383999999996</v>
          </cell>
          <cell r="O33">
            <v>104.95626357217391</v>
          </cell>
          <cell r="P33">
            <v>95.47</v>
          </cell>
          <cell r="Q33">
            <v>226.43</v>
          </cell>
        </row>
        <row r="34">
          <cell r="A34">
            <v>25</v>
          </cell>
          <cell r="B34" t="str">
            <v xml:space="preserve"> Bali</v>
          </cell>
          <cell r="C34">
            <v>3362.8330000000001</v>
          </cell>
          <cell r="D34">
            <v>5632.86</v>
          </cell>
          <cell r="E34">
            <v>597.00276591287559</v>
          </cell>
          <cell r="F34">
            <v>246.1272021531278</v>
          </cell>
          <cell r="G34">
            <v>1.052</v>
          </cell>
          <cell r="H34">
            <v>13796.116523351286</v>
          </cell>
          <cell r="I34">
            <v>465.74952000000002</v>
          </cell>
          <cell r="J34">
            <v>300.26964332318443</v>
          </cell>
          <cell r="K34">
            <v>2.2018E-4</v>
          </cell>
          <cell r="L34">
            <v>25.981957804407998</v>
          </cell>
          <cell r="M34">
            <v>16.499882112000002</v>
          </cell>
          <cell r="N34">
            <v>8.9346608000000014</v>
          </cell>
          <cell r="O34">
            <v>125.02020163325388</v>
          </cell>
          <cell r="P34">
            <v>97.6</v>
          </cell>
          <cell r="Q34">
            <v>184.87</v>
          </cell>
        </row>
        <row r="35">
          <cell r="A35">
            <v>26</v>
          </cell>
          <cell r="B35" t="str">
            <v xml:space="preserve"> NT Barat</v>
          </cell>
          <cell r="C35">
            <v>4024.857</v>
          </cell>
          <cell r="D35">
            <v>20176.97</v>
          </cell>
          <cell r="E35">
            <v>199.47777094380373</v>
          </cell>
          <cell r="F35">
            <v>1054.7394710852893</v>
          </cell>
          <cell r="G35">
            <v>4.8689999999999998</v>
          </cell>
          <cell r="H35">
            <v>5293.8704169999992</v>
          </cell>
          <cell r="I35">
            <v>104.55466</v>
          </cell>
          <cell r="J35">
            <v>134.9720764975927</v>
          </cell>
          <cell r="K35">
            <v>22.523116429999998</v>
          </cell>
          <cell r="L35">
            <v>18.259345661744</v>
          </cell>
          <cell r="M35">
            <v>11.133637031999999</v>
          </cell>
          <cell r="N35">
            <v>0.86239999999999994</v>
          </cell>
          <cell r="O35">
            <v>97.201583381757473</v>
          </cell>
          <cell r="P35">
            <v>90.59</v>
          </cell>
          <cell r="Q35">
            <v>223.95</v>
          </cell>
        </row>
        <row r="36">
          <cell r="A36">
            <v>27</v>
          </cell>
          <cell r="B36" t="str">
            <v xml:space="preserve"> NT Timur</v>
          </cell>
          <cell r="C36">
            <v>4093.9089999999992</v>
          </cell>
          <cell r="D36">
            <v>47375.09014648437</v>
          </cell>
          <cell r="E36">
            <v>86.414801266690603</v>
          </cell>
          <cell r="F36">
            <v>1165.9431907483513</v>
          </cell>
          <cell r="G36">
            <v>5.6079999999999997</v>
          </cell>
          <cell r="H36">
            <v>4211.3063949999996</v>
          </cell>
          <cell r="I36">
            <v>81.658559999999994</v>
          </cell>
          <cell r="J36">
            <v>113.92526174638809</v>
          </cell>
          <cell r="K36">
            <v>5.5377370000000002E-2</v>
          </cell>
          <cell r="L36">
            <v>6.1752438101599996</v>
          </cell>
          <cell r="M36">
            <v>16.296344736000002</v>
          </cell>
          <cell r="N36">
            <v>0.30380432000000002</v>
          </cell>
          <cell r="O36">
            <v>109.57519703380321</v>
          </cell>
          <cell r="P36">
            <v>118.83</v>
          </cell>
          <cell r="Q36">
            <v>283.04000000000002</v>
          </cell>
        </row>
        <row r="37">
          <cell r="A37">
            <v>28</v>
          </cell>
          <cell r="B37" t="str">
            <v xml:space="preserve"> Maluku</v>
          </cell>
          <cell r="C37">
            <v>1224.087</v>
          </cell>
          <cell r="D37">
            <v>54185</v>
          </cell>
          <cell r="E37">
            <v>22.590883085724833</v>
          </cell>
          <cell r="F37">
            <v>399.91329236893444</v>
          </cell>
          <cell r="G37">
            <v>6.7640000000000002</v>
          </cell>
          <cell r="H37">
            <v>1884.0568509815721</v>
          </cell>
          <cell r="I37">
            <v>18.998099999999997</v>
          </cell>
          <cell r="J37">
            <v>68.679725189307419</v>
          </cell>
          <cell r="K37">
            <v>2.8106194499999999</v>
          </cell>
          <cell r="L37">
            <v>4.0039086889600002</v>
          </cell>
          <cell r="M37">
            <v>10.307535168000003</v>
          </cell>
          <cell r="N37">
            <v>0.112</v>
          </cell>
          <cell r="O37">
            <v>116.03622102</v>
          </cell>
          <cell r="P37">
            <v>116.96</v>
          </cell>
          <cell r="Q37">
            <v>248.37</v>
          </cell>
        </row>
        <row r="38">
          <cell r="A38">
            <v>29</v>
          </cell>
          <cell r="B38" t="str">
            <v xml:space="preserve"> Maluku Utara</v>
          </cell>
          <cell r="C38">
            <v>858.06</v>
          </cell>
          <cell r="D38">
            <v>34984.392000000007</v>
          </cell>
          <cell r="E38">
            <v>24.526937612635937</v>
          </cell>
          <cell r="F38">
            <v>118.79213829692607</v>
          </cell>
          <cell r="G38">
            <v>2.0790000000000002</v>
          </cell>
          <cell r="H38">
            <v>805.51442000000009</v>
          </cell>
          <cell r="I38">
            <v>8.8742999999999999</v>
          </cell>
          <cell r="J38">
            <v>47.711096743438887</v>
          </cell>
          <cell r="K38">
            <v>7.4827514199999996</v>
          </cell>
          <cell r="L38">
            <v>2.0116773324000001</v>
          </cell>
          <cell r="M38">
            <v>8.4229588800000013</v>
          </cell>
          <cell r="N38">
            <v>2.4E-2</v>
          </cell>
          <cell r="O38">
            <v>26.442</v>
          </cell>
          <cell r="P38">
            <v>116.79</v>
          </cell>
          <cell r="Q38">
            <v>200.96</v>
          </cell>
        </row>
        <row r="39">
          <cell r="A39">
            <v>30</v>
          </cell>
          <cell r="B39" t="str">
            <v xml:space="preserve"> Papua</v>
          </cell>
          <cell r="C39">
            <v>2453.2620000000002</v>
          </cell>
          <cell r="D39">
            <v>420424.50001144409</v>
          </cell>
          <cell r="E39">
            <v>5.8352022775390617</v>
          </cell>
          <cell r="F39">
            <v>916.93204035354472</v>
          </cell>
          <cell r="G39">
            <v>10.688000000000001</v>
          </cell>
          <cell r="H39">
            <v>4302.4135291335915</v>
          </cell>
          <cell r="I39">
            <v>95.123999999999995</v>
          </cell>
          <cell r="J39">
            <v>115.6965334085299</v>
          </cell>
          <cell r="K39">
            <v>108.16939744</v>
          </cell>
          <cell r="L39">
            <v>44.991812378719999</v>
          </cell>
          <cell r="M39">
            <v>70.784127120000008</v>
          </cell>
          <cell r="N39">
            <v>0.59902703999999996</v>
          </cell>
          <cell r="O39">
            <v>162.17608924505222</v>
          </cell>
          <cell r="P39">
            <v>166.96</v>
          </cell>
          <cell r="Q39">
            <v>395.16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Agregat Halus &amp; Kasar"/>
      <sheetName val="Agregat Kelas A"/>
      <sheetName val="Agregat Kelas B"/>
      <sheetName val="Agregat Kelas C"/>
    </sheetNames>
    <sheetDataSet>
      <sheetData sheetId="0">
        <row r="13">
          <cell r="I13" t="str">
            <v>%</v>
          </cell>
        </row>
        <row r="14">
          <cell r="I14" t="str">
            <v>%</v>
          </cell>
        </row>
        <row r="15">
          <cell r="I15" t="str">
            <v>%</v>
          </cell>
        </row>
        <row r="16">
          <cell r="I16" t="str">
            <v>%</v>
          </cell>
        </row>
        <row r="17">
          <cell r="I17" t="str">
            <v>Ton/M3</v>
          </cell>
        </row>
        <row r="18">
          <cell r="I18" t="str">
            <v>Ton/M3</v>
          </cell>
        </row>
        <row r="19">
          <cell r="I19" t="str">
            <v>Ton/M3</v>
          </cell>
        </row>
        <row r="20">
          <cell r="I20" t="str">
            <v>Rp./M3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Agregat Halus &amp; Kasar"/>
      <sheetName val="Agregat Kelas A"/>
      <sheetName val="Agregat Kelas B"/>
      <sheetName val="Agregat Kelas C"/>
    </sheetNames>
    <sheetDataSet>
      <sheetData sheetId="0">
        <row r="13">
          <cell r="I13" t="str">
            <v>%</v>
          </cell>
        </row>
        <row r="14">
          <cell r="I14" t="str">
            <v>%</v>
          </cell>
        </row>
        <row r="15">
          <cell r="I15" t="str">
            <v>%</v>
          </cell>
        </row>
        <row r="16">
          <cell r="I16" t="str">
            <v>%</v>
          </cell>
        </row>
        <row r="17">
          <cell r="I17" t="str">
            <v>Ton/M3</v>
          </cell>
        </row>
        <row r="18">
          <cell r="I18" t="str">
            <v>Ton/M3</v>
          </cell>
        </row>
        <row r="19">
          <cell r="I19" t="str">
            <v>Ton/M3</v>
          </cell>
        </row>
        <row r="20">
          <cell r="I20" t="str">
            <v>Rp./M3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B.6"/>
      <sheetName val="B5 "/>
      <sheetName val="B2 "/>
      <sheetName val="B1"/>
      <sheetName val="B All "/>
      <sheetName val="B2 budpar - mbl"/>
      <sheetName val="Jadwal"/>
      <sheetName val="Halo2"/>
      <sheetName val="JENIS"/>
      <sheetName val="TT Sekda 13"/>
      <sheetName val="LOKASI"/>
      <sheetName val="Nama SKPA"/>
      <sheetName val="A1"/>
      <sheetName val="A2"/>
      <sheetName val="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NAMA SKPA SINGKAT</v>
          </cell>
        </row>
        <row r="2">
          <cell r="B2" t="str">
            <v>DINKESWAN</v>
          </cell>
        </row>
        <row r="3">
          <cell r="B3" t="str">
            <v>DISHUTBUN</v>
          </cell>
        </row>
        <row r="4">
          <cell r="B4" t="str">
            <v>DISTAN</v>
          </cell>
        </row>
        <row r="5">
          <cell r="B5" t="str">
            <v>DKP</v>
          </cell>
        </row>
        <row r="6">
          <cell r="B6" t="str">
            <v>BPLUH</v>
          </cell>
        </row>
        <row r="7">
          <cell r="B7" t="str">
            <v>DISPERINDAGKOP</v>
          </cell>
        </row>
        <row r="8">
          <cell r="B8" t="str">
            <v>DISNAKER</v>
          </cell>
        </row>
        <row r="9">
          <cell r="B9" t="str">
            <v>DPKKA</v>
          </cell>
        </row>
        <row r="10">
          <cell r="B10" t="str">
            <v>DISDIK</v>
          </cell>
        </row>
        <row r="11">
          <cell r="B11" t="str">
            <v>DINSOS</v>
          </cell>
        </row>
        <row r="12">
          <cell r="B12" t="str">
            <v>DISPORA</v>
          </cell>
        </row>
        <row r="13">
          <cell r="B13" t="str">
            <v>DISBUDPAR</v>
          </cell>
        </row>
        <row r="14">
          <cell r="B14" t="str">
            <v>BKPP</v>
          </cell>
        </row>
        <row r="15">
          <cell r="B15" t="str">
            <v>RSJ</v>
          </cell>
        </row>
        <row r="16">
          <cell r="B16" t="str">
            <v>RSIA</v>
          </cell>
        </row>
        <row r="17">
          <cell r="B17" t="str">
            <v>DINKES</v>
          </cell>
        </row>
        <row r="18">
          <cell r="B18" t="str">
            <v>DAYAH</v>
          </cell>
        </row>
        <row r="19">
          <cell r="B19" t="str">
            <v>SATPOL PP &amp; WH</v>
          </cell>
        </row>
        <row r="20">
          <cell r="B20" t="str">
            <v>KESBANGPOL</v>
          </cell>
        </row>
        <row r="21">
          <cell r="B21" t="str">
            <v>BAITUL MAAL</v>
          </cell>
        </row>
        <row r="22">
          <cell r="B22" t="str">
            <v>SI</v>
          </cell>
        </row>
        <row r="23">
          <cell r="B23" t="str">
            <v>MPU</v>
          </cell>
        </row>
        <row r="24">
          <cell r="B24" t="str">
            <v>BPM</v>
          </cell>
        </row>
        <row r="25">
          <cell r="B25" t="str">
            <v>ARPUS</v>
          </cell>
        </row>
        <row r="26">
          <cell r="B26" t="str">
            <v>INSPEKTORAT</v>
          </cell>
        </row>
        <row r="27">
          <cell r="B27" t="str">
            <v>SETWAN</v>
          </cell>
        </row>
        <row r="28">
          <cell r="B28" t="str">
            <v>SETDA</v>
          </cell>
        </row>
        <row r="29">
          <cell r="B29" t="str">
            <v>PABUNG ACEH</v>
          </cell>
        </row>
        <row r="30">
          <cell r="B30" t="str">
            <v>BPBA</v>
          </cell>
        </row>
        <row r="31">
          <cell r="B31" t="str">
            <v>PENGAIRAN</v>
          </cell>
        </row>
        <row r="32">
          <cell r="B32" t="str">
            <v>DISTAMBEN</v>
          </cell>
        </row>
        <row r="33">
          <cell r="B33" t="str">
            <v>BMCK</v>
          </cell>
        </row>
        <row r="34">
          <cell r="B34" t="str">
            <v>DISHUBKOMINTEL</v>
          </cell>
        </row>
        <row r="35">
          <cell r="B35" t="str">
            <v>BAPEDAL</v>
          </cell>
        </row>
        <row r="36">
          <cell r="B36" t="str">
            <v>BAPPEDA</v>
          </cell>
        </row>
        <row r="37">
          <cell r="B37" t="str">
            <v>MPD</v>
          </cell>
        </row>
        <row r="38">
          <cell r="B38" t="str">
            <v>RSUZA</v>
          </cell>
        </row>
        <row r="39">
          <cell r="B39" t="str">
            <v>REGISTRASI</v>
          </cell>
        </row>
        <row r="40">
          <cell r="B40" t="str">
            <v>BPPPA</v>
          </cell>
        </row>
        <row r="41">
          <cell r="B41" t="str">
            <v>Binves</v>
          </cell>
        </row>
        <row r="42">
          <cell r="B42" t="str">
            <v>MAA</v>
          </cell>
        </row>
        <row r="43">
          <cell r="B43" t="str">
            <v>DPRA</v>
          </cell>
        </row>
        <row r="44">
          <cell r="B44" t="str">
            <v>KDH</v>
          </cell>
        </row>
        <row r="45">
          <cell r="B45" t="str">
            <v>SETDA</v>
          </cell>
        </row>
        <row r="46">
          <cell r="B46" t="str">
            <v>Biro Umum</v>
          </cell>
        </row>
        <row r="47">
          <cell r="B47" t="str">
            <v>Biro Tapem</v>
          </cell>
        </row>
        <row r="48">
          <cell r="B48" t="str">
            <v>Biro Istimewa</v>
          </cell>
        </row>
        <row r="49">
          <cell r="B49" t="str">
            <v>Biro Hukmas</v>
          </cell>
        </row>
        <row r="50">
          <cell r="B50" t="str">
            <v>Biro Adpem</v>
          </cell>
        </row>
        <row r="51">
          <cell r="B51" t="str">
            <v>Biro Ekonomi</v>
          </cell>
        </row>
        <row r="52">
          <cell r="B52" t="str">
            <v>Biro Organ</v>
          </cell>
        </row>
        <row r="53">
          <cell r="B53" t="str">
            <v>Per Medan</v>
          </cell>
        </row>
        <row r="54">
          <cell r="B54" t="str">
            <v>BP2T</v>
          </cell>
        </row>
        <row r="55">
          <cell r="B55" t="str">
            <v>KORPRI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tode"/>
      <sheetName val="Lokasi"/>
      <sheetName val="SKPD"/>
      <sheetName val="KPA"/>
      <sheetName val="Cover"/>
      <sheetName val="A1"/>
      <sheetName val="A2"/>
      <sheetName val="A3"/>
      <sheetName val="A4.P"/>
      <sheetName val="A4.S"/>
      <sheetName val="A5"/>
      <sheetName val="Rekap A5"/>
      <sheetName val="A6"/>
      <sheetName val="Rekap A6"/>
      <sheetName val="A7.P"/>
      <sheetName val="A7.S"/>
      <sheetName val="B"/>
      <sheetName val="B1"/>
      <sheetName val="B2"/>
      <sheetName val="B3"/>
      <sheetName val="B6"/>
      <sheetName val="0_Genset_A_20130218_Jam_20"/>
    </sheetNames>
    <sheetDataSet>
      <sheetData sheetId="0"/>
      <sheetData sheetId="1">
        <row r="3">
          <cell r="C3" t="str">
            <v>PROV</v>
          </cell>
          <cell r="K3" t="str">
            <v>DAU</v>
          </cell>
          <cell r="N3" t="str">
            <v>B</v>
          </cell>
          <cell r="Q3" t="str">
            <v>BTLP</v>
          </cell>
        </row>
        <row r="4">
          <cell r="C4" t="str">
            <v>SBG</v>
          </cell>
          <cell r="K4" t="str">
            <v>REG</v>
          </cell>
          <cell r="N4" t="str">
            <v>K</v>
          </cell>
          <cell r="Q4" t="str">
            <v>BLP</v>
          </cell>
        </row>
        <row r="5">
          <cell r="C5" t="str">
            <v>BNA</v>
          </cell>
          <cell r="K5" t="str">
            <v>OA</v>
          </cell>
          <cell r="N5" t="str">
            <v>S</v>
          </cell>
          <cell r="Q5" t="str">
            <v>BJ</v>
          </cell>
        </row>
        <row r="6">
          <cell r="C6" t="str">
            <v>ABES</v>
          </cell>
          <cell r="K6" t="str">
            <v>OK</v>
          </cell>
          <cell r="N6" t="str">
            <v>J</v>
          </cell>
          <cell r="Q6" t="str">
            <v>BM</v>
          </cell>
        </row>
        <row r="7">
          <cell r="C7" t="str">
            <v>PIDIE</v>
          </cell>
          <cell r="K7" t="str">
            <v>MA</v>
          </cell>
          <cell r="Q7" t="str">
            <v>BS</v>
          </cell>
        </row>
        <row r="8">
          <cell r="C8" t="str">
            <v>PIJAY</v>
          </cell>
          <cell r="K8" t="str">
            <v>MK</v>
          </cell>
          <cell r="Q8" t="str">
            <v>BH</v>
          </cell>
        </row>
        <row r="9">
          <cell r="C9" t="str">
            <v>BIRN</v>
          </cell>
          <cell r="K9" t="str">
            <v>DAK</v>
          </cell>
        </row>
        <row r="10">
          <cell r="C10" t="str">
            <v>LHOK</v>
          </cell>
          <cell r="K10" t="str">
            <v>PAD RS</v>
          </cell>
        </row>
        <row r="11">
          <cell r="C11" t="str">
            <v>ACUT</v>
          </cell>
        </row>
        <row r="12">
          <cell r="C12" t="str">
            <v>ATIM</v>
          </cell>
        </row>
        <row r="13">
          <cell r="C13" t="str">
            <v>LNGS</v>
          </cell>
        </row>
        <row r="14">
          <cell r="C14" t="str">
            <v>ATAM</v>
          </cell>
        </row>
        <row r="15">
          <cell r="C15" t="str">
            <v>BENER</v>
          </cell>
        </row>
        <row r="16">
          <cell r="C16" t="str">
            <v>ATENG</v>
          </cell>
        </row>
        <row r="17">
          <cell r="C17" t="str">
            <v>GALU</v>
          </cell>
        </row>
        <row r="18">
          <cell r="C18" t="str">
            <v>AGARA</v>
          </cell>
        </row>
        <row r="19">
          <cell r="C19" t="str">
            <v>AJAY</v>
          </cell>
        </row>
        <row r="20">
          <cell r="C20" t="str">
            <v>ABAR</v>
          </cell>
        </row>
        <row r="21">
          <cell r="C21" t="str">
            <v>NAGAN</v>
          </cell>
        </row>
        <row r="22">
          <cell r="C22" t="str">
            <v>ABDYA</v>
          </cell>
        </row>
        <row r="23">
          <cell r="C23" t="str">
            <v>ASEL</v>
          </cell>
        </row>
        <row r="24">
          <cell r="C24" t="str">
            <v>SINGKIL</v>
          </cell>
        </row>
        <row r="25">
          <cell r="C25" t="str">
            <v>SBLM</v>
          </cell>
        </row>
        <row r="26">
          <cell r="C26" t="str">
            <v>SML</v>
          </cell>
        </row>
        <row r="27">
          <cell r="C27">
            <v>0</v>
          </cell>
        </row>
      </sheetData>
      <sheetData sheetId="2">
        <row r="1">
          <cell r="B1">
            <v>1</v>
          </cell>
        </row>
        <row r="3">
          <cell r="B3" t="str">
            <v>PROV</v>
          </cell>
        </row>
        <row r="4">
          <cell r="B4" t="str">
            <v>ARPUS</v>
          </cell>
        </row>
        <row r="5">
          <cell r="B5" t="str">
            <v>B.MAL</v>
          </cell>
        </row>
        <row r="6">
          <cell r="B6" t="str">
            <v>BLH</v>
          </cell>
        </row>
        <row r="7">
          <cell r="B7" t="str">
            <v>BAPPEDA</v>
          </cell>
        </row>
        <row r="8">
          <cell r="B8" t="str">
            <v>BINVES</v>
          </cell>
        </row>
        <row r="9">
          <cell r="B9" t="str">
            <v>BKPP</v>
          </cell>
        </row>
        <row r="10">
          <cell r="B10" t="str">
            <v>BM</v>
          </cell>
        </row>
        <row r="11">
          <cell r="B11" t="str">
            <v>BP2T</v>
          </cell>
        </row>
        <row r="12">
          <cell r="B12" t="str">
            <v>BP3A</v>
          </cell>
        </row>
        <row r="13">
          <cell r="B13" t="str">
            <v>BPBA</v>
          </cell>
        </row>
        <row r="14">
          <cell r="B14" t="str">
            <v>BPLUH</v>
          </cell>
        </row>
        <row r="15">
          <cell r="B15" t="str">
            <v>BPM</v>
          </cell>
        </row>
        <row r="16">
          <cell r="B16" t="str">
            <v>BUDPAR</v>
          </cell>
        </row>
        <row r="17">
          <cell r="B17" t="str">
            <v>DAYAH</v>
          </cell>
        </row>
        <row r="18">
          <cell r="B18" t="str">
            <v>DINKES</v>
          </cell>
        </row>
        <row r="19">
          <cell r="B19" t="str">
            <v>DINSOS</v>
          </cell>
        </row>
        <row r="20">
          <cell r="B20" t="str">
            <v>DISBUN</v>
          </cell>
        </row>
        <row r="21">
          <cell r="B21" t="str">
            <v>DISDIK</v>
          </cell>
        </row>
        <row r="22">
          <cell r="B22" t="str">
            <v>DISPORA</v>
          </cell>
        </row>
        <row r="23">
          <cell r="B23" t="str">
            <v>DISTAN</v>
          </cell>
        </row>
        <row r="24">
          <cell r="B24" t="str">
            <v>DKP</v>
          </cell>
        </row>
        <row r="25">
          <cell r="B25" t="str">
            <v>DPKA</v>
          </cell>
        </row>
        <row r="26">
          <cell r="B26" t="str">
            <v>DPRA</v>
          </cell>
        </row>
        <row r="27">
          <cell r="B27" t="str">
            <v>HUBKOM</v>
          </cell>
        </row>
        <row r="28">
          <cell r="B28" t="str">
            <v>INSPEKTORAT</v>
          </cell>
        </row>
        <row r="29">
          <cell r="B29" t="str">
            <v>KDH</v>
          </cell>
        </row>
        <row r="30">
          <cell r="B30" t="str">
            <v>KESBANG</v>
          </cell>
        </row>
        <row r="31">
          <cell r="B31" t="str">
            <v>KESWANAK</v>
          </cell>
        </row>
        <row r="32">
          <cell r="B32" t="str">
            <v>MAA</v>
          </cell>
        </row>
        <row r="33">
          <cell r="B33" t="str">
            <v>MPD</v>
          </cell>
        </row>
        <row r="34">
          <cell r="B34" t="str">
            <v>MPU</v>
          </cell>
        </row>
        <row r="35">
          <cell r="B35" t="str">
            <v>NAKER</v>
          </cell>
        </row>
        <row r="36">
          <cell r="B36" t="str">
            <v>PABUNG ACEH</v>
          </cell>
        </row>
        <row r="37">
          <cell r="B37" t="str">
            <v>PENGAIRAN</v>
          </cell>
        </row>
        <row r="38">
          <cell r="B38" t="str">
            <v>RINDAG</v>
          </cell>
        </row>
        <row r="39">
          <cell r="B39" t="str">
            <v>RSIA</v>
          </cell>
        </row>
        <row r="40">
          <cell r="B40" t="str">
            <v>RSJ</v>
          </cell>
        </row>
        <row r="41">
          <cell r="B41" t="str">
            <v>RSUZA</v>
          </cell>
        </row>
        <row r="42">
          <cell r="B42" t="str">
            <v>SATPOL</v>
          </cell>
        </row>
        <row r="43">
          <cell r="B43" t="str">
            <v>SEK. DPRA</v>
          </cell>
        </row>
        <row r="44">
          <cell r="B44" t="str">
            <v>SETDA</v>
          </cell>
        </row>
        <row r="45">
          <cell r="B45" t="str">
            <v>SI</v>
          </cell>
        </row>
        <row r="46">
          <cell r="B46" t="str">
            <v>TAMBEN</v>
          </cell>
        </row>
        <row r="47">
          <cell r="B47">
            <v>0</v>
          </cell>
        </row>
        <row r="48">
          <cell r="B48" t="str">
            <v>KORPRI</v>
          </cell>
        </row>
        <row r="49">
          <cell r="B49" t="str">
            <v>DKA</v>
          </cell>
        </row>
        <row r="50">
          <cell r="B50" t="str">
            <v>KOP &amp; UKM</v>
          </cell>
        </row>
        <row r="51">
          <cell r="B51" t="str">
            <v>DISHUT</v>
          </cell>
        </row>
        <row r="52">
          <cell r="B52" t="str">
            <v>CIKA</v>
          </cell>
        </row>
        <row r="53">
          <cell r="B53" t="str">
            <v>DRKA</v>
          </cell>
        </row>
        <row r="54">
          <cell r="B54" t="str">
            <v>B. UMUM</v>
          </cell>
        </row>
        <row r="55">
          <cell r="B55" t="str">
            <v>B. TAPEM</v>
          </cell>
        </row>
        <row r="56">
          <cell r="B56" t="str">
            <v>B. ORGAN</v>
          </cell>
        </row>
        <row r="57">
          <cell r="B57" t="str">
            <v>PER MEDAN</v>
          </cell>
        </row>
        <row r="58">
          <cell r="B58" t="str">
            <v>B. ISRA</v>
          </cell>
        </row>
        <row r="59">
          <cell r="B59" t="str">
            <v>B. HUKUM</v>
          </cell>
        </row>
        <row r="60">
          <cell r="B60" t="str">
            <v>B. EKON</v>
          </cell>
        </row>
        <row r="61">
          <cell r="B61" t="str">
            <v>B. HUMAS</v>
          </cell>
        </row>
        <row r="62">
          <cell r="B62" t="str">
            <v>B. ADPEMB</v>
          </cell>
        </row>
        <row r="63">
          <cell r="B63" t="str">
            <v>SETWAN</v>
          </cell>
        </row>
      </sheetData>
      <sheetData sheetId="3"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</sheetData>
      <sheetData sheetId="4"/>
      <sheetData sheetId="5">
        <row r="3">
          <cell r="B3" t="str">
            <v>RKA</v>
          </cell>
        </row>
        <row r="5">
          <cell r="B5" t="str">
            <v>ACEH</v>
          </cell>
        </row>
        <row r="8">
          <cell r="B8">
            <v>41324.45925821759</v>
          </cell>
        </row>
        <row r="9">
          <cell r="B9" t="str">
            <v>Banda Aceh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B.6"/>
      <sheetName val="B5 "/>
      <sheetName val="B2 "/>
      <sheetName val="B1"/>
      <sheetName val="B All "/>
      <sheetName val="B2 budpar - mbl"/>
      <sheetName val="Jadwal"/>
      <sheetName val="Halo2"/>
      <sheetName val="JENIS"/>
      <sheetName val="TT Sekda 13"/>
      <sheetName val="LOKASI"/>
      <sheetName val="Nama SKPA"/>
      <sheetName val="A1"/>
      <sheetName val="A2"/>
      <sheetName val="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NAMA SKPA SINGKAT</v>
          </cell>
        </row>
        <row r="2">
          <cell r="B2" t="str">
            <v>DINKESWAN</v>
          </cell>
        </row>
        <row r="3">
          <cell r="B3" t="str">
            <v>DISHUTBUN</v>
          </cell>
        </row>
        <row r="4">
          <cell r="B4" t="str">
            <v>DISTAN</v>
          </cell>
        </row>
        <row r="5">
          <cell r="B5" t="str">
            <v>DKP</v>
          </cell>
        </row>
        <row r="6">
          <cell r="B6" t="str">
            <v>BPLUH</v>
          </cell>
        </row>
        <row r="7">
          <cell r="B7" t="str">
            <v>DISPERINDAGKOP</v>
          </cell>
        </row>
        <row r="8">
          <cell r="B8" t="str">
            <v>DISNAKER</v>
          </cell>
        </row>
        <row r="9">
          <cell r="B9" t="str">
            <v>DPKKA</v>
          </cell>
        </row>
        <row r="10">
          <cell r="B10" t="str">
            <v>DISDIK</v>
          </cell>
        </row>
        <row r="11">
          <cell r="B11" t="str">
            <v>DINSOS</v>
          </cell>
        </row>
        <row r="12">
          <cell r="B12" t="str">
            <v>DISPORA</v>
          </cell>
        </row>
        <row r="13">
          <cell r="B13" t="str">
            <v>DISBUDPAR</v>
          </cell>
        </row>
        <row r="14">
          <cell r="B14" t="str">
            <v>BKPP</v>
          </cell>
        </row>
        <row r="15">
          <cell r="B15" t="str">
            <v>RSJ</v>
          </cell>
        </row>
        <row r="16">
          <cell r="B16" t="str">
            <v>RSIA</v>
          </cell>
        </row>
        <row r="17">
          <cell r="B17" t="str">
            <v>DINKES</v>
          </cell>
        </row>
        <row r="18">
          <cell r="B18" t="str">
            <v>DAYAH</v>
          </cell>
        </row>
        <row r="19">
          <cell r="B19" t="str">
            <v>SATPOL PP &amp; WH</v>
          </cell>
        </row>
        <row r="20">
          <cell r="B20" t="str">
            <v>KESBANGPOL</v>
          </cell>
        </row>
        <row r="21">
          <cell r="B21" t="str">
            <v>BAITUL MAAL</v>
          </cell>
        </row>
        <row r="22">
          <cell r="B22" t="str">
            <v>SI</v>
          </cell>
        </row>
        <row r="23">
          <cell r="B23" t="str">
            <v>MPU</v>
          </cell>
        </row>
        <row r="24">
          <cell r="B24" t="str">
            <v>BPM</v>
          </cell>
        </row>
        <row r="25">
          <cell r="B25" t="str">
            <v>ARPUS</v>
          </cell>
        </row>
        <row r="26">
          <cell r="B26" t="str">
            <v>INSPEKTORAT</v>
          </cell>
        </row>
        <row r="27">
          <cell r="B27" t="str">
            <v>SETWAN</v>
          </cell>
        </row>
        <row r="28">
          <cell r="B28" t="str">
            <v>SETDA</v>
          </cell>
        </row>
        <row r="29">
          <cell r="B29" t="str">
            <v>PABUNG ACEH</v>
          </cell>
        </row>
        <row r="30">
          <cell r="B30" t="str">
            <v>BPBA</v>
          </cell>
        </row>
        <row r="31">
          <cell r="B31" t="str">
            <v>PENGAIRAN</v>
          </cell>
        </row>
        <row r="32">
          <cell r="B32" t="str">
            <v>DISTAMBEN</v>
          </cell>
        </row>
        <row r="33">
          <cell r="B33" t="str">
            <v>BMCK</v>
          </cell>
        </row>
        <row r="34">
          <cell r="B34" t="str">
            <v>DISHUBKOMINTEL</v>
          </cell>
        </row>
        <row r="35">
          <cell r="B35" t="str">
            <v>BAPEDAL</v>
          </cell>
        </row>
        <row r="36">
          <cell r="B36" t="str">
            <v>BAPPEDA</v>
          </cell>
        </row>
        <row r="37">
          <cell r="B37" t="str">
            <v>MPD</v>
          </cell>
        </row>
        <row r="38">
          <cell r="B38" t="str">
            <v>RSUZA</v>
          </cell>
        </row>
        <row r="39">
          <cell r="B39" t="str">
            <v>REGISTRASI</v>
          </cell>
        </row>
        <row r="40">
          <cell r="B40" t="str">
            <v>BPPPA</v>
          </cell>
        </row>
        <row r="41">
          <cell r="B41" t="str">
            <v>Binves</v>
          </cell>
        </row>
        <row r="42">
          <cell r="B42" t="str">
            <v>MAA</v>
          </cell>
        </row>
        <row r="43">
          <cell r="B43" t="str">
            <v>DPRA</v>
          </cell>
        </row>
        <row r="44">
          <cell r="B44" t="str">
            <v>KDH</v>
          </cell>
        </row>
        <row r="45">
          <cell r="B45" t="str">
            <v>SETDA</v>
          </cell>
        </row>
        <row r="46">
          <cell r="B46" t="str">
            <v>Biro Umum</v>
          </cell>
        </row>
        <row r="47">
          <cell r="B47" t="str">
            <v>Biro Tapem</v>
          </cell>
        </row>
        <row r="48">
          <cell r="B48" t="str">
            <v>Biro Istimewa</v>
          </cell>
        </row>
        <row r="49">
          <cell r="B49" t="str">
            <v>Biro Hukmas</v>
          </cell>
        </row>
        <row r="50">
          <cell r="B50" t="str">
            <v>Biro Adpem</v>
          </cell>
        </row>
        <row r="51">
          <cell r="B51" t="str">
            <v>Biro Ekonomi</v>
          </cell>
        </row>
        <row r="52">
          <cell r="B52" t="str">
            <v>Biro Organ</v>
          </cell>
        </row>
        <row r="53">
          <cell r="B53" t="str">
            <v>Per Medan</v>
          </cell>
        </row>
        <row r="54">
          <cell r="B54" t="str">
            <v>BP2T</v>
          </cell>
        </row>
        <row r="55">
          <cell r="B55" t="str">
            <v>KORPRI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TREF"/>
      <sheetName val="Rencana"/>
      <sheetName val="Realisasi"/>
      <sheetName val="Realisasi 16 Juni"/>
      <sheetName val="Sheet1"/>
      <sheetName val="Realisasi 25 Juni"/>
      <sheetName val="Realisasi (2)"/>
      <sheetName val="Realisasi (3)"/>
      <sheetName val="aCEH"/>
      <sheetName val="KURVA S TV"/>
      <sheetName val="aCEH (2)"/>
      <sheetName val="Realisasi (4)"/>
      <sheetName val="Simulasi"/>
      <sheetName val="Realisasi anomali"/>
      <sheetName val="Realisasi_16_Juni"/>
      <sheetName val="Realisasi_25_Juni"/>
      <sheetName val="Realisasi_(2)"/>
      <sheetName val="Realisasi_(3)"/>
      <sheetName val="KURVA_S_TV"/>
      <sheetName val="aCEH_(2)"/>
      <sheetName val="Realisasi_(4)"/>
      <sheetName val="Realisasi_anomali"/>
      <sheetName val="Nama SKPA"/>
      <sheetName val="LAP-BLN DES2003"/>
      <sheetName val="Agregat Halus &amp; Kasar"/>
      <sheetName val="LOKASI"/>
      <sheetName val=".05.01"/>
    </sheetNames>
    <sheetDataSet>
      <sheetData sheetId="0">
        <row r="23">
          <cell r="A23" t="str">
            <v>ACEH</v>
          </cell>
        </row>
        <row r="24">
          <cell r="A24" t="str">
            <v>S.1</v>
          </cell>
        </row>
        <row r="25">
          <cell r="A25" t="str">
            <v>S.2</v>
          </cell>
        </row>
        <row r="26">
          <cell r="A26" t="str">
            <v>S.3</v>
          </cell>
        </row>
        <row r="27">
          <cell r="A27" t="str">
            <v>S.4</v>
          </cell>
        </row>
        <row r="28">
          <cell r="A28" t="str">
            <v>S.5</v>
          </cell>
        </row>
        <row r="29">
          <cell r="A29" t="str">
            <v>S.6</v>
          </cell>
        </row>
        <row r="30">
          <cell r="A30" t="str">
            <v>E.7</v>
          </cell>
        </row>
        <row r="31">
          <cell r="A31" t="str">
            <v>E.8</v>
          </cell>
        </row>
        <row r="32">
          <cell r="A32" t="str">
            <v>E.9</v>
          </cell>
        </row>
        <row r="33">
          <cell r="A33" t="str">
            <v>E.10</v>
          </cell>
        </row>
        <row r="34">
          <cell r="A34" t="str">
            <v>E.11</v>
          </cell>
        </row>
        <row r="35">
          <cell r="A35" t="str">
            <v>E.12</v>
          </cell>
        </row>
        <row r="36">
          <cell r="A36" t="str">
            <v>E.13</v>
          </cell>
        </row>
        <row r="37">
          <cell r="A37" t="str">
            <v>E.14</v>
          </cell>
        </row>
        <row r="38">
          <cell r="A38" t="str">
            <v>E.15</v>
          </cell>
        </row>
        <row r="39">
          <cell r="A39" t="str">
            <v>E.16</v>
          </cell>
        </row>
        <row r="40">
          <cell r="A40" t="str">
            <v>I.17</v>
          </cell>
        </row>
        <row r="41">
          <cell r="A41" t="str">
            <v>I.18</v>
          </cell>
        </row>
        <row r="42">
          <cell r="A42" t="str">
            <v>I.19</v>
          </cell>
        </row>
        <row r="43">
          <cell r="A43" t="str">
            <v>I.20</v>
          </cell>
        </row>
        <row r="44">
          <cell r="A44" t="str">
            <v>I.21</v>
          </cell>
        </row>
        <row r="45">
          <cell r="A45" t="str">
            <v>I.22</v>
          </cell>
        </row>
        <row r="46">
          <cell r="A46" t="str">
            <v>I.23</v>
          </cell>
        </row>
        <row r="47">
          <cell r="A47" t="str">
            <v>I.24</v>
          </cell>
        </row>
        <row r="48">
          <cell r="A48" t="str">
            <v>I.25</v>
          </cell>
        </row>
        <row r="49">
          <cell r="A49" t="str">
            <v>I.26</v>
          </cell>
        </row>
        <row r="50">
          <cell r="A50" t="str">
            <v>I.27</v>
          </cell>
        </row>
        <row r="51">
          <cell r="A51" t="str">
            <v>I.28</v>
          </cell>
        </row>
        <row r="52">
          <cell r="A52" t="str">
            <v>I.29</v>
          </cell>
        </row>
        <row r="53">
          <cell r="A53" t="str">
            <v>I.30</v>
          </cell>
        </row>
        <row r="54">
          <cell r="A54" t="str">
            <v>I.31</v>
          </cell>
        </row>
        <row r="55">
          <cell r="A55" t="str">
            <v>I.32</v>
          </cell>
        </row>
        <row r="56">
          <cell r="A56" t="str">
            <v>I.33</v>
          </cell>
        </row>
        <row r="57">
          <cell r="A57" t="str">
            <v>I.34</v>
          </cell>
        </row>
        <row r="58">
          <cell r="A58" t="str">
            <v>I.35</v>
          </cell>
        </row>
        <row r="59">
          <cell r="A59" t="str">
            <v>I.36</v>
          </cell>
        </row>
        <row r="60">
          <cell r="A60" t="str">
            <v>I.37</v>
          </cell>
        </row>
        <row r="61">
          <cell r="A61" t="str">
            <v>I.38</v>
          </cell>
        </row>
        <row r="62">
          <cell r="A62" t="str">
            <v>I.39</v>
          </cell>
        </row>
        <row r="63">
          <cell r="A63" t="str">
            <v>I.40</v>
          </cell>
        </row>
        <row r="64">
          <cell r="A64" t="str">
            <v>I.41</v>
          </cell>
        </row>
        <row r="65">
          <cell r="A65" t="str">
            <v>I.42</v>
          </cell>
        </row>
        <row r="66">
          <cell r="A66" t="str">
            <v>I.42a</v>
          </cell>
        </row>
        <row r="67">
          <cell r="A67" t="str">
            <v>I.43</v>
          </cell>
        </row>
        <row r="68">
          <cell r="A68" t="str">
            <v>I.44</v>
          </cell>
        </row>
        <row r="69">
          <cell r="A69" t="str">
            <v>I.45</v>
          </cell>
        </row>
        <row r="70">
          <cell r="A70" t="str">
            <v>I.46</v>
          </cell>
        </row>
        <row r="71">
          <cell r="A71" t="str">
            <v>I.47</v>
          </cell>
        </row>
        <row r="72">
          <cell r="A72" t="str">
            <v>I.48</v>
          </cell>
        </row>
        <row r="73">
          <cell r="A73" t="str">
            <v>I.49</v>
          </cell>
        </row>
        <row r="74">
          <cell r="A74" t="str">
            <v>I.50</v>
          </cell>
        </row>
        <row r="75">
          <cell r="A75" t="str">
            <v>I.51</v>
          </cell>
        </row>
        <row r="76">
          <cell r="A76" t="str">
            <v>I.52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5">
          <cell r="AC15">
            <v>17.167880875137794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Latar"/>
      <sheetName val="Data1.Gaji"/>
      <sheetName val="Data1.Kend.Dinas"/>
      <sheetName val="Data2.Tj.Jabatan"/>
      <sheetName val="Data3.Tj.Prestasi"/>
      <sheetName val="Data4.Tj.Lain"/>
      <sheetName val="Data5.JasaLainnya"/>
      <sheetName val="Data6.Kend.Dinas"/>
      <sheetName val="Data7.ProgKeg"/>
      <sheetName val="Data7.1ProgKeg"/>
      <sheetName val="Data7.2ProgKeg"/>
      <sheetName val="Data7.3.Bel.Tdk.Langsung"/>
      <sheetName val="Data7.4.Bel.Langsung"/>
      <sheetName val="Data8.Urusan"/>
      <sheetName val="Data9.SumberDana"/>
      <sheetName val="Kode Rekening Pembiayaan"/>
      <sheetName val="Kode &amp; Klasifikasi Urusan"/>
      <sheetName val="Data7.3.Belanja (2)"/>
      <sheetName val="Nama Ka. SKP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6">
          <cell r="D46" t="str">
            <v>Dinas Pendidikan dan Kebudayaan</v>
          </cell>
        </row>
        <row r="47">
          <cell r="D47" t="str">
            <v>Kantor Perpustakaan dan Arsip Daerah</v>
          </cell>
        </row>
        <row r="52">
          <cell r="D52" t="str">
            <v>Dinas Kesehatan</v>
          </cell>
        </row>
        <row r="53">
          <cell r="D53" t="str">
            <v>Rumah Sakit Umum Daerah Idi</v>
          </cell>
        </row>
        <row r="54">
          <cell r="D54" t="str">
            <v>Rumah Sakit Umum Peureulak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Tskpa"/>
      <sheetName val="Data"/>
      <sheetName val="Foto"/>
      <sheetName val="LINK FOTO"/>
      <sheetName val="TKab"/>
      <sheetName val="Bikin_Bat_File"/>
      <sheetName val="Data UPDATE"/>
      <sheetName val="Data UPDATE (2)"/>
    </sheetNames>
    <sheetDataSet>
      <sheetData sheetId="0" refreshError="1"/>
      <sheetData sheetId="1" refreshError="1"/>
      <sheetData sheetId="2">
        <row r="7">
          <cell r="C7">
            <v>52</v>
          </cell>
        </row>
        <row r="133">
          <cell r="C133">
            <v>0</v>
          </cell>
        </row>
      </sheetData>
      <sheetData sheetId="3">
        <row r="5">
          <cell r="R5" t="str">
            <v>D:\00. D1 AMAT\FOTO1\</v>
          </cell>
        </row>
      </sheetData>
      <sheetData sheetId="4" refreshError="1"/>
      <sheetData sheetId="5" refreshError="1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Tskpa"/>
      <sheetName val="Data"/>
      <sheetName val="Foto"/>
      <sheetName val="LINK FOTO"/>
      <sheetName val="TKab"/>
      <sheetName val="Bikin_Bat_File"/>
      <sheetName val="Data UPDATE"/>
      <sheetName val="Data UPDATE (2)"/>
    </sheetNames>
    <sheetDataSet>
      <sheetData sheetId="0" refreshError="1"/>
      <sheetData sheetId="1" refreshError="1"/>
      <sheetData sheetId="2">
        <row r="7">
          <cell r="C7">
            <v>52</v>
          </cell>
        </row>
        <row r="133">
          <cell r="C133" t="str">
            <v/>
          </cell>
        </row>
      </sheetData>
      <sheetData sheetId="3">
        <row r="5">
          <cell r="R5" t="str">
            <v>D:\00. D1 AMAT\FOTO1\</v>
          </cell>
        </row>
      </sheetData>
      <sheetData sheetId="4" refreshError="1"/>
      <sheetData sheetId="5" refreshError="1"/>
      <sheetData sheetId="6"/>
      <sheetData sheetId="7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SPA"/>
      <sheetName val="REKAP - GAB"/>
      <sheetName val="DAU"/>
    </sheetNames>
    <sheetDataSet>
      <sheetData sheetId="0"/>
      <sheetData sheetId="1"/>
      <sheetData sheetId="2">
        <row r="9">
          <cell r="A9">
            <v>1</v>
          </cell>
          <cell r="B9" t="str">
            <v xml:space="preserve"> Nanggroe Aceh Darussalam</v>
          </cell>
          <cell r="C9" t="str">
            <v>0600</v>
          </cell>
          <cell r="D9">
            <v>2162440000</v>
          </cell>
          <cell r="G9">
            <v>2162440000000</v>
          </cell>
        </row>
        <row r="10">
          <cell r="A10">
            <v>2</v>
          </cell>
          <cell r="B10" t="str">
            <v xml:space="preserve"> Sumatera Utara</v>
          </cell>
          <cell r="C10" t="str">
            <v>0700</v>
          </cell>
          <cell r="D10">
            <v>4387250000</v>
          </cell>
          <cell r="G10">
            <v>4387250000000</v>
          </cell>
        </row>
        <row r="11">
          <cell r="A11">
            <v>3</v>
          </cell>
          <cell r="B11" t="str">
            <v xml:space="preserve"> Sumatera Barat</v>
          </cell>
          <cell r="C11" t="str">
            <v>0800</v>
          </cell>
          <cell r="D11">
            <v>2517320000</v>
          </cell>
          <cell r="G11">
            <v>2517320000000</v>
          </cell>
        </row>
        <row r="12">
          <cell r="A12">
            <v>4</v>
          </cell>
          <cell r="B12" t="str">
            <v xml:space="preserve"> Riau</v>
          </cell>
          <cell r="C12" t="str">
            <v>0900</v>
          </cell>
          <cell r="D12">
            <v>1783230000</v>
          </cell>
          <cell r="G12">
            <v>1783230000000</v>
          </cell>
        </row>
        <row r="13">
          <cell r="A13">
            <v>5</v>
          </cell>
          <cell r="B13" t="str">
            <v xml:space="preserve"> Jambi</v>
          </cell>
          <cell r="C13" t="str">
            <v>1000</v>
          </cell>
          <cell r="D13">
            <v>1582770000</v>
          </cell>
          <cell r="G13">
            <v>1582770000000</v>
          </cell>
        </row>
        <row r="14">
          <cell r="A14">
            <v>6</v>
          </cell>
          <cell r="B14" t="str">
            <v xml:space="preserve"> Sumatera Selatan</v>
          </cell>
          <cell r="C14" t="str">
            <v>1100</v>
          </cell>
          <cell r="D14">
            <v>2219350000</v>
          </cell>
          <cell r="G14">
            <v>2219350000000</v>
          </cell>
        </row>
        <row r="15">
          <cell r="A15">
            <v>7</v>
          </cell>
          <cell r="B15" t="str">
            <v xml:space="preserve"> Lampung</v>
          </cell>
          <cell r="C15" t="str">
            <v>1200</v>
          </cell>
          <cell r="D15">
            <v>2376060000</v>
          </cell>
          <cell r="G15">
            <v>2376060000000</v>
          </cell>
        </row>
        <row r="16">
          <cell r="A16">
            <v>8</v>
          </cell>
          <cell r="B16" t="str">
            <v xml:space="preserve"> DKI Jakarta</v>
          </cell>
          <cell r="C16" t="str">
            <v>0100</v>
          </cell>
          <cell r="D16">
            <v>734890000</v>
          </cell>
          <cell r="G16">
            <v>734890000000</v>
          </cell>
        </row>
        <row r="17">
          <cell r="A17">
            <v>9</v>
          </cell>
          <cell r="B17" t="str">
            <v xml:space="preserve"> Jawa Barat</v>
          </cell>
          <cell r="C17" t="str">
            <v>0200</v>
          </cell>
          <cell r="D17">
            <v>8033110000</v>
          </cell>
          <cell r="G17">
            <v>8033110000000</v>
          </cell>
        </row>
        <row r="18">
          <cell r="A18">
            <v>10</v>
          </cell>
          <cell r="B18" t="str">
            <v xml:space="preserve"> Jawa Tengah</v>
          </cell>
          <cell r="C18" t="str">
            <v>0300</v>
          </cell>
          <cell r="D18">
            <v>9520330000</v>
          </cell>
          <cell r="G18">
            <v>9520330000000</v>
          </cell>
        </row>
        <row r="19">
          <cell r="A19">
            <v>11</v>
          </cell>
          <cell r="B19" t="str">
            <v xml:space="preserve"> D.I. Yogyakarta</v>
          </cell>
          <cell r="C19" t="str">
            <v>0400</v>
          </cell>
          <cell r="D19">
            <v>1462350000</v>
          </cell>
          <cell r="G19">
            <v>1462350000000</v>
          </cell>
        </row>
        <row r="20">
          <cell r="A20">
            <v>12</v>
          </cell>
          <cell r="B20" t="str">
            <v xml:space="preserve"> Jawa Timur</v>
          </cell>
          <cell r="C20" t="str">
            <v>0500</v>
          </cell>
          <cell r="D20">
            <v>9952580000</v>
          </cell>
          <cell r="G20">
            <v>9952580000000</v>
          </cell>
        </row>
        <row r="21">
          <cell r="A21">
            <v>13</v>
          </cell>
          <cell r="B21" t="str">
            <v xml:space="preserve"> Kalimantan Barat</v>
          </cell>
          <cell r="C21" t="str">
            <v>1300</v>
          </cell>
          <cell r="D21">
            <v>2165460000</v>
          </cell>
          <cell r="G21">
            <v>2165460000000</v>
          </cell>
        </row>
        <row r="22">
          <cell r="A22">
            <v>14</v>
          </cell>
          <cell r="B22" t="str">
            <v xml:space="preserve"> Kalimantan Tengah</v>
          </cell>
          <cell r="C22" t="str">
            <v>1400</v>
          </cell>
          <cell r="D22">
            <v>1542670000</v>
          </cell>
          <cell r="G22">
            <v>1542670000000</v>
          </cell>
        </row>
        <row r="23">
          <cell r="A23">
            <v>15</v>
          </cell>
          <cell r="B23" t="str">
            <v xml:space="preserve"> Kalimantan Selatan</v>
          </cell>
          <cell r="C23" t="str">
            <v>1500</v>
          </cell>
          <cell r="D23">
            <v>1704110000</v>
          </cell>
          <cell r="G23">
            <v>1704110000000</v>
          </cell>
        </row>
        <row r="24">
          <cell r="A24">
            <v>16</v>
          </cell>
          <cell r="B24" t="str">
            <v xml:space="preserve"> Kalimantan Timur</v>
          </cell>
          <cell r="C24" t="str">
            <v>1600</v>
          </cell>
          <cell r="D24">
            <v>1298830000</v>
          </cell>
          <cell r="G24">
            <v>1298830000000</v>
          </cell>
        </row>
        <row r="25">
          <cell r="A25">
            <v>17</v>
          </cell>
          <cell r="B25" t="str">
            <v xml:space="preserve"> Sulawesi Utara</v>
          </cell>
          <cell r="C25" t="str">
            <v>1700</v>
          </cell>
          <cell r="D25">
            <v>1240900000</v>
          </cell>
          <cell r="G25">
            <v>1240900000000</v>
          </cell>
        </row>
        <row r="26">
          <cell r="A26">
            <v>18</v>
          </cell>
          <cell r="B26" t="str">
            <v xml:space="preserve"> Sulawesi Tengah</v>
          </cell>
          <cell r="C26" t="str">
            <v>1800</v>
          </cell>
          <cell r="D26">
            <v>1575010000</v>
          </cell>
          <cell r="G26">
            <v>1575010000000</v>
          </cell>
        </row>
        <row r="27">
          <cell r="A27">
            <v>19</v>
          </cell>
          <cell r="B27" t="str">
            <v xml:space="preserve"> Sulawesi Selatan</v>
          </cell>
          <cell r="C27" t="str">
            <v>1900</v>
          </cell>
          <cell r="D27">
            <v>4162950000</v>
          </cell>
          <cell r="G27">
            <v>4162950000000</v>
          </cell>
        </row>
        <row r="28">
          <cell r="A28">
            <v>20</v>
          </cell>
          <cell r="B28" t="str">
            <v xml:space="preserve"> Sulawesi Tenggara</v>
          </cell>
          <cell r="C28" t="str">
            <v>2000</v>
          </cell>
          <cell r="D28">
            <v>1311490000</v>
          </cell>
          <cell r="G28">
            <v>1311490000000</v>
          </cell>
        </row>
        <row r="29">
          <cell r="A29">
            <v>21</v>
          </cell>
          <cell r="B29" t="str">
            <v xml:space="preserve"> Maluku</v>
          </cell>
          <cell r="C29" t="str">
            <v>2100</v>
          </cell>
          <cell r="D29">
            <v>1149940000</v>
          </cell>
          <cell r="G29">
            <v>1149940000000</v>
          </cell>
        </row>
        <row r="30">
          <cell r="A30">
            <v>22</v>
          </cell>
          <cell r="B30" t="str">
            <v xml:space="preserve"> Bali</v>
          </cell>
          <cell r="C30" t="str">
            <v>2200</v>
          </cell>
          <cell r="D30">
            <v>1683850000</v>
          </cell>
          <cell r="G30">
            <v>1683850000000</v>
          </cell>
        </row>
        <row r="31">
          <cell r="A31">
            <v>23</v>
          </cell>
          <cell r="B31" t="str">
            <v xml:space="preserve"> Nusa Tenggara Barat</v>
          </cell>
          <cell r="C31" t="str">
            <v>2300</v>
          </cell>
          <cell r="D31">
            <v>1637440000</v>
          </cell>
          <cell r="G31">
            <v>1637440000000</v>
          </cell>
        </row>
        <row r="32">
          <cell r="A32">
            <v>24</v>
          </cell>
          <cell r="B32" t="str">
            <v xml:space="preserve"> Nusa Tenggara Timur</v>
          </cell>
          <cell r="C32" t="str">
            <v>2400</v>
          </cell>
          <cell r="D32">
            <v>2632410000</v>
          </cell>
          <cell r="G32">
            <v>2632410000000</v>
          </cell>
        </row>
        <row r="33">
          <cell r="A33">
            <v>25</v>
          </cell>
          <cell r="B33" t="str">
            <v xml:space="preserve"> Papua</v>
          </cell>
          <cell r="C33" t="str">
            <v>2500</v>
          </cell>
          <cell r="D33">
            <v>3556100000</v>
          </cell>
          <cell r="G33">
            <v>3556100000000</v>
          </cell>
        </row>
        <row r="34">
          <cell r="A34">
            <v>26</v>
          </cell>
          <cell r="B34" t="str">
            <v xml:space="preserve"> Bengkulu</v>
          </cell>
          <cell r="C34" t="str">
            <v>2600</v>
          </cell>
          <cell r="D34">
            <v>973800000</v>
          </cell>
          <cell r="G34">
            <v>973800000000</v>
          </cell>
        </row>
        <row r="35">
          <cell r="A35">
            <v>27</v>
          </cell>
          <cell r="B35" t="str">
            <v xml:space="preserve"> Maluku Utara</v>
          </cell>
          <cell r="C35" t="str">
            <v>2800</v>
          </cell>
          <cell r="D35">
            <v>732640000</v>
          </cell>
          <cell r="G35">
            <v>732640000000</v>
          </cell>
        </row>
        <row r="36">
          <cell r="A36">
            <v>28</v>
          </cell>
          <cell r="B36" t="str">
            <v xml:space="preserve"> Banten</v>
          </cell>
          <cell r="C36" t="str">
            <v>2900</v>
          </cell>
          <cell r="D36">
            <v>1663010000</v>
          </cell>
          <cell r="G36">
            <v>1663010000000</v>
          </cell>
        </row>
        <row r="37">
          <cell r="A37">
            <v>29</v>
          </cell>
          <cell r="B37" t="str">
            <v xml:space="preserve"> Bangka Belitung</v>
          </cell>
          <cell r="C37" t="str">
            <v>3000</v>
          </cell>
          <cell r="D37">
            <v>551450000</v>
          </cell>
          <cell r="G37">
            <v>551450000000</v>
          </cell>
        </row>
        <row r="38">
          <cell r="A38">
            <v>30</v>
          </cell>
          <cell r="B38" t="str">
            <v xml:space="preserve"> Gorontalo</v>
          </cell>
          <cell r="C38" t="str">
            <v>3100</v>
          </cell>
          <cell r="D38">
            <v>664160000</v>
          </cell>
          <cell r="G38">
            <v>664160000000</v>
          </cell>
        </row>
      </sheetData>
      <sheetData sheetId="3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SPA"/>
      <sheetName val="REKAP - GAB"/>
      <sheetName val="DAU"/>
    </sheetNames>
    <sheetDataSet>
      <sheetData sheetId="0"/>
      <sheetData sheetId="1"/>
      <sheetData sheetId="2">
        <row r="9">
          <cell r="A9">
            <v>1</v>
          </cell>
          <cell r="B9" t="str">
            <v xml:space="preserve"> Nanggroe Aceh Darussalam</v>
          </cell>
          <cell r="C9" t="str">
            <v>0600</v>
          </cell>
          <cell r="D9">
            <v>2162440000</v>
          </cell>
          <cell r="G9">
            <v>2162440000000</v>
          </cell>
        </row>
        <row r="10">
          <cell r="A10">
            <v>2</v>
          </cell>
          <cell r="B10" t="str">
            <v xml:space="preserve"> Sumatera Utara</v>
          </cell>
          <cell r="C10" t="str">
            <v>0700</v>
          </cell>
          <cell r="D10">
            <v>4387250000</v>
          </cell>
          <cell r="G10">
            <v>4387250000000</v>
          </cell>
        </row>
        <row r="11">
          <cell r="A11">
            <v>3</v>
          </cell>
          <cell r="B11" t="str">
            <v xml:space="preserve"> Sumatera Barat</v>
          </cell>
          <cell r="C11" t="str">
            <v>0800</v>
          </cell>
          <cell r="D11">
            <v>2517320000</v>
          </cell>
          <cell r="G11">
            <v>2517320000000</v>
          </cell>
        </row>
        <row r="12">
          <cell r="A12">
            <v>4</v>
          </cell>
          <cell r="B12" t="str">
            <v xml:space="preserve"> Riau</v>
          </cell>
          <cell r="C12" t="str">
            <v>0900</v>
          </cell>
          <cell r="D12">
            <v>1783230000</v>
          </cell>
          <cell r="G12">
            <v>1783230000000</v>
          </cell>
        </row>
        <row r="13">
          <cell r="A13">
            <v>5</v>
          </cell>
          <cell r="B13" t="str">
            <v xml:space="preserve"> Jambi</v>
          </cell>
          <cell r="C13" t="str">
            <v>1000</v>
          </cell>
          <cell r="D13">
            <v>1582770000</v>
          </cell>
          <cell r="G13">
            <v>1582770000000</v>
          </cell>
        </row>
        <row r="14">
          <cell r="A14">
            <v>6</v>
          </cell>
          <cell r="B14" t="str">
            <v xml:space="preserve"> Sumatera Selatan</v>
          </cell>
          <cell r="C14" t="str">
            <v>1100</v>
          </cell>
          <cell r="D14">
            <v>2219350000</v>
          </cell>
          <cell r="G14">
            <v>2219350000000</v>
          </cell>
        </row>
        <row r="15">
          <cell r="A15">
            <v>7</v>
          </cell>
          <cell r="B15" t="str">
            <v xml:space="preserve"> Lampung</v>
          </cell>
          <cell r="C15" t="str">
            <v>1200</v>
          </cell>
          <cell r="D15">
            <v>2376060000</v>
          </cell>
          <cell r="G15">
            <v>2376060000000</v>
          </cell>
        </row>
        <row r="16">
          <cell r="A16">
            <v>8</v>
          </cell>
          <cell r="B16" t="str">
            <v xml:space="preserve"> DKI Jakarta</v>
          </cell>
          <cell r="C16" t="str">
            <v>0100</v>
          </cell>
          <cell r="D16">
            <v>734890000</v>
          </cell>
          <cell r="G16">
            <v>734890000000</v>
          </cell>
        </row>
        <row r="17">
          <cell r="A17">
            <v>9</v>
          </cell>
          <cell r="B17" t="str">
            <v xml:space="preserve"> Jawa Barat</v>
          </cell>
          <cell r="C17" t="str">
            <v>0200</v>
          </cell>
          <cell r="D17">
            <v>8033110000</v>
          </cell>
          <cell r="G17">
            <v>8033110000000</v>
          </cell>
        </row>
        <row r="18">
          <cell r="A18">
            <v>10</v>
          </cell>
          <cell r="B18" t="str">
            <v xml:space="preserve"> Jawa Tengah</v>
          </cell>
          <cell r="C18" t="str">
            <v>0300</v>
          </cell>
          <cell r="D18">
            <v>9520330000</v>
          </cell>
          <cell r="G18">
            <v>9520330000000</v>
          </cell>
        </row>
        <row r="19">
          <cell r="A19">
            <v>11</v>
          </cell>
          <cell r="B19" t="str">
            <v xml:space="preserve"> D.I. Yogyakarta</v>
          </cell>
          <cell r="C19" t="str">
            <v>0400</v>
          </cell>
          <cell r="D19">
            <v>1462350000</v>
          </cell>
          <cell r="G19">
            <v>1462350000000</v>
          </cell>
        </row>
        <row r="20">
          <cell r="A20">
            <v>12</v>
          </cell>
          <cell r="B20" t="str">
            <v xml:space="preserve"> Jawa Timur</v>
          </cell>
          <cell r="C20" t="str">
            <v>0500</v>
          </cell>
          <cell r="D20">
            <v>9952580000</v>
          </cell>
          <cell r="G20">
            <v>9952580000000</v>
          </cell>
        </row>
        <row r="21">
          <cell r="A21">
            <v>13</v>
          </cell>
          <cell r="B21" t="str">
            <v xml:space="preserve"> Kalimantan Barat</v>
          </cell>
          <cell r="C21" t="str">
            <v>1300</v>
          </cell>
          <cell r="D21">
            <v>2165460000</v>
          </cell>
          <cell r="G21">
            <v>2165460000000</v>
          </cell>
        </row>
        <row r="22">
          <cell r="A22">
            <v>14</v>
          </cell>
          <cell r="B22" t="str">
            <v xml:space="preserve"> Kalimantan Tengah</v>
          </cell>
          <cell r="C22" t="str">
            <v>1400</v>
          </cell>
          <cell r="D22">
            <v>1542670000</v>
          </cell>
          <cell r="G22">
            <v>1542670000000</v>
          </cell>
        </row>
        <row r="23">
          <cell r="A23">
            <v>15</v>
          </cell>
          <cell r="B23" t="str">
            <v xml:space="preserve"> Kalimantan Selatan</v>
          </cell>
          <cell r="C23" t="str">
            <v>1500</v>
          </cell>
          <cell r="D23">
            <v>1704110000</v>
          </cell>
          <cell r="G23">
            <v>1704110000000</v>
          </cell>
        </row>
        <row r="24">
          <cell r="A24">
            <v>16</v>
          </cell>
          <cell r="B24" t="str">
            <v xml:space="preserve"> Kalimantan Timur</v>
          </cell>
          <cell r="C24" t="str">
            <v>1600</v>
          </cell>
          <cell r="D24">
            <v>1298830000</v>
          </cell>
          <cell r="G24">
            <v>1298830000000</v>
          </cell>
        </row>
        <row r="25">
          <cell r="A25">
            <v>17</v>
          </cell>
          <cell r="B25" t="str">
            <v xml:space="preserve"> Sulawesi Utara</v>
          </cell>
          <cell r="C25" t="str">
            <v>1700</v>
          </cell>
          <cell r="D25">
            <v>1240900000</v>
          </cell>
          <cell r="G25">
            <v>1240900000000</v>
          </cell>
        </row>
        <row r="26">
          <cell r="A26">
            <v>18</v>
          </cell>
          <cell r="B26" t="str">
            <v xml:space="preserve"> Sulawesi Tengah</v>
          </cell>
          <cell r="C26" t="str">
            <v>1800</v>
          </cell>
          <cell r="D26">
            <v>1575010000</v>
          </cell>
          <cell r="G26">
            <v>1575010000000</v>
          </cell>
        </row>
        <row r="27">
          <cell r="A27">
            <v>19</v>
          </cell>
          <cell r="B27" t="str">
            <v xml:space="preserve"> Sulawesi Selatan</v>
          </cell>
          <cell r="C27" t="str">
            <v>1900</v>
          </cell>
          <cell r="D27">
            <v>4162950000</v>
          </cell>
          <cell r="G27">
            <v>4162950000000</v>
          </cell>
        </row>
        <row r="28">
          <cell r="A28">
            <v>20</v>
          </cell>
          <cell r="B28" t="str">
            <v xml:space="preserve"> Sulawesi Tenggara</v>
          </cell>
          <cell r="C28" t="str">
            <v>2000</v>
          </cell>
          <cell r="D28">
            <v>1311490000</v>
          </cell>
          <cell r="G28">
            <v>1311490000000</v>
          </cell>
        </row>
        <row r="29">
          <cell r="A29">
            <v>21</v>
          </cell>
          <cell r="B29" t="str">
            <v xml:space="preserve"> Maluku</v>
          </cell>
          <cell r="C29" t="str">
            <v>2100</v>
          </cell>
          <cell r="D29">
            <v>1149940000</v>
          </cell>
          <cell r="G29">
            <v>1149940000000</v>
          </cell>
        </row>
        <row r="30">
          <cell r="A30">
            <v>22</v>
          </cell>
          <cell r="B30" t="str">
            <v xml:space="preserve"> Bali</v>
          </cell>
          <cell r="C30" t="str">
            <v>2200</v>
          </cell>
          <cell r="D30">
            <v>1683850000</v>
          </cell>
          <cell r="G30">
            <v>1683850000000</v>
          </cell>
        </row>
        <row r="31">
          <cell r="A31">
            <v>23</v>
          </cell>
          <cell r="B31" t="str">
            <v xml:space="preserve"> Nusa Tenggara Barat</v>
          </cell>
          <cell r="C31" t="str">
            <v>2300</v>
          </cell>
          <cell r="D31">
            <v>1637440000</v>
          </cell>
          <cell r="G31">
            <v>1637440000000</v>
          </cell>
        </row>
        <row r="32">
          <cell r="A32">
            <v>24</v>
          </cell>
          <cell r="B32" t="str">
            <v xml:space="preserve"> Nusa Tenggara Timur</v>
          </cell>
          <cell r="C32" t="str">
            <v>2400</v>
          </cell>
          <cell r="D32">
            <v>2632410000</v>
          </cell>
          <cell r="G32">
            <v>2632410000000</v>
          </cell>
        </row>
        <row r="33">
          <cell r="A33">
            <v>25</v>
          </cell>
          <cell r="B33" t="str">
            <v xml:space="preserve"> Papua</v>
          </cell>
          <cell r="C33" t="str">
            <v>2500</v>
          </cell>
          <cell r="D33">
            <v>3556100000</v>
          </cell>
          <cell r="G33">
            <v>3556100000000</v>
          </cell>
        </row>
        <row r="34">
          <cell r="A34">
            <v>26</v>
          </cell>
          <cell r="B34" t="str">
            <v xml:space="preserve"> Bengkulu</v>
          </cell>
          <cell r="C34" t="str">
            <v>2600</v>
          </cell>
          <cell r="D34">
            <v>973800000</v>
          </cell>
          <cell r="G34">
            <v>973800000000</v>
          </cell>
        </row>
        <row r="35">
          <cell r="A35">
            <v>27</v>
          </cell>
          <cell r="B35" t="str">
            <v xml:space="preserve"> Maluku Utara</v>
          </cell>
          <cell r="C35" t="str">
            <v>2800</v>
          </cell>
          <cell r="D35">
            <v>732640000</v>
          </cell>
          <cell r="G35">
            <v>732640000000</v>
          </cell>
        </row>
        <row r="36">
          <cell r="A36">
            <v>28</v>
          </cell>
          <cell r="B36" t="str">
            <v xml:space="preserve"> Banten</v>
          </cell>
          <cell r="C36" t="str">
            <v>2900</v>
          </cell>
          <cell r="D36">
            <v>1663010000</v>
          </cell>
          <cell r="G36">
            <v>1663010000000</v>
          </cell>
        </row>
        <row r="37">
          <cell r="A37">
            <v>29</v>
          </cell>
          <cell r="B37" t="str">
            <v xml:space="preserve"> Bangka Belitung</v>
          </cell>
          <cell r="C37" t="str">
            <v>3000</v>
          </cell>
          <cell r="D37">
            <v>551450000</v>
          </cell>
          <cell r="G37">
            <v>551450000000</v>
          </cell>
        </row>
        <row r="38">
          <cell r="A38">
            <v>30</v>
          </cell>
          <cell r="B38" t="str">
            <v xml:space="preserve"> Gorontalo</v>
          </cell>
          <cell r="C38" t="str">
            <v>3100</v>
          </cell>
          <cell r="D38">
            <v>664160000</v>
          </cell>
          <cell r="G38">
            <v>664160000000</v>
          </cell>
        </row>
      </sheetData>
      <sheetData sheetId="3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PAS Rutin"/>
      <sheetName val="PPAS"/>
      <sheetName val="Rekap"/>
      <sheetName val="Pendapatan"/>
      <sheetName val="BTL17 (4)"/>
      <sheetName val="Surat"/>
      <sheetName val="Komunikasi"/>
      <sheetName val="Kebersihan"/>
      <sheetName val="ATK"/>
      <sheetName val="Listrik"/>
      <sheetName val="Kantor"/>
      <sheetName val="RT"/>
      <sheetName val="Bacaan"/>
      <sheetName val="Makan"/>
      <sheetName val="Rapat"/>
      <sheetName val="ADM kantor"/>
      <sheetName val="mbl jabatan"/>
      <sheetName val="Perleng Rmh dinas"/>
      <sheetName val="P. Kendaraaan "/>
      <sheetName val="Pakaian"/>
      <sheetName val="Agama"/>
      <sheetName val="Pembangunan RS"/>
      <sheetName val="R.Rawat Inap"/>
      <sheetName val="Rehabilitasi"/>
      <sheetName val="Alkes"/>
      <sheetName val="Ambulance"/>
      <sheetName val="Mebeleur"/>
      <sheetName val="Cetak&amp;Penggandaan"/>
      <sheetName val="Pel.rs"/>
      <sheetName val="Pem.limbah"/>
      <sheetName val="Pem.alkes"/>
      <sheetName val="Pem.per.RS"/>
      <sheetName val="IGD"/>
      <sheetName val="COT"/>
      <sheetName val="I.Anak"/>
      <sheetName val="I.Dewasa"/>
      <sheetName val="R.Jalan"/>
      <sheetName val="R.Inap"/>
      <sheetName val="Radiologi"/>
      <sheetName val="Gizi"/>
      <sheetName val="Laundry"/>
      <sheetName val="pelatihan"/>
      <sheetName val="J.Layanan"/>
      <sheetName val="Sheet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35">
          <cell r="K35">
            <v>8000000</v>
          </cell>
          <cell r="L35">
            <v>8000000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</sheetData>
      <sheetData sheetId="6">
        <row r="39">
          <cell r="K39">
            <v>1842768000</v>
          </cell>
          <cell r="L39">
            <v>1842768000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</sheetData>
      <sheetData sheetId="7">
        <row r="46">
          <cell r="K46">
            <v>1011615321</v>
          </cell>
          <cell r="L46">
            <v>1011615321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</sheetData>
      <sheetData sheetId="8">
        <row r="119">
          <cell r="K119">
            <v>200000000</v>
          </cell>
          <cell r="L119">
            <v>200000000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</sheetData>
      <sheetData sheetId="9">
        <row r="82">
          <cell r="K82">
            <v>49500000</v>
          </cell>
          <cell r="L82">
            <v>49500000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</sheetData>
      <sheetData sheetId="10">
        <row r="65">
          <cell r="K65">
            <v>500000000</v>
          </cell>
          <cell r="L65">
            <v>500000000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</sheetData>
      <sheetData sheetId="11">
        <row r="60">
          <cell r="K60">
            <v>570000000</v>
          </cell>
          <cell r="L60">
            <v>570000000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</sheetData>
      <sheetData sheetId="12">
        <row r="32">
          <cell r="K32">
            <v>10000000</v>
          </cell>
          <cell r="L32">
            <v>10000000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</sheetData>
      <sheetData sheetId="13">
        <row r="37">
          <cell r="K37">
            <v>50000000</v>
          </cell>
          <cell r="L37">
            <v>50000000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</sheetData>
      <sheetData sheetId="14">
        <row r="49">
          <cell r="K49">
            <v>300000000</v>
          </cell>
          <cell r="L49">
            <v>300000000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</sheetData>
      <sheetData sheetId="15">
        <row r="110">
          <cell r="K110">
            <v>1800000000</v>
          </cell>
          <cell r="L110">
            <v>1800000000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</sheetData>
      <sheetData sheetId="16">
        <row r="32">
          <cell r="K32">
            <v>150000000</v>
          </cell>
          <cell r="L32">
            <v>150000000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</sheetData>
      <sheetData sheetId="17">
        <row r="40">
          <cell r="K40">
            <v>96000000</v>
          </cell>
          <cell r="L40">
            <v>96000000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</sheetData>
      <sheetData sheetId="18">
        <row r="41">
          <cell r="K41">
            <v>162000000</v>
          </cell>
          <cell r="L41">
            <v>162000000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</sheetData>
      <sheetData sheetId="19">
        <row r="53">
          <cell r="K53">
            <v>475250000</v>
          </cell>
          <cell r="L53">
            <v>475250000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</sheetData>
      <sheetData sheetId="20">
        <row r="45">
          <cell r="K45">
            <v>50000000</v>
          </cell>
          <cell r="L45">
            <v>50000000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</sheetData>
      <sheetData sheetId="21">
        <row r="57">
          <cell r="K57">
            <v>50000000</v>
          </cell>
          <cell r="L57">
            <v>0</v>
          </cell>
          <cell r="M57">
            <v>50000000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</sheetData>
      <sheetData sheetId="22">
        <row r="47">
          <cell r="K47">
            <v>50000000</v>
          </cell>
          <cell r="L47">
            <v>0</v>
          </cell>
          <cell r="M47">
            <v>50000000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</sheetData>
      <sheetData sheetId="23">
        <row r="61">
          <cell r="K61">
            <v>850000000</v>
          </cell>
          <cell r="L61">
            <v>0</v>
          </cell>
          <cell r="M61">
            <v>850000000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</sheetData>
      <sheetData sheetId="24">
        <row r="67">
          <cell r="K67">
            <v>10000000000</v>
          </cell>
          <cell r="L67">
            <v>0</v>
          </cell>
          <cell r="M67">
            <v>10000000000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</sheetData>
      <sheetData sheetId="25">
        <row r="39">
          <cell r="K39">
            <v>780000000</v>
          </cell>
          <cell r="L39">
            <v>0</v>
          </cell>
          <cell r="M39">
            <v>780000000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</sheetData>
      <sheetData sheetId="26">
        <row r="51">
          <cell r="K51">
            <v>658250002</v>
          </cell>
          <cell r="L51">
            <v>0</v>
          </cell>
          <cell r="M51">
            <v>658250002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</sheetData>
      <sheetData sheetId="27">
        <row r="161">
          <cell r="K161">
            <v>300000000</v>
          </cell>
          <cell r="L161">
            <v>300000000</v>
          </cell>
          <cell r="M161">
            <v>0</v>
          </cell>
          <cell r="N161">
            <v>0</v>
          </cell>
        </row>
      </sheetData>
      <sheetData sheetId="28">
        <row r="43">
          <cell r="K43">
            <v>60000000</v>
          </cell>
          <cell r="L43">
            <v>60000000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</sheetData>
      <sheetData sheetId="29">
        <row r="127">
          <cell r="K127">
            <v>300000000</v>
          </cell>
          <cell r="L127">
            <v>300000000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</sheetData>
      <sheetData sheetId="30">
        <row r="71">
          <cell r="K71">
            <v>324363566</v>
          </cell>
          <cell r="L71">
            <v>324363566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</sheetData>
      <sheetData sheetId="31">
        <row r="103">
          <cell r="K103">
            <v>250000000</v>
          </cell>
          <cell r="L103">
            <v>250000000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2">
        <row r="85">
          <cell r="K85">
            <v>1000000000</v>
          </cell>
          <cell r="L85">
            <v>0</v>
          </cell>
          <cell r="M85">
            <v>0</v>
          </cell>
          <cell r="N85">
            <v>0</v>
          </cell>
          <cell r="O85">
            <v>1000000000</v>
          </cell>
          <cell r="P85">
            <v>0</v>
          </cell>
          <cell r="Q85">
            <v>0</v>
          </cell>
        </row>
      </sheetData>
      <sheetData sheetId="33">
        <row r="53">
          <cell r="K53">
            <v>4000000000</v>
          </cell>
          <cell r="L53">
            <v>0</v>
          </cell>
          <cell r="M53">
            <v>0</v>
          </cell>
          <cell r="N53">
            <v>0</v>
          </cell>
          <cell r="O53">
            <v>4000000000</v>
          </cell>
          <cell r="P53">
            <v>0</v>
          </cell>
          <cell r="Q53">
            <v>0</v>
          </cell>
        </row>
      </sheetData>
      <sheetData sheetId="34">
        <row r="43">
          <cell r="K43">
            <v>2000000000</v>
          </cell>
          <cell r="L43">
            <v>0</v>
          </cell>
          <cell r="M43">
            <v>0</v>
          </cell>
          <cell r="N43">
            <v>0</v>
          </cell>
          <cell r="O43">
            <v>2000000000</v>
          </cell>
          <cell r="P43">
            <v>0</v>
          </cell>
          <cell r="Q43">
            <v>0</v>
          </cell>
        </row>
      </sheetData>
      <sheetData sheetId="35">
        <row r="55">
          <cell r="K55">
            <v>1610492040</v>
          </cell>
          <cell r="L55">
            <v>0</v>
          </cell>
          <cell r="M55">
            <v>0</v>
          </cell>
          <cell r="N55">
            <v>0</v>
          </cell>
          <cell r="O55">
            <v>1610492040</v>
          </cell>
          <cell r="P55">
            <v>0</v>
          </cell>
          <cell r="Q55">
            <v>0</v>
          </cell>
        </row>
      </sheetData>
      <sheetData sheetId="36">
        <row r="153">
          <cell r="K153">
            <v>2433918960</v>
          </cell>
          <cell r="L153">
            <v>0</v>
          </cell>
          <cell r="M153">
            <v>0</v>
          </cell>
          <cell r="N153">
            <v>0</v>
          </cell>
          <cell r="O153">
            <v>2433918960</v>
          </cell>
          <cell r="P153">
            <v>0</v>
          </cell>
          <cell r="Q153">
            <v>0</v>
          </cell>
        </row>
      </sheetData>
      <sheetData sheetId="37">
        <row r="155">
          <cell r="K155">
            <v>4000000000</v>
          </cell>
          <cell r="L155">
            <v>0</v>
          </cell>
          <cell r="M155">
            <v>0</v>
          </cell>
          <cell r="N155">
            <v>0</v>
          </cell>
          <cell r="O155">
            <v>4000000000</v>
          </cell>
          <cell r="P155">
            <v>0</v>
          </cell>
          <cell r="Q155">
            <v>0</v>
          </cell>
        </row>
      </sheetData>
      <sheetData sheetId="38">
        <row r="39">
          <cell r="K39">
            <v>2316767500</v>
          </cell>
          <cell r="L39">
            <v>0</v>
          </cell>
          <cell r="M39">
            <v>0</v>
          </cell>
          <cell r="N39">
            <v>2316767500</v>
          </cell>
          <cell r="O39">
            <v>0</v>
          </cell>
          <cell r="P39">
            <v>0</v>
          </cell>
          <cell r="Q39">
            <v>0</v>
          </cell>
        </row>
      </sheetData>
      <sheetData sheetId="39">
        <row r="44">
          <cell r="K44">
            <v>500000000</v>
          </cell>
          <cell r="M44">
            <v>0</v>
          </cell>
          <cell r="N44">
            <v>500000000</v>
          </cell>
        </row>
      </sheetData>
      <sheetData sheetId="40">
        <row r="55">
          <cell r="K55">
            <v>175000000</v>
          </cell>
          <cell r="L55">
            <v>0</v>
          </cell>
          <cell r="M55">
            <v>0</v>
          </cell>
          <cell r="N55">
            <v>175000000</v>
          </cell>
          <cell r="O55">
            <v>0</v>
          </cell>
          <cell r="P55">
            <v>0</v>
          </cell>
          <cell r="Q55">
            <v>0</v>
          </cell>
        </row>
      </sheetData>
      <sheetData sheetId="41">
        <row r="114">
          <cell r="K114">
            <v>1500000000</v>
          </cell>
          <cell r="L114">
            <v>0</v>
          </cell>
          <cell r="M114">
            <v>1500000000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</sheetData>
      <sheetData sheetId="42">
        <row r="178">
          <cell r="K178">
            <v>29918356800</v>
          </cell>
          <cell r="Q178">
            <v>29918356800</v>
          </cell>
        </row>
      </sheetData>
      <sheetData sheetId="43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sumber dana (3)"/>
      <sheetName val="sumber dana (2)"/>
      <sheetName val="sumber dana"/>
      <sheetName val="PPAS Rutin (2)"/>
      <sheetName val="PPAS (2)"/>
      <sheetName val="rutin"/>
      <sheetName val="PPAS 2017"/>
      <sheetName val="PPAS Rutin"/>
      <sheetName val="PPAS (3)"/>
      <sheetName val="PPAS"/>
      <sheetName val="Rekap"/>
      <sheetName val="Sheet1"/>
      <sheetName val="BTL17 (2)"/>
      <sheetName val="Pendapatan"/>
      <sheetName val="Surat"/>
      <sheetName val="Komunikasi"/>
      <sheetName val="Kebersihan"/>
      <sheetName val="ATK"/>
      <sheetName val="Listrik"/>
      <sheetName val="Kantor"/>
      <sheetName val="RT"/>
      <sheetName val="Bacaan"/>
      <sheetName val="Makan"/>
      <sheetName val="Rapat"/>
      <sheetName val="ADM kantor"/>
      <sheetName val="mbl jabatan"/>
      <sheetName val="Perleng Rmh dinas"/>
      <sheetName val="P. Kendaraaan "/>
      <sheetName val="Pakaian"/>
      <sheetName val="Agama"/>
      <sheetName val="Pembangunan RS"/>
      <sheetName val="Rehabilitasi"/>
      <sheetName val="Mebeleur"/>
      <sheetName val="Cetak&amp;Penggandaan"/>
      <sheetName val="Pel.rs"/>
      <sheetName val="Pem.limbah"/>
      <sheetName val="Pem.alkes"/>
      <sheetName val="Pem.per.RS"/>
      <sheetName val="IGD"/>
      <sheetName val="COT"/>
      <sheetName val="I.Anak"/>
      <sheetName val="I.Dewasa"/>
      <sheetName val="R.Jalan"/>
      <sheetName val="R.Inap"/>
      <sheetName val="Radiologi"/>
      <sheetName val="Gizi"/>
      <sheetName val="Laundry"/>
      <sheetName val="pelatihan"/>
      <sheetName val="J.Layanan"/>
      <sheetName val="Sheet2"/>
      <sheetName val="J.Layanan (2)"/>
      <sheetName val="J.Layanan (3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47">
          <cell r="K47">
            <v>134242500</v>
          </cell>
        </row>
      </sheetData>
      <sheetData sheetId="29">
        <row r="45">
          <cell r="K45">
            <v>51400000</v>
          </cell>
        </row>
      </sheetData>
      <sheetData sheetId="30" refreshError="1"/>
      <sheetData sheetId="31" refreshError="1"/>
      <sheetData sheetId="32" refreshError="1"/>
      <sheetData sheetId="33">
        <row r="161">
          <cell r="K161">
            <v>618891025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04">
          <cell r="K104">
            <v>1388778920</v>
          </cell>
        </row>
      </sheetData>
      <sheetData sheetId="48">
        <row r="178">
          <cell r="K178">
            <v>30017562892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BTL17"/>
      <sheetName val="BTL17 (2)"/>
      <sheetName val="BTL17 (3)"/>
    </sheetNames>
    <sheetDataSet>
      <sheetData sheetId="0">
        <row r="11">
          <cell r="AB11">
            <v>26171234883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etode"/>
      <sheetName val="Lokasi"/>
      <sheetName val="SKPD"/>
      <sheetName val="KPA"/>
      <sheetName val="Cover"/>
      <sheetName val="A1"/>
      <sheetName val="A2"/>
      <sheetName val="A3"/>
      <sheetName val="A4.P"/>
      <sheetName val="A4.S"/>
      <sheetName val="A5"/>
      <sheetName val="Rekap A5"/>
      <sheetName val="A6"/>
      <sheetName val="Rekap A6"/>
      <sheetName val="A7.P"/>
      <sheetName val="A7.S"/>
      <sheetName val="B"/>
      <sheetName val="B1"/>
      <sheetName val="B2"/>
      <sheetName val="B3"/>
      <sheetName val="B6"/>
      <sheetName val="0_Genset_A_20130218_Jam_20"/>
    </sheetNames>
    <sheetDataSet>
      <sheetData sheetId="0"/>
      <sheetData sheetId="1">
        <row r="3">
          <cell r="C3" t="str">
            <v>PROV</v>
          </cell>
          <cell r="K3" t="str">
            <v>DAU</v>
          </cell>
          <cell r="N3" t="str">
            <v>B</v>
          </cell>
          <cell r="Q3" t="str">
            <v>BTLP</v>
          </cell>
        </row>
        <row r="4">
          <cell r="C4" t="str">
            <v>SBG</v>
          </cell>
          <cell r="K4" t="str">
            <v>REG</v>
          </cell>
          <cell r="N4" t="str">
            <v>K</v>
          </cell>
          <cell r="Q4" t="str">
            <v>BLP</v>
          </cell>
        </row>
        <row r="5">
          <cell r="C5" t="str">
            <v>BNA</v>
          </cell>
          <cell r="K5" t="str">
            <v>OA</v>
          </cell>
          <cell r="N5" t="str">
            <v>S</v>
          </cell>
          <cell r="Q5" t="str">
            <v>BJ</v>
          </cell>
        </row>
        <row r="6">
          <cell r="C6" t="str">
            <v>ABES</v>
          </cell>
          <cell r="K6" t="str">
            <v>OK</v>
          </cell>
          <cell r="N6" t="str">
            <v>J</v>
          </cell>
          <cell r="Q6" t="str">
            <v>BM</v>
          </cell>
        </row>
        <row r="7">
          <cell r="C7" t="str">
            <v>PIDIE</v>
          </cell>
          <cell r="K7" t="str">
            <v>MA</v>
          </cell>
          <cell r="Q7" t="str">
            <v>BS</v>
          </cell>
        </row>
        <row r="8">
          <cell r="C8" t="str">
            <v>PIJAY</v>
          </cell>
          <cell r="K8" t="str">
            <v>MK</v>
          </cell>
          <cell r="Q8" t="str">
            <v>BH</v>
          </cell>
        </row>
        <row r="9">
          <cell r="C9" t="str">
            <v>BIRN</v>
          </cell>
          <cell r="K9" t="str">
            <v>DAK</v>
          </cell>
        </row>
        <row r="10">
          <cell r="C10" t="str">
            <v>LHOK</v>
          </cell>
          <cell r="K10" t="str">
            <v>PAD RS</v>
          </cell>
        </row>
        <row r="11">
          <cell r="C11" t="str">
            <v>ACUT</v>
          </cell>
        </row>
        <row r="12">
          <cell r="C12" t="str">
            <v>ATIM</v>
          </cell>
        </row>
        <row r="13">
          <cell r="C13" t="str">
            <v>LNGS</v>
          </cell>
        </row>
        <row r="14">
          <cell r="C14" t="str">
            <v>ATAM</v>
          </cell>
        </row>
        <row r="15">
          <cell r="C15" t="str">
            <v>BENER</v>
          </cell>
        </row>
        <row r="16">
          <cell r="C16" t="str">
            <v>ATENG</v>
          </cell>
        </row>
        <row r="17">
          <cell r="C17" t="str">
            <v>GALU</v>
          </cell>
        </row>
        <row r="18">
          <cell r="C18" t="str">
            <v>AGARA</v>
          </cell>
        </row>
        <row r="19">
          <cell r="C19" t="str">
            <v>AJAY</v>
          </cell>
        </row>
        <row r="20">
          <cell r="C20" t="str">
            <v>ABAR</v>
          </cell>
        </row>
        <row r="21">
          <cell r="C21" t="str">
            <v>NAGAN</v>
          </cell>
        </row>
        <row r="22">
          <cell r="C22" t="str">
            <v>ABDYA</v>
          </cell>
        </row>
        <row r="23">
          <cell r="C23" t="str">
            <v>ASEL</v>
          </cell>
        </row>
        <row r="24">
          <cell r="C24" t="str">
            <v>SINGKIL</v>
          </cell>
        </row>
        <row r="25">
          <cell r="C25" t="str">
            <v>SBLM</v>
          </cell>
        </row>
        <row r="26">
          <cell r="C26" t="str">
            <v>SML</v>
          </cell>
        </row>
        <row r="27">
          <cell r="C27">
            <v>0</v>
          </cell>
        </row>
      </sheetData>
      <sheetData sheetId="2">
        <row r="1">
          <cell r="B1">
            <v>1</v>
          </cell>
        </row>
        <row r="3">
          <cell r="B3" t="str">
            <v>PROV</v>
          </cell>
        </row>
        <row r="4">
          <cell r="B4" t="str">
            <v>ARPUS</v>
          </cell>
        </row>
        <row r="5">
          <cell r="B5" t="str">
            <v>B.MAL</v>
          </cell>
        </row>
        <row r="6">
          <cell r="B6" t="str">
            <v>BLH</v>
          </cell>
        </row>
        <row r="7">
          <cell r="B7" t="str">
            <v>BAPPEDA</v>
          </cell>
        </row>
        <row r="8">
          <cell r="B8" t="str">
            <v>BINVES</v>
          </cell>
        </row>
        <row r="9">
          <cell r="B9" t="str">
            <v>BKPP</v>
          </cell>
        </row>
        <row r="10">
          <cell r="B10" t="str">
            <v>BM</v>
          </cell>
        </row>
        <row r="11">
          <cell r="B11" t="str">
            <v>BP2T</v>
          </cell>
        </row>
        <row r="12">
          <cell r="B12" t="str">
            <v>BP3A</v>
          </cell>
        </row>
        <row r="13">
          <cell r="B13" t="str">
            <v>BPBA</v>
          </cell>
        </row>
        <row r="14">
          <cell r="B14" t="str">
            <v>BPLUH</v>
          </cell>
        </row>
        <row r="15">
          <cell r="B15" t="str">
            <v>BPM</v>
          </cell>
        </row>
        <row r="16">
          <cell r="B16" t="str">
            <v>BUDPAR</v>
          </cell>
        </row>
        <row r="17">
          <cell r="B17" t="str">
            <v>DAYAH</v>
          </cell>
        </row>
        <row r="18">
          <cell r="B18" t="str">
            <v>DINKES</v>
          </cell>
        </row>
        <row r="19">
          <cell r="B19" t="str">
            <v>DINSOS</v>
          </cell>
        </row>
        <row r="20">
          <cell r="B20" t="str">
            <v>DISBUN</v>
          </cell>
        </row>
        <row r="21">
          <cell r="B21" t="str">
            <v>DISDIK</v>
          </cell>
        </row>
        <row r="22">
          <cell r="B22" t="str">
            <v>DISPORA</v>
          </cell>
        </row>
        <row r="23">
          <cell r="B23" t="str">
            <v>DISTAN</v>
          </cell>
        </row>
        <row r="24">
          <cell r="B24" t="str">
            <v>DKP</v>
          </cell>
        </row>
        <row r="25">
          <cell r="B25" t="str">
            <v>DPKA</v>
          </cell>
        </row>
        <row r="26">
          <cell r="B26" t="str">
            <v>DPRA</v>
          </cell>
        </row>
        <row r="27">
          <cell r="B27" t="str">
            <v>HUBKOM</v>
          </cell>
        </row>
        <row r="28">
          <cell r="B28" t="str">
            <v>INSPEKTORAT</v>
          </cell>
        </row>
        <row r="29">
          <cell r="B29" t="str">
            <v>KDH</v>
          </cell>
        </row>
        <row r="30">
          <cell r="B30" t="str">
            <v>KESBANG</v>
          </cell>
        </row>
        <row r="31">
          <cell r="B31" t="str">
            <v>KESWANAK</v>
          </cell>
        </row>
        <row r="32">
          <cell r="B32" t="str">
            <v>MAA</v>
          </cell>
        </row>
        <row r="33">
          <cell r="B33" t="str">
            <v>MPD</v>
          </cell>
        </row>
        <row r="34">
          <cell r="B34" t="str">
            <v>MPU</v>
          </cell>
        </row>
        <row r="35">
          <cell r="B35" t="str">
            <v>NAKER</v>
          </cell>
        </row>
        <row r="36">
          <cell r="B36" t="str">
            <v>PABUNG ACEH</v>
          </cell>
        </row>
        <row r="37">
          <cell r="B37" t="str">
            <v>PENGAIRAN</v>
          </cell>
        </row>
        <row r="38">
          <cell r="B38" t="str">
            <v>RINDAG</v>
          </cell>
        </row>
        <row r="39">
          <cell r="B39" t="str">
            <v>RSIA</v>
          </cell>
        </row>
        <row r="40">
          <cell r="B40" t="str">
            <v>RSJ</v>
          </cell>
        </row>
        <row r="41">
          <cell r="B41" t="str">
            <v>RSUZA</v>
          </cell>
        </row>
        <row r="42">
          <cell r="B42" t="str">
            <v>SATPOL</v>
          </cell>
        </row>
        <row r="43">
          <cell r="B43" t="str">
            <v>SEK. DPRA</v>
          </cell>
        </row>
        <row r="44">
          <cell r="B44" t="str">
            <v>SETDA</v>
          </cell>
        </row>
        <row r="45">
          <cell r="B45" t="str">
            <v>SI</v>
          </cell>
        </row>
        <row r="46">
          <cell r="B46" t="str">
            <v>TAMBEN</v>
          </cell>
        </row>
        <row r="47">
          <cell r="B47">
            <v>0</v>
          </cell>
        </row>
        <row r="48">
          <cell r="B48" t="str">
            <v>KORPRI</v>
          </cell>
        </row>
        <row r="49">
          <cell r="B49" t="str">
            <v>DKA</v>
          </cell>
        </row>
        <row r="50">
          <cell r="B50" t="str">
            <v>KOP &amp; UKM</v>
          </cell>
        </row>
        <row r="51">
          <cell r="B51" t="str">
            <v>DISHUT</v>
          </cell>
        </row>
        <row r="52">
          <cell r="B52" t="str">
            <v>CIKA</v>
          </cell>
        </row>
        <row r="53">
          <cell r="B53" t="str">
            <v>DRKA</v>
          </cell>
        </row>
        <row r="54">
          <cell r="B54" t="str">
            <v>B. UMUM</v>
          </cell>
        </row>
        <row r="55">
          <cell r="B55" t="str">
            <v>B. TAPEM</v>
          </cell>
        </row>
        <row r="56">
          <cell r="B56" t="str">
            <v>B. ORGAN</v>
          </cell>
        </row>
        <row r="57">
          <cell r="B57" t="str">
            <v>PER MEDAN</v>
          </cell>
        </row>
        <row r="58">
          <cell r="B58" t="str">
            <v>B. ISRA</v>
          </cell>
        </row>
        <row r="59">
          <cell r="B59" t="str">
            <v>B. HUKUM</v>
          </cell>
        </row>
        <row r="60">
          <cell r="B60" t="str">
            <v>B. EKON</v>
          </cell>
        </row>
        <row r="61">
          <cell r="B61" t="str">
            <v>B. HUMAS</v>
          </cell>
        </row>
        <row r="62">
          <cell r="B62" t="str">
            <v>B. ADPEMB</v>
          </cell>
        </row>
        <row r="63">
          <cell r="B63" t="str">
            <v>SETWAN</v>
          </cell>
        </row>
      </sheetData>
      <sheetData sheetId="3"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</sheetData>
      <sheetData sheetId="4"/>
      <sheetData sheetId="5">
        <row r="3">
          <cell r="B3" t="str">
            <v>RKA</v>
          </cell>
        </row>
        <row r="5">
          <cell r="B5" t="str">
            <v>ACEH</v>
          </cell>
        </row>
        <row r="8">
          <cell r="B8">
            <v>41324.45925821759</v>
          </cell>
        </row>
        <row r="9">
          <cell r="B9" t="str">
            <v>Banda Aceh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LAP-BLN DES2003"/>
      <sheetName val="REKAP APBD"/>
      <sheetName val="REKAP KOTOR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Tskpa"/>
      <sheetName val="Data"/>
      <sheetName val="Foto"/>
      <sheetName val="LINK FOTO"/>
      <sheetName val="TKab"/>
      <sheetName val="Bikin_Bat_File"/>
      <sheetName val="Data UPDATE"/>
      <sheetName val="Data UPDATE (2)"/>
    </sheetNames>
    <sheetDataSet>
      <sheetData sheetId="0" refreshError="1"/>
      <sheetData sheetId="1" refreshError="1"/>
      <sheetData sheetId="2">
        <row r="7">
          <cell r="C7">
            <v>52</v>
          </cell>
        </row>
        <row r="9">
          <cell r="C9">
            <v>2011</v>
          </cell>
        </row>
        <row r="15">
          <cell r="C15" t="str">
            <v>Atim-64</v>
          </cell>
        </row>
        <row r="16">
          <cell r="C16" t="str">
            <v>Pembangunan Pagar SDN 2 Aramiah Kec.Birem Bayeun</v>
          </cell>
        </row>
        <row r="17">
          <cell r="C17">
            <v>0</v>
          </cell>
        </row>
        <row r="18">
          <cell r="C18" t="str">
            <v>Ruang</v>
          </cell>
        </row>
        <row r="19">
          <cell r="C19">
            <v>0</v>
          </cell>
        </row>
        <row r="21">
          <cell r="C21" t="str">
            <v>Aceh Timur</v>
          </cell>
          <cell r="D21" t="str">
            <v>Kab.</v>
          </cell>
        </row>
        <row r="22">
          <cell r="C22" t="str">
            <v>DISDIK</v>
          </cell>
        </row>
        <row r="23">
          <cell r="C23" t="str">
            <v>DINAS PENDIDIKAN KAB. ACEH TIMUR</v>
          </cell>
        </row>
        <row r="24">
          <cell r="C24" t="str">
            <v>Jl. Iskandar Muda No.2 Idi Rayeuk</v>
          </cell>
        </row>
        <row r="25">
          <cell r="C25" t="str">
            <v>00-01-1900</v>
          </cell>
        </row>
        <row r="26">
          <cell r="C26" t="str">
            <v>Drs. Bakhtiar</v>
          </cell>
        </row>
        <row r="27">
          <cell r="C27" t="str">
            <v>Agussalim, SH, MH</v>
          </cell>
        </row>
        <row r="28">
          <cell r="C28" t="str">
            <v>Cut Aidal Fitriyati, SE</v>
          </cell>
        </row>
        <row r="29">
          <cell r="C29" t="str">
            <v>M.BASRI, SE, MM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 t="str">
            <v>Kepala Sekolah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0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0</v>
          </cell>
        </row>
        <row r="51">
          <cell r="C51">
            <v>0</v>
          </cell>
        </row>
        <row r="52">
          <cell r="C52">
            <v>0</v>
          </cell>
        </row>
        <row r="53">
          <cell r="C53">
            <v>0</v>
          </cell>
        </row>
        <row r="54">
          <cell r="C54">
            <v>0</v>
          </cell>
        </row>
        <row r="55">
          <cell r="C55" t="str">
            <v>0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 t="str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 t="str">
            <v>0</v>
          </cell>
        </row>
        <row r="66">
          <cell r="C66" t="str">
            <v>20-06-2011</v>
          </cell>
        </row>
        <row r="67">
          <cell r="C67" t="str">
            <v>18-10-2011</v>
          </cell>
        </row>
        <row r="68">
          <cell r="C68">
            <v>0</v>
          </cell>
        </row>
        <row r="69">
          <cell r="C69" t="str">
            <v>0</v>
          </cell>
        </row>
        <row r="70">
          <cell r="C70" t="str">
            <v>Otsus Kab</v>
          </cell>
        </row>
        <row r="71">
          <cell r="C71" t="str">
            <v>Tidak ada</v>
          </cell>
        </row>
        <row r="72">
          <cell r="C72" t="str">
            <v>Tidak ada</v>
          </cell>
        </row>
        <row r="78">
          <cell r="C78">
            <v>0</v>
          </cell>
        </row>
        <row r="80">
          <cell r="C80">
            <v>0</v>
          </cell>
        </row>
        <row r="82">
          <cell r="C82">
            <v>0</v>
          </cell>
        </row>
        <row r="84">
          <cell r="C84">
            <v>0</v>
          </cell>
        </row>
        <row r="86">
          <cell r="C86">
            <v>0</v>
          </cell>
        </row>
        <row r="88">
          <cell r="C88">
            <v>0</v>
          </cell>
        </row>
        <row r="90">
          <cell r="C90">
            <v>0</v>
          </cell>
        </row>
        <row r="92">
          <cell r="C92">
            <v>0</v>
          </cell>
        </row>
        <row r="94">
          <cell r="C94">
            <v>0</v>
          </cell>
        </row>
        <row r="96">
          <cell r="C96">
            <v>0</v>
          </cell>
        </row>
        <row r="98">
          <cell r="C98">
            <v>0</v>
          </cell>
        </row>
        <row r="100">
          <cell r="C100">
            <v>0</v>
          </cell>
        </row>
        <row r="102">
          <cell r="C102">
            <v>0</v>
          </cell>
        </row>
        <row r="104">
          <cell r="C104">
            <v>0</v>
          </cell>
        </row>
        <row r="106">
          <cell r="C106">
            <v>0</v>
          </cell>
        </row>
        <row r="108">
          <cell r="C108">
            <v>0</v>
          </cell>
        </row>
        <row r="109">
          <cell r="C109" t="str">
            <v>00-01-1900</v>
          </cell>
        </row>
        <row r="115">
          <cell r="C115">
            <v>0</v>
          </cell>
        </row>
        <row r="116">
          <cell r="C116">
            <v>0</v>
          </cell>
        </row>
        <row r="117">
          <cell r="C117">
            <v>0</v>
          </cell>
        </row>
        <row r="118">
          <cell r="C118">
            <v>0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0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0</v>
          </cell>
        </row>
        <row r="134">
          <cell r="C134">
            <v>0</v>
          </cell>
        </row>
        <row r="139">
          <cell r="C139" t="str">
            <v>126,435,960</v>
          </cell>
        </row>
        <row r="144">
          <cell r="C144" t="str">
            <v>00-01-1900</v>
          </cell>
        </row>
      </sheetData>
      <sheetData sheetId="3">
        <row r="5">
          <cell r="R5" t="str">
            <v>D:\00. D1 AMAT\FOTO1\</v>
          </cell>
        </row>
        <row r="6">
          <cell r="R6" t="str">
            <v>D:\00. D1 AMAT\FOTO2\</v>
          </cell>
        </row>
        <row r="7">
          <cell r="R7" t="str">
            <v>D:\00. D1 AMAT\FOTO3\</v>
          </cell>
        </row>
        <row r="8">
          <cell r="R8" t="str">
            <v>D:\00. D1 AMAT\FOTO4\</v>
          </cell>
        </row>
      </sheetData>
      <sheetData sheetId="4" refreshError="1"/>
      <sheetData sheetId="5" refreshError="1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skpa"/>
      <sheetName val="Data"/>
      <sheetName val="Foto"/>
      <sheetName val="LINK FOTO"/>
      <sheetName val="TKab"/>
      <sheetName val="Bikin_Bat_File"/>
      <sheetName val="Data UPDATE"/>
      <sheetName val="Data UPDATE (2)"/>
    </sheetNames>
    <sheetDataSet>
      <sheetData sheetId="0" refreshError="1"/>
      <sheetData sheetId="1" refreshError="1"/>
      <sheetData sheetId="2">
        <row r="7">
          <cell r="C7">
            <v>52</v>
          </cell>
        </row>
        <row r="9">
          <cell r="C9">
            <v>2011</v>
          </cell>
        </row>
        <row r="15">
          <cell r="C15" t="str">
            <v>Atim-64</v>
          </cell>
        </row>
        <row r="16">
          <cell r="C16" t="str">
            <v>Pembangunan Pagar SDN 2 Aramiah Kec.Birem Bayeun</v>
          </cell>
        </row>
        <row r="17">
          <cell r="C17" t="str">
            <v/>
          </cell>
        </row>
        <row r="18">
          <cell r="C18" t="str">
            <v>Ruang</v>
          </cell>
        </row>
        <row r="19">
          <cell r="C19" t="str">
            <v/>
          </cell>
        </row>
        <row r="21">
          <cell r="C21" t="str">
            <v>Aceh Timur</v>
          </cell>
          <cell r="D21" t="str">
            <v>Kab.</v>
          </cell>
        </row>
        <row r="22">
          <cell r="C22" t="str">
            <v>DISDIK</v>
          </cell>
        </row>
        <row r="23">
          <cell r="C23" t="str">
            <v>DINAS PENDIDIKAN KAB. ACEH TIMUR</v>
          </cell>
        </row>
        <row r="24">
          <cell r="C24" t="str">
            <v>Jl. Iskandar Muda No.2 Idi Rayeuk</v>
          </cell>
        </row>
        <row r="25">
          <cell r="C25" t="str">
            <v>00-01-1900</v>
          </cell>
        </row>
        <row r="26">
          <cell r="C26" t="str">
            <v>Drs. Bakhtiar</v>
          </cell>
        </row>
        <row r="27">
          <cell r="C27" t="str">
            <v>Agussalim, SH, MH</v>
          </cell>
        </row>
        <row r="28">
          <cell r="C28" t="str">
            <v>Cut Aidal Fitriyati, SE</v>
          </cell>
        </row>
        <row r="29">
          <cell r="C29" t="str">
            <v>M.BASRI, SE, MM</v>
          </cell>
        </row>
        <row r="30">
          <cell r="C30" t="str">
            <v/>
          </cell>
        </row>
        <row r="31">
          <cell r="C31" t="str">
            <v/>
          </cell>
        </row>
        <row r="32">
          <cell r="C32" t="str">
            <v/>
          </cell>
        </row>
        <row r="33">
          <cell r="C33" t="str">
            <v/>
          </cell>
        </row>
        <row r="34">
          <cell r="C34" t="str">
            <v/>
          </cell>
        </row>
        <row r="35">
          <cell r="C35" t="str">
            <v/>
          </cell>
        </row>
        <row r="36">
          <cell r="C36" t="str">
            <v/>
          </cell>
        </row>
        <row r="37">
          <cell r="C37" t="str">
            <v/>
          </cell>
        </row>
        <row r="38">
          <cell r="C38" t="str">
            <v/>
          </cell>
        </row>
        <row r="39">
          <cell r="C39" t="str">
            <v>Kepala Sekolah</v>
          </cell>
        </row>
        <row r="40">
          <cell r="C40" t="str">
            <v/>
          </cell>
        </row>
        <row r="41">
          <cell r="C41" t="str">
            <v/>
          </cell>
        </row>
        <row r="42">
          <cell r="C42" t="str">
            <v/>
          </cell>
        </row>
        <row r="43">
          <cell r="C43" t="str">
            <v/>
          </cell>
        </row>
        <row r="44">
          <cell r="C44" t="str">
            <v/>
          </cell>
        </row>
        <row r="45">
          <cell r="C45" t="str">
            <v/>
          </cell>
        </row>
        <row r="46">
          <cell r="C46" t="str">
            <v/>
          </cell>
        </row>
        <row r="47">
          <cell r="C47" t="str">
            <v/>
          </cell>
        </row>
        <row r="48">
          <cell r="C48" t="str">
            <v/>
          </cell>
        </row>
        <row r="49">
          <cell r="C49" t="str">
            <v/>
          </cell>
        </row>
        <row r="50">
          <cell r="C50" t="str">
            <v/>
          </cell>
        </row>
        <row r="51">
          <cell r="C51" t="str">
            <v/>
          </cell>
        </row>
        <row r="52">
          <cell r="C52" t="str">
            <v/>
          </cell>
        </row>
        <row r="53">
          <cell r="C53" t="str">
            <v/>
          </cell>
        </row>
        <row r="54">
          <cell r="C54" t="str">
            <v/>
          </cell>
        </row>
        <row r="55">
          <cell r="C55" t="str">
            <v>0</v>
          </cell>
        </row>
        <row r="57">
          <cell r="C57" t="str">
            <v/>
          </cell>
        </row>
        <row r="58">
          <cell r="C58" t="str">
            <v/>
          </cell>
        </row>
        <row r="59">
          <cell r="C59" t="str">
            <v/>
          </cell>
        </row>
        <row r="60">
          <cell r="C60" t="str">
            <v/>
          </cell>
        </row>
        <row r="61">
          <cell r="C61" t="str">
            <v>0</v>
          </cell>
        </row>
        <row r="62">
          <cell r="C62" t="str">
            <v/>
          </cell>
        </row>
        <row r="63">
          <cell r="C63" t="str">
            <v/>
          </cell>
        </row>
        <row r="64">
          <cell r="C64" t="str">
            <v/>
          </cell>
        </row>
        <row r="65">
          <cell r="C65" t="str">
            <v>0</v>
          </cell>
        </row>
        <row r="66">
          <cell r="C66" t="str">
            <v>20-06-2011</v>
          </cell>
        </row>
        <row r="67">
          <cell r="C67" t="str">
            <v>18-10-2011</v>
          </cell>
        </row>
        <row r="68">
          <cell r="C68" t="str">
            <v/>
          </cell>
        </row>
        <row r="69">
          <cell r="C69" t="str">
            <v>0</v>
          </cell>
        </row>
        <row r="70">
          <cell r="C70" t="str">
            <v>Otsus Kab</v>
          </cell>
        </row>
        <row r="71">
          <cell r="C71" t="str">
            <v>Tidak ada</v>
          </cell>
        </row>
        <row r="72">
          <cell r="C72" t="str">
            <v>Tidak ada</v>
          </cell>
        </row>
        <row r="78">
          <cell r="C78">
            <v>0</v>
          </cell>
        </row>
        <row r="80">
          <cell r="C80">
            <v>0</v>
          </cell>
        </row>
        <row r="82">
          <cell r="C82">
            <v>0</v>
          </cell>
        </row>
        <row r="84">
          <cell r="C84">
            <v>0</v>
          </cell>
        </row>
        <row r="86">
          <cell r="C86">
            <v>0</v>
          </cell>
        </row>
        <row r="88">
          <cell r="C88">
            <v>0</v>
          </cell>
        </row>
        <row r="90">
          <cell r="C90">
            <v>0</v>
          </cell>
        </row>
        <row r="92">
          <cell r="C92">
            <v>0</v>
          </cell>
        </row>
        <row r="94">
          <cell r="C94">
            <v>0</v>
          </cell>
        </row>
        <row r="96">
          <cell r="C96">
            <v>0</v>
          </cell>
        </row>
        <row r="98">
          <cell r="C98">
            <v>0</v>
          </cell>
        </row>
        <row r="100">
          <cell r="C100">
            <v>0</v>
          </cell>
        </row>
        <row r="102">
          <cell r="C102">
            <v>0</v>
          </cell>
        </row>
        <row r="104">
          <cell r="C104">
            <v>0</v>
          </cell>
        </row>
        <row r="106">
          <cell r="C106">
            <v>0</v>
          </cell>
        </row>
        <row r="108">
          <cell r="C108">
            <v>0</v>
          </cell>
        </row>
        <row r="109">
          <cell r="C109" t="str">
            <v>00-01-1900</v>
          </cell>
        </row>
        <row r="115">
          <cell r="C115" t="str">
            <v/>
          </cell>
        </row>
        <row r="116">
          <cell r="C116">
            <v>0</v>
          </cell>
        </row>
        <row r="117">
          <cell r="C117" t="str">
            <v/>
          </cell>
        </row>
        <row r="118">
          <cell r="C118" t="str">
            <v/>
          </cell>
        </row>
        <row r="119">
          <cell r="C119">
            <v>0</v>
          </cell>
        </row>
        <row r="120">
          <cell r="C120" t="str">
            <v/>
          </cell>
        </row>
        <row r="121">
          <cell r="C121" t="str">
            <v/>
          </cell>
        </row>
        <row r="122">
          <cell r="C122">
            <v>0</v>
          </cell>
        </row>
        <row r="123">
          <cell r="C123" t="str">
            <v/>
          </cell>
        </row>
        <row r="124">
          <cell r="C124" t="str">
            <v/>
          </cell>
        </row>
        <row r="125">
          <cell r="C125">
            <v>0</v>
          </cell>
        </row>
        <row r="126">
          <cell r="C126" t="str">
            <v/>
          </cell>
        </row>
        <row r="127">
          <cell r="C127" t="str">
            <v/>
          </cell>
        </row>
        <row r="128">
          <cell r="C128">
            <v>0</v>
          </cell>
        </row>
        <row r="129">
          <cell r="C129" t="str">
            <v/>
          </cell>
        </row>
        <row r="130">
          <cell r="C130" t="str">
            <v/>
          </cell>
        </row>
        <row r="131">
          <cell r="C131">
            <v>0</v>
          </cell>
        </row>
        <row r="132">
          <cell r="C132" t="str">
            <v/>
          </cell>
        </row>
        <row r="134">
          <cell r="C134" t="str">
            <v/>
          </cell>
        </row>
        <row r="139">
          <cell r="C139" t="str">
            <v>126,435,960</v>
          </cell>
        </row>
        <row r="144">
          <cell r="C144" t="str">
            <v>00-01-1900</v>
          </cell>
        </row>
      </sheetData>
      <sheetData sheetId="3">
        <row r="5">
          <cell r="R5" t="str">
            <v>D:\00. D1 AMAT\FOTO1\</v>
          </cell>
        </row>
        <row r="6">
          <cell r="R6" t="str">
            <v>D:\00. D1 AMAT\FOTO2\</v>
          </cell>
        </row>
        <row r="7">
          <cell r="R7" t="str">
            <v>D:\00. D1 AMAT\FOTO3\</v>
          </cell>
        </row>
        <row r="8">
          <cell r="R8" t="str">
            <v>D:\00. D1 AMAT\FOTO4\</v>
          </cell>
        </row>
      </sheetData>
      <sheetData sheetId="4" refreshError="1"/>
      <sheetData sheetId="5" refreshError="1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P-BLN DES2003"/>
      <sheetName val="REKAP APBD"/>
      <sheetName val="REKAP KOTOR"/>
      <sheetName val="Cover"/>
      <sheetName val="Metode"/>
      <sheetName val="Lokasi"/>
      <sheetName val="SKPD"/>
      <sheetName val="KPA"/>
      <sheetName val="A1"/>
      <sheetName val="A2"/>
      <sheetName val="A3"/>
      <sheetName val="A4.P"/>
      <sheetName val="A7.P"/>
      <sheetName val="A4.S"/>
      <sheetName val="A7.S"/>
      <sheetName val="A5"/>
      <sheetName val="Rekap A5"/>
      <sheetName val="A6"/>
      <sheetName val="Rekap A6"/>
      <sheetName val="B"/>
      <sheetName val="B1"/>
      <sheetName val="B1+"/>
      <sheetName val="B6"/>
      <sheetName val="B6+"/>
      <sheetName val="P1"/>
      <sheetName val="P1+"/>
      <sheetName val="P2"/>
      <sheetName val="P2+"/>
      <sheetName val="P3+"/>
      <sheetName val="P3"/>
      <sheetName val="B2 Gab"/>
      <sheetName val="B3"/>
      <sheetName val="29"/>
      <sheetName val="32"/>
      <sheetName val="33"/>
      <sheetName val="34"/>
      <sheetName val="35"/>
      <sheetName val="36"/>
      <sheetName val="37"/>
      <sheetName val="REKAP ALL"/>
      <sheetName val="Klt"/>
      <sheetName val="Lok"/>
      <sheetName val="Alat"/>
      <sheetName val="Menu"/>
      <sheetName val="Pen"/>
      <sheetName val="L.1"/>
      <sheetName val="REK BILL"/>
      <sheetName val="BIIL.04.02"/>
      <sheetName val="MPU"/>
      <sheetName val="L.3"/>
      <sheetName val="L.3,"/>
      <sheetName val="URAIAN"/>
      <sheetName val="Jbj"/>
      <sheetName val="R"/>
      <sheetName val="L.3a"/>
      <sheetName val="Lalu Lintas"/>
      <sheetName val="L.4-6"/>
      <sheetName val="J~PELK"/>
      <sheetName val="J~BAGAN"/>
      <sheetName val="J~BHN"/>
      <sheetName val="J~ALAT"/>
      <sheetName val="J~PRSONL"/>
      <sheetName val="L.15"/>
      <sheetName val="L.16-17"/>
      <sheetName val="L.24"/>
      <sheetName val="mtd"/>
      <sheetName val="Diagrm"/>
      <sheetName val="Mt Pemb.Ut"/>
      <sheetName val="Schedul"/>
      <sheetName val="Rekap Biaya"/>
      <sheetName val="Kuantitas &amp; Harga"/>
      <sheetName val="Pekerjaan Utama"/>
      <sheetName val="%"/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dgct"/>
      <sheetName val="dtct"/>
      <sheetName val="Sheet10"/>
      <sheetName val="Sheet11"/>
      <sheetName val="Sheet12"/>
      <sheetName val="Sheet13"/>
      <sheetName val="Sheet14"/>
      <sheetName val="Sheet15"/>
      <sheetName val="Sheet16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7"/>
      <sheetName val="Sheet18"/>
      <sheetName val="Sheet19"/>
      <sheetName val="Sheet20"/>
      <sheetName val="XL4Poppy"/>
      <sheetName val="HS-P&amp;J11"/>
      <sheetName val="HSItem"/>
      <sheetName val="Sewa Alat"/>
      <sheetName val="Rekap Total"/>
      <sheetName val="Analisa SNI"/>
      <sheetName val="Analisa EI-AL"/>
      <sheetName val="Antek"/>
      <sheetName val="A. PERSIAPAN"/>
      <sheetName val="5.PERKERASAN"/>
      <sheetName val="1.TPR"/>
      <sheetName val="2. Musholla"/>
      <sheetName val="3. Area Kdtgn Angkot "/>
      <sheetName val="4. Area Kbrktan Angkot"/>
      <sheetName val="6. Drainase-Riil"/>
      <sheetName val="Schdl"/>
      <sheetName val="Bagan"/>
      <sheetName val="S-Nkr"/>
      <sheetName val="S-Alat"/>
      <sheetName val="PAGAR(tidak masuk)"/>
      <sheetName val="Teknis"/>
      <sheetName val="Landscape Thp 1(tdk masuk)"/>
      <sheetName val="Landscape Thp 2(tdk masuk)"/>
      <sheetName val="PERKERASAN Thp 2(tdk masuk)"/>
      <sheetName val="REKAP"/>
      <sheetName val="UPAH2"/>
      <sheetName val="analisa alat "/>
      <sheetName val="kuantitas "/>
      <sheetName val="harga alat "/>
      <sheetName val="Analisa Teknis "/>
      <sheetName val="Scedule 1"/>
      <sheetName val="hrg. satuan"/>
      <sheetName val="Surat Penawaran "/>
      <sheetName val="SubKon"/>
      <sheetName val="BNA-i"/>
      <sheetName val="BNA 1"/>
      <sheetName val="Jadwal Pek"/>
      <sheetName val="BNAII"/>
      <sheetName val="BNA2"/>
      <sheetName val="BNAIII"/>
      <sheetName val="BNA3"/>
      <sheetName val="kon2"/>
      <sheetName val="TS"/>
      <sheetName val="altek"/>
      <sheetName val="prd. alat"/>
      <sheetName val="KoefMixer"/>
      <sheetName val="KoefExc_Excavator"/>
      <sheetName val="KoefExc_Dump_Vibro"/>
      <sheetName val="Alat Berat"/>
      <sheetName val="Prod. Pompa Air"/>
      <sheetName val="Analisa"/>
      <sheetName val="RAB"/>
      <sheetName val="Upah"/>
      <sheetName val="Daf. Alat"/>
      <sheetName val="Sheet1 (8)"/>
      <sheetName val="Metode Pelaksanaan"/>
      <sheetName val="AT"/>
      <sheetName val="Kuantitas"/>
      <sheetName val="Jadwal"/>
      <sheetName val="ALB 1"/>
      <sheetName val="Sub."/>
      <sheetName val="Hargabahan"/>
      <sheetName val="DAF. UPAH"/>
      <sheetName val="DKH"/>
      <sheetName val="Koef Alat utk Rip Rap"/>
      <sheetName val="Surat Penawaran"/>
      <sheetName val="Bahan"/>
      <sheetName val="Daftar Kuantitas"/>
      <sheetName val="Daftar Analisa"/>
      <sheetName val="Methode Pelaksanaan"/>
      <sheetName val="Analisa Teknik"/>
      <sheetName val="Time Schedule"/>
      <sheetName val="Sub Kontrak"/>
      <sheetName val="Daftar Personil (2)"/>
      <sheetName val="d.peralatan"/>
      <sheetName val="Srt Sewa Peralatan"/>
      <sheetName val="Sheet1"/>
      <sheetName val="Lampiran I (a-c)"/>
      <sheetName val="Dukungan Bank"/>
      <sheetName val="pengurus"/>
      <sheetName val="d.person"/>
      <sheetName val="Data Peralatan"/>
      <sheetName val="d.pekerjaan"/>
      <sheetName val="d.pengalaman"/>
      <sheetName val="neraca ter"/>
      <sheetName val="Bahan Upah"/>
      <sheetName val="Produksi Alat"/>
      <sheetName val="Rekapitulasi"/>
      <sheetName val="Rab Langsa"/>
      <sheetName val="Anal Clearing"/>
      <sheetName val="Rekap SKS"/>
      <sheetName val="DU&amp;B"/>
      <sheetName val="a_alat"/>
      <sheetName val="Analisa Alat"/>
      <sheetName val="Sampul"/>
      <sheetName val="Metoda"/>
      <sheetName val="HSP Babah"/>
      <sheetName val="Biaya alat"/>
      <sheetName val="Prod.alat"/>
      <sheetName val="Daftar Personil"/>
      <sheetName val="Daftar Peralatan"/>
      <sheetName val="Rab Sianjo"/>
      <sheetName val="H ANALISA"/>
      <sheetName val="DURP-F"/>
      <sheetName val="ANL BIAYA"/>
      <sheetName val="SCHEDULE"/>
      <sheetName val="DRUP"/>
      <sheetName val="R-MP2-98"/>
      <sheetName val="Mars"/>
      <sheetName val="anl"/>
      <sheetName val="H.bh"/>
      <sheetName val="Elestomeric"/>
      <sheetName val="Expantion-Sand"/>
      <sheetName val="Tiang pancang"/>
      <sheetName val="NP"/>
      <sheetName val="NP (2)"/>
      <sheetName val="Pembongkaran Beton"/>
      <sheetName val="Peng, Jemb. Rangka-Gantung"/>
      <sheetName val="Additional"/>
      <sheetName val="Sheet2"/>
      <sheetName val="Tiang Pancang Baja"/>
      <sheetName val="Pembongkaran"/>
      <sheetName val="Geotxtil"/>
      <sheetName val="Expantion Joint"/>
      <sheetName val="diafrag"/>
      <sheetName val="Void Slab"/>
      <sheetName val="deck slab"/>
      <sheetName val="Lean Concr"/>
      <sheetName val="Perletakan Strip"/>
      <sheetName val="Pembongkaran Jbt Lama"/>
      <sheetName val="Pemb Jbt Rangka Baja"/>
      <sheetName val="Pengadaan Jembatan Sementara"/>
      <sheetName val="Pengadaan Jembatan Aramco"/>
      <sheetName val="Revisi-Zarkasyi (2)"/>
      <sheetName val="Revisi-Zarkasyi"/>
      <sheetName val="Penawaran"/>
      <sheetName val="Daftar Harga"/>
      <sheetName val="HSP"/>
      <sheetName val="Peralatan"/>
      <sheetName val="Personil"/>
      <sheetName val="Orgnasi"/>
      <sheetName val="Rabdewan"/>
      <sheetName val="Rab I"/>
      <sheetName val="Analis"/>
      <sheetName val="QUARRY"/>
      <sheetName val="HRG UP.BHN"/>
      <sheetName val="DIV.1"/>
      <sheetName val="DIV.2"/>
      <sheetName val="DIV. 3"/>
      <sheetName val="DIV.4"/>
      <sheetName val="DIV.5"/>
      <sheetName val="DIV.6"/>
      <sheetName val="DIV.7"/>
      <sheetName val="DIV.8"/>
      <sheetName val="DIV.10"/>
      <sheetName val="BOQ"/>
      <sheetName val="UMUM"/>
      <sheetName val="Daftar stn qty "/>
      <sheetName val="REKAP BAHAN REALISASI"/>
      <sheetName val="REKAP BAHAN BOW"/>
      <sheetName val="analisa (2)"/>
      <sheetName val="Rekap  harga"/>
      <sheetName val="drainase"/>
      <sheetName val="aspal"/>
      <sheetName val="air"/>
      <sheetName val="listrik"/>
      <sheetName val=" tower"/>
      <sheetName val="papan nama"/>
      <sheetName val="tambah pagar luar"/>
      <sheetName val="pagar kel.dlm"/>
      <sheetName val="pagar depan"/>
      <sheetName val="pagar antar blok"/>
      <sheetName val="selasar"/>
      <sheetName val="ruang besuk"/>
      <sheetName val="rumah genset"/>
      <sheetName val="Bengkel kerja"/>
      <sheetName val="gedung serbaguna"/>
      <sheetName val="Mushola"/>
      <sheetName val="poliklinik"/>
      <sheetName val="kantor"/>
      <sheetName val="hrg stn"/>
      <sheetName val="rumah type 36"/>
      <sheetName val="blok hunian"/>
      <sheetName val="BLANK"/>
      <sheetName val="Evaluasi"/>
      <sheetName val="D-Analisa1"/>
      <sheetName val="D-Upah&amp;Bahan"/>
      <sheetName val="Time SC"/>
      <sheetName val="Data"/>
      <sheetName val="Tb1-Tb2"/>
      <sheetName val="Tb3-Tb4"/>
      <sheetName val="Tb5-Biaya Perawatan"/>
      <sheetName val="Daftar Upah&amp;Bahan"/>
      <sheetName val="rab swa"/>
      <sheetName val="Upah&amp;Bahan"/>
      <sheetName val="Jadwal Pelaksanaan"/>
      <sheetName val="Anl Peralatan"/>
      <sheetName val="Tabel Pht Bea Alat"/>
      <sheetName val="Lamp 5"/>
      <sheetName val="Material"/>
      <sheetName val="Peralat"/>
      <sheetName val="Curva"/>
      <sheetName val="Person"/>
      <sheetName val="Bahan-Upah"/>
      <sheetName val="Backup Data"/>
      <sheetName val="Hitungan Besi"/>
      <sheetName val="Per meter"/>
      <sheetName val="Sheet3"/>
      <sheetName val="Sheet4"/>
      <sheetName val="KontraK"/>
      <sheetName val="X,Y"/>
      <sheetName val="TIM. BARU"/>
      <sheetName val="BACK UP (lama)"/>
      <sheetName val="BACK UP (cco2)"/>
      <sheetName val="Time Schedull"/>
      <sheetName val="10 Juli"/>
      <sheetName val="5  Juli"/>
      <sheetName val="1  Peusangan"/>
      <sheetName val="2  Peusangan"/>
      <sheetName val="3 Percontohan"/>
      <sheetName val="7 P Siblah Krueng"/>
      <sheetName val="7 P Selatan"/>
      <sheetName val="10 Jangka"/>
      <sheetName val="14 Sp. Mamplam"/>
      <sheetName val="Anlsa Bangunan"/>
      <sheetName val="Uph"/>
      <sheetName val="Peralatan1"/>
      <sheetName val="Mobilisasi"/>
      <sheetName val="HURUF"/>
      <sheetName val="Teknik2"/>
      <sheetName val="Anl ALAt"/>
      <sheetName val="Anl Teknik"/>
      <sheetName val="Curva S"/>
      <sheetName val="5.Onsite"/>
      <sheetName val="6a"/>
      <sheetName val="6b"/>
      <sheetName val="7"/>
      <sheetName val="8"/>
      <sheetName val="9"/>
      <sheetName val="10"/>
      <sheetName val="11"/>
      <sheetName val="13"/>
      <sheetName val="14"/>
      <sheetName val="Site"/>
      <sheetName val="Kuantitas &amp; Harga (2)"/>
      <sheetName val="Rekap Biaya (2)"/>
      <sheetName val="Daftar upah"/>
      <sheetName val="RekapEE"/>
      <sheetName val="RAB2EE"/>
      <sheetName val="RekapOE"/>
      <sheetName val="RAB2OE"/>
      <sheetName val="RekapKosong"/>
      <sheetName val="RAB2Kosong"/>
      <sheetName val="RAB1"/>
      <sheetName val="AnalisaKosong"/>
      <sheetName val="Harga"/>
      <sheetName val="HitunganUtama"/>
      <sheetName val="B.T"/>
      <sheetName val="Hit Besi Puskesmas "/>
      <sheetName val="Hit Besi Gudang"/>
      <sheetName val="Data KK"/>
      <sheetName val="DAU suatu daerah"/>
      <sheetName val="40 db"/>
      <sheetName val="B.6"/>
      <sheetName val="B5 "/>
      <sheetName val="B2 "/>
      <sheetName val="B All "/>
      <sheetName val="B2 budpar - mbl"/>
      <sheetName val="Halo2"/>
      <sheetName val="JENIS"/>
      <sheetName val="TT Sekda 13"/>
      <sheetName val="Nama SKPA"/>
      <sheetName val="GAB"/>
      <sheetName val="juni"/>
      <sheetName val="Kenaikan Gaji"/>
      <sheetName val="analisa Persentase"/>
      <sheetName val="Aneh"/>
      <sheetName val="BP"/>
      <sheetName val="Format"/>
      <sheetName val="formasi 2004"/>
      <sheetName val="banding BP"/>
      <sheetName val="Peralatan (2)"/>
      <sheetName val="Rekap Fisik-Anggaran (2)"/>
      <sheetName val="Rekap Fisik-Anggaran"/>
      <sheetName val="LOAN JBN-SBS Trafo"/>
      <sheetName val="APBN 10 T"/>
      <sheetName val="APLN SULMAPA"/>
      <sheetName val="APLN Kalimantan"/>
      <sheetName val="APLN SBS kit"/>
      <sheetName val="APLN SBS trans"/>
      <sheetName val="APLN SBS GI"/>
      <sheetName val="APLN &amp; LOAN SUAR"/>
      <sheetName val="APBN Kalimantan"/>
      <sheetName val="APBN Sumbagsel"/>
      <sheetName val="APBN Suar"/>
      <sheetName val="APBN SULMAPA"/>
      <sheetName val="APBN JBN"/>
      <sheetName val="SUMMARY OF SELLING BENCHMARK"/>
      <sheetName val="SUMMARY BENCH"/>
      <sheetName val="RESSEC.1.Bench"/>
      <sheetName val="SEC.1.Bench"/>
      <sheetName val="RESSEC.2.Bench"/>
      <sheetName val="SEC.2.Bench"/>
      <sheetName val="RESSEC.3.Bench"/>
      <sheetName val="SEC.3.Bench"/>
      <sheetName val="General"/>
      <sheetName val="INLAND FACTOR DISTANCE"/>
      <sheetName val="CONDITION"/>
      <sheetName val="Tower Input 2 of TWINK"/>
      <sheetName val="Analis. E-gak dipakai"/>
      <sheetName val="scd"/>
      <sheetName val="REK"/>
      <sheetName val="BREKDOWN"/>
      <sheetName val="HARGA Satuan"/>
      <sheetName val="Persiapan"/>
      <sheetName val="Tanah(B)"/>
      <sheetName val="pondasi(C)"/>
      <sheetName val="Beton(G)"/>
      <sheetName val="Tower "/>
      <sheetName val="KOND &amp; ACC (UNBALANCE)"/>
      <sheetName val="RAB INST"/>
      <sheetName val="bang sederhana"/>
      <sheetName val="bang tdk"/>
      <sheetName val="bang sd"/>
      <sheetName val="bang kantor"/>
      <sheetName val="bangun wc"/>
      <sheetName val="analisa hrg sat-gak dipakai"/>
      <sheetName val="analisa hrg sat (2)"/>
      <sheetName val="upah&amp;material-gak dipakai"/>
      <sheetName val="analisa E-blm diprint"/>
      <sheetName val="analisa bahan-gak dipakai"/>
      <sheetName val="rekap E"/>
      <sheetName val="rekap alat"/>
      <sheetName val="alat -1-udah"/>
      <sheetName val="alat - 2-UDAH"/>
      <sheetName val="alat - 4-diprint"/>
      <sheetName val="REKAP K"/>
      <sheetName val="K.Pvb"/>
      <sheetName val="K.PvbB"/>
      <sheetName val="k.spl"/>
      <sheetName val="K.035"/>
      <sheetName val="K.040"/>
      <sheetName val="K 110"/>
      <sheetName val="K 111"/>
      <sheetName val="K.210"/>
      <sheetName val="K 211"/>
      <sheetName val="K.224"/>
      <sheetName val="K.310"/>
      <sheetName val="K.310.SPL"/>
      <sheetName val="K.311"/>
      <sheetName val="K.321"/>
      <sheetName val="K.321.SPL.A"/>
      <sheetName val="K.321.SPL.B"/>
      <sheetName val="k 422"/>
      <sheetName val="K510"/>
      <sheetName val="k 510 spl"/>
      <sheetName val="K.516"/>
      <sheetName val="K520"/>
      <sheetName val="K.618"/>
      <sheetName val="K  636"/>
      <sheetName val="K  641"/>
      <sheetName val="K  705"/>
      <sheetName val="K  710"/>
      <sheetName val="K  715"/>
      <sheetName val="K  719"/>
      <sheetName val="K  720"/>
      <sheetName val="K  721"/>
      <sheetName val="K  722"/>
      <sheetName val="K 726"/>
      <sheetName val="K  730"/>
      <sheetName val="K 815 SPL"/>
      <sheetName val="000"/>
      <sheetName val="100"/>
      <sheetName val="001"/>
      <sheetName val="BB2000"/>
      <sheetName val="LK2001"/>
      <sheetName val="KK2000"/>
      <sheetName val="CF2000"/>
      <sheetName val="BB2001"/>
      <sheetName val="KK2001"/>
      <sheetName val="CF2001"/>
      <sheetName val="CFAnggaran"/>
      <sheetName val="SPDana"/>
      <sheetName val="CFLK2001"/>
      <sheetName val="UshDebtw101"/>
      <sheetName val="UshDeb00"/>
      <sheetName val="UshDeb03001"/>
      <sheetName val="GABUNGAN"/>
      <sheetName val="MAP"/>
      <sheetName val="Mob-Site-3"/>
      <sheetName val="BREKDOWN5"/>
      <sheetName val="Analisa-1"/>
      <sheetName val="H.Dasar"/>
      <sheetName val="K&amp;ACC (UNCE) 1-5 ME"/>
      <sheetName val="RAB INST 1-5 ME"/>
      <sheetName val="RAB 1-5"/>
      <sheetName val="RKP 1-5"/>
      <sheetName val="MAP-1"/>
      <sheetName val="MAP-2"/>
      <sheetName val="MAP-3"/>
      <sheetName val="MAP-4"/>
      <sheetName val="MAP-5"/>
      <sheetName val="ANALISA-DC"/>
      <sheetName val="61004"/>
      <sheetName val="61005"/>
      <sheetName val="61006-1"/>
      <sheetName val="61006"/>
      <sheetName val="61007"/>
      <sheetName val="61008"/>
      <sheetName val="Parameter"/>
      <sheetName val="HPS Paket 3 RJKB"/>
      <sheetName val="HPS-Shd 1"/>
      <sheetName val="HPS-Shd 2"/>
      <sheetName val="HPS-Shd 3"/>
      <sheetName val="HPS-Shd 4"/>
      <sheetName val="USAHA"/>
      <sheetName val="BBM-PLMS"/>
      <sheetName val="KOTA"/>
      <sheetName val="LUAR_KOTA"/>
      <sheetName val="SEWA-KWH"/>
      <sheetName val="BELI-KWH"/>
      <sheetName val="BP&amp;UJL"/>
      <sheetName val="Laba-Rugi"/>
      <sheetName val="Neraca"/>
      <sheetName val="10 Indikator"/>
      <sheetName val="Value-Added"/>
      <sheetName val="Rasio"/>
      <sheetName val="Kinerja"/>
      <sheetName val="LK-1"/>
      <sheetName val="LK-1.1"/>
      <sheetName val="LK-1.2"/>
      <sheetName val="LK-1.3"/>
      <sheetName val="LK-1.4"/>
      <sheetName val="LK-1.5"/>
      <sheetName val="LK-1.6"/>
      <sheetName val="LK-1.7"/>
      <sheetName val="LK-2"/>
      <sheetName val="Basic Price"/>
      <sheetName val="U_PRICE"/>
      <sheetName val="RAB- Embalut-Tgrg"/>
      <sheetName val="REKAP-BQ"/>
      <sheetName val="BQ"/>
      <sheetName val="H. Satuan"/>
      <sheetName val="Persiapan(1)"/>
      <sheetName val="Tanah (2)"/>
      <sheetName val="Pondasi (3)"/>
      <sheetName val="Dinding (4)"/>
      <sheetName val="Plesteran (5)"/>
      <sheetName val="Kayu (6)"/>
      <sheetName val="Beton (7)"/>
      <sheetName val="Atap (8)"/>
      <sheetName val="Langit2 (9)"/>
      <sheetName val="Sanitasi (10)"/>
      <sheetName val="Besi-All (11)"/>
      <sheetName val="Kunci-kaca (12)"/>
      <sheetName val="Lantai-dinding (13)"/>
      <sheetName val="Cat (14)"/>
      <sheetName val="RESUME"/>
      <sheetName val="CF"/>
      <sheetName val="Amandemen-2004"/>
      <sheetName val="List"/>
      <sheetName val="Selisih Prod"/>
      <sheetName val="NerSubsis"/>
      <sheetName val="Pembelian"/>
      <sheetName val="Sw&amp;Bl"/>
      <sheetName val="Tap2006"/>
      <sheetName val="SelCpy"/>
      <sheetName val="rkap2007"/>
      <sheetName val="TaraKalor"/>
      <sheetName val="Catatan"/>
      <sheetName val="Chek"/>
      <sheetName val="kCal"/>
      <sheetName val="HitBln"/>
      <sheetName val="BBkr"/>
      <sheetName val="KMS-DIS5"/>
      <sheetName val="KMS-DISHIGH "/>
      <sheetName val="CB-Min"/>
      <sheetName val="CB-Gtl"/>
      <sheetName val="CB-Palu"/>
      <sheetName val="CB-Luwuk"/>
      <sheetName val="Sul-GI1"/>
      <sheetName val="Sul-TL1"/>
      <sheetName val="TDL2001"/>
      <sheetName val="TDL2002"/>
      <sheetName val="Sch-1"/>
      <sheetName val="Sch-2"/>
      <sheetName val="Sch-3"/>
      <sheetName val="Sch-4"/>
      <sheetName val="Sch-5"/>
      <sheetName val="Kamus"/>
      <sheetName val="Basket"/>
      <sheetName val="JTM"/>
      <sheetName val="JTR"/>
      <sheetName val="Gardu"/>
      <sheetName val="SR"/>
      <sheetName val="KWhmeter"/>
      <sheetName val="UAI"/>
      <sheetName val="Rekap000"/>
      <sheetName val="Basket000"/>
      <sheetName val="JTM000"/>
      <sheetName val="JTR000"/>
      <sheetName val="Gardu000"/>
      <sheetName val="SR000"/>
      <sheetName val="kWhmeter0"/>
      <sheetName val="UAI000"/>
      <sheetName val="NRCPTK01"/>
      <sheetName val="NRCKTP01"/>
      <sheetName val="NRCPTS01"/>
      <sheetName val="NRCSKW01"/>
      <sheetName val="NRCSGU01"/>
      <sheetName val="NRC-STG"/>
      <sheetName val="NRCSBS01"/>
      <sheetName val="PkRp"/>
      <sheetName val="PkVal"/>
      <sheetName val="PkJtRp"/>
      <sheetName val="PkJtVal"/>
      <sheetName val="ByDkpRp"/>
      <sheetName val="ByDkpVal"/>
      <sheetName val="ByDkpJtRp"/>
      <sheetName val="ByDkpJtVal"/>
      <sheetName val="ByPinjRp"/>
      <sheetName val="ByPinjVal"/>
      <sheetName val="000000"/>
      <sheetName val="DAFISI"/>
      <sheetName val="Jelas"/>
      <sheetName val="LR"/>
      <sheetName val="LR_F"/>
      <sheetName val="Arus_Kas"/>
      <sheetName val="RE"/>
      <sheetName val="Cat"/>
      <sheetName val="BukuBesar"/>
      <sheetName val="L1_1"/>
      <sheetName val="L1_2"/>
      <sheetName val="L1_3"/>
      <sheetName val="L1_4"/>
      <sheetName val="L1_5"/>
      <sheetName val="L1_6"/>
      <sheetName val="L1_7"/>
      <sheetName val="L1_8"/>
      <sheetName val="L1_9"/>
      <sheetName val="L2_1"/>
      <sheetName val="L2_2"/>
      <sheetName val="L2_3"/>
      <sheetName val="L2_4"/>
      <sheetName val="L_2_4b"/>
      <sheetName val="L2_5"/>
      <sheetName val="L2_6"/>
      <sheetName val="L3_1"/>
      <sheetName val="L3_2"/>
      <sheetName val="L3_3"/>
      <sheetName val="L3_4"/>
      <sheetName val="L3_5"/>
      <sheetName val="L_4"/>
      <sheetName val="L_4_1"/>
      <sheetName val="L_5"/>
      <sheetName val="L_6"/>
      <sheetName val="L_7"/>
      <sheetName val="L_8a"/>
      <sheetName val="L_8b"/>
      <sheetName val="L_9"/>
      <sheetName val="L_10"/>
      <sheetName val="L_11"/>
      <sheetName val="L_12"/>
      <sheetName val="L_13"/>
      <sheetName val="L_14"/>
      <sheetName val="L_14b"/>
      <sheetName val="L_15"/>
      <sheetName val="L_16"/>
      <sheetName val="L_17"/>
      <sheetName val="L_18"/>
      <sheetName val="L_19"/>
      <sheetName val="L_20_1"/>
      <sheetName val="L_20_2"/>
      <sheetName val="L_21"/>
      <sheetName val="L_22"/>
      <sheetName val="L_23"/>
      <sheetName val="L_24"/>
      <sheetName val="L_25"/>
      <sheetName val="L_26"/>
      <sheetName val="L_27"/>
      <sheetName val="L_27_1"/>
      <sheetName val="L_27_2"/>
      <sheetName val="L_28a"/>
      <sheetName val="L_28b"/>
      <sheetName val="L_28c"/>
      <sheetName val="L_29"/>
      <sheetName val="W-NAD"/>
      <sheetName val="W-SU"/>
      <sheetName val="W-SB"/>
      <sheetName val="W-R"/>
      <sheetName val="W-SJB"/>
      <sheetName val="W-L"/>
      <sheetName val="W-BB"/>
      <sheetName val="W-KB"/>
      <sheetName val="W-KST"/>
      <sheetName val="W-KT"/>
      <sheetName val="W-SUT"/>
      <sheetName val="W-SSR"/>
      <sheetName val="W-M"/>
      <sheetName val="W-P"/>
      <sheetName val="W-NTB"/>
      <sheetName val="W-NTT"/>
      <sheetName val="D-B"/>
      <sheetName val="D-JTM"/>
      <sheetName val="D-JTG"/>
      <sheetName val="D-JBB"/>
      <sheetName val="D-JRT"/>
      <sheetName val="K-SBU"/>
      <sheetName val="K-SBS"/>
      <sheetName val="P3B-J"/>
      <sheetName val="P3B-S"/>
      <sheetName val="JPP"/>
      <sheetName val="JE"/>
      <sheetName val="JP"/>
      <sheetName val="JMK"/>
      <sheetName val="JS"/>
      <sheetName val="PP"/>
      <sheetName val="KP"/>
      <sheetName val="P-SA"/>
      <sheetName val="P-SSR"/>
      <sheetName val="P-JBN"/>
      <sheetName val="P-S"/>
      <sheetName val="P-K"/>
      <sheetName val="K-TJ"/>
      <sheetName val="K-MTR"/>
      <sheetName val="K-CLG"/>
      <sheetName val="PJB"/>
      <sheetName val="IP"/>
      <sheetName val="BTM"/>
      <sheetName val="ICP"/>
      <sheetName val="PLN E"/>
      <sheetName val="PLN TRK"/>
      <sheetName val="Raker 9 april"/>
      <sheetName val="REK WIL"/>
      <sheetName val="REK DIS"/>
      <sheetName val="REK KP"/>
      <sheetName val="REK JP"/>
      <sheetName val="REK PIK"/>
      <sheetName val="REK AP"/>
      <sheetName val="REKAP UNIT 1"/>
      <sheetName val="REKAP UNIT 2"/>
      <sheetName val="RIP 1"/>
      <sheetName val="RKAI 1"/>
      <sheetName val="RISD 1"/>
      <sheetName val="RIP"/>
      <sheetName val="RKAI"/>
      <sheetName val="RISD"/>
      <sheetName val="PENYERTAAN"/>
      <sheetName val="DAF PROY"/>
      <sheetName val="Rekap FSK TRW07"/>
      <sheetName val="Rekap Fisik MCT"/>
      <sheetName val="UAI_4"/>
      <sheetName val="UAI_2"/>
      <sheetName val="SR_07"/>
      <sheetName val="Target Fisik"/>
      <sheetName val="GI"/>
      <sheetName val="GI utara"/>
      <sheetName val="Neraca GI"/>
      <sheetName val="Kal-TL"/>
      <sheetName val="Kal-GI"/>
      <sheetName val="Berat Tower"/>
      <sheetName val="SCH 1 - TRW"/>
      <sheetName val="PARAM"/>
      <sheetName val="Dari P3B H_S_Versi 1"/>
      <sheetName val="HPS Paket 3 RJKB (2)"/>
      <sheetName val="Dialog"/>
      <sheetName val="Factor"/>
      <sheetName val="Container"/>
      <sheetName val="GenlistHI"/>
      <sheetName val="Genlist RPTL DES'03"/>
      <sheetName val="GenlistLO"/>
      <sheetName val="Genlist RPTL SEP'03"/>
      <sheetName val="Inv_NAD"/>
      <sheetName val="Inv_SUMUT"/>
      <sheetName val="Inv_RIAU"/>
      <sheetName val="Inv_SUMBAR"/>
      <sheetName val="Inv_S2JB"/>
      <sheetName val="Inv_LAMPUNG"/>
      <sheetName val="Inv_BABEL"/>
      <sheetName val="Inv_KITLUR SUMBAGUT"/>
      <sheetName val="Inv_KITLUR SUMBAGSEL"/>
      <sheetName val="Summary SUMATRA"/>
      <sheetName val="Inv_KALBAR"/>
      <sheetName val="Inv_KALTIM"/>
      <sheetName val="Inv_KALSELTENG"/>
      <sheetName val="Summary KALIMANTAN"/>
      <sheetName val="Inv_SULUTENGGO"/>
      <sheetName val="Inv_SULSELRA"/>
      <sheetName val="Summary SULAWESI"/>
      <sheetName val="Inv_NTB"/>
      <sheetName val="Inv_NTT"/>
      <sheetName val="Inv_MALUKU"/>
      <sheetName val="Module1"/>
      <sheetName val="Module2"/>
      <sheetName val="Module5"/>
      <sheetName val="Inv_PAPUA"/>
      <sheetName val="Inv_OUTSIDE JAVA"/>
      <sheetName val="Summary LUAR JAWA"/>
      <sheetName val="Bruto (3)"/>
      <sheetName val="Bruto (2)"/>
      <sheetName val="Hitung_Energi"/>
      <sheetName val="Hasil-Energi"/>
      <sheetName val="Hasil -Cost"/>
      <sheetName val="Komposisi"/>
      <sheetName val="Resume-Bruto"/>
      <sheetName val="Energy"/>
      <sheetName val="Bruto"/>
      <sheetName val="Biaya-netto"/>
      <sheetName val="Biaya-bruto"/>
      <sheetName val="RpkWH03"/>
      <sheetName val="ResumeBB"/>
      <sheetName val="ResumeBB (2)"/>
      <sheetName val="Geot"/>
      <sheetName val="Gas"/>
      <sheetName val="BatuBara"/>
      <sheetName val="BB-CF"/>
      <sheetName val="MFO"/>
      <sheetName val="MFO-CF"/>
      <sheetName val="HSD"/>
      <sheetName val="Marginal"/>
      <sheetName val="Resume-CF"/>
      <sheetName val="Biaya-netto (abcd-1)"/>
      <sheetName val="Biaya-netto(ABCD)"/>
      <sheetName val="03"/>
      <sheetName val="04"/>
      <sheetName val="05"/>
      <sheetName val="06"/>
      <sheetName val="07"/>
      <sheetName val="08"/>
      <sheetName val="Biaya-netto (3)"/>
      <sheetName val="XXXXXXXX"/>
      <sheetName val="Install"/>
      <sheetName val="Geot-cf"/>
      <sheetName val="Air-cf"/>
      <sheetName val="Gas-cf"/>
      <sheetName val="HSD-CF"/>
      <sheetName val="TDS LSITU"/>
      <sheetName val="REKAP TOWER LSITU"/>
      <sheetName val="A. DATA  2CCTLSITU"/>
      <sheetName val="BQ TL 2cctLSITU"/>
      <sheetName val=" RAB 2cctZEBRA LSITU  "/>
      <sheetName val=" SHORTRAB 2cctZEBRA LSITU "/>
      <sheetName val="LONGFORM boq 2cctZEBRA LSITU "/>
      <sheetName val="SHORTformBOQ2cctZEBRA "/>
      <sheetName val="longformBQ TL 2cctCBD"/>
      <sheetName val=" RAB 2cct TACSR 520 final"/>
      <sheetName val="SHORT RAB 2cct TACSR 520 final "/>
      <sheetName val="SHORT FORM BOQ 2cct TACSR 520 "/>
      <sheetName val="FORM BQ TL PRATU 4cct"/>
      <sheetName val=" RAB 4cct DETAIL"/>
      <sheetName val="SHORTRAB 4cct "/>
      <sheetName val="SHORTformBOQ 4cct  "/>
      <sheetName val="REKAP TOWER"/>
      <sheetName val="RKAP PONDASI"/>
      <sheetName val="A. DATA  2cct "/>
      <sheetName val="TDS"/>
      <sheetName val="A. DATA  4cct"/>
      <sheetName val="RESUME TOTAL"/>
      <sheetName val="RESUME (2)"/>
      <sheetName val="REKAP UNIT 3"/>
      <sheetName val="RIP 3"/>
      <sheetName val="L-R"/>
      <sheetName val="NRC"/>
      <sheetName val="PerhitunganKinKeu_kit"/>
      <sheetName val="target_penunjang"/>
      <sheetName val="target_kit"/>
      <sheetName val="TARGET kit_p3b2003"/>
      <sheetName val="ubay"/>
      <sheetName val="sept 01-07"/>
      <sheetName val="sept"/>
      <sheetName val="Neraca Changes"/>
      <sheetName val="Laba Rugi Changes"/>
      <sheetName val="Investasi Changes"/>
      <sheetName val="Daftar Isi"/>
      <sheetName val="Asumsi"/>
      <sheetName val="PTKU"/>
      <sheetName val="LabaRugi Unsur"/>
      <sheetName val="LabaRugi Fungsi"/>
      <sheetName val="Penjelas"/>
      <sheetName val="JualGTarif(11A)"/>
      <sheetName val="PendOpLain(11B)"/>
      <sheetName val="IkhtisarBiop(12.0)"/>
      <sheetName val="PembelianiTL(12A1"/>
      <sheetName val="SewaPemb(12A2)"/>
      <sheetName val="BBMJenis(12B1)"/>
      <sheetName val="ProduksiTL(12B2)"/>
      <sheetName val="HarMat(12C1)"/>
      <sheetName val="HarJabor(12C2)"/>
      <sheetName val="BBaku(12C3)"/>
      <sheetName val="BPeg-F(12D1)"/>
      <sheetName val="Bipeg-U(12D2)"/>
      <sheetName val="BOLain(12E1)"/>
      <sheetName val="BOLain(12E2)"/>
      <sheetName val="PendaLuOp(13)"/>
      <sheetName val="BiLuOp(14)"/>
      <sheetName val="BiPinjamin(15)"/>
      <sheetName val="PenjTL(18)"/>
      <sheetName val="LabaRugi Lainnya 2005(20)"/>
      <sheetName val="LabaRugi Unsur2004(21A)"/>
      <sheetName val="LabaRugi Fungsi2004(21B)"/>
      <sheetName val="L"/>
      <sheetName val="TUL III-09"/>
      <sheetName val="FAKTORMWHJUAL (2)"/>
      <sheetName val="FAKTORMWHJUAL"/>
      <sheetName val="Submission Form"/>
      <sheetName val="Feuil2"/>
      <sheetName val="XL4Test5"/>
      <sheetName val="ANALISABBM"/>
      <sheetName val="NR"/>
      <sheetName val="PSO2005"/>
      <sheetName val="PENJ2005"/>
      <sheetName val="HPP"/>
      <sheetName val="KOKIN"/>
      <sheetName val="K2004"/>
      <sheetName val="SALDO KAS"/>
      <sheetName val="SBDN"/>
      <sheetName val="PEREK"/>
      <sheetName val="PSO2004"/>
      <sheetName val="INV-T"/>
      <sheetName val="datNR"/>
      <sheetName val="BBM"/>
      <sheetName val="datLR"/>
      <sheetName val="PENJ2004"/>
      <sheetName val="L6"/>
      <sheetName val="L6l"/>
      <sheetName val="IPP VOLUME"/>
      <sheetName val="HPP04"/>
      <sheetName val="STAT"/>
      <sheetName val="PPSUB"/>
      <sheetName val="SUBhpp"/>
      <sheetName val="LRA"/>
      <sheetName val="NRA"/>
      <sheetName val="LRA1"/>
      <sheetName val="LRU05"/>
      <sheetName val="LRU04"/>
      <sheetName val="LRBACEH"/>
      <sheetName val="Lamp"/>
      <sheetName val="LISWAS"/>
      <sheetName val="PenBP"/>
      <sheetName val="PSUSUT"/>
      <sheetName val="BDOP5"/>
      <sheetName val="ad51"/>
      <sheetName val="ad52"/>
      <sheetName val="SewD"/>
      <sheetName val="LMNR"/>
      <sheetName val="JKP"/>
      <sheetName val="AKT"/>
      <sheetName val="LM1NR"/>
      <sheetName val="NRU"/>
      <sheetName val="DRNRU"/>
      <sheetName val="datBAB"/>
      <sheetName val="FUNGSI"/>
      <sheetName val="Rp.kWh"/>
      <sheetName val="L1"/>
      <sheetName val="L2"/>
      <sheetName val="L3"/>
      <sheetName val="L5"/>
      <sheetName val="L7"/>
      <sheetName val="L8"/>
      <sheetName val="L9"/>
      <sheetName val="ONK"/>
      <sheetName val="PembelianL"/>
      <sheetName val="SewaDL"/>
      <sheetName val="PENDAPATAN"/>
      <sheetName val="HAR"/>
      <sheetName val="HRT1"/>
      <sheetName val="L11PEG"/>
      <sheetName val="PEG"/>
      <sheetName val="datPEG"/>
      <sheetName val="L12ADM"/>
      <sheetName val="ADM"/>
      <sheetName val="ADM05"/>
      <sheetName val="BDOP"/>
      <sheetName val="BDOP1"/>
      <sheetName val="datBDOP"/>
      <sheetName val="DLOP"/>
      <sheetName val="DLOP1"/>
      <sheetName val="L21"/>
      <sheetName val="INF-UN"/>
      <sheetName val="Piutang"/>
      <sheetName val="datpen"/>
      <sheetName val="L4"/>
      <sheetName val="DATAVARIABEL"/>
      <sheetName val="LABARUGI"/>
      <sheetName val="SPDN"/>
      <sheetName val="CASHFLOW"/>
      <sheetName val="PEREQ"/>
      <sheetName val="PPem"/>
      <sheetName val="LRANG"/>
      <sheetName val="NRANG"/>
      <sheetName val="ROE"/>
      <sheetName val="PenTL"/>
      <sheetName val="PenGol"/>
      <sheetName val="SalesUnit"/>
      <sheetName val="KVAGOL"/>
      <sheetName val="PendBP"/>
      <sheetName val="Ongkos Angkut"/>
      <sheetName val="Pendukung"/>
      <sheetName val="OIL"/>
      <sheetName val="AOHAR"/>
      <sheetName val="POLain"/>
      <sheetName val="Dana"/>
      <sheetName val="CFBulanan"/>
      <sheetName val="Inv-SD"/>
      <sheetName val="INVES-F"/>
      <sheetName val="NRCunit2004"/>
      <sheetName val="LRUnit2004"/>
      <sheetName val="BiAdm"/>
      <sheetName val="adm_dat"/>
      <sheetName val="SewaD"/>
      <sheetName val="DEPRES"/>
      <sheetName val="Revaldll"/>
      <sheetName val="BAB Lainnya"/>
      <sheetName val="LISWAS4"/>
      <sheetName val="CashBudget"/>
      <sheetName val="DataLR"/>
      <sheetName val="DataNRC"/>
      <sheetName val="F-KIT"/>
      <sheetName val="F-DIST"/>
      <sheetName val="pelanggan"/>
      <sheetName val="investasi"/>
      <sheetName val="sfc&amp;hrgbbm"/>
      <sheetName val="biayabbm"/>
      <sheetName val="PRODUKSI"/>
      <sheetName val="penjualantl"/>
      <sheetName val="ekuitas"/>
      <sheetName val="neracatlub"/>
      <sheetName val="neracatl"/>
      <sheetName val="lkbiayabbm"/>
      <sheetName val="pinjaman"/>
      <sheetName val="Laba Rugi"/>
      <sheetName val="00000000"/>
      <sheetName val="By Non HPP"/>
      <sheetName val="Beban-Usaha"/>
      <sheetName val="LK2004"/>
      <sheetName val="DPN"/>
      <sheetName val="AT 2004"/>
      <sheetName val="Biaya&amp;NrcKWh"/>
      <sheetName val="NE"/>
      <sheetName val="Perhit.HPP"/>
      <sheetName val="GambarB"/>
      <sheetName val="Subsidi"/>
      <sheetName val="Cair Subs"/>
      <sheetName val="000001"/>
      <sheetName val="W1"/>
      <sheetName val="W2"/>
      <sheetName val="W3"/>
      <sheetName val="W4"/>
      <sheetName val="W5"/>
      <sheetName val="W6"/>
      <sheetName val="W7"/>
      <sheetName val="W8"/>
      <sheetName val="W9"/>
      <sheetName val="W10"/>
      <sheetName val="w11"/>
      <sheetName val="batam"/>
      <sheetName val="kitut"/>
      <sheetName val="kitsel"/>
      <sheetName val="GABWIL"/>
      <sheetName val="JATIM"/>
      <sheetName val="JATENG"/>
      <sheetName val="JABAR"/>
      <sheetName val="dki"/>
      <sheetName val="P3B"/>
      <sheetName val="BENGKEL"/>
      <sheetName val="GABDIS"/>
      <sheetName val="DKP"/>
      <sheetName val="LMK"/>
      <sheetName val="JASDIK"/>
      <sheetName val="PPE"/>
      <sheetName val="pusat"/>
      <sheetName val="PENGUS"/>
      <sheetName val="DAK"/>
      <sheetName val="HOLDING"/>
      <sheetName val="PJB1"/>
      <sheetName val="PJB2"/>
      <sheetName val="ANAK"/>
      <sheetName val="KONSOLIDASI"/>
      <sheetName val="TRANS"/>
      <sheetName val="RAB "/>
      <sheetName val="Sat. Pek."/>
      <sheetName val="Erection"/>
      <sheetName val="Pengadaan"/>
      <sheetName val="Pondasi"/>
      <sheetName val="B D AA6"/>
      <sheetName val="B D BB6"/>
      <sheetName val="B D CC6"/>
      <sheetName val="B D DD6"/>
      <sheetName val="Periode"/>
      <sheetName val="DaftarIsi"/>
      <sheetName val="NRC-Unit"/>
      <sheetName val="LRU-Unit"/>
      <sheetName val="Perubahan Baru"/>
      <sheetName val="a"/>
      <sheetName val="kali-2000"/>
      <sheetName val="kali-2001"/>
      <sheetName val="PRELIMINARIES"/>
      <sheetName val="GONDOLA"/>
      <sheetName val="PEK.TAMBAH KURANG"/>
      <sheetName val="BIAYA CADANGAN"/>
      <sheetName val="REKAPITULASI AKHIR"/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Summary "/>
      <sheetName val="Cover-OP"/>
      <sheetName val="Summary-op"/>
      <sheetName val="Rb"/>
      <sheetName val="I_KAMAR"/>
      <sheetName val="Current"/>
      <sheetName val="PERTANYAAN"/>
      <sheetName val="Ana duct"/>
      <sheetName val="Hsd Duct"/>
      <sheetName val="Grille"/>
      <sheetName val="DM"/>
      <sheetName val="Pipe"/>
      <sheetName val="valve"/>
      <sheetName val="Data Hitungan"/>
      <sheetName val="Aks Pipa"/>
      <sheetName val="AC"/>
      <sheetName val="K.TambahAC"/>
      <sheetName val="FH"/>
      <sheetName val="K.TambahFH"/>
      <sheetName val="valve 16k"/>
      <sheetName val="ASS-PL"/>
      <sheetName val="Fitting"/>
      <sheetName val="0000"/>
      <sheetName val="1000"/>
      <sheetName val="ELEKTRIKAL"/>
      <sheetName val="Plumbing"/>
      <sheetName val="Dafmat"/>
      <sheetName val="Pompa"/>
      <sheetName val="Ven Fan"/>
      <sheetName val="valve-20k"/>
      <sheetName val="valve-10k"/>
      <sheetName val="MAIN"/>
      <sheetName val="BOLT-DATA"/>
      <sheetName val="BOLT"/>
      <sheetName val="MU"/>
      <sheetName val="Analisa Str+Ars"/>
      <sheetName val="Bhn cost"/>
      <sheetName val="Sub cost"/>
      <sheetName val="Sub"/>
      <sheetName val="Alat cost"/>
      <sheetName val="rap"/>
      <sheetName val="bhn"/>
      <sheetName val="spek"/>
      <sheetName val="altok"/>
      <sheetName val="bumok"/>
      <sheetName val="altprec"/>
      <sheetName val="bumprec"/>
      <sheetName val="B - Norelec"/>
      <sheetName val="rek-fbhk"/>
      <sheetName val="rek-fitAB"/>
      <sheetName val="rek-hbk"/>
      <sheetName val="rek-val"/>
      <sheetName val="bq-kt"/>
      <sheetName val="bq-ktsa"/>
      <sheetName val="bq-ktf"/>
      <sheetName val="bq-kthk"/>
      <sheetName val="bq-ktc"/>
      <sheetName val="bq-kth"/>
      <sheetName val="bq-ktv"/>
      <sheetName val="rek-san1"/>
      <sheetName val="rek-hot"/>
      <sheetName val="rek-fitPP "/>
      <sheetName val="bq-pl"/>
      <sheetName val="Total"/>
      <sheetName val="Acessoris"/>
      <sheetName val="Apartement"/>
      <sheetName val="Jembatan"/>
      <sheetName val="MallAC"/>
      <sheetName val="Peghitungan"/>
      <sheetName val="MALL_K"/>
      <sheetName val="Item Tambahan"/>
      <sheetName val="APARTment_K"/>
      <sheetName val="Jembatan_K"/>
      <sheetName val="KOP"/>
      <sheetName val="FF"/>
      <sheetName val="Penjumlahan"/>
      <sheetName val="DAF-1"/>
      <sheetName val="DAF-2"/>
      <sheetName val="DAF-3"/>
      <sheetName val="DAF-4"/>
      <sheetName val="Cover depan"/>
      <sheetName val="cover(PJML)"/>
      <sheetName val="Cover (1)"/>
      <sheetName val="Cover (2)"/>
      <sheetName val="Cover (3)"/>
      <sheetName val="COVER (4)"/>
      <sheetName val="CAT_HRG"/>
      <sheetName val="Prelim"/>
      <sheetName val="Bag_1"/>
      <sheetName val="DAF_1"/>
      <sheetName val="DAF_2 "/>
      <sheetName val="DAF_3"/>
      <sheetName val="DAF_4"/>
      <sheetName val="DAF_5"/>
      <sheetName val="DAF_ 6"/>
      <sheetName val="DAFTAR 7"/>
      <sheetName val="DAFTAR_8"/>
      <sheetName val="DAFTAR_9"/>
      <sheetName val="DAFTAR_10"/>
      <sheetName val="DAFTAR_11"/>
      <sheetName val="Daf___"/>
      <sheetName val="Add ME"/>
      <sheetName val="LIST MATERIAL REV"/>
      <sheetName val="Bag_III"/>
      <sheetName val="Bag_IV"/>
      <sheetName val="ana"/>
      <sheetName val="u"/>
      <sheetName val="s"/>
      <sheetName val="DAF-5"/>
      <sheetName val="DAF-6"/>
      <sheetName val="DAF-7"/>
      <sheetName val="DAF-8"/>
      <sheetName val="DAF-9"/>
      <sheetName val="DAF-10"/>
      <sheetName val="DAF-11"/>
      <sheetName val="Cover1"/>
      <sheetName val="DataTeknis1"/>
      <sheetName val="Luas Gedung1"/>
      <sheetName val="Rkp total full"/>
      <sheetName val="Rkp Lt-1 full"/>
      <sheetName val=" Lt-1 Full"/>
      <sheetName val="Rekap Lt-2"/>
      <sheetName val="Finishing Lt-2"/>
      <sheetName val="Rekap - Lt-3"/>
      <sheetName val="Finishing Lt-3 &amp; Atap"/>
      <sheetName val="Rekap -sarana luar"/>
      <sheetName val="Sarana Luar"/>
      <sheetName val="AGENDA"/>
      <sheetName val="LUAS LANTAI"/>
      <sheetName val="REKAP ELEKTRIKAL"/>
      <sheetName val="TELEPON"/>
      <sheetName val="SOUND"/>
      <sheetName val="F ALARM"/>
      <sheetName val="BAS"/>
      <sheetName val="CCTV"/>
      <sheetName val="GENSET"/>
      <sheetName val="TRAFO"/>
      <sheetName val="REKAP MEKANIKAL"/>
      <sheetName val="ELEVATOR"/>
      <sheetName val="HYDRANT"/>
      <sheetName val="SPRINKLER"/>
      <sheetName val="JUMLAH(3)"/>
      <sheetName val="JUMLAH(2)"/>
      <sheetName val="D2.1-Cover"/>
      <sheetName val="D2.1"/>
      <sheetName val="D2.2-Cover"/>
      <sheetName val="D2.2"/>
      <sheetName val="D3.1-Cover(MALL&amp;PARK)"/>
      <sheetName val="D3.1"/>
      <sheetName val="D3.2-Cover(LANDS)"/>
      <sheetName val="D3.2"/>
      <sheetName val="D3.3-Cover(T-A)"/>
      <sheetName val="D3.3"/>
      <sheetName val="D3.4-Cover(T-B)"/>
      <sheetName val="D3.4"/>
      <sheetName val="D3.5-Cover(T-C)"/>
      <sheetName val="D3.5"/>
      <sheetName val="D.3.6-Cover.BAJA"/>
      <sheetName val="D3.6"/>
      <sheetName val="2"/>
      <sheetName val="2.1"/>
      <sheetName val="2.2"/>
      <sheetName val="2.3"/>
      <sheetName val="2.4"/>
      <sheetName val="2.5A"/>
      <sheetName val="2.5B"/>
      <sheetName val="2.5"/>
      <sheetName val="2.6"/>
      <sheetName val="2.7"/>
      <sheetName val="2.8"/>
      <sheetName val="2.9"/>
      <sheetName val="2.10"/>
      <sheetName val="2.11"/>
      <sheetName val="2.12"/>
      <sheetName val="2.13"/>
      <sheetName val="Elekt"/>
      <sheetName val="SS"/>
      <sheetName val="MATV"/>
      <sheetName val="Elv"/>
      <sheetName val="Traf&amp;Genst"/>
      <sheetName val="DATA CENTER"/>
      <sheetName val="OFFICE 4 LT"/>
      <sheetName val="OFFICE 2 LT"/>
      <sheetName val="COV2.4 "/>
      <sheetName val="D2.4"/>
      <sheetName val="COV3.3"/>
      <sheetName val="D3-3"/>
      <sheetName val="COV4.3 "/>
      <sheetName val="D4.3 (TE)"/>
      <sheetName val="COV5.3"/>
      <sheetName val="D5.3 (TF) "/>
      <sheetName val="COV6.3"/>
      <sheetName val="D6.3 (TG)"/>
      <sheetName val="COV7.3"/>
      <sheetName val="D7.3 (TH)"/>
      <sheetName val="COV8.3"/>
      <sheetName val="D8.3 (TJ)"/>
      <sheetName val="COV9.3"/>
      <sheetName val="D9.3 (TK) "/>
      <sheetName val="COVER PLAFOND"/>
      <sheetName val="COVER BASEMEN"/>
      <sheetName val="D3.4.1"/>
      <sheetName val="COVER PODIUM"/>
      <sheetName val="D3.4.2"/>
      <sheetName val="COVER APARTEMEN"/>
      <sheetName val="D3.4.3"/>
      <sheetName val="COVER HOTEL"/>
      <sheetName val="D3.4.4"/>
      <sheetName val="COVER BOUTIQUE"/>
      <sheetName val="D3.4.5"/>
      <sheetName val="HRG BHN"/>
      <sheetName val="ANALS ARS"/>
      <sheetName val="ANALS KY"/>
      <sheetName val="ANALS ME"/>
      <sheetName val="E"/>
      <sheetName val="01A- RAB"/>
      <sheetName val="1A RKAB TTL"/>
      <sheetName val="01A- RAB (ars)"/>
      <sheetName val="Mandor"/>
      <sheetName val="HT"/>
      <sheetName val="SELASAR-2"/>
      <sheetName val="GT-2 "/>
      <sheetName val="me"/>
      <sheetName val="REKAP UTAMA"/>
      <sheetName val="STRUKTUR"/>
      <sheetName val="FINISHING"/>
      <sheetName val="HALAMAN"/>
      <sheetName val="MEKANIKAL"/>
      <sheetName val="ANALISA ME"/>
      <sheetName val="ANALISA PERSIAPAN"/>
      <sheetName val="HG Bahan"/>
      <sheetName val="An Beton"/>
      <sheetName val="AN HG DKI"/>
      <sheetName val="anpartisi (REV)"/>
      <sheetName val="ankosen"/>
      <sheetName val="HNS2"/>
      <sheetName val="ars_fin"/>
      <sheetName val="HNS"/>
      <sheetName val="harga dasar"/>
      <sheetName val="ahs struktur"/>
      <sheetName val="Cashflow2x"/>
      <sheetName val="UM 10%"/>
      <sheetName val="Cashflow3x"/>
      <sheetName val="Cashflow perbl"/>
      <sheetName val="Lingkup"/>
      <sheetName val="STR-ARS"/>
      <sheetName val="Cover Daf-2"/>
      <sheetName val="Cover Daf-2 (2)"/>
      <sheetName val="BQ Daf-2"/>
      <sheetName val="MISC"/>
      <sheetName val="BLN"/>
      <sheetName val="GSK"/>
      <sheetName val="Isolasi Luar"/>
      <sheetName val="Isolasi Luar Dalam"/>
      <sheetName val="DAFTAR NO_1_PRELIM"/>
      <sheetName val="DAFTAR NO_2 PEK_ ELEKTRIKAL"/>
      <sheetName val="Trafo &amp; Panel"/>
      <sheetName val="Kabel"/>
      <sheetName val="Lampu &amp; Saklar"/>
      <sheetName val="Inst. Elektrikal"/>
      <sheetName val="Kabel Ladder &amp; Tray"/>
      <sheetName val="DAFTAR NO_3 PENANGKAL PETIR"/>
      <sheetName val="DAFTAR NO_4 PEK_ FIRE ALARM"/>
      <sheetName val="Equip-Fire"/>
      <sheetName val="DAFTAR NO_5 PEK_ TELEPON"/>
      <sheetName val="Equip-Telp."/>
      <sheetName val="Inst. Elektronik"/>
      <sheetName val="DAFTAR NO_6 PEK_ TATA SUARA"/>
      <sheetName val="Equip-TS"/>
      <sheetName val="DAFTAR NO_7 PEK_ MATV"/>
      <sheetName val="Equip-MATV"/>
      <sheetName val="DAFTAR NO_8 PEK_ CCTV"/>
      <sheetName val="Equip-CCTV"/>
      <sheetName val="DAFTAR NO_9 PEK_ VIDEOPHONE"/>
      <sheetName val="Equip-Videophone"/>
      <sheetName val="DAFTAR NO_10 PEK_ ACCESS CONTRO"/>
      <sheetName val="Equip-Access"/>
      <sheetName val="DAFTAR NO_11 TAM-KUR"/>
      <sheetName val="Preambul"/>
      <sheetName val="326CHEL"/>
      <sheetName val="Tambah Kurang"/>
      <sheetName val="analisa listrik"/>
      <sheetName val="Harga Satuan Bahan"/>
      <sheetName val="hrst upah"/>
      <sheetName val="analisa hrst elektrik"/>
      <sheetName val="cash flow"/>
      <sheetName val="Markup"/>
      <sheetName val="ME RR1"/>
      <sheetName val="RR1 (EL)"/>
      <sheetName val="RR1 (AC)"/>
      <sheetName val="RR1 (PLB)"/>
      <sheetName val="ME RR2"/>
      <sheetName val="RR2 (EL)"/>
      <sheetName val="RR2 (AC)"/>
      <sheetName val="RR2 (PLB)"/>
      <sheetName val="ME RR3"/>
      <sheetName val="RR3 (EL)"/>
      <sheetName val="RR3 (AC)"/>
      <sheetName val="RR3 (PLB)"/>
      <sheetName val="ME RRK1"/>
      <sheetName val="RRK1 (EL)"/>
      <sheetName val="RRK1 (AC)"/>
      <sheetName val="RRK1 (PLB)"/>
      <sheetName val="ME RRK2"/>
      <sheetName val="RRK2 (EL)"/>
      <sheetName val="RRK2 (AC)"/>
      <sheetName val="RRK2 (PLB)"/>
      <sheetName val="ME RRK3"/>
      <sheetName val="RRK3 (EL)"/>
      <sheetName val="RRK3 (AC)"/>
      <sheetName val="RRK3 (PLB)"/>
      <sheetName val="ME RB1"/>
      <sheetName val="RB1 (EL)"/>
      <sheetName val="RB1 (AC)"/>
      <sheetName val="RB1 (PLB)"/>
      <sheetName val="ME RB2"/>
      <sheetName val="RB2 (EL)"/>
      <sheetName val="RB2 (AC)"/>
      <sheetName val="RB2 (PLB)"/>
      <sheetName val="ME RB3"/>
      <sheetName val="RB3 (EL)"/>
      <sheetName val="RB3 (AC)"/>
      <sheetName val="RB3 (PLB)"/>
      <sheetName val="SPH"/>
      <sheetName val="INDEX"/>
      <sheetName val="mu rev"/>
      <sheetName val="overhead"/>
      <sheetName val="simak"/>
      <sheetName val="uraian teknis"/>
      <sheetName val="Met-Tek"/>
      <sheetName val="Sc Bahan"/>
      <sheetName val="Man Power"/>
      <sheetName val="O&amp;O-Alat"/>
      <sheetName val="Sc Alat"/>
      <sheetName val="RENC MUTU"/>
      <sheetName val="TS (2)"/>
      <sheetName val="Jadwal (2)"/>
      <sheetName val="Sch Person"/>
      <sheetName val="Daftar Alat"/>
      <sheetName val="Konf"/>
      <sheetName val="Anal Mob"/>
      <sheetName val="Mob"/>
      <sheetName val="Pemel Rutin"/>
      <sheetName val="Subkontrak"/>
      <sheetName val="girder 1"/>
      <sheetName val="girder 2"/>
      <sheetName val="BGS"/>
      <sheetName val="Met-Tek (2)"/>
      <sheetName val="INFO"/>
      <sheetName val="CAT-HRG "/>
      <sheetName val="DAF- 4"/>
      <sheetName val="DAFT-12"/>
      <sheetName val="SC-FIN"/>
      <sheetName val="Spek Kusen"/>
      <sheetName val="Kusen"/>
      <sheetName val="AN-Prelim"/>
      <sheetName val="AN-M&amp;E"/>
      <sheetName val="BD"/>
      <sheetName val="Gross Area"/>
      <sheetName val="Vol-M&amp;E"/>
      <sheetName val="T-Sch"/>
      <sheetName val="Remark"/>
      <sheetName val="RUKAN"/>
      <sheetName val="TS - FHISIK (2)"/>
      <sheetName val="Harsat"/>
      <sheetName val="Anal"/>
      <sheetName val="RAB-NEGO"/>
      <sheetName val="REKAP-NEGO"/>
      <sheetName val="RABT"/>
      <sheetName val="TS - FHISIK"/>
      <sheetName val="Anls"/>
      <sheetName val="Elek.List"/>
      <sheetName val="BQ_Listrik"/>
      <sheetName val="Daftar Material"/>
      <sheetName val="TOWER D"/>
      <sheetName val="TOWER E"/>
      <sheetName val="RKP FH"/>
      <sheetName val="FH PRELIMINARY"/>
      <sheetName val="BASEMENT"/>
      <sheetName val="TOWER A"/>
      <sheetName val="TOWER B"/>
      <sheetName val="TOWER C"/>
      <sheetName val="Rekap PI"/>
      <sheetName val="Calc"/>
      <sheetName val="Lapangan"/>
      <sheetName val="WI"/>
      <sheetName val="Sumda"/>
      <sheetName val="Equipment"/>
      <sheetName val="Ls"/>
      <sheetName val="AngL01B"/>
      <sheetName val="AngL03"/>
      <sheetName val="depo"/>
      <sheetName val="CASTINGYARD"/>
      <sheetName val="Mark Up DK 1"/>
      <sheetName val="Mark Up C 8"/>
      <sheetName val="HS"/>
      <sheetName val="arab"/>
      <sheetName val="ORG-CHART"/>
      <sheetName val="Ana-prel"/>
      <sheetName val="326BQSMB"/>
      <sheetName val="326BQSCC"/>
      <sheetName val="326BQSCF"/>
      <sheetName val="Hargamat"/>
      <sheetName val="APPENDIX-G"/>
      <sheetName val="APPENDIX-G table 2"/>
      <sheetName val="ARAP"/>
      <sheetName val="DAF.ALAT"/>
      <sheetName val="SRT PENAWARAN"/>
      <sheetName val="MPU-2"/>
      <sheetName val="Pealatan"/>
      <sheetName val="CV TAWAR (3)"/>
      <sheetName val="penawaran 11 jan 05"/>
      <sheetName val="jadwal (3)"/>
      <sheetName val="REKAP 3"/>
      <sheetName val="RAB (3)"/>
      <sheetName val="ARAB (3)"/>
      <sheetName val="BAHAN (3)"/>
      <sheetName val="DAF.ALAT (3)"/>
      <sheetName val="SRT"/>
      <sheetName val="CV TAWAR (2)"/>
      <sheetName val="METODHE"/>
      <sheetName val="HITUNG"/>
      <sheetName val="ARAB (2)"/>
      <sheetName val="BAHAN (2)"/>
      <sheetName val="har-sat"/>
      <sheetName val="mos"/>
      <sheetName val="Anl-Teknik"/>
      <sheetName val="staf"/>
      <sheetName val="komponen"/>
      <sheetName val="Rekap-RAP"/>
      <sheetName val="bq-rap"/>
      <sheetName val="anl-rap"/>
      <sheetName val="MarcUp"/>
      <sheetName val="hotmix"/>
      <sheetName val="CV-TAWAR"/>
      <sheetName val="RAB STR REV LANDSCAPE"/>
      <sheetName val="Jml-Tot"/>
      <sheetName val="STR-TP"/>
      <sheetName val="Pondasi-TP"/>
      <sheetName val="REKAP REV"/>
      <sheetName val="RAB ME REV"/>
      <sheetName val="RAB STR REV "/>
      <sheetName val="NWP"/>
      <sheetName val="RAB STR"/>
      <sheetName val="RAB ME"/>
      <sheetName val="vol pek"/>
      <sheetName val="PILE CAP"/>
      <sheetName val="KLM BASEMENT"/>
      <sheetName val="KOLOM LT. DASAR"/>
      <sheetName val="KLM LT. SATU"/>
      <sheetName val="KLM LT. DUA"/>
      <sheetName val="KLM LT. ATAP"/>
      <sheetName val="KLM LT. PENUTUP ATAP"/>
      <sheetName val="Metode NK (2)"/>
      <sheetName val="upah_rap"/>
      <sheetName val="SCHEDULE ALAT"/>
      <sheetName val="SCHEDULE PERSONIL"/>
      <sheetName val="SCHEDULE BAHAN"/>
      <sheetName val="vol pek (2)"/>
      <sheetName val="daftar hsp"/>
      <sheetName val="iktisar kusus"/>
      <sheetName val="H Satuan Dasar"/>
      <sheetName val="Analisa RAB"/>
      <sheetName val="R.A.B."/>
      <sheetName val="SCEDULE"/>
      <sheetName val="Rangking"/>
      <sheetName val="LAMP PENWR"/>
      <sheetName val="SP ASTEK"/>
      <sheetName val="SubKon "/>
      <sheetName val="HASAT PEK"/>
      <sheetName val="RAB-Add"/>
      <sheetName val="HASAT DASAR"/>
      <sheetName val="Tawar"/>
      <sheetName val="REF.ONLY"/>
      <sheetName val="****00"/>
      <sheetName val="LCATAL"/>
      <sheetName val="B2"/>
      <sheetName val="C1"/>
      <sheetName val="C2"/>
      <sheetName val="D2"/>
      <sheetName val="FG"/>
      <sheetName val="D4"/>
      <sheetName val="SPH-AMANDIT"/>
      <sheetName val="SPH-SAPON"/>
      <sheetName val="APPENDIX"/>
      <sheetName val="SAPON"/>
      <sheetName val="AMANDIT"/>
      <sheetName val="SURAT-KUASA"/>
      <sheetName val="MINAT-AMANDIT"/>
      <sheetName val="MINAT-SAPON"/>
      <sheetName val="TOT-General"/>
      <sheetName val="TOT-Elk"/>
      <sheetName val="E1"/>
      <sheetName val="E2"/>
      <sheetName val="E3"/>
      <sheetName val="E4"/>
      <sheetName val="E5"/>
      <sheetName val="E6"/>
      <sheetName val="E7"/>
      <sheetName val="E8"/>
      <sheetName val="E9"/>
      <sheetName val="E10"/>
      <sheetName val="E11"/>
      <sheetName val="E12"/>
      <sheetName val="TOT-Mek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An. Pek Persiapan"/>
      <sheetName val="An. Pek Tanah"/>
      <sheetName val="An. Pek Pondasi"/>
      <sheetName val="An. Pek Beton"/>
      <sheetName val="An. Pek Baja"/>
      <sheetName val="An. Pek Pasangan"/>
      <sheetName val="An. Pek Penutup Lt &amp; Dinding"/>
      <sheetName val="An. Pek Sanitair"/>
      <sheetName val="An. Pek Mekanikal"/>
      <sheetName val="an.bhn"/>
      <sheetName val="upahbahan"/>
      <sheetName val="fin-kab"/>
      <sheetName val="DAFTAR BESI"/>
      <sheetName val="REK RAB SGN"/>
      <sheetName val="RAB SGN"/>
      <sheetName val="RAB.ME"/>
      <sheetName val="rab-int"/>
      <sheetName val=" REK RAB PUST"/>
      <sheetName val="RAB PUST"/>
      <sheetName val="RAB ME PUST"/>
      <sheetName val="INT.PUST"/>
      <sheetName val="REK MNR"/>
      <sheetName val="RAB MNR"/>
      <sheetName val="RAB ME MNR"/>
      <sheetName val="REQDELTA"/>
      <sheetName val="Shorts"/>
      <sheetName val="NYATDOK"/>
      <sheetName val="DATAADM"/>
      <sheetName val="IJINUSAHA"/>
      <sheetName val="SBU"/>
      <sheetName val="AKTE"/>
      <sheetName val="KEUANGAN"/>
      <sheetName val="PLMJBT"/>
      <sheetName val="00000"/>
      <sheetName val="FA"/>
      <sheetName val="Analisa HS"/>
      <sheetName val="BQFA"/>
      <sheetName val="FACP"/>
      <sheetName val="CostFA"/>
      <sheetName val="instalFA"/>
      <sheetName val="Ind-Cost"/>
      <sheetName val="I-Cost"/>
      <sheetName val="Detail"/>
      <sheetName val="Kalah"/>
      <sheetName val="SRT PNWR (2)"/>
      <sheetName val="SRT PNWR"/>
      <sheetName val="PROG MUTU"/>
      <sheetName val="HsatBahan"/>
      <sheetName val="AnBayarUtama"/>
      <sheetName val="AnMobilisasi"/>
      <sheetName val="ANAL TEK"/>
      <sheetName val="IKTISAR"/>
      <sheetName val="STRUK ORG"/>
      <sheetName val="Penawaran Grawan"/>
      <sheetName val="Dafbayarutama"/>
      <sheetName val="HSATPek"/>
      <sheetName val="HRG ALAT"/>
      <sheetName val="ANL LS"/>
      <sheetName val="REKAP RAB BARU 11 Jan 05 "/>
      <sheetName val="RAB BARU 11 Jan 05"/>
      <sheetName val="REKAP STR"/>
      <sheetName val="BQ-Struktur MB"/>
      <sheetName val="REKAP ARS"/>
      <sheetName val="Rekap A. Emergency"/>
      <sheetName val="A. Emergency"/>
      <sheetName val="Rekap B. Laboratory"/>
      <sheetName val="B. Laboratory"/>
      <sheetName val="Rekap C. Radiology"/>
      <sheetName val="C. Radiology"/>
      <sheetName val="Rekap D. Main Entrance"/>
      <sheetName val="D. Main Entrance"/>
      <sheetName val="Rekap E. Fisiotherapy"/>
      <sheetName val="E. Fisiotherapy"/>
      <sheetName val="Rekap F. Polyclinic"/>
      <sheetName val="F. Polyclinic"/>
      <sheetName val="Rekap G. Operating Room &amp; ICU"/>
      <sheetName val="G. Operating Room &amp; ICU"/>
      <sheetName val="Rekap H. Hemodialisa"/>
      <sheetName val="H. Hemodialisa"/>
      <sheetName val="Rekap I. Medical Record"/>
      <sheetName val="I. Medical Record"/>
      <sheetName val="Rekap J. Obgyn"/>
      <sheetName val="J. Obgyn"/>
      <sheetName val="Rekap K. Commercial Area"/>
      <sheetName val="K. Commercial Area"/>
      <sheetName val="Rekap L. Gen  Administration"/>
      <sheetName val="L. General Administration"/>
      <sheetName val="Rekap M. Auditorium"/>
      <sheetName val="M. Auditorium"/>
      <sheetName val="Rekap N. Pekerjaan Lain2"/>
      <sheetName val="N. Pekerjaan Lain2"/>
      <sheetName val="Str SUP"/>
      <sheetName val="rekap ME"/>
      <sheetName val="RAB MK all MB rofiq"/>
      <sheetName val="RAB ELEKTRIKAL rofiq"/>
      <sheetName val="ELECTRIC-MB"/>
      <sheetName val="Alat-P"/>
      <sheetName val="RAB Arsitektural"/>
      <sheetName val="pldt"/>
      <sheetName val="Rekapi"/>
      <sheetName val="AHS"/>
      <sheetName val="Bul"/>
      <sheetName val="Subkont"/>
      <sheetName val="Upah1"/>
      <sheetName val="Bang A"/>
      <sheetName val="Bang B"/>
      <sheetName val="Sarana"/>
      <sheetName val="Asrama"/>
      <sheetName val="Utility"/>
      <sheetName val="Kamar"/>
      <sheetName val="DafProyek"/>
      <sheetName val="Bul (2)"/>
      <sheetName val="Alt"/>
      <sheetName val="Alt (2)"/>
      <sheetName val="DafAlt"/>
      <sheetName val="DHSB"/>
      <sheetName val="COVER2"/>
      <sheetName val="SUM"/>
      <sheetName val="TAMBAH"/>
      <sheetName val="DAF6"/>
      <sheetName val="D5-7"/>
      <sheetName val="D5-6"/>
      <sheetName val="D5-5"/>
      <sheetName val="D5-4"/>
      <sheetName val="D5-3"/>
      <sheetName val="D5-2"/>
      <sheetName val="D5-1"/>
      <sheetName val="D4-9"/>
      <sheetName val="D4-8"/>
      <sheetName val="D4-7"/>
      <sheetName val="D4-6"/>
      <sheetName val="D4-5"/>
      <sheetName val="D4-4"/>
      <sheetName val="D4-3"/>
      <sheetName val="D4-2"/>
      <sheetName val="D4-1"/>
      <sheetName val="D3-2"/>
      <sheetName val="D3-1"/>
      <sheetName val="str"/>
      <sheetName val="floor"/>
      <sheetName val="wall"/>
      <sheetName val="ceiling"/>
      <sheetName val="dw"/>
      <sheetName val="others"/>
      <sheetName val="rate (3)"/>
      <sheetName val="rate"/>
      <sheetName val="rate (2)"/>
      <sheetName val="3"/>
      <sheetName val="4"/>
      <sheetName val="5"/>
      <sheetName val="unit rate"/>
      <sheetName val="SO"/>
      <sheetName val="add"/>
      <sheetName val="Archchg"/>
      <sheetName val="MEPchg"/>
      <sheetName val="MESpec"/>
      <sheetName val="Pre"/>
      <sheetName val="r1"/>
      <sheetName val="b1a"/>
      <sheetName val="b1b"/>
      <sheetName val="b1c"/>
      <sheetName val="bl1"/>
      <sheetName val="sp1"/>
      <sheetName val="pa1"/>
      <sheetName val="pw1"/>
      <sheetName val="cf1"/>
      <sheetName val="r2"/>
      <sheetName val="s2"/>
      <sheetName val="b21"/>
      <sheetName val="b22"/>
      <sheetName val="sp2"/>
      <sheetName val="f2"/>
      <sheetName val="pa2"/>
      <sheetName val="pw2"/>
      <sheetName val="cf2"/>
      <sheetName val="bp2"/>
      <sheetName val="r3"/>
      <sheetName val="b3a"/>
      <sheetName val="b3b"/>
      <sheetName val="b3c"/>
      <sheetName val="b3d"/>
      <sheetName val="b3e"/>
      <sheetName val="j3"/>
      <sheetName val="sp3"/>
      <sheetName val="cd3"/>
      <sheetName val="pond"/>
      <sheetName val="o3"/>
      <sheetName val="pa3"/>
      <sheetName val="pw3"/>
      <sheetName val="cf3"/>
      <sheetName val="r4"/>
      <sheetName val="b4a"/>
      <sheetName val="b4b"/>
      <sheetName val="b4c"/>
      <sheetName val="db4"/>
      <sheetName val="j4"/>
      <sheetName val="sp4"/>
      <sheetName val="p4"/>
      <sheetName val="pa4"/>
      <sheetName val="pw4"/>
      <sheetName val="cf4"/>
      <sheetName val="b4"/>
      <sheetName val="r5"/>
      <sheetName val="b5a"/>
      <sheetName val="b5b"/>
      <sheetName val="b5c"/>
      <sheetName val="b5d"/>
      <sheetName val="j5"/>
      <sheetName val="sp5"/>
      <sheetName val="p5"/>
      <sheetName val="pa5"/>
      <sheetName val="pw5"/>
      <sheetName val="cf5"/>
      <sheetName val="bt5"/>
      <sheetName val="fp5"/>
      <sheetName val="boh"/>
      <sheetName val="s3"/>
      <sheetName val="bf3"/>
      <sheetName val="s4"/>
      <sheetName val="RAB KONS"/>
      <sheetName val="Sch"/>
      <sheetName val="Analisa Quarry"/>
      <sheetName val="Informasi"/>
      <sheetName val="laroux"/>
      <sheetName val="service"/>
      <sheetName val="bale"/>
      <sheetName val="spa"/>
      <sheetName val="towel"/>
      <sheetName val="atap"/>
      <sheetName val="pres-suite"/>
      <sheetName val="suite"/>
      <sheetName val="villa"/>
      <sheetName val="ALEK"/>
      <sheetName val="AMEK"/>
      <sheetName val="1-LISTRIK"/>
      <sheetName val="2-Genset"/>
      <sheetName val="T O T A L"/>
      <sheetName val="REKAPLIST"/>
      <sheetName val="REKAP LIFT"/>
      <sheetName val="LIFT"/>
      <sheetName val="REKAP IT"/>
      <sheetName val="IT"/>
      <sheetName val="ANDAT"/>
      <sheetName val="REKAP STR T"/>
      <sheetName val="BQ STR T"/>
      <sheetName val="pintu"/>
      <sheetName val="ijin"/>
      <sheetName val="MOM"/>
      <sheetName val="Cond harga 9 Nov'06"/>
      <sheetName val="Cond.1"/>
      <sheetName val="Dur"/>
      <sheetName val="Bill No. 01"/>
      <sheetName val="Break DW Bill 1"/>
      <sheetName val="Cost Sum 2"/>
      <sheetName val="Cost Sum 1"/>
      <sheetName val="Rekap Angg 9 Nov"/>
      <sheetName val="Sum BoQ Intr"/>
      <sheetName val="Pemeliharaan E"/>
      <sheetName val="Pemeliharaan"/>
      <sheetName val="Bul &amp; Persiapan"/>
      <sheetName val="sched alat"/>
      <sheetName val="Sched Man Power"/>
      <sheetName val="Provisi &amp; Asuransi"/>
      <sheetName val="Review Listrik"/>
      <sheetName val="sched daya"/>
      <sheetName val="Bul dan Persiapan1"/>
      <sheetName val="Rekap Angg 12 Okt"/>
      <sheetName val="TC"/>
      <sheetName val="Cost"/>
      <sheetName val="rekap2"/>
      <sheetName val="MAPP"/>
      <sheetName val="rek det 1-3"/>
      <sheetName val="Arsitektur"/>
      <sheetName val="p&amp;p"/>
      <sheetName val="bau"/>
      <sheetName val="Rupa2"/>
      <sheetName val="Bank"/>
      <sheetName val="Gaji"/>
      <sheetName val="BDP Scaff"/>
      <sheetName val="BDP Tinggi"/>
      <sheetName val="HdSheet"/>
      <sheetName val="Deskrip"/>
      <sheetName val="luas"/>
      <sheetName val="BQ-1A"/>
      <sheetName val="K3"/>
      <sheetName val="eskal"/>
      <sheetName val="Dom "/>
      <sheetName val="Rasio (2)"/>
      <sheetName val="Cover-depan"/>
      <sheetName val="sumintr"/>
      <sheetName val="Sum BUL &amp; Alat"/>
      <sheetName val="Bul "/>
      <sheetName val="Alat PLP2 "/>
      <sheetName val="Provisi "/>
      <sheetName val="analisa-komp"/>
      <sheetName val="analisa bore"/>
      <sheetName val="Sub-Kont"/>
      <sheetName val="pintuu"/>
      <sheetName val="Summary"/>
      <sheetName val="BQ Struktur"/>
      <sheetName val="BQ Arsitektur"/>
      <sheetName val="1-LISTRIK print"/>
      <sheetName val="2-Genset print"/>
      <sheetName val="SumBoQ C4"/>
      <sheetName val="BoQ C4"/>
      <sheetName val="DayWorks"/>
      <sheetName val="mat.dominan"/>
      <sheetName val="Resiko"/>
      <sheetName val="DF-2 (2)"/>
      <sheetName val="DF-2"/>
      <sheetName val="Lamp. 10 (2)"/>
      <sheetName val=" rekap"/>
      <sheetName val=" anal hrg sat"/>
      <sheetName val="Daft Hrg Sat Dsr"/>
      <sheetName val="Anal. alat"/>
      <sheetName val="lamp. 4,5,6,7,8"/>
      <sheetName val="DTR ISI"/>
      <sheetName val="anal lumpsump"/>
      <sheetName val=" hrg stn"/>
      <sheetName val="Anal. Bhn"/>
      <sheetName val="Daf.Mata.Pemb. Utama"/>
      <sheetName val="Analisa Hrg Ls u mobilisasi"/>
      <sheetName val="U-P-A"/>
      <sheetName val="UNIT PRICE"/>
      <sheetName val="ANALYSIS_U.P"/>
      <sheetName val="An_Gen"/>
      <sheetName val="BASE CAMP"/>
      <sheetName val="An_Sb"/>
      <sheetName val="An_Ag"/>
      <sheetName val="An_Pc"/>
      <sheetName val="An_Cp"/>
      <sheetName val="An_Eq"/>
      <sheetName val="An_Eqn"/>
      <sheetName val="OVERALL-REV"/>
      <sheetName val="Piling Works"/>
      <sheetName val="EXWORK LEVEL 2 CIVIL STRUCTU "/>
      <sheetName val="EXWORK LEVEL-3 CIVIL STRUCTURAL"/>
      <sheetName val="BA EXWORK JUNE 12 (CONTR)"/>
      <sheetName val="ERECT LEVEL-2 CIVIL STRUCTU (2)"/>
      <sheetName val="ERECT LEVEL-3 CIVIL STRUCTURAL"/>
      <sheetName val="BA EREC JUNE 12 (CONTR)"/>
      <sheetName val="BA Ex-work Pilling Works"/>
      <sheetName val="BA Erection Pilling Works"/>
      <sheetName val="samsidb"/>
      <sheetName val="OH"/>
      <sheetName val="Salary"/>
      <sheetName val="BOQ STRUKTUR"/>
      <sheetName val="BOQ ARSEKTUR"/>
      <sheetName val="Lit"/>
      <sheetName val="F_bid"/>
      <sheetName val="Dasboard"/>
      <sheetName val="INSTALASI PIPA"/>
      <sheetName val="HARDWARE"/>
      <sheetName val="100000"/>
      <sheetName val="REKAP_STRUKTUR_ALL"/>
      <sheetName val="REKAP_STRUKTUR"/>
      <sheetName val="RAB_PENDAHULUAN"/>
      <sheetName val="RAB_REKTORAT (A.)"/>
      <sheetName val="RAB_MASJID (D)"/>
      <sheetName val="RAB_PERPUSTAKAAN (E.)"/>
      <sheetName val="RAB_DEKANAT (G.)"/>
      <sheetName val="RAB_KELAS (F.1-4)"/>
      <sheetName val="RAB_POS JAGA (I)"/>
      <sheetName val="RAB_POS JAGA (J)"/>
      <sheetName val="RAB_RUANG M&amp;E (K&amp;L)"/>
      <sheetName val="AN.BETON P.JAGA"/>
      <sheetName val="DFT. HRG. UPAH &amp; MATERIAL"/>
      <sheetName val="ANALISIS BETON REKTORAT"/>
      <sheetName val="ANALISIS BETON DEKANAT"/>
      <sheetName val="ANLS_BETON_PERPUST."/>
      <sheetName val="ANLS_ BETON R. KELAS"/>
      <sheetName val="ANALISIS BETON MASJID."/>
      <sheetName val="ANLS_BETON R. M&amp;E"/>
      <sheetName val="ANALISA STR &amp; ARS.D"/>
      <sheetName val="An.Besi"/>
      <sheetName val="ANALISA-ARS-STR"/>
      <sheetName val="GRAND SUMMARY"/>
      <sheetName val="UNIT PRICE ANALISYS"/>
      <sheetName val="UNIT PRICE WAGE and MATERIAL"/>
      <sheetName val="3.1. ARCHITECTURE BUILDING"/>
      <sheetName val="ANLS.CONC.ARC. BUILD. (3.1.)"/>
      <sheetName val="3.3. CLASSROOM BUILDING"/>
      <sheetName val="ANLS.CONC.CLASSROOM BUILD.(3.3)"/>
      <sheetName val="3.2. CIVIL BUILDING"/>
      <sheetName val="SUMMARY COST STRUCTURE"/>
      <sheetName val="ANLS.CONC.CIVIL BUILD (3.2)"/>
      <sheetName val="3.4. BUILDING C.O.T."/>
      <sheetName val="ANL.CONC.C.O.T. BUILD (3.4)"/>
      <sheetName val="3.5. LIBRARY BUILDING"/>
      <sheetName val="ANLS.CONC.LIBRARY BUILD. (3.5)"/>
      <sheetName val="BORED FILLE"/>
      <sheetName val="UMM2"/>
      <sheetName val="BASC"/>
      <sheetName val="HSPK DINAS"/>
      <sheetName val="HRG ALT PU"/>
      <sheetName val="ANLS PU "/>
      <sheetName val="DIVI1"/>
      <sheetName val="DIVI2"/>
      <sheetName val="DIVI3"/>
      <sheetName val="DIVI4"/>
      <sheetName val="DIVI5"/>
      <sheetName val="DIVI6"/>
      <sheetName val="DIVI7"/>
      <sheetName val="DIVI8"/>
      <sheetName val="DIVI9"/>
      <sheetName val="DIVI10"/>
      <sheetName val="AGG"/>
      <sheetName val="shearwall GA PAKE"/>
      <sheetName val="T-Ngga GA PAKE"/>
      <sheetName val="P-late GA PAKE"/>
      <sheetName val="K-lom GA PAKE"/>
      <sheetName val="B-lox GA PAKE"/>
      <sheetName val="Sloop GA PAKE"/>
      <sheetName val="PC GA PAKE"/>
      <sheetName val="PC"/>
      <sheetName val="Sloop"/>
      <sheetName val="B-lox"/>
      <sheetName val="K-lom"/>
      <sheetName val="P-late"/>
      <sheetName val="T-Ngga"/>
      <sheetName val="shearwall"/>
      <sheetName val="UPAH RIIL OK"/>
      <sheetName val="Material ALAM OK"/>
      <sheetName val="Material NON ALAM OK"/>
      <sheetName val="Analis Kusen ga pake"/>
      <sheetName val="Analis Kusen RIIL LANGSUNG 58%"/>
      <sheetName val="AnalisaSIPIL RIIL RAP"/>
      <sheetName val="REKAP BAHAN &amp; UPAH RIIL "/>
      <sheetName val="REKAP ALL !!!"/>
      <sheetName val="RKP IRNA"/>
      <sheetName val="RANGKUMAN REKAYASA"/>
      <sheetName val="Rab STR. IRNA.01"/>
      <sheetName val="Rab Arc IRNA.01"/>
      <sheetName val="Rab me IRNA.01"/>
      <sheetName val="Rab PLB IRNA.01"/>
      <sheetName val="Rab STR. IRNA.02"/>
      <sheetName val="Rab Arc IRNA.02"/>
      <sheetName val="Rab me IRNA.02"/>
      <sheetName val="Rab PLB IRNA.02"/>
      <sheetName val="Rab STR. IRNA.03 ga pake"/>
      <sheetName val="Rab Arc IRNA.03 ga pake"/>
      <sheetName val="Rab me IRNA.03 ga pake"/>
      <sheetName val="Rab PLB IRNA.03 ga pake"/>
      <sheetName val="Rab STR. ENTRANCE IRNA"/>
      <sheetName val="Rab Arc Entrance"/>
      <sheetName val="RAB. STR. MRI ga pake"/>
      <sheetName val="Rab Arc MRI ga pake"/>
      <sheetName val="Rab me MRI ga pake"/>
      <sheetName val="RAB MRI PLB ga pake"/>
      <sheetName val="RAB R. Jenazah ga pake"/>
      <sheetName val="RAB Doorloop"/>
      <sheetName val="RAB Inst. Genzet ga pake"/>
      <sheetName val="RAB INST. GAS.01 ga pake"/>
      <sheetName val="RAB INST. GAS.02 ga pake"/>
      <sheetName val="RAB INST. GAS.03 ga pake"/>
      <sheetName val="RAB sumur bor-NON STD ga pake"/>
      <sheetName val="RAB HIDRANT ga pake"/>
      <sheetName val="RAB Lancape"/>
      <sheetName val="RAB Atap Parkir ga pake"/>
      <sheetName val="RAB me Kawasan"/>
      <sheetName val="RAB Plumbing KSW"/>
      <sheetName val="RAB INST. GAS"/>
      <sheetName val="RAB IPAL"/>
      <sheetName val="REKAP TOTAAL"/>
      <sheetName val="RANGKUMAN PERUBAHAN"/>
      <sheetName val="FORM 1 TOTAL 100%"/>
      <sheetName val="FORM 1 TOTAL 65 % "/>
      <sheetName val="FORM 1 TOTAL 35 %"/>
      <sheetName val="Analis Kusen Kosongan"/>
      <sheetName val="Form Back up STR K.UTM"/>
      <sheetName val="Form Back up ARS K.UTM"/>
      <sheetName val="BU_PLB_KANTOR &amp;R. TUNGGU"/>
      <sheetName val="BU_STR_R.TGG KBRNGKTN _ANGDES"/>
      <sheetName val="BU_ARS R.TGG KBRNGKTN _ANGDES"/>
      <sheetName val="BU_PLB_RUANG TUNGGU_ANGDES"/>
      <sheetName val="BU_STR_KEBERANGKATAN BUS"/>
      <sheetName val="B.U Atap"/>
      <sheetName val="BU_ARS KEBERANGKATAN BUS"/>
      <sheetName val="BU_AREA KEBERANGKATAN"/>
      <sheetName val="Form Back up STR K.ISTR"/>
      <sheetName val="Form Back up ARS K.ISTR"/>
      <sheetName val="BU_PLB_R. IASTIRAHAT"/>
      <sheetName val="Form Back up STR POS KEAMN"/>
      <sheetName val="Form Back up ARS POS KEAMN"/>
      <sheetName val="Form Back up STR POS RTR"/>
      <sheetName val="Form Back up ARS POS RTR"/>
      <sheetName val="3.1.1 BU STR Depo Sampah"/>
      <sheetName val="3.1.2 BU ARS  Depo Sampah"/>
      <sheetName val="BU_BAK KONTROLt"/>
      <sheetName val="Bu_Plb_Kawasan"/>
      <sheetName val="C.1_ BU_LANDSACAPE"/>
      <sheetName val="C.1_ BU_LANDSACAPE_pagar"/>
      <sheetName val="C.2.1_BU-ddg penahan"/>
      <sheetName val="BU_URUGAN"/>
      <sheetName val="HArga BAhan ME"/>
      <sheetName val="Analis ME"/>
      <sheetName val="HB"/>
      <sheetName val="BAHAN Str-Arc &quot;07 (2)"/>
      <sheetName val="BAHAN Str-Arc &quot;07"/>
      <sheetName val="BAHAN PLB &quot;07"/>
      <sheetName val="HSPK ANALIS"/>
      <sheetName val="HSPK ANALIS LAIN2"/>
      <sheetName val="Analisa LAIN2"/>
      <sheetName val="Pt"/>
      <sheetName val="Cover Daf_2"/>
      <sheetName val="daftarbhn"/>
      <sheetName val="analisaRAB"/>
      <sheetName val="REKAP A BESAR"/>
      <sheetName val="Traf_Genst"/>
      <sheetName val="Mess"/>
      <sheetName val="By"/>
      <sheetName val="HSatuan"/>
      <sheetName val="PRELI_CAP"/>
      <sheetName val="REF_ONLY"/>
      <sheetName val="Currency Rate"/>
      <sheetName val="List Material"/>
      <sheetName val="BoQA"/>
      <sheetName val="B _ Norelec"/>
      <sheetName val="Sec I ML"/>
      <sheetName val="LOKASI RIG Litbang"/>
      <sheetName val="TABEL"/>
      <sheetName val="APPEND4"/>
      <sheetName val="APPEND4a"/>
      <sheetName val="sublist"/>
      <sheetName val="onsite"/>
      <sheetName val="APPENDIX7"/>
      <sheetName val="bekisting"/>
      <sheetName val="Tenaga"/>
      <sheetName val="CE"/>
      <sheetName val="GNL"/>
      <sheetName val="Cap"/>
      <sheetName val="An price"/>
      <sheetName val="Scp"/>
      <sheetName val="Ovh"/>
      <sheetName val="ubas"/>
      <sheetName val="Sum of BoQ"/>
      <sheetName val="major"/>
      <sheetName val="Bill of Quantities"/>
      <sheetName val="UPA"/>
      <sheetName val="Daywork Rates"/>
      <sheetName val="17.Unit Price Analysis1"/>
      <sheetName val="18.Min Equipment"/>
      <sheetName val="20.Other Materials"/>
      <sheetName val="Project_P"/>
      <sheetName val="Analisa Alat Berat"/>
      <sheetName val="Renc. Pen Thd HPS"/>
      <sheetName val="informasi umum"/>
      <sheetName val="Perhitungan Alat Mob"/>
      <sheetName val="REKAP RAB"/>
      <sheetName val="Kuantitas dan Harga"/>
      <sheetName val="Div.1 Mobilisasi"/>
      <sheetName val="Div.2 Analisa"/>
      <sheetName val="Div.2 Drainase"/>
      <sheetName val="Div.3 Analisa"/>
      <sheetName val="Div.3 Pekerjaan Tanah"/>
      <sheetName val="Div.4 Pel.Perk"/>
      <sheetName val="Div.5 Perk.Butir"/>
      <sheetName val="Div.6 Perk.Aspal"/>
      <sheetName val="Div.7 Struktur"/>
      <sheetName val="Div.7 struktur 2"/>
      <sheetName val="Div.8 Minor"/>
      <sheetName val="DIV 10"/>
      <sheetName val="Aggregate"/>
      <sheetName val=" Alat Inves &amp; Susut"/>
      <sheetName val="General schdl"/>
      <sheetName val="ANRAB1"/>
      <sheetName val="Analisa Crusher"/>
      <sheetName val="sub-kon"/>
      <sheetName val="LS-Rutin"/>
      <sheetName val="Analisa HSP"/>
      <sheetName val="Rekap "/>
      <sheetName val="Pek. Persiapan"/>
      <sheetName val="bhn rab"/>
      <sheetName val="subcon"/>
      <sheetName val="Breakdown"/>
      <sheetName val="Cecklist"/>
      <sheetName val="BQ-RAB"/>
      <sheetName val="basa"/>
      <sheetName val="an stndr1"/>
      <sheetName val="an stndr2"/>
      <sheetName val="analisa manual"/>
      <sheetName val="C-flow"/>
      <sheetName val="Slab"/>
      <sheetName val="Time"/>
      <sheetName val="Kolom"/>
      <sheetName val="Ramps"/>
      <sheetName val="Stairs"/>
      <sheetName val="HS (2)"/>
      <sheetName val="Slab (2)"/>
      <sheetName val="Lap Bul"/>
      <sheetName val="Rek_Total "/>
      <sheetName val="Pers"/>
      <sheetName val="Ars"/>
      <sheetName val="Penunjang"/>
      <sheetName val="rate asli"/>
      <sheetName val="material-upah"/>
      <sheetName val="Rek_Total-alt"/>
      <sheetName val="Str-alt"/>
      <sheetName val="BQ - Mushola"/>
      <sheetName val="quantity"/>
      <sheetName val="Bahan _2_"/>
      <sheetName val="index _2_"/>
      <sheetName val="CAT-HRG"/>
      <sheetName val="BAG-2"/>
      <sheetName val="CAT_HRG "/>
      <sheetName val="GRAND TOTAL"/>
      <sheetName val="DAF_2"/>
      <sheetName val="DAF_7"/>
      <sheetName val="EL"/>
      <sheetName val="P.Petir"/>
      <sheetName val="TLP"/>
      <sheetName val="Std-Analisa"/>
      <sheetName val="FAK"/>
      <sheetName val="ren.bupati a"/>
      <sheetName val="rek-bup"/>
      <sheetName val="ren.hubbup"/>
      <sheetName val="rek-hub"/>
      <sheetName val="temu"/>
      <sheetName val="rek-temu"/>
      <sheetName val="rek-pond"/>
      <sheetName val="1-4"/>
      <sheetName val="rek1-4"/>
      <sheetName val="SAT"/>
      <sheetName val="landscp"/>
      <sheetName val="rek-landscp"/>
      <sheetName val="REK PRINT"/>
      <sheetName val="RAB PRINT"/>
      <sheetName val="RAB CIMAHI"/>
      <sheetName val="8LT 12"/>
      <sheetName val="8LT PAK"/>
      <sheetName val="8LT SAR"/>
      <sheetName val="8LT TATA"/>
      <sheetName val="DSU1"/>
      <sheetName val="dsu2&amp;3"/>
      <sheetName val="DPKlah"/>
      <sheetName val="Direk II"/>
      <sheetName val="PTKP"/>
      <sheetName val="Rentilan"/>
      <sheetName val="rekap hasil usaha"/>
      <sheetName val="PMCS"/>
      <sheetName val="CCM"/>
      <sheetName val="PMBOK"/>
      <sheetName val="5R + ohsas"/>
      <sheetName val="ABC"/>
      <sheetName val="MonitorProy2 Dit II"/>
      <sheetName val="resume for 05"/>
      <sheetName val="mon.ews"/>
      <sheetName val="Res.dme"/>
      <sheetName val="Res.epc"/>
      <sheetName val="Scorecard"/>
      <sheetName val="perbandingan"/>
      <sheetName val="simhu05"/>
      <sheetName val="HRG (2)"/>
      <sheetName val="A4 (2)"/>
      <sheetName val="A4add"/>
      <sheetName val="COVTM3"/>
      <sheetName val="baop"/>
      <sheetName val="kwitansi"/>
      <sheetName val="lap (2)"/>
      <sheetName val="HRG"/>
      <sheetName val="lap"/>
      <sheetName val="lap 10"/>
      <sheetName val="lap 11"/>
      <sheetName val="lap 12"/>
      <sheetName val="lap 13"/>
      <sheetName val="lap 14"/>
      <sheetName val="lap 15"/>
      <sheetName val="rekap (2)"/>
      <sheetName val="Gal-ABC"/>
      <sheetName val="vol"/>
      <sheetName val="BEKP"/>
      <sheetName val="gbr"/>
      <sheetName val="LK-BPh"/>
      <sheetName val="NO-LK"/>
      <sheetName val="PLB"/>
      <sheetName val="VAC "/>
      <sheetName val="LIS"/>
      <sheetName val="EF "/>
      <sheetName val="TLP&amp;DATA "/>
      <sheetName val="SS&amp;MATV"/>
      <sheetName val="AHS- AC"/>
      <sheetName val="AHS-EE"/>
      <sheetName val="AHS-EL"/>
      <sheetName val="ahs-pipa"/>
      <sheetName val="ahs-Gate Valve "/>
      <sheetName val="RekapITULASI "/>
      <sheetName val="Rekap_Persiapan"/>
      <sheetName val="Rekap_Total Struktur"/>
      <sheetName val="Rekap_Struktur Atas"/>
      <sheetName val="STRUKTUR ATAS"/>
      <sheetName val="Rekap_Struktur GWT, STP"/>
      <sheetName val="GWT, STP"/>
      <sheetName val="Grand Sumarry"/>
      <sheetName val="Rough CP Aceh Trade Mall"/>
      <sheetName val="Galian LW RV.01"/>
      <sheetName val="Rekap Pile Cap"/>
      <sheetName val="Rekap Pit Life"/>
      <sheetName val="Rekap Plat"/>
      <sheetName val="Rekap Balok"/>
      <sheetName val="Rekap Colom Rasio (190)"/>
      <sheetName val="Rekap Tangga"/>
      <sheetName val="Luas Bangnn poltek"/>
      <sheetName val="VOL BESI"/>
      <sheetName val="VOL CUT &amp; FILL"/>
      <sheetName val="VOL IRONMNGRY"/>
      <sheetName val="VOL BAK SAMPAH"/>
      <sheetName val="VOL-GUEST HOUSE,GENSET&amp;POSJAGA"/>
      <sheetName val="VOL STRUKTUR &amp; ARSITEKTUR "/>
      <sheetName val="EE"/>
      <sheetName val="Analisa jalan"/>
      <sheetName val="Analisa non standar"/>
      <sheetName val="Analisa Pintu"/>
      <sheetName val="Analisa Preliminary "/>
      <sheetName val="ASRAMA (C)"/>
      <sheetName val="REKTORAT (A)"/>
      <sheetName val="WORKSHOP (H)"/>
      <sheetName val="GENSET,POMPA &amp; GROUNDTANK (K)"/>
      <sheetName val="R.KOMPRESOR"/>
      <sheetName val="POS JAGA"/>
      <sheetName val="harga sat.bhn"/>
      <sheetName val="analisa bhn&amp;upah"/>
      <sheetName val="tt-suara"/>
      <sheetName val="telp"/>
      <sheetName val="tt-udr"/>
      <sheetName val="hdrant"/>
      <sheetName val="REKAP CIVIL &amp; ME"/>
      <sheetName val="DataTeknis"/>
      <sheetName val="Hit. zone"/>
      <sheetName val="Luas Gedung"/>
      <sheetName val="DataPersonil"/>
      <sheetName val="DataPersiapan"/>
      <sheetName val="DataToilet"/>
      <sheetName val="AnalisaScafolding"/>
      <sheetName val="DataShoring"/>
      <sheetName val="DataAlat"/>
      <sheetName val="Rinci alat"/>
      <sheetName val="ATK"/>
      <sheetName val="Perlengkapan ktr"/>
      <sheetName val="Bea Lap"/>
      <sheetName val="Lain2"/>
      <sheetName val="Safety_QC"/>
      <sheetName val="Asuransi"/>
      <sheetName val="Provisi"/>
      <sheetName val="Resiko Manajemen"/>
      <sheetName val="Termin "/>
      <sheetName val="Prelim versi Fidic davis langd"/>
      <sheetName val="COV"/>
      <sheetName val="Form-1"/>
      <sheetName val="Form-2"/>
      <sheetName val="Form-3.1"/>
      <sheetName val="Form-3.2"/>
      <sheetName val="Form 3.3"/>
      <sheetName val="Form-3.4"/>
      <sheetName val="Form-3.4.1"/>
      <sheetName val="Form-3.5"/>
      <sheetName val="Form-3.6"/>
      <sheetName val="Form-3.7"/>
      <sheetName val="Form-3.8"/>
      <sheetName val="Form-3.9"/>
      <sheetName val="Form-4.1"/>
      <sheetName val="Form-6.1"/>
      <sheetName val="Form-7.1"/>
      <sheetName val="Form-7.2"/>
      <sheetName val="Form-7.3"/>
      <sheetName val="Form-7.3b"/>
      <sheetName val="Form-7.3c"/>
      <sheetName val="Form-7.4"/>
      <sheetName val="Form-7.4a"/>
      <sheetName val="Form-7.5"/>
      <sheetName val="Form-7.6"/>
      <sheetName val="Form-7.7"/>
      <sheetName val="Form-7.8"/>
      <sheetName val="Form-7.9"/>
      <sheetName val="Form-7.10"/>
      <sheetName val="Form-8.1"/>
      <sheetName val="Form-8.2"/>
      <sheetName val="Form-8.3"/>
      <sheetName val="Form-8.4"/>
      <sheetName val="TOTAL_MATERIAL"/>
      <sheetName val="DETAIL TOTAL MT'L"/>
      <sheetName val="INSUL&amp;PAINT"/>
      <sheetName val="DIA-INCH_CS&amp;SS"/>
      <sheetName val="WEIGHT"/>
      <sheetName val="Kell_Dind_"/>
      <sheetName val="Pintu Jendela"/>
      <sheetName val="RUMUS BEKISTING"/>
      <sheetName val="HIT BEKISTING"/>
      <sheetName val="FIRE FIGHTING"/>
      <sheetName val="COV_UTAMA"/>
      <sheetName val="PENJUMLAHAN TOTAL"/>
      <sheetName val="COV_ D1"/>
      <sheetName val="D1"/>
      <sheetName val="COV_ D5"/>
      <sheetName val="COV_ D5_1"/>
      <sheetName val="5_1"/>
      <sheetName val="COV_ D5_2"/>
      <sheetName val="D5_2"/>
      <sheetName val="COV_ D5_3"/>
      <sheetName val="D5_3"/>
      <sheetName val="COV_ D5_4"/>
      <sheetName val="D5_4"/>
      <sheetName val="COV_ D5_5"/>
      <sheetName val="5_5"/>
      <sheetName val="COV_ D5_6"/>
      <sheetName val="D5_6"/>
      <sheetName val="COV_ D5_7"/>
      <sheetName val="D5_7"/>
      <sheetName val="COV_ D5_8"/>
      <sheetName val="COV_ D6"/>
      <sheetName val="D_6"/>
      <sheetName val="COV_ D7"/>
      <sheetName val="D_7"/>
      <sheetName val="PLB-Basement 2.8.2-R1"/>
      <sheetName val="analisys"/>
      <sheetName val="unit_rate_works"/>
      <sheetName val="dewatering"/>
      <sheetName val="sparing"/>
      <sheetName val="ALT_MBT"/>
      <sheetName val="rekap_ana"/>
      <sheetName val="ALT_1"/>
      <sheetName val="Dashboard"/>
      <sheetName val="rekab"/>
      <sheetName val="rekab Point"/>
      <sheetName val="RAB POINT"/>
      <sheetName val="Ana Beton"/>
      <sheetName val="Ana Sanitair"/>
      <sheetName val="analisa Str"/>
      <sheetName val="BQ_1A"/>
      <sheetName val="Cover_Luar"/>
      <sheetName val="PEKERJAAN PERSIAPAN"/>
      <sheetName val="LAIN-LAIN "/>
      <sheetName val="Catatan Harga"/>
      <sheetName val="PANEL TM "/>
      <sheetName val="KABEL TM "/>
      <sheetName val="PENTANAHAN"/>
      <sheetName val="KABEL LADDER"/>
      <sheetName val="RAB GENDUT"/>
      <sheetName val="bobot"/>
      <sheetName val="Harga UPAH"/>
      <sheetName val="Harga Material "/>
      <sheetName val="ADD Harga"/>
      <sheetName val="Analisa Harga"/>
      <sheetName val="BREAK DOWN BARU"/>
      <sheetName val="bi-pp"/>
      <sheetName val="Fin-Report (2)"/>
      <sheetName val="faktur"/>
      <sheetName val="Fin-Report"/>
      <sheetName val="rincian"/>
      <sheetName val="Rincian Pek Tambahan"/>
      <sheetName val="Daftar Item Pekerjaan"/>
      <sheetName val="A-PERS"/>
      <sheetName val="A-STR"/>
      <sheetName val="A-FIN"/>
      <sheetName val="A-BAJA"/>
      <sheetName val="A-KUSEN"/>
      <sheetName val="A-SANITAIR"/>
      <sheetName val="Master AHS"/>
      <sheetName val="RST"/>
      <sheetName val="Upah RAB"/>
      <sheetName val="Horisontal"/>
      <sheetName val="REKAP III"/>
      <sheetName val="Est ME"/>
      <sheetName val="Lift &amp; Escalator"/>
      <sheetName val="Pareto"/>
      <sheetName val="BU"/>
      <sheetName val="G"/>
      <sheetName val="Alat (TC) (2)"/>
      <sheetName val="MU (2)"/>
      <sheetName val="Casflow (5)"/>
      <sheetName val="Casflow (4)"/>
      <sheetName val="Casflow (6)"/>
      <sheetName val="Casflow"/>
      <sheetName val="BQ-ME"/>
      <sheetName val="TU"/>
      <sheetName val="PL"/>
      <sheetName val="TD"/>
      <sheetName val="TDG"/>
      <sheetName val="flow k3"/>
      <sheetName val="daftar brg lgs"/>
      <sheetName val="Prosedur Penagnanan K3"/>
      <sheetName val="ITP Material"/>
      <sheetName val="ITP Pekerjaan"/>
      <sheetName val="Daft WI"/>
      <sheetName val="daftar gambar"/>
      <sheetName val="qulified personil"/>
      <sheetName val="lingkup pekerjaan"/>
      <sheetName val="hub iso dg prosedure"/>
      <sheetName val="Prosedur Koordinasi BARU"/>
      <sheetName val="Prosedur Koordinasi"/>
      <sheetName val="Identifikasi Barang"/>
      <sheetName val="STR ORGANISASI"/>
      <sheetName val="SO K3"/>
      <sheetName val="pendahuluan"/>
      <sheetName val="Target Mutu"/>
      <sheetName val="ringkasan spek"/>
      <sheetName val="Identifikasi rek. celaka"/>
      <sheetName val="Pokok Perhatian K3"/>
      <sheetName val="Data Instansi Terkait"/>
      <sheetName val="Rek RAB"/>
      <sheetName val="STRUtm"/>
      <sheetName val="STRPjg"/>
      <sheetName val="ARSUtM "/>
      <sheetName val="Tbh-01"/>
      <sheetName val="Tbh-2"/>
      <sheetName val="Marktng"/>
      <sheetName val="Ev-MU"/>
      <sheetName val="B.umum"/>
      <sheetName val="pegawai"/>
      <sheetName val="Cflow"/>
      <sheetName val="struktur(BQ)"/>
      <sheetName val="Arsitektur ( BQ )"/>
      <sheetName val="RekapBTL"/>
      <sheetName val="Rupa"/>
      <sheetName val="DaftSub"/>
      <sheetName val="Daftmat"/>
      <sheetName val="dash"/>
      <sheetName val="BILL OF QU-ARS"/>
      <sheetName val="BILL OF QU-STR"/>
      <sheetName val="RAP-STR"/>
      <sheetName val="RAP-ARS"/>
      <sheetName val="krifikasi gambar &amp; bq"/>
      <sheetName val="cover nO. 01"/>
      <sheetName val="Bill NO. 1"/>
      <sheetName val="Bill No.04.4 LT-DS (2)"/>
      <sheetName val="cover NO. 02"/>
      <sheetName val="Bill NO. 2 "/>
      <sheetName val="cover NO. 03"/>
      <sheetName val="Bill No. 03"/>
      <sheetName val="cover NO. 04"/>
      <sheetName val="Bill No. 04.1 BSM-3 "/>
      <sheetName val="Bill No.04.2 BSM-2"/>
      <sheetName val="Bill No.04.3 BSM-1"/>
      <sheetName val="Bill No.04.4 LT-DS"/>
      <sheetName val="Bill no 04.5 LT-2"/>
      <sheetName val="Bill no 04.6 LT-3"/>
      <sheetName val="Bill no 04.7 LT-4"/>
      <sheetName val="Bill no 04.8 LT-5"/>
      <sheetName val="Bill no 04.9 LT-6"/>
      <sheetName val="Bill no 4.10LT-7"/>
      <sheetName val="Bill no 4.11LT-8~9"/>
      <sheetName val="Bill no 4.12 LT10 ~15"/>
      <sheetName val="Bill no 4.13lt-16"/>
      <sheetName val="Bill no 4.14 lt-17"/>
      <sheetName val="Bill no 4.15 lt 18"/>
      <sheetName val="REKAP BILL NO 4"/>
      <sheetName val="cover NO. 05"/>
      <sheetName val="Bill No 5 Faqade"/>
      <sheetName val="cover NO. 06"/>
      <sheetName val="Bill No 6"/>
      <sheetName val="REKAP BILL NO 6"/>
      <sheetName val="cover Rekap"/>
      <sheetName val="LT&amp;Plafond"/>
      <sheetName val="Dinding"/>
      <sheetName val="Sanitair"/>
      <sheetName val="ANKusen"/>
      <sheetName val="Sch-Kusen"/>
      <sheetName val="QTY-Kusen"/>
      <sheetName val="Pilecaps"/>
      <sheetName val="Tie Beam"/>
      <sheetName val="Balok"/>
      <sheetName val="Plat"/>
      <sheetName val="Tangga"/>
      <sheetName val="ANPrelim"/>
      <sheetName val="Lain-2"/>
      <sheetName val="M&amp;E"/>
      <sheetName val="BOQ KJ-D &amp; KJ-E"/>
      <sheetName val="HARGA BAHAN"/>
      <sheetName val="PL SESUAI GBR"/>
      <sheetName val="VAC"/>
      <sheetName val="TLP "/>
      <sheetName val="FF OPTIMASI"/>
      <sheetName val="FF SESUAI GBR"/>
      <sheetName val="DAYA LISTRIK"/>
      <sheetName val="HSB.interior"/>
      <sheetName val="Interior rsud"/>
      <sheetName val="alat medis"/>
      <sheetName val="REKAP RSUD TOTAL"/>
      <sheetName val="Home"/>
      <sheetName val="Analisa -Baku"/>
      <sheetName val="An-tampil"/>
      <sheetName val="An-Grnd"/>
      <sheetName val="Bill of Qty"/>
      <sheetName val="Rekap Prelim"/>
      <sheetName val="Rekap Direct Cost"/>
      <sheetName val="Pivot-tabel-Isi Data"/>
      <sheetName val="Pivot-tabel-Analisa"/>
      <sheetName val="Pivot-tabel-Copy Database"/>
      <sheetName val="Harga Jadi"/>
      <sheetName val="Analisa Pekerjaan"/>
      <sheetName val="Daywork "/>
      <sheetName val="Bahan Alat"/>
      <sheetName val="Biaya Umum"/>
      <sheetName val="Sub Kontraktor"/>
      <sheetName val="DAFTAR HARGA MATERIAL PU"/>
      <sheetName val="HARGA SATUAN UPAH PEKERJA"/>
      <sheetName val="ANALISA HARGA SATUAN"/>
      <sheetName val="ANALISA HARGA TERPASANG"/>
      <sheetName val="FORM ANALISA"/>
      <sheetName val="FORM ANALISA DDG"/>
      <sheetName val="ANALISA VOLUME Lantai"/>
      <sheetName val="ANALISA VOLUME Plafond"/>
      <sheetName val="Man Power-Rev-lam"/>
      <sheetName val="BU-rev-lam"/>
      <sheetName val="kon-final"/>
      <sheetName val="prs"/>
      <sheetName val="land"/>
      <sheetName val="ars-vol"/>
      <sheetName val="Unit Price Project"/>
      <sheetName val="FH-UNPADSTR2"/>
      <sheetName val="FH-UNPADSTR"/>
      <sheetName val="anl-rc"/>
      <sheetName val="An. Beton"/>
      <sheetName val="FH-konven"/>
      <sheetName val="anl-prelim"/>
      <sheetName val="Cover.1"/>
      <sheetName val="1"/>
      <sheetName val="Cover-2"/>
      <sheetName val="Cover-3"/>
      <sheetName val="Cover-4"/>
      <sheetName val="Cover5"/>
      <sheetName val="Cover-6"/>
      <sheetName val="6"/>
      <sheetName val="RC-ANL"/>
      <sheetName val="PROPOSAL"/>
      <sheetName val="SUB K"/>
      <sheetName val="STUGAS"/>
      <sheetName val="PROCESSPLAN"/>
      <sheetName val="TELUSUR"/>
      <sheetName val="Eva Spek"/>
      <sheetName val="LP-CRT"/>
      <sheetName val="SAP"/>
      <sheetName val="HSBHN"/>
      <sheetName val="BQ-T-K"/>
      <sheetName val="Telp.Bsmnt"/>
      <sheetName val="Matv.Bsmnt"/>
      <sheetName val="TTS.Bsmnt"/>
      <sheetName val="FA.Bsmnt"/>
      <sheetName val="CCTV.Bsmnt"/>
      <sheetName val="Intcm.Bsmnt"/>
      <sheetName val="Accs.Bsmnt"/>
      <sheetName val="Telp.twr.A"/>
      <sheetName val="Matv.twr.A"/>
      <sheetName val="TTS.twr.A"/>
      <sheetName val="FA.twr.A"/>
      <sheetName val="CCTV.twr.A"/>
      <sheetName val="Intcm.twr.A"/>
      <sheetName val="Accs.twr.A"/>
      <sheetName val="Telp.twr.B"/>
      <sheetName val="Matv.twr.B"/>
      <sheetName val="TTS.twr.B"/>
      <sheetName val="FA.twr.B"/>
      <sheetName val="CCTV.twr.B"/>
      <sheetName val="Intcm.twr.B"/>
      <sheetName val="Accs.twr.B"/>
      <sheetName val="RKP"/>
      <sheetName val="RKP (2)"/>
      <sheetName val="Tunjang"/>
      <sheetName val="D-1"/>
      <sheetName val="MALL DAN PARKIR"/>
      <sheetName val="AREA MALL DAN PARKIR"/>
      <sheetName val="D 4.2 ( FASILITAS APARTEMENT )"/>
      <sheetName val="DAFTAR 4.3 (TA)"/>
      <sheetName val="DAFTAR 4.4 (TB)"/>
      <sheetName val="DAFTAR 4.5 (TC )"/>
      <sheetName val="5.1"/>
      <sheetName val="5.2"/>
      <sheetName val="D 5.3"/>
      <sheetName val="D 5.4"/>
      <sheetName val="D 5.5"/>
      <sheetName val="D-6.1"/>
      <sheetName val="D-6.2"/>
      <sheetName val="D-6.3"/>
      <sheetName val="D-6.4"/>
      <sheetName val="D-6.5"/>
      <sheetName val="AREA MALL DAN PARKIR (2)"/>
      <sheetName val="D. 7.2(FASILITAS APARTMENT)"/>
      <sheetName val="D. 7.3 (TA)"/>
      <sheetName val="D. 7.4 (TB)"/>
      <sheetName val="D. 7.5 (TC)"/>
      <sheetName val="D-8.1"/>
      <sheetName val="D-8.2"/>
      <sheetName val="D-8.3(TA)"/>
      <sheetName val="D-8.4(TB)"/>
      <sheetName val="D-8.5(TC)"/>
      <sheetName val="D-9.1"/>
      <sheetName val="MALL"/>
      <sheetName val="LANTAI 7"/>
      <sheetName val="D-10.3(TA)"/>
      <sheetName val="D-10.4(TB)"/>
      <sheetName val="D-10.5(TC)"/>
      <sheetName val="Penjumlahan (2)"/>
      <sheetName val="11.1"/>
      <sheetName val="11.2"/>
      <sheetName val="11.3"/>
      <sheetName val="11.4"/>
      <sheetName val="BI.PLN"/>
      <sheetName val="Sub-jml"/>
      <sheetName val="12.1"/>
      <sheetName val="12.2"/>
      <sheetName val="12.3"/>
      <sheetName val="12.4"/>
      <sheetName val="Sub-jml (2)"/>
      <sheetName val="13.1 "/>
      <sheetName val="13.2 "/>
      <sheetName val="Penjumlahan (3)"/>
      <sheetName val="hsat"/>
      <sheetName val="CoverDepan Buku (1)"/>
      <sheetName val="CoverDepan Buku (2)"/>
      <sheetName val="COV 4.2 ( FASILITAS APARTEMENT)"/>
      <sheetName val="COV 4.3 (TA)"/>
      <sheetName val="COV 4.4"/>
      <sheetName val="COV 4.5"/>
      <sheetName val="COV (MALL)"/>
      <sheetName val="COV (FAS)"/>
      <sheetName val="COV(A)"/>
      <sheetName val="COV(B)"/>
      <sheetName val="COV(C)"/>
      <sheetName val="COV (D-6.1)"/>
      <sheetName val="COV (D-6.2"/>
      <sheetName val="COV (D-6.3)"/>
      <sheetName val="COV (D-6.4)"/>
      <sheetName val="COV (D-6.5)"/>
      <sheetName val="MALL DAN PARKIR (2)"/>
      <sheetName val="COV. 7.2 (FASILITAS APARTEMENT)"/>
      <sheetName val="COV. 7.3 (TA)"/>
      <sheetName val="COV. 7.4 (TB)"/>
      <sheetName val="COV. 7.5 (TC)"/>
      <sheetName val="COVER D-8.1"/>
      <sheetName val="COVER D-8.2"/>
      <sheetName val="COVER D-8.3"/>
      <sheetName val="COVER D-8.4"/>
      <sheetName val="COVER D-8.5"/>
      <sheetName val="COV (D-9)"/>
      <sheetName val="COVER D-10.2"/>
      <sheetName val="COVER D-10.3"/>
      <sheetName val="COVER D-10.4"/>
      <sheetName val="COVER D-10.5"/>
      <sheetName val="COVER penjumlahan"/>
      <sheetName val="Cover 11"/>
      <sheetName val="Cover 11.1"/>
      <sheetName val="Cover 11.2"/>
      <sheetName val="Cover 11.3"/>
      <sheetName val="Cover 11.4"/>
      <sheetName val="COV.PLN"/>
      <sheetName val="Cover 12"/>
      <sheetName val="Cover 12.1"/>
      <sheetName val="Cover 12.2"/>
      <sheetName val="Cover 12.3"/>
      <sheetName val="Cover 12.4"/>
      <sheetName val="Cover 13"/>
      <sheetName val="Cover 13.1 "/>
      <sheetName val="Cover 13.2 "/>
      <sheetName val="Cat Harga"/>
      <sheetName val="Daf 1"/>
      <sheetName val="Daf 2"/>
      <sheetName val="Daf 3"/>
      <sheetName val="Daf 4"/>
      <sheetName val="KLA"/>
      <sheetName val="LAMP-AO"/>
      <sheetName val="LAM-C"/>
      <sheetName val="LAM-A&amp;B"/>
      <sheetName val="DAF-12"/>
      <sheetName val="DAF-13"/>
      <sheetName val="DAF-14"/>
      <sheetName val="DAF-15"/>
      <sheetName val="DAF-16"/>
      <sheetName val="PENDAHULUAN (ME)"/>
      <sheetName val="HYD KT"/>
      <sheetName val="SPR KT"/>
      <sheetName val="PL KT"/>
      <sheetName val="valve "/>
      <sheetName val="Fitt"/>
      <sheetName val="CP-2"/>
      <sheetName val="KI"/>
      <sheetName val="KL"/>
      <sheetName val="RGaji"/>
      <sheetName val="S1"/>
      <sheetName val="Rbul"/>
      <sheetName val="Volume"/>
      <sheetName val="M.E."/>
      <sheetName val="analisa el"/>
      <sheetName val="analisa mek"/>
      <sheetName val="MEK"/>
      <sheetName val="MASTER SCADULLE "/>
      <sheetName val="NSC( KOORDINASI)"/>
      <sheetName val="D4.1"/>
      <sheetName val="D5.1"/>
      <sheetName val="D6.1"/>
      <sheetName val="D7.1"/>
      <sheetName val="D4-2(TA) "/>
      <sheetName val="D5-2(TB)"/>
      <sheetName val="D6-2(TC)"/>
      <sheetName val="D7-2(TD)"/>
      <sheetName val="provisionalsum"/>
      <sheetName val="cover ps"/>
      <sheetName val="cover prelim"/>
      <sheetName val="cover basement"/>
      <sheetName val="cover basement2.2"/>
      <sheetName val="cover Lantai 1,2,3,4&amp;5"/>
      <sheetName val="cover Area TA"/>
      <sheetName val="cover Area TA (2)"/>
      <sheetName val="Fill this out first___"/>
      <sheetName val="rabt-bl"/>
      <sheetName val="hrgbhn-mtharyono"/>
      <sheetName val="spec arst"/>
      <sheetName val="spbadhw-roman"/>
      <sheetName val="Matrik BQ "/>
      <sheetName val="Matrik BQ-Original"/>
      <sheetName val="Analisa hrg sat"/>
      <sheetName val="Eva-Pntu Jendela"/>
      <sheetName val="Eva-Steel Door"/>
      <sheetName val="Eva-Pintu kayu"/>
      <sheetName val="Condotel"/>
      <sheetName val="Recap"/>
      <sheetName val="F0"/>
      <sheetName val="F1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SC"/>
      <sheetName val="Upah_Bahan"/>
      <sheetName val="H.Satuan"/>
      <sheetName val="Judul"/>
      <sheetName val="An Pipa"/>
      <sheetName val="An Duct"/>
      <sheetName val="Bill.1.VAC-Supply-A"/>
      <sheetName val="Bill.2.VAC-Install-A"/>
      <sheetName val="Bill.3.VAC-Supply-B"/>
      <sheetName val="Bill.4.VAC-Install-B "/>
      <sheetName val="Bill.2.add.valve-Supply-A"/>
      <sheetName val="Bill.3.add.valve-Install-A"/>
      <sheetName val="Bill.4.add.valve-Supply-B"/>
      <sheetName val="Bill.5.add.valve-Install-B "/>
      <sheetName val="additional Supply"/>
      <sheetName val="additional Install"/>
      <sheetName val="sendiri"/>
      <sheetName val="Mark Up"/>
      <sheetName val="Rekap Upah"/>
      <sheetName val="Statement Pengadaan Bahan"/>
      <sheetName val="Proses Pengaadaan Subkon"/>
      <sheetName val="Biaya Pegawai"/>
      <sheetName val="Sqce.Sahid"/>
      <sheetName val="Str org.sahid"/>
      <sheetName val="equip.Sahid.1"/>
      <sheetName val="equip.Sahid.2"/>
      <sheetName val="SPP.Sahid"/>
      <sheetName val="sub-rekap"/>
      <sheetName val="lokasari-el"/>
      <sheetName val="lis material"/>
      <sheetName val="tray"/>
      <sheetName val="hst lampu"/>
      <sheetName val="hst elektronik"/>
      <sheetName val="pentanahan kassa"/>
      <sheetName val="hst stk kassa"/>
      <sheetName val="hst kabel"/>
      <sheetName val="hst panel2"/>
      <sheetName val="hst komp. panel"/>
      <sheetName val="hst bhn instalasi"/>
      <sheetName val="koef.material"/>
      <sheetName val="hst instalasi 1"/>
      <sheetName val="hst instalasi 2"/>
      <sheetName val="Plumb"/>
      <sheetName val="Fire"/>
      <sheetName val="par"/>
      <sheetName val="Plumb (2)"/>
      <sheetName val="CH"/>
      <sheetName val="Surat"/>
      <sheetName val="DS"/>
      <sheetName val="Ana. PU"/>
      <sheetName val="ANA Mob"/>
      <sheetName val="ANA Rutin"/>
      <sheetName val="Confirm"/>
      <sheetName val="DPU"/>
      <sheetName val="Staff"/>
      <sheetName val="Met-PU-2.2"/>
      <sheetName val="Met-PU-6.3 (5)"/>
      <sheetName val="Met-PU-6.3 (6)"/>
      <sheetName val="Met-PU-6.3 (7)"/>
      <sheetName val="Alamat"/>
      <sheetName val="Alamat (bersama)"/>
      <sheetName val="LP-1"/>
      <sheetName val="LP-2"/>
      <sheetName val="Met-PU-2.1"/>
      <sheetName val="Met-PU-3.1 (1)"/>
      <sheetName val="Met-PU-3.2 (1)"/>
      <sheetName val="Met-PU-4.2 (2)"/>
      <sheetName val="Ind"/>
      <sheetName val="COVER VERSI-2"/>
      <sheetName val="COVER VERSI-1"/>
      <sheetName val="JUMLAH BIAYA"/>
      <sheetName val="STATUS"/>
      <sheetName val="MONITORING"/>
      <sheetName val="PROGRES"/>
      <sheetName val="TRJMH"/>
      <sheetName val="KURVA S R1"/>
      <sheetName val="LAP MINGGUAN"/>
      <sheetName val="MU (3)"/>
      <sheetName val="MU RAP"/>
      <sheetName val="MU sph"/>
      <sheetName val="Rekap Sparated"/>
      <sheetName val="Rekap Sebar"/>
      <sheetName val=" BU"/>
      <sheetName val="Prov &amp; Ass"/>
      <sheetName val="Cash Flow1"/>
      <sheetName val="Cash Flow2"/>
      <sheetName val="Deviasi"/>
      <sheetName val="Penyebaran"/>
      <sheetName val="Item CI"/>
      <sheetName val="Item KADII"/>
      <sheetName val="800 m"/>
      <sheetName val="MU1"/>
      <sheetName val="BQ gab"/>
      <sheetName val="MEP"/>
      <sheetName val="(Alat)"/>
      <sheetName val="COVER BAB"/>
      <sheetName val="VOLUME (TDK DIPAKAI)"/>
      <sheetName val="DIV1"/>
      <sheetName val="DIV2"/>
      <sheetName val="DIV3"/>
      <sheetName val="DIV4"/>
      <sheetName val="DIV5"/>
      <sheetName val="DIV6"/>
      <sheetName val="DIV7"/>
      <sheetName val="DIV8"/>
      <sheetName val="DIV9"/>
      <sheetName val="DIV10"/>
      <sheetName val="BASIC"/>
      <sheetName val="QUARY (TDK DIPAKAI)"/>
      <sheetName val="ALAT1"/>
      <sheetName val="ALAT2 (TDK DIPAKAI)"/>
      <sheetName val="AGGREGAT"/>
      <sheetName val="Klas B0"/>
      <sheetName val="R.Tunai"/>
      <sheetName val="REKAP JULI R2"/>
      <sheetName val="JULI R2"/>
      <sheetName val="JULI"/>
      <sheetName val="REKAP JULI R0"/>
      <sheetName val="29 JULI 2008"/>
      <sheetName val="Performance"/>
      <sheetName val="PENGELUARAN"/>
      <sheetName val="COST CONTROL"/>
      <sheetName val="29JULI 2008"/>
      <sheetName val="S-CURVE 1"/>
      <sheetName val="S-CURVE (2)"/>
      <sheetName val="BA"/>
      <sheetName val="Eva"/>
      <sheetName val="M"/>
      <sheetName val="Direksi"/>
      <sheetName val="Jaminan"/>
      <sheetName val="B.Bahan"/>
      <sheetName val="B.Alat"/>
      <sheetName val="OE"/>
      <sheetName val="Org"/>
      <sheetName val="Sched Bahan"/>
      <sheetName val="bahan alat rap"/>
      <sheetName val="anal rap dasar"/>
      <sheetName val="Landscape"/>
      <sheetName val="Recovered_Sheet1"/>
      <sheetName val="Recovered_Sheet2"/>
      <sheetName val="Recovered_Sheet3"/>
      <sheetName val="MS INDUK"/>
      <sheetName val="MS KA I"/>
      <sheetName val="Break Down (1)"/>
      <sheetName val="Eskalasi (2)"/>
      <sheetName val="cost faktor"/>
      <sheetName val="BPS"/>
      <sheetName val="Cost Factor"/>
      <sheetName val="BPS (SKET)"/>
      <sheetName val="Rekap Volume Schedule"/>
      <sheetName val="Eskalasi Vol Schedule"/>
      <sheetName val="Rekap Aktual"/>
      <sheetName val="Rekap Volume Aktual"/>
      <sheetName val="Eskalasi Vol Aktual"/>
      <sheetName val="BPS ok"/>
      <sheetName val="BPS 2007"/>
      <sheetName val="Break Down Renc&amp;real2007"/>
      <sheetName val="Break Down 2007"/>
      <sheetName val="Break Down 2006-2007"/>
      <sheetName val="TRJMH (2)"/>
      <sheetName val="Rekap OK 2006-2007 Juni"/>
      <sheetName val="Sertifikat 2006-2007 Juni"/>
      <sheetName val="Eskalasi ok 2006-2007 Juni"/>
      <sheetName val="Eskalasi ok 2006-2007"/>
      <sheetName val="Rekap OK 2006-2007"/>
      <sheetName val="Break Down Baru 2007"/>
      <sheetName val="MS KA BOT baru"/>
      <sheetName val="Break Down2007"/>
      <sheetName val="Eskalasi 2006"/>
      <sheetName val="Break Down 2006"/>
      <sheetName val="Break Down Renc&amp;real 2006"/>
      <sheetName val="Rekap OK (2)"/>
      <sheetName val="Rekap OK"/>
      <sheetName val="pendanaan"/>
      <sheetName val="Mobilisasi (2)"/>
      <sheetName val="Mobilisasi (3)"/>
      <sheetName val="TERJEMAHAN"/>
      <sheetName val="QCDS"/>
      <sheetName val="QCDS (2)"/>
      <sheetName val="Indirect Cost 3 bln"/>
      <sheetName val="harga dasar "/>
      <sheetName val="SUMMARI"/>
      <sheetName val="analisa harga "/>
      <sheetName val="KURVA&quot;S&quot;"/>
      <sheetName val="Met-PU-3.2 (2)"/>
      <sheetName val="Met-PU-5.1 (1)"/>
      <sheetName val="Met-PU-5.1 (2)"/>
      <sheetName val="Met-PU-7.10 (3)"/>
      <sheetName val="LP-3"/>
      <sheetName val="Rekap Analisa"/>
      <sheetName val="Rkp Prelim"/>
      <sheetName val="Rkp Strk"/>
      <sheetName val="Bsm 3"/>
      <sheetName val="Bsm_2"/>
      <sheetName val="Bsm_1"/>
      <sheetName val="lt_1"/>
      <sheetName val="lt_2"/>
      <sheetName val="lt_3"/>
      <sheetName val="lt_4"/>
      <sheetName val="lt_5"/>
      <sheetName val="lt_6"/>
      <sheetName val="lt_7"/>
      <sheetName val="lt_8"/>
      <sheetName val="lt_9"/>
      <sheetName val="lt_10"/>
      <sheetName val="lt_11"/>
      <sheetName val="lt_12"/>
      <sheetName val="lt_13"/>
      <sheetName val="lt_14"/>
      <sheetName val="lt_15"/>
      <sheetName val="lt_16"/>
      <sheetName val="lt r.mesin"/>
      <sheetName val="lt_atap"/>
      <sheetName val="Sat Upah"/>
      <sheetName val="Sat Bahan"/>
      <sheetName val="Sat Alat"/>
      <sheetName val="bq bsm_1"/>
      <sheetName val="bq bsm_2"/>
      <sheetName val="bq bsm_3"/>
      <sheetName val="Harga Material"/>
      <sheetName val="Total Rekapitulasi"/>
      <sheetName val="Pek. Arsitektur"/>
      <sheetName val="Pek. Struktur"/>
      <sheetName val="Pek. ME"/>
      <sheetName val="Pek. Luar Bangunan"/>
      <sheetName val="Pek. Renovasi"/>
      <sheetName val="Pek. Relief"/>
      <sheetName val="An.Ars"/>
      <sheetName val="Material List"/>
      <sheetName val="PileCap"/>
      <sheetName val="Harsat Bahan"/>
      <sheetName val="Harsat Upah"/>
      <sheetName val="Bunga"/>
      <sheetName val="Mark-up"/>
      <sheetName val="CHECK (2)"/>
      <sheetName val="Boq(p'arsad)"/>
      <sheetName val="CHECK"/>
      <sheetName val="panduan"/>
      <sheetName val="Panel"/>
      <sheetName val="Daftar Material Import"/>
      <sheetName val="Cover 3"/>
      <sheetName val="Cover 4"/>
      <sheetName val="Cover 5"/>
      <sheetName val="Cover 6"/>
      <sheetName val="Cover 7"/>
      <sheetName val="Cover 8"/>
      <sheetName val="Cover 9"/>
      <sheetName val="Cover 10"/>
      <sheetName val="Cover 14"/>
      <sheetName val="Cover 15"/>
      <sheetName val="pipa"/>
      <sheetName val="ducting"/>
      <sheetName val="analisac"/>
      <sheetName val="An-List"/>
      <sheetName val="An-Pipa"/>
      <sheetName val="I"/>
      <sheetName val="Unit Price M"/>
      <sheetName val="C"/>
      <sheetName val="T.18"/>
      <sheetName val="masalah"/>
      <sheetName val="action"/>
      <sheetName val="On Time"/>
      <sheetName val="Curup"/>
      <sheetName val="Prabu"/>
      <sheetName val="Telkomsel"/>
      <sheetName val="PESANTREN"/>
      <sheetName val="cash"/>
      <sheetName val="bq-kon"/>
      <sheetName val="Bill"/>
      <sheetName val="Trans Mat"/>
      <sheetName val="Label"/>
      <sheetName val="Letter"/>
      <sheetName val="Jo"/>
      <sheetName val="Ap.4a"/>
      <sheetName val="Ap.4b"/>
      <sheetName val="Ap.5"/>
      <sheetName val="App.6"/>
      <sheetName val="Ap.7"/>
      <sheetName val="Sch.tba"/>
      <sheetName val="Preamble"/>
      <sheetName val="Adjst"/>
      <sheetName val="Div-1"/>
      <sheetName val="Div-2"/>
      <sheetName val="Div-3"/>
      <sheetName val="Div-4"/>
      <sheetName val="Div-5"/>
      <sheetName val="Div-6a"/>
      <sheetName val="Div-7a"/>
      <sheetName val="Div-8"/>
      <sheetName val="An-quarry"/>
      <sheetName val="Anal alt"/>
      <sheetName val="DIVISI-7b"/>
      <sheetName val="DIVISI-9"/>
      <sheetName val="DIVISI-3b"/>
      <sheetName val="Agg Base A"/>
      <sheetName val="Agg Base B"/>
      <sheetName val="Agg Base C"/>
      <sheetName val="DIVISI-2b"/>
      <sheetName val="DIVISI-6b"/>
      <sheetName val="DIVISI-6c"/>
      <sheetName val="DIVISI-6d"/>
      <sheetName val="Anal Agg Hls&amp;Ksr"/>
      <sheetName val="DIVISI-10"/>
      <sheetName val="analisa nuansa"/>
      <sheetName val="REKAP AKHIR"/>
      <sheetName val="Tbh-Krg"/>
      <sheetName val="Currency"/>
      <sheetName val="AHS Kusen Alum"/>
      <sheetName val="AHS Lain2"/>
      <sheetName val="AHS Atap"/>
      <sheetName val="MP-PLAN"/>
      <sheetName val="APBP (3)"/>
      <sheetName val="RABOP"/>
      <sheetName val="APBP (2)"/>
      <sheetName val="APBP"/>
      <sheetName val="DAF 5"/>
      <sheetName val="DAF 6"/>
      <sheetName val="DAF 7"/>
      <sheetName val="DAF 8"/>
      <sheetName val="DAF 9"/>
      <sheetName val="DAF 13"/>
      <sheetName val="SPPB"/>
      <sheetName val="Hit Sub"/>
      <sheetName val="Negosiasi"/>
      <sheetName val="Laporan Keterlambatan"/>
      <sheetName val="Pengendalian Sub Des"/>
      <sheetName val="DIV.II"/>
      <sheetName val="DIV.III"/>
      <sheetName val="DIV.IV"/>
      <sheetName val="DIV.V"/>
      <sheetName val="DIV.VI"/>
      <sheetName val="Sumuran"/>
      <sheetName val="Divisi VII"/>
      <sheetName val="DIV.VIII"/>
      <sheetName val="KONFIRMASI"/>
      <sheetName val="DAFT PEKE"/>
      <sheetName val="Upah borong"/>
      <sheetName val="Dashboard Baja ttp"/>
      <sheetName val="Local"/>
      <sheetName val="Rekap Paket C"/>
      <sheetName val="RAB Paket C"/>
      <sheetName val="A-PRE"/>
      <sheetName val="SAT-BHN"/>
      <sheetName val="A-ARS"/>
      <sheetName val="ANL-SANI"/>
      <sheetName val="U-BOR"/>
      <sheetName val="AL"/>
      <sheetName val="P"/>
      <sheetName val="ATU2"/>
      <sheetName val="KURVAS"/>
      <sheetName val="asb baru(1a,3a)"/>
      <sheetName val="asb baru (2a)"/>
      <sheetName val="DIV.VII"/>
      <sheetName val="DIV.VIIa"/>
      <sheetName val="Mek-FW"/>
      <sheetName val="Mek-Sewege_EXH_HD_"/>
      <sheetName val="Mek-AC"/>
      <sheetName val="Mek-AC (2)"/>
      <sheetName val="optimasi bt"/>
      <sheetName val="Elektronik"/>
      <sheetName val="rekap BT"/>
      <sheetName val="BT"/>
      <sheetName val="rekap Tenis"/>
      <sheetName val="Tenis"/>
      <sheetName val="bangpelME"/>
      <sheetName val="rkp bangpelME"/>
      <sheetName val="anls struktur"/>
      <sheetName val="hrg.bhn"/>
      <sheetName val="GRAND REKAP (2)"/>
      <sheetName val="GRAND REKAP"/>
      <sheetName val="REKAP I. PEK. PERSIAPAN"/>
      <sheetName val="I. PEK. PERSIAPAN"/>
      <sheetName val="REKAP II. PEK. PEMATANGAN "/>
      <sheetName val="II. PEK. PEMATANGAN "/>
      <sheetName val="REKAP III. STRUKTUR"/>
      <sheetName val="III. RAB STRUKTUR"/>
      <sheetName val="REKAP IV. ARSITEKTUR"/>
      <sheetName val="IV. RAB ARSITEKTUR"/>
      <sheetName val="V. PLUMBING "/>
      <sheetName val="Reservoar"/>
      <sheetName val="Deep Well"/>
      <sheetName val="STP"/>
      <sheetName val="Fire Alarm"/>
      <sheetName val="Soundsystem"/>
      <sheetName val="BQ Arsitek"/>
      <sheetName val="VOL. BQ arsitek"/>
      <sheetName val="Indirect cost"/>
      <sheetName val="SLSR PHUB"/>
      <sheetName val="PEK. TNH (CONTOH)"/>
      <sheetName val="PAS&amp;PLES "/>
      <sheetName val="WATER FEATURE"/>
      <sheetName val="EXT WALL"/>
      <sheetName val="Ratio"/>
      <sheetName val="PEK. TNH "/>
      <sheetName val="LANTAI&amp;SALUT DINDING"/>
      <sheetName val="KOSEN"/>
      <sheetName val="KONST-BAJA"/>
      <sheetName val="LANGIT2"/>
      <sheetName val="FINISHING TANGGA"/>
      <sheetName val="HP center"/>
      <sheetName val="PAGAR "/>
      <sheetName val="TIANG+KRAN"/>
      <sheetName val="B.JALAN"/>
      <sheetName val="TAMAN"/>
      <sheetName val="BONGKARAN"/>
      <sheetName val="Add STR"/>
      <sheetName val="Management"/>
      <sheetName val="stp+rbsn "/>
      <sheetName val="drainase "/>
      <sheetName val="Rekap Alt"/>
      <sheetName val="Rekap Add"/>
      <sheetName val="Rekap Alt."/>
      <sheetName val="Kurva-s"/>
      <sheetName val="Dash Alt"/>
      <sheetName val="VOL "/>
      <sheetName val="spec"/>
      <sheetName val=" REKAP BQ"/>
      <sheetName val="RAB MESJID "/>
      <sheetName val="RAB BANG.DEWAN"/>
      <sheetName val="RAB BANG PARIPURNA"/>
      <sheetName val="RAB -SITE"/>
      <sheetName val="hs-str"/>
      <sheetName val="ana-str"/>
      <sheetName val="ana-ars"/>
      <sheetName val="ana-sani"/>
      <sheetName val="RESUME ANALISA"/>
      <sheetName val="HARGA1"/>
      <sheetName val="SATUAN ALAT BERAT"/>
      <sheetName val="AnalisaSaniter"/>
      <sheetName val="upah_harian"/>
      <sheetName val="upah_borong"/>
      <sheetName val="satuan_alat"/>
      <sheetName val="sewa_alat"/>
      <sheetName val="RAB.01"/>
      <sheetName val="methode"/>
      <sheetName val="met beton"/>
      <sheetName val="mark'up"/>
      <sheetName val="sah"/>
      <sheetName val="rekapsah"/>
      <sheetName val="kapasitas"/>
      <sheetName val="General Rekap"/>
      <sheetName val="REKAP AHKIR"/>
      <sheetName val="MASUK RAB"/>
      <sheetName val="RAB TARAKAN"/>
      <sheetName val="dash2"/>
      <sheetName val="JMLH RAP"/>
      <sheetName val="sebaran"/>
      <sheetName val="ttpn fnl"/>
      <sheetName val="ALT BNT"/>
      <sheetName val="METHD ALT"/>
      <sheetName val="analisa harga lain2"/>
      <sheetName val="BY UMM 07"/>
      <sheetName val="kpsts prod"/>
      <sheetName val="rekap A"/>
      <sheetName val="Harga Perubahan"/>
      <sheetName val="MOB-DEMOB"/>
      <sheetName val="METODE2"/>
      <sheetName val="LAMPIRAN"/>
      <sheetName val="DAFT KONTRAK"/>
      <sheetName val="JDW"/>
      <sheetName val="Sisa RAP 25 Juli 2011"/>
      <sheetName val="ITEM RAP"/>
      <sheetName val="METODE KERJA"/>
      <sheetName val="REKAP RAP"/>
      <sheetName val="MARKUP1(FIGHT)"/>
      <sheetName val="MARKUP2(DIATUR)"/>
      <sheetName val="SEBAR"/>
      <sheetName val="AKURASI"/>
      <sheetName val="anl_alat"/>
      <sheetName val="anl_alat2"/>
      <sheetName val="RENC. KERJA"/>
      <sheetName val="Kondisi"/>
      <sheetName val="Evaluasi Ang"/>
      <sheetName val="sumEXL"/>
      <sheetName val="Rekap Ang"/>
      <sheetName val="Prelim Extr"/>
      <sheetName val="BreakD Prelim"/>
      <sheetName val="CM Temp Office"/>
      <sheetName val="Over Time"/>
      <sheetName val="390MC-PS"/>
      <sheetName val="Fee Coord"/>
      <sheetName val="NSC"/>
      <sheetName val="Scafolding"/>
      <sheetName val="GFA "/>
      <sheetName val="Cover Paket"/>
      <sheetName val="Cover PJT"/>
      <sheetName val="REKAP PROGRESS"/>
      <sheetName val="PERALATAN FAN"/>
      <sheetName val="AIR CURTAIN"/>
      <sheetName val="DUCTING "/>
      <sheetName val="DIFFUSER &amp; GRILLE "/>
      <sheetName val="POMPA CHILLER"/>
      <sheetName val="PERALATAN AHU"/>
      <sheetName val="PERALATAN EVB+CU"/>
      <sheetName val="PIPA REFRIGERANT"/>
      <sheetName val="PIPA DRAIN"/>
      <sheetName val="PIPA CHILLER"/>
      <sheetName val="KATUP-KATUP"/>
      <sheetName val="CATU DAYA LISTRIK"/>
      <sheetName val="Paket"/>
      <sheetName val="Cov."/>
      <sheetName val="Cover Analisa"/>
      <sheetName val="PERALATAN UTAMA PLB"/>
      <sheetName val="PEMIPAAN PLB"/>
      <sheetName val="PERALATAN &amp; KATUP2 PLB"/>
      <sheetName val="CATU DAYA LISTRIK PLB"/>
      <sheetName val="PERALATAN UTAMA PK"/>
      <sheetName val="PEMIPAAN PK"/>
      <sheetName val="PERALATAN &amp; KATUP2 PK"/>
      <sheetName val="CATU DAYA LISTRIK PK"/>
      <sheetName val="Bill 1-0"/>
      <sheetName val="Ana RAP"/>
      <sheetName val="faktor"/>
      <sheetName val="---"/>
      <sheetName val="RINCIAN HARGA"/>
      <sheetName val="FINISHING DALAM (2)"/>
      <sheetName val="FINISHING DALAM"/>
      <sheetName val="AN-KOSEN (KAYU &amp; ALL) (2)"/>
      <sheetName val="FINISHING (A)"/>
      <sheetName val="AN-KOSEN (KAYU &amp; ALL)"/>
      <sheetName val="Material pintu jendela"/>
      <sheetName val="ANFIS"/>
      <sheetName val="COVER (ANALISA)"/>
      <sheetName val="An Struktur"/>
      <sheetName val="Upah &amp; Material"/>
      <sheetName val="AN-KOSEN (BESI)"/>
      <sheetName val="AN-KOSEN (KACA FRAMELESS)"/>
      <sheetName val="AN CW"/>
      <sheetName val="L-10"/>
      <sheetName val="L-2b,c"/>
      <sheetName val="L-2a"/>
      <sheetName val="L-3a,4"/>
      <sheetName val="L-4a,b"/>
      <sheetName val="L-7"/>
      <sheetName val="L-11"/>
      <sheetName val="Daf Harga"/>
      <sheetName val="An_ Harga"/>
      <sheetName val="Subkontraktor"/>
      <sheetName val="Upah Kerja"/>
      <sheetName val="Ana. STR"/>
      <sheetName val="PENJ_TOTAL"/>
      <sheetName val="XXXXXXXXX"/>
      <sheetName val="XXXXXXXX0"/>
      <sheetName val="XXXXXXXX1"/>
      <sheetName val="XXXXXXXX2"/>
      <sheetName val="XXXXXXXX3"/>
      <sheetName val="XXXXXXXX4"/>
      <sheetName val="XXXXXXXX5"/>
      <sheetName val="XXXXXXXX6"/>
      <sheetName val="XXXXXXXX7"/>
      <sheetName val="XXXXXXXX8"/>
      <sheetName val="XXXXXXXX9"/>
      <sheetName val="XXXXXXXXA"/>
      <sheetName val="XXXXXXXXB"/>
      <sheetName val="Sheet2 (2)"/>
      <sheetName val="Sheet3 (2)"/>
      <sheetName val="Analisa &amp; Upah"/>
      <sheetName val="ana_str"/>
      <sheetName val="01"/>
      <sheetName val="02"/>
      <sheetName val="09"/>
      <sheetName val="12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30"/>
      <sheetName val="Sheet32"/>
      <sheetName val=" "/>
      <sheetName val="THR "/>
      <sheetName val="CUTI"/>
      <sheetName val="Kontrol"/>
      <sheetName val="Eliminasi"/>
      <sheetName val="JurnalDKP"/>
      <sheetName val="ReklasH"/>
      <sheetName val="ReklasKons"/>
      <sheetName val="ReklasAnak"/>
      <sheetName val="Utpiut"/>
      <sheetName val="LRUNIT"/>
      <sheetName val="Jurnal"/>
      <sheetName val="laba-rugi-pst"/>
      <sheetName val="nrc~ttd"/>
      <sheetName val="lr~trw"/>
      <sheetName val="laba-rugi-pst-PER-TRW"/>
      <sheetName val="LR-1"/>
      <sheetName val="nrctrw"/>
      <sheetName val="LR-5"/>
      <sheetName val="NRC-5"/>
      <sheetName val="KIT"/>
      <sheetName val="prod"/>
      <sheetName val="penjTL"/>
      <sheetName val="pendTL"/>
      <sheetName val="juaL"/>
      <sheetName val="Pend. BP"/>
      <sheetName val="Pend LL"/>
      <sheetName val="ikh"/>
      <sheetName val="sewa"/>
      <sheetName val="bbm1"/>
      <sheetName val="har-Ins"/>
      <sheetName val="har-Sar"/>
      <sheetName val="har-sar1"/>
      <sheetName val="PEG1"/>
      <sheetName val="adm1"/>
      <sheetName val="PENYU"/>
      <sheetName val="pdptn"/>
      <sheetName val="pendby"/>
      <sheetName val="pen-l-usaha"/>
      <sheetName val="kasimp"/>
      <sheetName val="CF-2007"/>
      <sheetName val="V-ADID"/>
      <sheetName val="EKUITY"/>
      <sheetName val="pelumas"/>
      <sheetName val="mat~har"/>
      <sheetName val="mat~pdp"/>
      <sheetName val="lingkungan"/>
      <sheetName val="lhe"/>
      <sheetName val="ikhfungsi"/>
      <sheetName val="LR-3"/>
      <sheetName val="LK-RINCI"/>
      <sheetName val="NRC-1"/>
      <sheetName val="nrc~rinc"/>
      <sheetName val="NRC-3"/>
      <sheetName val="banding"/>
      <sheetName val="Pend."/>
      <sheetName val="beli"/>
      <sheetName val="ARUSKAS"/>
      <sheetName val="SUMBER-DANA"/>
      <sheetName val="Hit"/>
      <sheetName val="Peny"/>
      <sheetName val="CFAT"/>
      <sheetName val="CASF FLOW"/>
      <sheetName val="KINERJA1"/>
      <sheetName val="kinerja2"/>
      <sheetName val="kinerja3"/>
      <sheetName val="Ket"/>
      <sheetName val="Saldo"/>
      <sheetName val="Receipt"/>
      <sheetName val="Neraca Daya Sis TNT"/>
      <sheetName val="SE.11-BASKET"/>
      <sheetName val="TRANS (GAB)"/>
      <sheetName val="Resume RKAP"/>
      <sheetName val="RESUM-BASKET"/>
      <sheetName val="RESUM  DISBURSE"/>
      <sheetName val="Resum Prioritas"/>
      <sheetName val="RESUM "/>
      <sheetName val="DISBURSE"/>
      <sheetName val="TID"/>
      <sheetName val="TI"/>
      <sheetName val="FAS"/>
      <sheetName val="urgensi-basket 1"/>
      <sheetName val="urgensi-basket 2"/>
      <sheetName val="urgensi-basket 3"/>
      <sheetName val="urgensi-basket 4"/>
      <sheetName val="urgensi-basket 5"/>
      <sheetName val="urgensi-basket 6"/>
      <sheetName val="RESUME-UAI"/>
      <sheetName val="20607"/>
      <sheetName val="REK. DISB"/>
      <sheetName val="FORM.A3 KIT"/>
      <sheetName val="FORM.A3 TL"/>
      <sheetName val="MURNI"/>
      <sheetName val="TANAH"/>
      <sheetName val="RESUME FORM.A3"/>
      <sheetName val="SKAT"/>
      <sheetName val="DESEMBER"/>
      <sheetName val="mix luncuran 2008Rev (3)"/>
      <sheetName val="Prioritas"/>
      <sheetName val="Acuan SK"/>
      <sheetName val="Data-1"/>
      <sheetName val="Hitung Tarif Grade Baru"/>
      <sheetName val="Hitung P1 dan P2 Final"/>
      <sheetName val="Acuan Peg Baru S2-S1-D3-D1"/>
      <sheetName val="Prediksi"/>
      <sheetName val="Cuti Tahunan"/>
      <sheetName val="Cuti Besar"/>
      <sheetName val="2 Windu"/>
      <sheetName val="3 Windu"/>
      <sheetName val="4 Windu"/>
      <sheetName val="Data Pensiun"/>
      <sheetName val="Pens. Normal "/>
      <sheetName val="ACUAN"/>
      <sheetName val="Tarif Grade"/>
      <sheetName val="Tarif Grade Transisi"/>
      <sheetName val="Tj. Posisi"/>
      <sheetName val="Cuti Thn"/>
      <sheetName val="Cuti Bsr"/>
      <sheetName val="Dua Windu"/>
      <sheetName val="Tiga Windu"/>
      <sheetName val="Empat Windu"/>
      <sheetName val="THR 1"/>
      <sheetName val="Iur Pem Kerja"/>
      <sheetName val="Beban Pajak"/>
      <sheetName val="Biaya Psrta &amp; Diklat"/>
      <sheetName val="Pkaian Dinas"/>
      <sheetName val="Perawatan Kesehatan"/>
      <sheetName val="Premi Piket"/>
      <sheetName val="Uang Lmbur"/>
      <sheetName val="Uang Mkn Lmbur"/>
      <sheetName val="BPFP (Utk Peg.yg Mutasi)"/>
      <sheetName val="Biaya Kepeg. Lainnya"/>
      <sheetName val="Data THR"/>
      <sheetName val="Rangkuman Data"/>
      <sheetName val="Angg 2010 Tahunan FINAL"/>
      <sheetName val="Angg 2010 Trw. FINAL"/>
      <sheetName val="Angg 2010 Bulanan FINAL"/>
      <sheetName val="THR Baru"/>
      <sheetName val="Data THR-1"/>
      <sheetName val="TUL309"/>
      <sheetName val="TSEGARA"/>
      <sheetName val="RANI"/>
      <sheetName val="TAIS"/>
      <sheetName val="MANNA"/>
      <sheetName val="KPH"/>
      <sheetName val="MAMAN"/>
      <sheetName val="ARMA"/>
      <sheetName val="MUKO"/>
      <sheetName val="BINTUHAN"/>
      <sheetName val="eval "/>
      <sheetName val="kwh"/>
      <sheetName val="REKAP_REKG"/>
      <sheetName val="muko2"/>
      <sheetName val="OMZET "/>
      <sheetName val="MAP PERBULAN"/>
      <sheetName val="TEKNIK"/>
      <sheetName val="NON TEKNIK"/>
      <sheetName val="Evaluasi Teknik"/>
      <sheetName val="Evaluasi Non Teknik"/>
      <sheetName val="Perhitungan Saving"/>
      <sheetName val="POS 62"/>
      <sheetName val="POS 544"/>
      <sheetName val="CabangJambi"/>
      <sheetName val="EstCabangJambi 2005"/>
      <sheetName val="calcJMB2006"/>
      <sheetName val="calcJMB2005"/>
      <sheetName val="bbi2000"/>
      <sheetName val="Perubahan"/>
      <sheetName val="BiDitghkan"/>
      <sheetName val="PIUT-JP"/>
      <sheetName val="BDD&amp;UMLain"/>
      <sheetName val="DpsK3bln"/>
      <sheetName val="Dep3-12bln"/>
      <sheetName val="PiutLL"/>
      <sheetName val="Piut-Unsur"/>
      <sheetName val="HapusPiut"/>
      <sheetName val="PiutMacam"/>
      <sheetName val="MatHar"/>
      <sheetName val="BantuanLN"/>
      <sheetName val="AkunPenutup"/>
      <sheetName val="UtPiut-Anak"/>
      <sheetName val="DaftarBP"/>
      <sheetName val="HutBank-3"/>
      <sheetName val="UtBiProy"/>
      <sheetName val="UtangUsh"/>
      <sheetName val="UmurUtang"/>
      <sheetName val="UtangValas"/>
      <sheetName val="IuranPsPK"/>
      <sheetName val="UT-Pajak"/>
      <sheetName val="HutLain"/>
      <sheetName val="UtangBiaya"/>
      <sheetName val="JualGTarif"/>
      <sheetName val="PendOpLain"/>
      <sheetName val="IkhtisarBiop"/>
      <sheetName val="PembelianiTL"/>
      <sheetName val="SewaDis"/>
      <sheetName val="BBMJenis"/>
      <sheetName val="ProduksiTL"/>
      <sheetName val="HarMat"/>
      <sheetName val="HarJabor"/>
      <sheetName val="BPeg-F"/>
      <sheetName val="Bipeg-U"/>
      <sheetName val="BOLain"/>
      <sheetName val="PendaLuOp"/>
      <sheetName val="BiLuOp"/>
      <sheetName val="BiPinjaman"/>
      <sheetName val="SelisihKurs"/>
      <sheetName val="KursNota "/>
      <sheetName val="KursSend"/>
      <sheetName val="NrcKWh"/>
      <sheetName val="KOR-PAJAK"/>
      <sheetName val="KKIN"/>
      <sheetName val="LKIN"/>
      <sheetName val="AktivaTetap"/>
      <sheetName val="AkumAT"/>
      <sheetName val="TambahAT"/>
      <sheetName val="RinciSTP-Ush"/>
      <sheetName val="LawanKorAT"/>
      <sheetName val="PDP"/>
      <sheetName val="PDPKonstruksi"/>
      <sheetName val="PDPMaterial"/>
      <sheetName val="MutasiMaterial"/>
      <sheetName val="PDPPembMuka"/>
      <sheetName val="BiInves-Ikhtisar"/>
      <sheetName val="BiInves-Peg"/>
      <sheetName val="BIinves-OVH"/>
      <sheetName val="STP-PI"/>
      <sheetName val="LawanPDP"/>
      <sheetName val="ATTB"/>
      <sheetName val="AkumATTB"/>
      <sheetName val="RELOK-AT"/>
      <sheetName val="ATBM"/>
      <sheetName val="ReInKit"/>
      <sheetName val="ReInTran"/>
      <sheetName val="ReinDis"/>
      <sheetName val="PokokPJP"/>
      <sheetName val="PPJP-Valas"/>
      <sheetName val="Bikapsir"/>
      <sheetName val="PokokJPJT"/>
      <sheetName val="PokokJPJTValas"/>
      <sheetName val="BikapsirJT"/>
      <sheetName val="HutBunga"/>
      <sheetName val="HutBungaValas"/>
      <sheetName val="Gangguan S.D Juli 10 (2)"/>
      <sheetName val="Gangguan S.D Juli 10 (3)"/>
      <sheetName val="PENJELASAN"/>
      <sheetName val="DISBURSE SIDANG"/>
      <sheetName val="DISBURSE PER BULAN"/>
      <sheetName val="SKI-kontrak (3)"/>
      <sheetName val="SKI-kontrak (2)"/>
      <sheetName val="SKI-kontrak"/>
      <sheetName val="TRS"/>
      <sheetName val="TRS (2)"/>
      <sheetName val="R-BULANAN"/>
      <sheetName val="FORM A2-APLN"/>
      <sheetName val="FORM A1-APLN"/>
      <sheetName val="ANGGARAN (PAGU)"/>
      <sheetName val="ANGGARAN"/>
      <sheetName val="DISBURSE (PAGU)"/>
      <sheetName val="NR BULANAN"/>
      <sheetName val="triwulan"/>
      <sheetName val="FORM A3-APLN"/>
      <sheetName val="LUNCURAN 2009"/>
      <sheetName val="MINTASKI-288"/>
      <sheetName val="FORM-A3 FINAL (sesuai pagu)"/>
      <sheetName val="FORM-A3 FINAL(kebutuhan)"/>
      <sheetName val="SKI-(FINAL M)"/>
      <sheetName val="FORM-A3 FINAL(khusus trans) (2)"/>
      <sheetName val="FORM-A3 FINAL(khusus trans) "/>
      <sheetName val="FORM A3-APLN (PERCEPATAN)"/>
      <sheetName val="FORM A3-APLN "/>
      <sheetName val="FORM A3-APBN"/>
      <sheetName val="FORM-A4-APBN"/>
      <sheetName val="FORM A3-SLA"/>
      <sheetName val="FORM-A4-SLA"/>
      <sheetName val="REKAP RKAP "/>
      <sheetName val="REKAP RKAP  (2)"/>
      <sheetName val="AI (IS1)"/>
      <sheetName val="AI (IS2)(1)"/>
      <sheetName val="UNIT"/>
      <sheetName val="Perhitungan.Kin.Operasi"/>
      <sheetName val="H O P"/>
      <sheetName val="Perhitungan.Kin.Keuangan"/>
      <sheetName val="Perhitungan.Kin.Ads. PUKK"/>
      <sheetName val="Pengusahaan POINT"/>
      <sheetName val="LR-TRGT &amp; REAL _pnusysutanTUL3"/>
      <sheetName val="NRC _Target &amp;real non klp"/>
      <sheetName val="2003cab"/>
      <sheetName val="2003GAB"/>
      <sheetName val="2003ktgjh"/>
      <sheetName val="Rincian By Adminis"/>
      <sheetName val="Rincian Lain lain by Adm"/>
      <sheetName val="LabaRugi Lainnya 2007(20)"/>
      <sheetName val="LabaRugi Unsur2006(21A)"/>
      <sheetName val="LabaRugi Fungsi2006(21B)"/>
      <sheetName val="XXXXXXX0"/>
      <sheetName val="XXXXXXX1"/>
      <sheetName val="PRK"/>
      <sheetName val="CUTI TH"/>
      <sheetName val="WINDUAN 2"/>
      <sheetName val="WINDUAN 3"/>
      <sheetName val="WINDUAN 4"/>
      <sheetName val="PENSIUN"/>
      <sheetName val="Pensiun Normal"/>
      <sheetName val="THR"/>
      <sheetName val="Data Peg-Estimasi Angg 2005"/>
      <sheetName val="Gaji Dasar &amp; Index Daerah"/>
      <sheetName val="Tj. Rmh+Tj. Transp."/>
      <sheetName val="Tunj. Jabatan"/>
      <sheetName val="Cuti Tahunan "/>
      <sheetName val="Ct. Besar"/>
      <sheetName val="THR (baru)"/>
      <sheetName val="Iuran Pemb.Kerja"/>
      <sheetName val="Pajak"/>
      <sheetName val="Pakaian Dinas"/>
      <sheetName val="Rupa-rupa"/>
      <sheetName val="Uang Makan Lembur"/>
      <sheetName val="Biaya Diklat"/>
      <sheetName val="Usulan FINAL-1 Tahun"/>
      <sheetName val="TRIW+FUNGSI"/>
      <sheetName val="CASHFLOW-BULANAN"/>
      <sheetName val="PANTAUAN"/>
      <sheetName val="D-Usaha"/>
      <sheetName val="LKAO"/>
      <sheetName val="MAT VALUE"/>
      <sheetName val="JASA-OS"/>
      <sheetName val="Instalasi"/>
      <sheetName val="TOTAL HAR-UNIT"/>
      <sheetName val="REKAP-MAT"/>
      <sheetName val="REKAP-JASA"/>
      <sheetName val="TOTAL-AO"/>
      <sheetName val="JASA"/>
      <sheetName val="MAT"/>
      <sheetName val="KANWIL"/>
      <sheetName val="BMASIN"/>
      <sheetName val="KBARU"/>
      <sheetName val="BARABAI"/>
      <sheetName val="PRAYA"/>
      <sheetName val="KPUAS"/>
      <sheetName val="SBTO"/>
      <sheetName val="APB"/>
      <sheetName val="S-ASAM2"/>
      <sheetName val="Cara"/>
      <sheetName val="Data Peg. per 1 Jan-2006"/>
      <sheetName val="Gaji Dasar"/>
      <sheetName val="Tj. Daerah"/>
      <sheetName val="Tj. Dasar"/>
      <sheetName val="Ct Th "/>
      <sheetName val="Ct.Bsr "/>
      <sheetName val="Iur Pemb Kerja"/>
      <sheetName val="Pajak "/>
      <sheetName val="Final - 1 Tahun"/>
      <sheetName val="Final - Triwulanan"/>
      <sheetName val="Final - Bulanan"/>
      <sheetName val="AI (IS2) (2)"/>
      <sheetName val="REK TRW (IS3)"/>
      <sheetName val="REK TRW (IS4)"/>
      <sheetName val="GABLUARJAWA1 (2)"/>
      <sheetName val="GABLUARJAWA2 (2)"/>
      <sheetName val="GABJAWA (2)"/>
      <sheetName val="GABUPUSAT (2)"/>
      <sheetName val="GABKONS (2)"/>
      <sheetName val="HOLDINGA (2)"/>
      <sheetName val="KONSOLIDASI (2)"/>
      <sheetName val="FGTM 01"/>
      <sheetName val="Lampiran I"/>
      <sheetName val="PRKAIDIST"/>
      <sheetName val="Tabel Istilah"/>
      <sheetName val="reconductr_SUTM_total"/>
      <sheetName val="BCR"/>
      <sheetName val="Cap Balance"/>
      <sheetName val="Pembebanan"/>
      <sheetName val="justifikasi"/>
      <sheetName val="tabel1"/>
      <sheetName val="tabel2"/>
      <sheetName val="IRR Manna"/>
      <sheetName val="Rincian Lain lain by Adm (2)"/>
      <sheetName val="LabaRugi Lainnya 2006(20)"/>
      <sheetName val="LAPORAN OAF-EAF"/>
      <sheetName val="IKP"/>
      <sheetName val="DATA 1"/>
      <sheetName val=" DATA 2"/>
      <sheetName val="DERATING 1"/>
      <sheetName val="DERATING 2"/>
      <sheetName val="OUTAGE 1"/>
      <sheetName val="OUTAGE2"/>
      <sheetName val="Table APJ"/>
      <sheetName val="Kinerja Unit Cetak"/>
      <sheetName val="PENGUSAHAAN HISTORY"/>
      <sheetName val="DATA PENGUSAHAAN"/>
      <sheetName val="PROYEKSI AO 2009"/>
      <sheetName val="PREDIKSI REALISASI AO 2008"/>
      <sheetName val="PROYEKSI AO 2009 REV"/>
      <sheetName val="PROYEKSI AO 2009 REV (2)"/>
      <sheetName val="PROYEKSI LABA-RUGI 2009"/>
      <sheetName val="PROYEKSI L-R 2009 Versi I"/>
      <sheetName val="PENGUSAHAAN 2009"/>
      <sheetName val="PROY L-R 2009 Ver I - II"/>
      <sheetName val="PROY AO 2009 Ver I-II"/>
      <sheetName val="PROYEKSI L-R 2009 Versi II"/>
      <sheetName val="PROYEKSI AO 2009 Versi I"/>
      <sheetName val="PROYEKSI AO 2009 Versi II"/>
      <sheetName val="MUK APJ"/>
      <sheetName val="MUK GM"/>
      <sheetName val="PENGUSAHAAN 2009 (4)"/>
      <sheetName val="PENGUSAHAAN 2009 (3)"/>
      <sheetName val="PENGUSAHAAN 2009 (2)"/>
      <sheetName val="PENGUSAHAAN 2008"/>
      <sheetName val="PROYEKSI LABA-RUGI 2009 REV"/>
      <sheetName val="AGENDA RAPIMPLUS"/>
      <sheetName val="JADWAL KOORDINASI"/>
      <sheetName val="MUK"/>
      <sheetName val="TATA TERTIB"/>
      <sheetName val="ROAD MAP DISTRIBUSI"/>
      <sheetName val="ROAD MAP NIAGA"/>
      <sheetName val="5.4 NIAGA"/>
      <sheetName val="Pendanaan 04"/>
      <sheetName val="Disclouse_04"/>
      <sheetName val="Draft Pendanaan Baru"/>
      <sheetName val="Piutang Denda Normal PK"/>
      <sheetName val="SKA Bunga Keterlambatan Iuran"/>
      <sheetName val="AlokBagHas"/>
      <sheetName val="lamp.2"/>
      <sheetName val="Piutang NormalPk"/>
      <sheetName val="KA-Normal Pemb.Kerja"/>
      <sheetName val="SKA Selisih Peny Aktuaria"/>
      <sheetName val="Iuran Normal PK Diterima Dim "/>
      <sheetName val="Piutang Normal Psrt"/>
      <sheetName val="KA-Normal Peserta"/>
      <sheetName val="Iuran Normal Pst Diterima Dim "/>
      <sheetName val="Piutang I. Tambahan"/>
      <sheetName val="AJE"/>
      <sheetName val="SKA Pemberi Kerja"/>
      <sheetName val="Iuran Tambahan Diterima Dimuka"/>
      <sheetName val="KA PEMBERI KERJA"/>
      <sheetName val="Bayar Kembali-PK"/>
      <sheetName val="Bayar Kembali-Psrt"/>
      <sheetName val="SKA Percepatan Def Solv"/>
      <sheetName val="Nam_Acc "/>
      <sheetName val="Disc Audit"/>
      <sheetName val="Pemby.Manf. Pens. Dimuka"/>
      <sheetName val="BayarPensiunBulanan"/>
      <sheetName val="BayarPensiun20%"/>
      <sheetName val="BayarPensiunSekaligus"/>
      <sheetName val="Utip Manf Pensiun"/>
      <sheetName val="Profile"/>
      <sheetName val="Chart Account"/>
      <sheetName val="GL_Account"/>
      <sheetName val="JK"/>
      <sheetName val="JB"/>
      <sheetName val="JM"/>
      <sheetName val="GL"/>
      <sheetName val="Notes BS"/>
      <sheetName val="BS"/>
      <sheetName val="WS"/>
      <sheetName val="Palopo Bermasalah"/>
      <sheetName val="Pere -Pare  Bermasalah"/>
      <sheetName val="Rekap Ptg"/>
      <sheetName val="Rincian Piutang"/>
      <sheetName val="Rekap Piutang Rincian"/>
      <sheetName val="Kode Nasabah"/>
      <sheetName val="Kumpul"/>
      <sheetName val="Data Sumber"/>
      <sheetName val="Rekap Piutang"/>
      <sheetName val="Rekap %"/>
      <sheetName val="Rekap Perwil"/>
      <sheetName val="Rkap"/>
      <sheetName val="Rekap Piutang Wil"/>
      <sheetName val="D Isi"/>
      <sheetName val="Targer &amp; Realisasi Penjualan"/>
      <sheetName val="Rencan &amp; Realisasi"/>
      <sheetName val="Perbandingan Penjualan"/>
      <sheetName val="Perbandinga Perbulan"/>
      <sheetName val="Realisasi Jual"/>
      <sheetName val="Ren Jual"/>
      <sheetName val="Analisa Cash &amp; Kredit"/>
      <sheetName val="Rekap posisi Piutang"/>
      <sheetName val="Transfer"/>
      <sheetName val="Rencana &amp; Realisasi Cash In"/>
      <sheetName val="Rekap % 1"/>
      <sheetName val="% PaK Hsn"/>
      <sheetName val="Rkap (2)"/>
      <sheetName val="Rekap Piut"/>
      <sheetName val="REKAP PEND. NON OP &amp; BIA N AJUS"/>
      <sheetName val="REKAP BIAYA OPERASIONAL AJUST"/>
      <sheetName val="REKAP HPP AJUST"/>
      <sheetName val="REKAP LABA RUGI AJUST"/>
      <sheetName val="LABA RUGI WILAYAH AJUST"/>
      <sheetName val="LABA RUGI CETAK"/>
      <sheetName val="PERBANDINAGN 2001 2002"/>
      <sheetName val="GRAFIK PERCABANG AJUST"/>
      <sheetName val="GRAFIK PERCABANG"/>
      <sheetName val="GRAFIK PERBULAN AJUST"/>
      <sheetName val="GRAFIK PERBULAN"/>
      <sheetName val="REKAP PERBULAN AJUST"/>
      <sheetName val="REKAP PERCABANG AJUST"/>
      <sheetName val="REKAP BULAN BERJALAN AJUST"/>
      <sheetName val="REKAP BAHAN RAPAT KWARTAL I"/>
      <sheetName val="BAHAN RAPAT KWARTAL I"/>
      <sheetName val="SUL SEL KAMAL"/>
      <sheetName val="SUL SEL ARDI"/>
      <sheetName val="KOLAKA"/>
      <sheetName val="KENDARI"/>
      <sheetName val="MANADO"/>
      <sheetName val="GORONTALO"/>
      <sheetName val="SAMARINDA"/>
      <sheetName val="BALIKPAPAN"/>
      <sheetName val="BANYUWANGI"/>
      <sheetName val="SURABAYA setelah di ajust"/>
      <sheetName val="SURABAYA"/>
      <sheetName val="JAKARTA setelah di ajust"/>
      <sheetName val="JAKARTA"/>
      <sheetName val="DENPASAR"/>
      <sheetName val="Target RE 2013"/>
      <sheetName val="Target PELANGGAN PER UNIT 2013"/>
      <sheetName val="PELANGGAN Gab. per Unit 2013"/>
      <sheetName val="PLG KONSOLIDASI PER TARIF "/>
      <sheetName val="PLG Holding Pergolongan Tarif"/>
      <sheetName val="PLG gabungan Ind Barat PER TRF"/>
      <sheetName val="PLG gabungan Ind. Timur Per Trf"/>
      <sheetName val="PLG Gabungan Jawa Bali per TRF"/>
      <sheetName val="pELANGGAN gabungan Anak Pers"/>
      <sheetName val="PELANGAN PER TARIP PER UNIT"/>
      <sheetName val="QView"/>
      <sheetName val="Skenario"/>
      <sheetName val="Mgmt Rpt"/>
      <sheetName val="LR Region"/>
      <sheetName val="KK-LR"/>
      <sheetName val="KK-NRC"/>
      <sheetName val="Gap CF"/>
      <sheetName val="KK"/>
      <sheetName val="BPP Kons"/>
      <sheetName val="BPP Holding"/>
      <sheetName val="BPP Jamali"/>
      <sheetName val="BPP IBB Op"/>
      <sheetName val="BPP IBB"/>
      <sheetName val="BPP IBT Op"/>
      <sheetName val="BPP IBT"/>
      <sheetName val="BPP Btm"/>
      <sheetName val="BPP Trk"/>
      <sheetName val="Formula CICR-WACC"/>
      <sheetName val="Ren. Inv"/>
      <sheetName val="DCSR"/>
      <sheetName val="CICR"/>
      <sheetName val="WACC"/>
      <sheetName val="Kep 100-09"/>
      <sheetName val="Kep 100"/>
      <sheetName val="Butuh PSO"/>
      <sheetName val="Jual Rekap"/>
      <sheetName val="Jual-Unit"/>
      <sheetName val="KK EP"/>
      <sheetName val="Data EP"/>
      <sheetName val="L5IPP"/>
      <sheetName val="L6Sewa"/>
      <sheetName val="L8NE"/>
      <sheetName val="L 9"/>
      <sheetName val="L10Har"/>
      <sheetName val="L12Admin"/>
      <sheetName val="L13Depr"/>
      <sheetName val="L15 Investasi"/>
      <sheetName val="L20Keu"/>
      <sheetName val="KVA &amp; BP"/>
      <sheetName val="T7Penyertaan"/>
      <sheetName val="T14SDPD"/>
      <sheetName val="T15LPE"/>
      <sheetName val="T16PSO"/>
      <sheetName val="T17RISD"/>
      <sheetName val="T18LR AP"/>
      <sheetName val="T19Nrc AP"/>
      <sheetName val="Prognosa AP"/>
      <sheetName val="DISBURS"/>
      <sheetName val="A RUTIN"/>
      <sheetName val="B RUTIN"/>
      <sheetName val="A NON RUTIN"/>
      <sheetName val="B NON RUTIN"/>
      <sheetName val="1a. POLA OPERASI (Kontrol)"/>
      <sheetName val="1.b Pola Operasi"/>
      <sheetName val="2. ASUMSI &amp; OPERATOR"/>
      <sheetName val="3. Rekap Rinci Bulanan"/>
      <sheetName val="Ikhtisar I"/>
      <sheetName val="Loan B"/>
      <sheetName val="Loan C"/>
      <sheetName val="ADMINISTRASI"/>
      <sheetName val=" 4. Sheet L R"/>
      <sheetName val="Neraca 2012"/>
      <sheetName val="Cash Flow 2012"/>
      <sheetName val="Hitungan Rincian"/>
      <sheetName val="XXXXXX"/>
      <sheetName val="data1"/>
      <sheetName val="BTS"/>
      <sheetName val="Fixed"/>
      <sheetName val="Plgn PLN2003"/>
      <sheetName val="DATA PLGN PLN"/>
      <sheetName val="Internet"/>
      <sheetName val="Invest teleponi"/>
      <sheetName val="Roadmap RJP"/>
      <sheetName val="report"/>
      <sheetName val="NILAI ASET TELKOM PLN"/>
      <sheetName val="DETAIL INVESTASI"/>
      <sheetName val="Capex"/>
      <sheetName val="depr&amp;cicilan"/>
      <sheetName val="Opex"/>
      <sheetName val="Pasar RKAP"/>
      <sheetName val="TarifRKAP"/>
      <sheetName val="RevRKAP"/>
      <sheetName val="Income"/>
      <sheetName val="Chart1"/>
      <sheetName val="Valuasi Perusahaan"/>
      <sheetName val="Sensitivitas"/>
      <sheetName val="value row"/>
      <sheetName val="NEKons"/>
      <sheetName val="020108"/>
      <sheetName val="030108a"/>
      <sheetName val="030108b"/>
      <sheetName val="170108"/>
      <sheetName val="310108"/>
      <sheetName val="080208"/>
      <sheetName val="270208"/>
      <sheetName val="080208 BBMrendah"/>
      <sheetName val="rkap2008"/>
      <sheetName val="KSU"/>
      <sheetName val="KSS"/>
      <sheetName val="Changes"/>
      <sheetName val="SewaDis(12A2)"/>
      <sheetName val="FORM-B"/>
      <sheetName val="FORM_B"/>
      <sheetName val="Hal-1"/>
      <sheetName val="VALUE"/>
      <sheetName val="Indikator210"/>
      <sheetName val="Indikator215"/>
      <sheetName val="Hal-2"/>
      <sheetName val="Hal-3"/>
      <sheetName val="Hal-4"/>
      <sheetName val="Hal-5"/>
      <sheetName val="Hal-6"/>
      <sheetName val="Hal-7"/>
      <sheetName val="Hal8-13"/>
      <sheetName val="Hal-14"/>
      <sheetName val="Hal-15"/>
      <sheetName val="Hal-16"/>
      <sheetName val="PEND-ARUS"/>
      <sheetName val="PEND-BBM"/>
      <sheetName val="PEND-HAR"/>
      <sheetName val="PEND-PEG"/>
      <sheetName val="PEND-ADM"/>
      <sheetName val="FORMA"/>
      <sheetName val="FORMB"/>
      <sheetName val="Web"/>
      <sheetName val="KWH FUEL MIX"/>
      <sheetName val="Kwh Tranper"/>
      <sheetName val="KWH masuk BBM bbb gas"/>
      <sheetName val=" OIL  2012 WLH REKAP "/>
      <sheetName val="KWH SENDIRI &amp; SEWA 20112"/>
      <sheetName val=" BB BARA REKAP 2012"/>
      <sheetName val=" BBM 2012 WLH REKAP"/>
      <sheetName val="KWH GABUNGAN 2012"/>
      <sheetName val="TambahAKUM"/>
      <sheetName val="RinciSTP-Prodes"/>
      <sheetName val="Rekap PDP"/>
      <sheetName val="BIinves-Pemeliharaan"/>
      <sheetName val="LPS"/>
      <sheetName val="ATTBTotal"/>
      <sheetName val="ATTBHapus"/>
      <sheetName val="ATTBRelokasi"/>
      <sheetName val="ATTBDiperbaiki"/>
      <sheetName val="AkumATTBTotal"/>
      <sheetName val="AkumATTBHapus"/>
      <sheetName val="AkumATTBRelokasi"/>
      <sheetName val="AkumATTBDiperbaiki"/>
      <sheetName val="Rincian ATTB"/>
      <sheetName val="InvestasiA"/>
      <sheetName val="PendukungInves"/>
      <sheetName val="00"/>
      <sheetName val="0"/>
      <sheetName val=""/>
      <sheetName val="Penyert-anak"/>
      <sheetName val="Penyert-Saham"/>
      <sheetName val="MilikSaham"/>
      <sheetName val="NCI"/>
      <sheetName val="BI.DTGH"/>
      <sheetName val="BDDLainnya"/>
      <sheetName val="Dmk-Pjk"/>
      <sheetName val="RDBDP"/>
      <sheetName val="PUMKPR"/>
      <sheetName val="Kas&amp;Strkas"/>
      <sheetName val="Piut-Umur"/>
      <sheetName val="Piut-Umur BARU"/>
      <sheetName val="Piut-Umur LAMA"/>
      <sheetName val="Piut-umur-bln"/>
      <sheetName val="PiutRR"/>
      <sheetName val="PenyisihanPiutang"/>
      <sheetName val="Persd-Mat"/>
      <sheetName val="KlasPersd"/>
      <sheetName val="PenyisihanMat"/>
      <sheetName val="Rinc-Bl-BBM"/>
      <sheetName val="HutangUsaha"/>
      <sheetName val="HutBiProy"/>
      <sheetName val="FORM REKON DP"/>
      <sheetName val="UtangUsaha"/>
      <sheetName val="IPS-IPK"/>
      <sheetName val="ManfPs"/>
      <sheetName val="SKP"/>
      <sheetName val="UtLainPJ"/>
      <sheetName val="UtLainPD"/>
      <sheetName val="Utg SGU"/>
      <sheetName val="UJL"/>
      <sheetName val="DMKLPB-TARIF"/>
      <sheetName val="DMKLPB-LANGG"/>
      <sheetName val="JualGLangg"/>
      <sheetName val="JUAL LPB-TARIF"/>
      <sheetName val="JUAL LPB-LANGG"/>
      <sheetName val="JUAL&amp;BL-TL"/>
      <sheetName val="PENDOPLN&amp;BEOPLAIN"/>
      <sheetName val="ProduksiTLSendiri"/>
      <sheetName val="BPeg-U"/>
      <sheetName val="Reals-MP"/>
      <sheetName val="BOLain1"/>
      <sheetName val="BOLain2"/>
      <sheetName val="Non Allw Cost"/>
      <sheetName val="BeLuOp"/>
      <sheetName val="BePinjaman"/>
      <sheetName val="PJK-TGH"/>
      <sheetName val="HASIL PERHITUNGAN"/>
      <sheetName val="DATA PENDUKUNG OP."/>
      <sheetName val="PENGISIAN DATA PENDUKUNG OAF"/>
      <sheetName val="PENGISIAN DATA PENDUKUNG CSF"/>
      <sheetName val="PENGISIAN DATA TARA KALOR"/>
      <sheetName val="PENGISIAN DATA PENDUKUNG KEU."/>
      <sheetName val="REAL-LR"/>
      <sheetName val="REAL-NER"/>
      <sheetName val="KOMPLAIN PLG"/>
      <sheetName val="GB-PRY"/>
      <sheetName val="dttr"/>
      <sheetName val="PBUN"/>
      <sheetName val="rekap-pp"/>
      <sheetName val="A2 pri123 (REKAP)"/>
      <sheetName val="A1 pri123 (2)"/>
      <sheetName val="A1 pri123"/>
      <sheetName val="A2 pri123"/>
      <sheetName val="A2 pri1"/>
      <sheetName val="A2 pri2"/>
      <sheetName val="A2 pri3"/>
      <sheetName val="KUMULATIP"/>
      <sheetName val="GRAFIK"/>
      <sheetName val="JAN"/>
      <sheetName val="FEB"/>
      <sheetName val="MAR"/>
      <sheetName val="APR"/>
      <sheetName val="MAY"/>
      <sheetName val="JUNE"/>
      <sheetName val="AGUS"/>
      <sheetName val="SEPT03"/>
      <sheetName val="OKT"/>
      <sheetName val="NOF"/>
      <sheetName val="DES"/>
      <sheetName val="O"/>
      <sheetName val="SGV"/>
      <sheetName val="OPERASI KIT"/>
      <sheetName val="BTN"/>
      <sheetName val="Analisa Tie Line"/>
      <sheetName val="Analisa  Bundaran Mandonga"/>
      <sheetName val="GAMBAR"/>
      <sheetName val="CMKS"/>
      <sheetName val="CWP"/>
      <sheetName val="CPG"/>
      <sheetName val="CPL"/>
      <sheetName val="CPR"/>
      <sheetName val="CBK"/>
      <sheetName val="CKD"/>
      <sheetName val="CBB"/>
      <sheetName val="CMM"/>
      <sheetName val="WILAYAH"/>
      <sheetName val="Rekap_ 01"/>
      <sheetName val="Usulan 10 Juli 2012"/>
      <sheetName val="LKAI NR 2012 _Rev 01"/>
      <sheetName val="Disburse Bulanan (REAL)"/>
      <sheetName val="Perkiraan SD AkhThn"/>
      <sheetName val="Rutin 2012_01 "/>
      <sheetName val="AKB APLN"/>
      <sheetName val="Arus Kas Bulanan_01"/>
      <sheetName val="NOVEMBER"/>
      <sheetName val="OKTOBER"/>
      <sheetName val="SEPTEMBER"/>
      <sheetName val="AGUSTUS"/>
      <sheetName val="TARGET BARU"/>
      <sheetName val="MEI"/>
      <sheetName val="APRL"/>
      <sheetName val="MART"/>
      <sheetName val="% "/>
      <sheetName val="Rekap Bln"/>
      <sheetName val="Rekap APJ"/>
      <sheetName val="TARGET BLN"/>
      <sheetName val="Des07"/>
      <sheetName val="Des06"/>
      <sheetName val="Des05"/>
      <sheetName val="TW"/>
      <sheetName val="Petunjuk"/>
      <sheetName val="TM1. HarMat(12C1)"/>
      <sheetName val="TM1. HarJabor(12C2)"/>
      <sheetName val="JANUARI "/>
      <sheetName val="NEWFORMATOAJAN09"/>
      <sheetName val="REFERENSI"/>
      <sheetName val="FORM 12A JAN 09"/>
      <sheetName val="JAN09 Ggn Manual"/>
      <sheetName val="JAN09 Hps Manual "/>
      <sheetName val="FEBRUARI"/>
      <sheetName val="NEWFORMATOAFEB09"/>
      <sheetName val="FORM 12A FEB 09"/>
      <sheetName val="FEB09 Ggn Manual"/>
      <sheetName val="FEB09 Hps Manual "/>
      <sheetName val="MARET"/>
      <sheetName val="NEWFORMATOAMAR09"/>
      <sheetName val="FORM 12A MAR 09"/>
      <sheetName val="MAR09 Ggn Manual"/>
      <sheetName val="MAR09 Hps Manual "/>
      <sheetName val="JUN"/>
      <sheetName val="JUL"/>
      <sheetName val="AGT"/>
      <sheetName val="SEP"/>
      <sheetName val="SEP.REV"/>
      <sheetName val="SEP edit"/>
      <sheetName val="NOV"/>
      <sheetName val="ExSummary"/>
      <sheetName val="ExSummary-PI"/>
      <sheetName val="PPJ"/>
      <sheetName val="PPN"/>
      <sheetName val="MATERAI"/>
      <sheetName val="TAGSUS"/>
      <sheetName val="KTRLAMBATAN"/>
      <sheetName val="INVOICE"/>
      <sheetName val="KLP"/>
      <sheetName val="Bank-Pendp&amp;Pemby"/>
      <sheetName val="Hut-Pajak"/>
      <sheetName val="HutLainPJ"/>
      <sheetName val="HutLainPD"/>
      <sheetName val="Htg SGU"/>
      <sheetName val="HutangBiaya"/>
      <sheetName val="ID"/>
      <sheetName val="Auxilary Tabel 1"/>
      <sheetName val="Laba Rugi All 1"/>
      <sheetName val="Neraca All 1"/>
      <sheetName val="K-amb 1"/>
      <sheetName val="Laba Rugi All 2"/>
      <sheetName val="Neraca All 2"/>
      <sheetName val="Laba Rugi All 3"/>
      <sheetName val="Neraca All 3"/>
      <sheetName val="Laba Rugi All 4"/>
      <sheetName val="Neraca All 4"/>
      <sheetName val="Kit &amp; Dist"/>
      <sheetName val="DSM"/>
      <sheetName val="SAIDI &amp; SAIFI"/>
      <sheetName val="Auxilary Tabel 2"/>
      <sheetName val="Auxilary Tabel 3"/>
      <sheetName val="SDM"/>
      <sheetName val="Target"/>
      <sheetName val="K-Corp-1"/>
      <sheetName val="LM 1"/>
      <sheetName val="K-Corp-2"/>
      <sheetName val="LM 2"/>
      <sheetName val="K-Corp-3"/>
      <sheetName val="LM 3"/>
      <sheetName val="K-Amb-4"/>
      <sheetName val="K-Tnt-4"/>
      <sheetName val="K-Tua-4"/>
      <sheetName val="K-Corp-4"/>
      <sheetName val="LM 4"/>
      <sheetName val="QPR 1"/>
      <sheetName val="QPR 2"/>
      <sheetName val="QPR 3"/>
      <sheetName val="QPR 4"/>
      <sheetName val="Keu 1"/>
      <sheetName val="Auxilary Tabel 4"/>
      <sheetName val="Keu 2"/>
      <sheetName val="Keu 3"/>
      <sheetName val="Keu 4"/>
      <sheetName val="Data BI"/>
      <sheetName val="Lampiran Surat Kalibrasi"/>
      <sheetName val="GANGGUAN"/>
      <sheetName val="SELISIH KURS"/>
      <sheetName val="by. adm"/>
      <sheetName val="KALIBRASI Peg &amp; SDM"/>
      <sheetName val="ANEV"/>
      <sheetName val="ANEV (2)"/>
      <sheetName val="Minyak Pelumas"/>
      <sheetName val="Teori"/>
      <sheetName val="Lap KIT"/>
      <sheetName val="NEW FORMAT"/>
      <sheetName val="FORM 12A"/>
      <sheetName val="FORM 12B Ggn"/>
      <sheetName val="FORM 12B Hapus"/>
      <sheetName val="MONITORING 2007"/>
      <sheetName val="MONITORING 2008"/>
      <sheetName val="MONITORING 2009"/>
      <sheetName val="rkap2010_latihan"/>
      <sheetName val="TM1Beli"/>
      <sheetName val="Penjualan08"/>
      <sheetName val="Penjualan09"/>
      <sheetName val="Penjualan10"/>
      <sheetName val="Sale10vAGA"/>
      <sheetName val="Gab 2010-2011 Ver1"/>
      <sheetName val="Visi Dis 2012"/>
      <sheetName val="rkap2010"/>
      <sheetName val="Prod01"/>
      <sheetName val="Prod2"/>
      <sheetName val="Compatibility Report"/>
      <sheetName val="20100119 RKAP 2010 - All Region"/>
      <sheetName val="JualPerTarip11"/>
      <sheetName val="20100929"/>
      <sheetName val="NE Prog"/>
      <sheetName val="Roadmap"/>
      <sheetName val="Skenario 1"/>
      <sheetName val="Skenario 2"/>
      <sheetName val="REALISASI PER-WIL"/>
      <sheetName val="REALISASI PER-KIT"/>
      <sheetName val="IPP 2011"/>
      <sheetName val="Rekap PLN+IPP"/>
      <sheetName val="Sumatera"/>
      <sheetName val="P3BJB"/>
      <sheetName val="P3BS"/>
      <sheetName val="Coal"/>
      <sheetName val="PS LJB"/>
      <sheetName val="PS JB"/>
      <sheetName val="APBN"/>
      <sheetName val="Hydro"/>
      <sheetName val="Geothermal"/>
      <sheetName val="NE 1811"/>
      <sheetName val="sewa LJB"/>
      <sheetName val="IPP"/>
      <sheetName val="10.000 MW"/>
      <sheetName val="IB"/>
      <sheetName val="EP"/>
      <sheetName val="NE 1704"/>
      <sheetName val="Sheet1(QInfo)"/>
      <sheetName val="Sheet1(QData)"/>
      <sheetName val="PRODUKSI 2013"/>
      <sheetName val="NE 2013"/>
      <sheetName val="Fuel Mix"/>
      <sheetName val="FuelMix IPP Sewa"/>
      <sheetName val="(I)"/>
      <sheetName val="(III)"/>
      <sheetName val="(V)"/>
      <sheetName val="(VI)"/>
      <sheetName val="(VII)"/>
      <sheetName val="(IV)"/>
      <sheetName val="PF"/>
      <sheetName val="Pembangkit"/>
      <sheetName val="GMU Borang Medco"/>
      <sheetName val="CF BORANG JAKABARING"/>
      <sheetName val="FuelUsed (Netto)"/>
      <sheetName val="PS"/>
      <sheetName val="FUEL USED"/>
      <sheetName val="FuelUsed (Brutto)"/>
      <sheetName val="Produksi per Sektor 2010"/>
      <sheetName val="Cek Progres F12,13,14"/>
      <sheetName val="Per pemasok Gas"/>
      <sheetName val="IPP 2009"/>
      <sheetName val="HRG BBM NON PTM"/>
      <sheetName val="HRG BBM PTM Tangki-Tanker"/>
      <sheetName val="HRG PTM PIPA"/>
      <sheetName val="HRG GAS"/>
      <sheetName val="Kontrak vs Realisasi Gas"/>
      <sheetName val="Grafik Gas"/>
      <sheetName val="Grafik batubara2"/>
      <sheetName val="GWh Per-Jns Kit"/>
      <sheetName val="Stok Fuel"/>
      <sheetName val="Stok HSD LJB"/>
      <sheetName val="Stok HSD Jawa"/>
      <sheetName val="Stok MFO LJB"/>
      <sheetName val="Stok MFO Jawa"/>
      <sheetName val="Stok Coal LJB"/>
      <sheetName val="Stok Coal Jawa"/>
      <sheetName val="Batubara Ind"/>
      <sheetName val="Rp-kWh"/>
      <sheetName val="AP"/>
      <sheetName val="Percepatan"/>
      <sheetName val="SUMMARY SFC"/>
      <sheetName val="Trans JB"/>
      <sheetName val="NE 3009"/>
      <sheetName val="KIT SBS"/>
      <sheetName val="Tabel ND"/>
      <sheetName val="Grafik ND"/>
      <sheetName val="GGN"/>
      <sheetName val="MAMPU NETTO"/>
      <sheetName val="V. MUSIM"/>
      <sheetName val="DERATING"/>
      <sheetName val="Produksi PLTA"/>
      <sheetName val="BESAI"/>
      <sheetName val="BTTGI"/>
      <sheetName val="TESS"/>
      <sheetName val="MUSI"/>
      <sheetName val="B.AGAM"/>
      <sheetName val="MNJAU"/>
      <sheetName val="SNKRK"/>
      <sheetName val="KTPJG"/>
      <sheetName val="MAMPU PASOK"/>
      <sheetName val="NERDA"/>
      <sheetName val="BP TTGI"/>
      <sheetName val="KOMPOS BP"/>
      <sheetName val="BP HK HM"/>
      <sheetName val="Beban Sumatra 2009"/>
      <sheetName val="GRF BP"/>
      <sheetName val="Waduk"/>
      <sheetName val="Grafik ND (2)"/>
      <sheetName val="DMN"/>
      <sheetName val="Grafik ND SBST (Numpang)"/>
      <sheetName val="Comp Subsidi"/>
      <sheetName val="Biaya BBM"/>
      <sheetName val="Neraca TL"/>
      <sheetName val="CF Tw"/>
      <sheetName val="T14-SDPD"/>
      <sheetName val="BPP"/>
      <sheetName val="kWh Jual"/>
      <sheetName val="SDPD-F"/>
      <sheetName val="T15-LPE"/>
      <sheetName val="Bahan Bakar"/>
      <sheetName val="KVA"/>
      <sheetName val="Keb. Subsidi"/>
      <sheetName val="L 8"/>
      <sheetName val="L10-Har"/>
      <sheetName val="KEPMEN 100"/>
      <sheetName val="Sewa Kit"/>
      <sheetName val="L5-IPP"/>
      <sheetName val="L11-Peg"/>
      <sheetName val="L12-Admin"/>
      <sheetName val="L13-Penyusutan"/>
      <sheetName val="L20-Pinjaman"/>
      <sheetName val="T16-PSO"/>
      <sheetName val="T17-RISD"/>
      <sheetName val="T18-LR AP"/>
      <sheetName val="T19-NRC AP"/>
      <sheetName val="T7-Penyertaan"/>
      <sheetName val="PROD JUAL BBR"/>
      <sheetName val="BABEL"/>
      <sheetName val="KALBAR"/>
      <sheetName val="ACEH"/>
      <sheetName val="S2JB"/>
      <sheetName val="SUMUT"/>
      <sheetName val="SUMBAR"/>
      <sheetName val="RIAU"/>
      <sheetName val="KIT SBU"/>
      <sheetName val="Kaltim"/>
      <sheetName val="Kalselteng"/>
      <sheetName val="Suluttenggo"/>
      <sheetName val="Sulselrabar"/>
      <sheetName val="MMU"/>
      <sheetName val="NTB"/>
      <sheetName val="NTT"/>
      <sheetName val="Papua"/>
      <sheetName val="Tarakan"/>
      <sheetName val="Rekap2013"/>
      <sheetName val="RKAP13"/>
      <sheetName val="NE 2609"/>
      <sheetName val="Kit BBM"/>
      <sheetName val="Energy Mix"/>
      <sheetName val="PLTU L. Jawa (2)"/>
      <sheetName val="PLTU Jawa  "/>
      <sheetName val="Harga BBM Indonesia"/>
      <sheetName val="CashFlow012001Anggaran"/>
      <sheetName val="Ref"/>
      <sheetName val="Penjualan"/>
      <sheetName val="PdptBP"/>
      <sheetName val="PdptLain"/>
      <sheetName val="ProdVolBiaya"/>
      <sheetName val="BPeg"/>
      <sheetName val="Depr"/>
      <sheetName val="BAdmin"/>
      <sheetName val="LuarOperasi"/>
      <sheetName val="ca"/>
      <sheetName val="01 A"/>
      <sheetName val="Form Target"/>
      <sheetName val="form_realisasi TW II"/>
      <sheetName val="1 SUSUT"/>
      <sheetName val="2-3 saidi saifi"/>
      <sheetName val="4 Trafo rusak"/>
      <sheetName val="5 FGTM"/>
      <sheetName val="6. PPTL "/>
      <sheetName val="7. ASET"/>
      <sheetName val="8. B. HAR"/>
      <sheetName val="9. B. ADMIN "/>
      <sheetName val="FGTM 03"/>
      <sheetName val="PTKU (2)"/>
      <sheetName val="BPP-BANDUNG"/>
      <sheetName val="LabaRugi Fungsi "/>
      <sheetName val="PembelianTL(12A1)"/>
      <sheetName val="BiAdmin-U unit non Jasa(12E1.a)"/>
      <sheetName val="BiAdmin-U unit Jasa(12E1.b)"/>
      <sheetName val="BiAdmin-F unit non Jasa(12E2.a)"/>
      <sheetName val="BiAdmin-F unit Jasa(12E2.b)"/>
      <sheetName val="BiPinjaman(15)"/>
      <sheetName val="LabaRugi Lainnya(20)"/>
      <sheetName val="LabaRugi Unsur th(t-1)(21A)"/>
      <sheetName val="LabaRugi Fungsi th (t-1)(21B)"/>
      <sheetName val="Pos-pos Biaya Kritis (22)"/>
      <sheetName val="BPP PLN (22)"/>
      <sheetName val="LKAI-DIST"/>
      <sheetName val="Usulan RKAP 2014"/>
      <sheetName val="LKAI-DIST (VOL)"/>
      <sheetName val="Usulan RKAP 2014-Area"/>
      <sheetName val="RAB-Gardu"/>
      <sheetName val="RAB-Gardu (2)"/>
      <sheetName val="RAB-JTM"/>
      <sheetName val="RAB-JTR"/>
      <sheetName val="RAB-ALAT"/>
      <sheetName val="RAB-APP"/>
      <sheetName val="RAB-RECONECTING"/>
      <sheetName val="Cat-agust 08"/>
      <sheetName val="KPI MANSEK"/>
      <sheetName val="kin.seklom"/>
      <sheetName val="Target 2010"/>
      <sheetName val="BIAYA"/>
      <sheetName val="Target 2010 (Breakdown)"/>
      <sheetName val="Target_2009 (Breakdown Bulanan)"/>
      <sheetName val="Breakdown KIN.2010 "/>
      <sheetName val="Breakdown KIN.2007"/>
      <sheetName val="SAVING MFO 2010 (SEKLOM)"/>
      <sheetName val="EFOR real"/>
      <sheetName val="EFOR-target"/>
      <sheetName val="Jam Derating-ren"/>
      <sheetName val="Cat-okt 08"/>
      <sheetName val="Summary OPS KIT 2010"/>
      <sheetName val="EAF"/>
      <sheetName val="OAF"/>
      <sheetName val="Grafik OAF"/>
      <sheetName val="Tara Kalor-format WIL"/>
      <sheetName val="BPP HITUNG"/>
      <sheetName val="HARGA BB"/>
      <sheetName val="Konstribusi Sub Unit 2010"/>
      <sheetName val="Grafik EAF"/>
      <sheetName val="Grafik % BBM "/>
      <sheetName val="Grafik % BBM AMP"/>
      <sheetName val="Grafik Tara Kalor"/>
      <sheetName val="Grafik TK AMP"/>
      <sheetName val="Grafik SFC Kit Sendiri"/>
      <sheetName val="Grafik SFC Sewa"/>
      <sheetName val="Grafik kWh prod kit sendiri"/>
      <sheetName val="Grafik Kwh prod total"/>
      <sheetName val="Gafik kWh MFO HSD Sendiri"/>
      <sheetName val="Grafik kWh Sewa"/>
      <sheetName val="Grafik SLC"/>
      <sheetName val="Grafik PS"/>
      <sheetName val="Grafik PS PLTD"/>
      <sheetName val="Grafik SFC PLTD"/>
      <sheetName val="Grafik TK PLTD"/>
      <sheetName val="EFOR"/>
      <sheetName val="FOF"/>
      <sheetName val="Gangg. Rata2"/>
      <sheetName val="Grafik BPP"/>
      <sheetName val="Grafik Harga BBM"/>
      <sheetName val="Biaya Peg"/>
      <sheetName val="Biaya ADM"/>
      <sheetName val="OAT"/>
      <sheetName val="ITO"/>
      <sheetName val="HOP"/>
      <sheetName val="Grafik Saving MFO 2010"/>
      <sheetName val="SAVING MFO 07 (SEKLOM)"/>
      <sheetName val="SAVING MFO 08 (SEKLOM)"/>
      <sheetName val="TARGET MFO SEKLOM 2009"/>
      <sheetName val="Saving&amp;Target MFO"/>
      <sheetName val="Komposisi By Har 08"/>
      <sheetName val="Grafik Uji coba MFO PMT"/>
      <sheetName val="Rencana MFO PMT"/>
      <sheetName val="April"/>
      <sheetName val="NOP"/>
      <sheetName val="DES (2)"/>
      <sheetName val="JAN10"/>
      <sheetName val="FEB10"/>
      <sheetName val="MAR10"/>
      <sheetName val="APR10"/>
      <sheetName val="MEI10"/>
      <sheetName val="JUNI10 "/>
      <sheetName val="JULI10"/>
      <sheetName val="AGS10"/>
      <sheetName val="SEP10"/>
      <sheetName val="OKT10"/>
      <sheetName val="NOV10"/>
      <sheetName val="DES10"/>
      <sheetName val="Juni 10"/>
      <sheetName val="Juli 10"/>
      <sheetName val="Ags 10"/>
      <sheetName val="Sep 10"/>
      <sheetName val="Okt 10"/>
      <sheetName val="Nov 10"/>
      <sheetName val="3.KINERJA"/>
      <sheetName val="KINERJA-2009"/>
      <sheetName val="KINERJA-2010"/>
      <sheetName val="kin.mat"/>
      <sheetName val="kin.sbw"/>
      <sheetName val="kin.bima"/>
      <sheetName val="KPI"/>
      <sheetName val="1.LABA-RUGI"/>
      <sheetName val="Neraca_Unit"/>
      <sheetName val="1A.NERACA"/>
      <sheetName val="1.1PROD-JUAL"/>
      <sheetName val="1.2PENDAPATAN"/>
      <sheetName val="1.8ADM"/>
      <sheetName val="1.6har"/>
      <sheetName val="AKTIVA"/>
      <sheetName val="1.7PEG"/>
      <sheetName val="1.9PENYUSUTAN"/>
      <sheetName val="1.10B.Beban-Diluar Usaha"/>
      <sheetName val="1.10A.Pedp-dliluar Usaha"/>
      <sheetName val="Bunga Pinjaman"/>
      <sheetName val="1.3SEWA"/>
      <sheetName val="1.5A.BBM"/>
      <sheetName val="1.5B.ongkut"/>
      <sheetName val="1.5C.OLI"/>
      <sheetName val="DAYAMAMPU"/>
      <sheetName val="NERACA ENERGI (perUnit)"/>
      <sheetName val="RASIO BBM"/>
      <sheetName val="RUMUS"/>
      <sheetName val="Upah &amp; Bahan"/>
      <sheetName val="Rekap.Anls"/>
      <sheetName val="Curva S-Balok"/>
      <sheetName val="NM-ANL"/>
      <sheetName val="Alat Minimum"/>
      <sheetName val="Personil Inti"/>
      <sheetName val="MPU-1"/>
      <sheetName val="MPU-3"/>
      <sheetName val="Harga &amp; Bahan "/>
      <sheetName val="analisa lama"/>
      <sheetName val="harga lama"/>
      <sheetName val="mos.1"/>
      <sheetName val="mos.2"/>
      <sheetName val="stn.crus.1"/>
      <sheetName val="stn.crus.2"/>
      <sheetName val="daft.alt"/>
      <sheetName val="staf."/>
      <sheetName val="check."/>
      <sheetName val="dmpu"/>
      <sheetName val="sche.alt"/>
      <sheetName val="sche."/>
      <sheetName val="1.2"/>
      <sheetName val="3.1.1"/>
      <sheetName val="3.2.1 &amp; 3.3"/>
      <sheetName val="4.2.2"/>
      <sheetName val="5.1.1 &amp; 5.1.2"/>
      <sheetName val="6.1.1"/>
      <sheetName val="6.3.6"/>
      <sheetName val="7.1.5 &amp; 7.3.1"/>
      <sheetName val="7.13"/>
      <sheetName val="anls.quar"/>
      <sheetName val="anls.alt"/>
      <sheetName val="agrt.ksr.hls"/>
      <sheetName val="agrt.a"/>
      <sheetName val="agrt.b"/>
      <sheetName val="agrt.c"/>
      <sheetName val="bsc.prc"/>
      <sheetName val="Anl Bkstng&amp;Bkrn"/>
      <sheetName val="Kolom K225"/>
      <sheetName val="Batu Gng"/>
      <sheetName val="Pondasi tapak"/>
      <sheetName val="Dam Air"/>
      <sheetName val="galian Tanah"/>
      <sheetName val="Urugan tanah"/>
      <sheetName val="HRG BAHAN"/>
      <sheetName val="rab pos tiket"/>
      <sheetName val="rab pagar tembok"/>
      <sheetName val="rab reklamasi"/>
      <sheetName val="Program"/>
      <sheetName val="NWP JALAN"/>
      <sheetName val="Rp-Indo"/>
      <sheetName val="stn.crus."/>
      <sheetName val="AMP"/>
      <sheetName val="Aspal Semen"/>
      <sheetName val="Belpegawai input"/>
      <sheetName val="total pph-sda"/>
      <sheetName val="DATA Input"/>
      <sheetName val="2001-2004"/>
      <sheetName val="DATA LW - DDN"/>
      <sheetName val="Banding All"/>
      <sheetName val="Papua-riau"/>
      <sheetName val="Persiapan (2)"/>
      <sheetName val="C0nst 1"/>
      <sheetName val="S-Curve1"/>
      <sheetName val="R kelas"/>
      <sheetName val="R Guru"/>
      <sheetName val="R Serbaguna"/>
      <sheetName val="Pustaka"/>
      <sheetName val="T Wudu"/>
      <sheetName val="Parkir"/>
      <sheetName val="p block"/>
      <sheetName val="water tank"/>
      <sheetName val="sanitasi"/>
      <sheetName val="Pagar"/>
      <sheetName val="furniture"/>
      <sheetName val="Mushalla"/>
      <sheetName val="recap tot sem"/>
      <sheetName val="Toilet "/>
      <sheetName val="upah &amp; bhan"/>
      <sheetName val="rcap ttal"/>
      <sheetName val="Total Aceh Selatan "/>
      <sheetName val="Rekap LAGEUN"/>
      <sheetName val="Kuantitas lageun"/>
      <sheetName val="Rekap TEUNOM"/>
      <sheetName val="Kuantitas TEUNOM"/>
      <sheetName val="DT Personalia"/>
      <sheetName val="DATA ALAT"/>
      <sheetName val="Pengalaman Gng"/>
      <sheetName val="Pek. sedang "/>
      <sheetName val="DT Personil Inti"/>
      <sheetName val="Struktur Organisasi"/>
      <sheetName val="DT Peralatan Utama"/>
      <sheetName val="XXXX"/>
      <sheetName val="Analisa Harga Lama"/>
      <sheetName val="Vol A"/>
      <sheetName val="Vol B"/>
      <sheetName val="Vol C"/>
      <sheetName val="Vol D"/>
      <sheetName val="Vol E"/>
      <sheetName val="Vol F"/>
      <sheetName val="Metode Pengadaan"/>
      <sheetName val="BILL (2)"/>
      <sheetName val="Item1"/>
      <sheetName val="Item2"/>
      <sheetName val="Item4-5"/>
      <sheetName val="Item3"/>
      <sheetName val="Proses"/>
      <sheetName val="Alat DC"/>
      <sheetName val="Item6"/>
      <sheetName val="Item7"/>
      <sheetName val="Item8"/>
      <sheetName val="Item9"/>
      <sheetName val="Item10"/>
      <sheetName val="Jam Al Myr Item"/>
      <sheetName val="Jam Alat"/>
      <sheetName val="Jarak"/>
      <sheetName val="Tim &amp; Loc"/>
      <sheetName val="Gorong-2"/>
      <sheetName val="Pas-batu"/>
      <sheetName val="Ang Qua"/>
      <sheetName val="Franco BC"/>
      <sheetName val="Alat Qua."/>
      <sheetName val="crushing_pro"/>
      <sheetName val="hauling_pro"/>
      <sheetName val="mix_pro"/>
      <sheetName val="spread_pro"/>
      <sheetName val="HATSAT-KUDUS"/>
      <sheetName val="H_Satuan"/>
      <sheetName val="ANA-9"/>
      <sheetName val="ANA-4"/>
      <sheetName val="hitung alat"/>
      <sheetName val="sort"/>
      <sheetName val="S-KUASA"/>
      <sheetName val="PEN-NILAI"/>
      <sheetName val="Kuantitas kencleng"/>
      <sheetName val="Mobilisasi HRS"/>
      <sheetName val="DHSD"/>
      <sheetName val="KONFIRMASI PLAN 6a"/>
      <sheetName val="lalulintas"/>
      <sheetName val="div 2"/>
      <sheetName val="div 3"/>
      <sheetName val="div 4"/>
      <sheetName val="div 5"/>
      <sheetName val="div 6"/>
      <sheetName val="div 7"/>
      <sheetName val="div 8"/>
      <sheetName val="div 9"/>
      <sheetName val="alat usul"/>
      <sheetName val="DAFTAR GEL"/>
      <sheetName val="datakontrak"/>
      <sheetName val="DAFTARMPU"/>
      <sheetName val="Agregat Halus &amp; Kasar"/>
      <sheetName val="Agregat Kelas A"/>
      <sheetName val="Agregat Kelas B"/>
      <sheetName val="Agregat Kelas C"/>
      <sheetName val="bilang total"/>
      <sheetName val="AN TAMBAHAN 1"/>
      <sheetName val="AN TAMBAHAN 2"/>
      <sheetName val="AN TAMBAHAN 3"/>
      <sheetName val="SUPLIER"/>
      <sheetName val="alat usulan"/>
      <sheetName val="RAB 1"/>
      <sheetName val="RAB 2"/>
      <sheetName val="HARGA ALAT"/>
      <sheetName val="ANL EL 322"/>
      <sheetName val="OLD-DAFT"/>
      <sheetName val="Up Date BOW"/>
      <sheetName val="BOW"/>
      <sheetName val="Guide"/>
      <sheetName val="NEW-DAFT"/>
      <sheetName val="Bobot Rusak"/>
      <sheetName val="cover "/>
      <sheetName val="An. Alat"/>
      <sheetName val="Sekedul pak lah"/>
      <sheetName val="Pak Lah Anas tek"/>
      <sheetName val="Anas Tek"/>
      <sheetName val="Anal.Teknik"/>
      <sheetName val="Rab II"/>
      <sheetName val="Rab III"/>
      <sheetName val="Rab IV"/>
      <sheetName val="Analis OK"/>
      <sheetName val="Anl. Jl"/>
      <sheetName val="Hbh. Jl"/>
      <sheetName val="DRUP (ASLI)"/>
      <sheetName val="Pengesahan"/>
      <sheetName val="SRT.PEN"/>
      <sheetName val="REK.NEGO"/>
      <sheetName val="NEGO"/>
      <sheetName val="DIV6(2)"/>
      <sheetName val="DIV7(2)"/>
      <sheetName val="Rekap Timb. Pil."/>
      <sheetName val="Timb. Pil."/>
      <sheetName val=" Rekap P B J"/>
      <sheetName val="P B J"/>
      <sheetName val="Rekap Klas B Bahu"/>
      <sheetName val="Klas B Bahu Kiri"/>
      <sheetName val="Klas B Bahu Kanan"/>
      <sheetName val="Rekap Klas A"/>
      <sheetName val="Klas A"/>
      <sheetName val="Rekap Klas B"/>
      <sheetName val="Klas B"/>
      <sheetName val="Rekap Prime"/>
      <sheetName val="Prime"/>
      <sheetName val="Rekap AC-BC"/>
      <sheetName val="AC - BC"/>
      <sheetName val="Re-Shedule"/>
      <sheetName val="Rekap Pas. Batu Mortar"/>
      <sheetName val="Pas. Batu Mortar Kanan"/>
      <sheetName val="Rekap Gal. Biasa"/>
      <sheetName val="Gal. Biasa (box culvert)"/>
      <sheetName val="Gal. Biasa Saluran"/>
      <sheetName val="Rekap Timb. Pil"/>
      <sheetName val="Timb. Pil"/>
      <sheetName val="Rekap PBJ."/>
      <sheetName val="Rekap B Bahu"/>
      <sheetName val="B Bahu"/>
      <sheetName val="Rekap Prime Bahu"/>
      <sheetName val="Prime Bahu"/>
      <sheetName val="Rekap Kelas A"/>
      <sheetName val="Kelas A"/>
      <sheetName val="Rekap Kelas B"/>
      <sheetName val="Kelas B"/>
      <sheetName val="Rekap AC-BC (Aggregat)"/>
      <sheetName val="AC-BC (Aggregat)"/>
      <sheetName val="Rekap AC-BC (Aspal)"/>
      <sheetName val="AC-BC (Aspal)."/>
      <sheetName val="Rekap AC-BC (Filler)"/>
      <sheetName val="AC-BC (Filler)."/>
      <sheetName val="Rekap Beton K-250"/>
      <sheetName val="Beton K-250 Box Culvert"/>
      <sheetName val="Rekap Baja U24"/>
      <sheetName val="Baja U24 Box Culvert"/>
      <sheetName val="Baja U24 Plat Beton"/>
      <sheetName val="Pas.Batu Pondasi Plat Beton"/>
      <sheetName val="K-250 Plat Beton"/>
      <sheetName val="Pas. Batu Mortar Kiri"/>
      <sheetName val="Gal. Biasa Sal. Kn"/>
      <sheetName val="Gal. Biasa Sal. Kr"/>
      <sheetName val="Timb. Pilhn"/>
      <sheetName val="xy Timb. Pil"/>
      <sheetName val="Pas. Batu Mortar Kanan-1"/>
      <sheetName val="Gal. Biasa Oprit Jbt"/>
      <sheetName val="Gal. Biasa Sal. Kn-1"/>
      <sheetName val="Rekap Timb. Biasa"/>
      <sheetName val="Rekap XY m3"/>
      <sheetName val="XY"/>
      <sheetName val="Beton K-250TypeI"/>
      <sheetName val="Rekap Beton Siklop K-175"/>
      <sheetName val="Siklop K-175"/>
      <sheetName val="Baja U24 Talud TP.I"/>
      <sheetName val="Rekap Pas. Batu"/>
      <sheetName val="Pas Batu type I"/>
      <sheetName val="Pas Batu type III"/>
      <sheetName val="Pas. Batu Kanan typeII"/>
      <sheetName val="Sub Kon"/>
      <sheetName val="rer-jd"/>
      <sheetName val="smpl"/>
      <sheetName val="REKAP Penyiapan"/>
      <sheetName val="Penyiapan Bdn Jalan"/>
      <sheetName val="Rek.Tim Biasa"/>
      <sheetName val="Tim.Biasa"/>
      <sheetName val="REKAP LRP"/>
      <sheetName val="LRP"/>
      <sheetName val="AC-BC 1"/>
      <sheetName val="AC-BC 1 (2)"/>
      <sheetName val="AC-BC"/>
      <sheetName val="X,Y (Klass A)"/>
      <sheetName val="KLS A"/>
      <sheetName val="KLS B"/>
      <sheetName val="REKAP URPIL"/>
      <sheetName val="urpil"/>
      <sheetName val="REKAP Pas.Batu Mortar"/>
      <sheetName val="Pas Batu Mortar"/>
      <sheetName val="REKAP GALIAN DRAINASE"/>
      <sheetName val="Galian utk Selokan"/>
      <sheetName val="REKAP K-250"/>
      <sheetName val="K-250 PLAT PACKER"/>
      <sheetName val="REKAP BAJA"/>
      <sheetName val="PEMBESIAN PACKER"/>
      <sheetName val="REKAP TALUD"/>
      <sheetName val="PAS. BATU"/>
      <sheetName val="Pas Batu PLAT"/>
      <sheetName val="CONV-ANGKA DAN HURUF"/>
      <sheetName val="KURVA S"/>
      <sheetName val="Persentase"/>
      <sheetName val="VIEW"/>
      <sheetName val="INPUT DATA"/>
      <sheetName val="KWTS "/>
      <sheetName val="&lt;&lt; PROSES&gt;&gt;"/>
      <sheetName val="01-PESANAN"/>
      <sheetName val="02-DAF PESANAN"/>
      <sheetName val="03-PENAWARAN"/>
      <sheetName val="04-PENUNJUKAN"/>
      <sheetName val="05-SPK"/>
      <sheetName val="06-BAPB-SPK"/>
      <sheetName val="06-BAPB-PESANAN"/>
      <sheetName val="07-BAST"/>
      <sheetName val="08-BERITA ACARA PEMBAYARAN"/>
      <sheetName val="KULIT"/>
      <sheetName val="BAP"/>
      <sheetName val="KW"/>
      <sheetName val="BAST"/>
      <sheetName val="BAPB"/>
      <sheetName val="Bogor 27-Sep-2012"/>
      <sheetName val="est2013"/>
      <sheetName val="tUnit"/>
      <sheetName val="Cascading"/>
      <sheetName val="rayon"/>
      <sheetName val="sek"/>
      <sheetName val="ul"/>
      <sheetName val="area"/>
      <sheetName val="Eva BA"/>
      <sheetName val="Index web"/>
      <sheetName val="PLN"/>
      <sheetName val="BA2 Ind"/>
      <sheetName val="BA2 Eng"/>
      <sheetName val="BA1"/>
      <sheetName val="CDO"/>
      <sheetName val="PLB (2)"/>
      <sheetName val="LHT (2)"/>
      <sheetName val="G. W_Cab"/>
      <sheetName val="Target (2)"/>
      <sheetName val="MONITOR-SUSUT"/>
      <sheetName val="LHT"/>
      <sheetName val="JBI"/>
      <sheetName val="BKL"/>
      <sheetName val="WS2JB_KIRIM"/>
      <sheetName val="Rek_WS2JB"/>
      <sheetName val="Rek_PLB"/>
      <sheetName val="Rek_LHT "/>
      <sheetName val="Rek_JBI "/>
      <sheetName val="Rek_BKL "/>
      <sheetName val="Mon_kWh Lur"/>
      <sheetName val="Data_KPUB"/>
      <sheetName val="PLN-2"/>
      <sheetName val="PLN-1"/>
      <sheetName val="Invoice U2"/>
      <sheetName val="Invoice U1"/>
      <sheetName val="BA Ind"/>
      <sheetName val="BA Eng"/>
      <sheetName val="BA-1"/>
      <sheetName val="C-1"/>
      <sheetName val="C-2"/>
      <sheetName val="D-2"/>
      <sheetName val="RL-BPP"/>
      <sheetName val="Asumsi "/>
      <sheetName val="Harga BBM"/>
      <sheetName val="SubLis-07"/>
      <sheetName val="Rekap Sublis"/>
      <sheetName val="Rekap BPP"/>
      <sheetName val="D"/>
      <sheetName val="F"/>
      <sheetName val="H"/>
      <sheetName val="J"/>
      <sheetName val="K"/>
      <sheetName val="By Non BPP-06"/>
      <sheetName val="LRAnak"/>
      <sheetName val="KWHJUAL"/>
      <sheetName val="Indk"/>
      <sheetName val="Debcap"/>
      <sheetName val="asumsi-org"/>
      <sheetName val="RAB pnw"/>
      <sheetName val="Mobilisasi-pnw"/>
      <sheetName val="Land Clearing-pnw"/>
      <sheetName val="Cut &amp; Fill-pnw"/>
      <sheetName val="Peralatan-pnw"/>
      <sheetName val="BA Hasil Evaluasi"/>
      <sheetName val="PENGALAM PERUS"/>
      <sheetName val="PENGALAMAN TA(A3)"/>
      <sheetName val="PENGALAMAN TA(A4)"/>
      <sheetName val="Beltra  (7)"/>
      <sheetName val="ARchimedia"/>
      <sheetName val="Multi struktur"/>
      <sheetName val="Ariman"/>
      <sheetName val="Latimojong"/>
      <sheetName val="Cipta Bina Tirta"/>
      <sheetName val="Kharisma Cipta Utama"/>
      <sheetName val="penyulang"/>
      <sheetName val="har 70"/>
      <sheetName val="har 150"/>
      <sheetName val="GGN TRANS 150"/>
      <sheetName val="GGN TRANS 70"/>
      <sheetName val="GGN-PENYULANG"/>
      <sheetName val="GGN-TRANSMISI-07"/>
      <sheetName val="GGN-KIT-07"/>
      <sheetName val="KINERJA KIT"/>
      <sheetName val="GGN TRANS"/>
      <sheetName val="DATA-BASE SUTT"/>
      <sheetName val="TRF-07"/>
      <sheetName val="ALT II (CABANG)"/>
      <sheetName val="ALT I (CABANG)"/>
      <sheetName val="Simulasi"/>
      <sheetName val="beban"/>
      <sheetName val="ALT I"/>
      <sheetName val="ALT II"/>
      <sheetName val="ALT III"/>
      <sheetName val="REkap awal"/>
      <sheetName val="REKAP GAB "/>
      <sheetName val="REKAP BJM"/>
      <sheetName val="FORM A1 BJM"/>
      <sheetName val="REKAP PRY"/>
      <sheetName val="REKAP BRB"/>
      <sheetName val="FORM A1 BRB"/>
      <sheetName val="REKAP KLP"/>
      <sheetName val="FORM A1 KLP"/>
      <sheetName val="REKAP KTB"/>
      <sheetName val="AI 1 CAB KTB 2007 "/>
      <sheetName val="sum PRY"/>
      <sheetName val="A1 PRY"/>
      <sheetName val="BLKRAB"/>
      <sheetName val="hps mo"/>
      <sheetName val="MTDANA"/>
      <sheetName val="RAB MO"/>
      <sheetName val="ANALISA BARANG"/>
      <sheetName val="ANALISA JASA"/>
      <sheetName val="BARANG"/>
      <sheetName val="MATERIAL3"/>
      <sheetName val="DataBaru"/>
      <sheetName val="Cek Per Pegawai"/>
      <sheetName val="CUTI (Rp)"/>
      <sheetName val="CUTI BESAR (Rp)"/>
      <sheetName val="BULAN WINDUAN"/>
      <sheetName val="WINDUAN 2 (Rp)"/>
      <sheetName val="WINDUAN 3 (Rp)"/>
      <sheetName val="WINDUAN 4 (Rp)"/>
      <sheetName val="MASA KERJA"/>
      <sheetName val="THR (Rp)"/>
      <sheetName val="THRBaru"/>
      <sheetName val="THRBaru (Rp) "/>
      <sheetName val="ACUANBARU"/>
      <sheetName val="Tunj. Jabatan (TKJ)"/>
      <sheetName val="Cuti Tahunan &amp; Cuti Besar"/>
      <sheetName val="2 WINDU, 3 WINDU, 4 WINDU"/>
      <sheetName val="THR (2)"/>
      <sheetName val="AO + AI"/>
      <sheetName val="FINAL"/>
      <sheetName val="PRA"/>
      <sheetName val="KIN2001"/>
      <sheetName val="UB"/>
      <sheetName val="BBRT"/>
      <sheetName val="BBJM"/>
      <sheetName val="BBRB"/>
      <sheetName val="BKTB"/>
      <sheetName val="BKPS"/>
      <sheetName val="BPRY"/>
      <sheetName val="BMHK"/>
      <sheetName val="BSMD"/>
      <sheetName val="BBPP"/>
      <sheetName val="BTRK"/>
      <sheetName val="RANK"/>
      <sheetName val="PRA (2)"/>
      <sheetName val="UPB (2)"/>
      <sheetName val="BJM(2)"/>
      <sheetName val="UPB (3)"/>
      <sheetName val="BRT (3)"/>
      <sheetName val="BJM (3)"/>
      <sheetName val="PRA (3)"/>
      <sheetName val="UPB"/>
      <sheetName val="SAA"/>
      <sheetName val="BRT"/>
      <sheetName val="BJM"/>
      <sheetName val="BRB"/>
      <sheetName val="KTB"/>
      <sheetName val="PRY"/>
      <sheetName val="WTRK"/>
      <sheetName val="WKT"/>
      <sheetName val="UBKSTT"/>
      <sheetName val="Lembur"/>
      <sheetName val="Final - 1 Tahun (Format Baru)"/>
      <sheetName val="Final-Triwulanan (Format Baru)"/>
      <sheetName val="Rekap lap Th 2008"/>
      <sheetName val="Devi"/>
      <sheetName val="Dt Asmandis"/>
      <sheetName val="Monitor Laporan"/>
      <sheetName val="MCB"/>
      <sheetName val="Kur CT-DC"/>
      <sheetName val="RAB CT-DC"/>
      <sheetName val="Kur DC-CT"/>
      <sheetName val="RAB DC-CT"/>
      <sheetName val="Op CT TR"/>
      <sheetName val="RAB OPS CT TR"/>
      <sheetName val="Ops CT TM"/>
      <sheetName val="RAB OPS CT TM"/>
      <sheetName val="SISTEM SUMBAGSEL"/>
      <sheetName val="DSCR"/>
      <sheetName val="CF Akt"/>
      <sheetName val="An Cash Invest"/>
      <sheetName val="Analisa CF"/>
      <sheetName val="L2IPP"/>
      <sheetName val="L2IPP-konsep"/>
      <sheetName val="L4Sewa"/>
      <sheetName val="L6AngEP"/>
      <sheetName val="L7NE"/>
      <sheetName val="L8Prod"/>
      <sheetName val="L9Har"/>
      <sheetName val="L10Peg"/>
      <sheetName val="L11Depr"/>
      <sheetName val="L31BPPHolding"/>
      <sheetName val="L27Keu"/>
      <sheetName val="L29ISAK8"/>
      <sheetName val="2013"/>
      <sheetName val="L30LRRegion"/>
      <sheetName val="L31ButuhPSO"/>
      <sheetName val="T8LPE"/>
      <sheetName val="T9KompPSO"/>
      <sheetName val="T10SDPD"/>
      <sheetName val="Pendanaan Investasi"/>
      <sheetName val="T12LRAP"/>
      <sheetName val="T13NRCAP"/>
      <sheetName val="BPP JB"/>
      <sheetName val="BPP IB"/>
      <sheetName val="BPP IT"/>
      <sheetName val="LR Presentasi"/>
      <sheetName val="Pendapatan&amp;Penjualan"/>
      <sheetName val="L4-BP"/>
      <sheetName val="T-Prod Vol dan Biaya"/>
      <sheetName val="rkap2009"/>
      <sheetName val="Uang Lembur"/>
      <sheetName val="Final - 1 Tahun (Format Lama)"/>
      <sheetName val="Final-Triwulanan (Format Lama)"/>
      <sheetName val="Final Bulanan (Format Lama)"/>
      <sheetName val="Anggaran 3P (Format Baru)"/>
      <sheetName val="Angg RKAP 2009 Tahunan FINAL"/>
      <sheetName val="Angg  2009 Trw. FINAL"/>
      <sheetName val="Angg  2009 Bulanan FINAL"/>
      <sheetName val="Data Tbhn"/>
      <sheetName val="CMK"/>
      <sheetName val="Rekap Cetak"/>
      <sheetName val="JAN 11"/>
      <sheetName val="FEB 11"/>
      <sheetName val="MAR 11"/>
      <sheetName val="APR 11"/>
      <sheetName val="MEI 11"/>
      <sheetName val="JUN 11"/>
      <sheetName val="JUL 11"/>
      <sheetName val="AGS 11"/>
      <sheetName val="SEP 11"/>
      <sheetName val="OKT 11"/>
      <sheetName val="NOV 11"/>
      <sheetName val="DES 11"/>
      <sheetName val="Lamp 1-6"/>
      <sheetName val="Lamp. 3 (Diagram Alir)"/>
      <sheetName val="Grafik Susut"/>
      <sheetName val="Coal 2014"/>
      <sheetName val="Hitung HBA"/>
      <sheetName val="Hitung HBA (2)"/>
      <sheetName val="Kurs Dollar"/>
      <sheetName val="Data HBA"/>
      <sheetName val="Data PKB"/>
      <sheetName val="R-SM-KIN"/>
      <sheetName val="R_SM_KIN"/>
      <sheetName val="R-SM-KIN-PRO-JAWAB (2)"/>
      <sheetName val="R-SM-KIN-PRO-JAWAB"/>
      <sheetName val="forcat-KIN-th"/>
      <sheetName val="forcast-jam-tt "/>
      <sheetName val="forcest th"/>
      <sheetName val="sm-2"/>
      <sheetName val="SM-1"/>
      <sheetName val="MEI "/>
      <sheetName val="jan-april "/>
      <sheetName val="APR "/>
      <sheetName val=" (TW-1) "/>
      <sheetName val="PEB "/>
      <sheetName val="JAN "/>
      <sheetName val="R-SM-BB "/>
      <sheetName val="R-SM-JAM"/>
      <sheetName val="R-SM-KIN-PRO"/>
      <sheetName val="R-SM-JAM-PRO"/>
      <sheetName val="PR-TH"/>
      <sheetName val="KIN-TH"/>
      <sheetName val="pro"/>
      <sheetName val="BiPeg-Fungsi"/>
      <sheetName val="BPP PLN"/>
      <sheetName val="LOGSHEET_RESUME"/>
      <sheetName val="LOGRESUME"/>
      <sheetName val="LOGSHEET_AM"/>
      <sheetName val="LOGSHEET_PM"/>
      <sheetName val="mesin"/>
      <sheetName val="mesin_dispatch"/>
      <sheetName val="EREV_PLAN"/>
      <sheetName val="Price"/>
      <sheetName val="TRADING_EVA"/>
      <sheetName val="Alokasi-06"/>
      <sheetName val="MASTER 2"/>
      <sheetName val="Growth 6 % - P3B (PLTGU + BBM)"/>
      <sheetName val="Break Down Produksi"/>
      <sheetName val="Break Down Biaya Kimia,Air"/>
      <sheetName val="Break Down Biaya M.Plmas "/>
      <sheetName val="Break Down Vol. M.Plmas"/>
      <sheetName val="Break Down Biaya BBM "/>
      <sheetName val="Break Down Volume BBM"/>
      <sheetName val="Break Down Ppenjualan"/>
      <sheetName val="Eff.Thermal"/>
      <sheetName val="RKA 2010"/>
      <sheetName val="TW Periodik"/>
      <sheetName val="TW Khusus"/>
      <sheetName val="TW Rutin"/>
      <sheetName val="PLTGU_rut"/>
      <sheetName val="PLTGU_per"/>
      <sheetName val="PLTGU_khu"/>
      <sheetName val="PLTU_rut"/>
      <sheetName val="PLTU_per"/>
      <sheetName val="PLTU_khu"/>
      <sheetName val="PLTG_rut"/>
      <sheetName val="PLTG_per"/>
      <sheetName val="PLTG_khu"/>
      <sheetName val="PLTD_rut"/>
      <sheetName val="PLTD_per"/>
      <sheetName val="PLTD_khu"/>
      <sheetName val="Fungsi Clearing_Rut"/>
      <sheetName val="Fungsi Clearing_khu"/>
      <sheetName val="Har-TGP_BA"/>
      <sheetName val="APK&amp;K3"/>
      <sheetName val="mo_pel"/>
      <sheetName val="mo_filt"/>
      <sheetName val="Pek"/>
      <sheetName val="mo_umum"/>
      <sheetName val="Kimia Lab"/>
      <sheetName val="BA Transaction"/>
      <sheetName val="Download_Cover"/>
      <sheetName val="Download_Data"/>
      <sheetName val="Dispitute Oct-04_Jan-05"/>
      <sheetName val="Dispute Record Units 1-3"/>
      <sheetName val="Input GENERATION-DATA"/>
      <sheetName val="Monthly BA-2 Units 1-3"/>
      <sheetName val="Monthly BA-2 Units 1-3 Oct-04"/>
      <sheetName val="Monthly BA-2 Units 1-3 Nov-04"/>
      <sheetName val="Monthly BA-2 Units 1-3 Dec-04"/>
      <sheetName val="Monthly BA-2 Units 1-3 Jan-05"/>
      <sheetName val="Monthly BA-2 Units 4-6"/>
      <sheetName val="CoMU1-3 "/>
      <sheetName val="CoMU4-6"/>
      <sheetName val="PLNMU 1-3"/>
      <sheetName val="PLNMU 4-6"/>
      <sheetName val="Summary BA-2 Units 1-3"/>
      <sheetName val="SAYS"/>
      <sheetName val="REVENUE_SUMMARY"/>
      <sheetName val="Summary BA-2 Units 4-6"/>
      <sheetName val="KasInv"/>
      <sheetName val="InvOLD"/>
      <sheetName val="Sudah Berjalan"/>
      <sheetName val="Rencana Penambahan"/>
      <sheetName val="acc"/>
      <sheetName val="least"/>
      <sheetName val="urgen"/>
      <sheetName val="CM BAG TIMUR"/>
      <sheetName val="prod03"/>
      <sheetName val="Kinerja bulanan (2)"/>
      <sheetName val="Kinerja bulanan"/>
      <sheetName val="data bbm &amp;produksi"/>
      <sheetName val="gang-kit"/>
      <sheetName val="24JAM OPERASI PLTG"/>
      <sheetName val="4 JAM OPERASI PLTG"/>
      <sheetName val="4 JAM OPERASI 15 hari"/>
      <sheetName val="24JAM OPR 2 UNIT PLTG"/>
      <sheetName val="REA LABA"/>
      <sheetName val="pltg 24 jam op"/>
      <sheetName val="FULL NOP"/>
      <sheetName val="PLTG 4 jam op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KWH (2)"/>
      <sheetName val="SWITCH PEK (2)"/>
      <sheetName val="Kurva Beban"/>
      <sheetName val="BEBAN 2"/>
      <sheetName val="BEBAN 1"/>
      <sheetName val="SWITCH KIT"/>
      <sheetName val="SWITCH PEK"/>
      <sheetName val="Isi disini kit"/>
      <sheetName val="DAYA MAMPU"/>
      <sheetName val="DAYA SEDIA"/>
      <sheetName val="KIT1"/>
      <sheetName val="KIT2"/>
      <sheetName val="Entry LF Siang"/>
      <sheetName val="Entry LF Malam"/>
      <sheetName val="GI Tertinggi"/>
      <sheetName val="Cetak LF1"/>
      <sheetName val="Cetak LF2"/>
      <sheetName val="Cetak LF3"/>
      <sheetName val="Cetak LF4"/>
      <sheetName val="AktivaTetap(1A1)"/>
      <sheetName val="AktivaTetap(1A2)"/>
      <sheetName val="AkumAT(1B1)"/>
      <sheetName val="AkumAT(1B2)"/>
      <sheetName val="Aktiva Tetap (1C)"/>
      <sheetName val="PDPKonstruksi(2A1)"/>
      <sheetName val="PDPKonstruksi(2A2)"/>
      <sheetName val="PDPMaterial(2B1)"/>
      <sheetName val="PDPMaterial(2B2)"/>
      <sheetName val="PDP (2C)"/>
      <sheetName val="PDPDimuka(2D)"/>
      <sheetName val="Penyertaan(3)"/>
      <sheetName val="ATTB(4A1)"/>
      <sheetName val="ATTB(4A2)"/>
      <sheetName val="AkumATTB(4B1)"/>
      <sheetName val="AkumATTB(4B2)"/>
      <sheetName val="MatHapus(4C)"/>
      <sheetName val="ATBM (4D1)"/>
      <sheetName val="ATBM (4D2)"/>
      <sheetName val="PiutangLL(4E)"/>
      <sheetName val="BiDitghkan(4F)"/>
      <sheetName val="BDD&amp;UM(4G)"/>
      <sheetName val="BDD&amp;UMLain(4G1)"/>
      <sheetName val="AktivaLLJP(4H)"/>
      <sheetName val="Cash&amp;Bank(5A)"/>
      <sheetName val="DpsK3bln(5A1)"/>
      <sheetName val="InvestasiSementara(5A2)"/>
      <sheetName val="PiutangUsahaNetto(5B)"/>
      <sheetName val="PiutLangg-U(5B1)"/>
      <sheetName val="MatHar(5D)"/>
      <sheetName val="PembayDPajak(5E)"/>
      <sheetName val="PiutangLLLancar(5F)"/>
      <sheetName val="AktivaLLLancar(5G)"/>
      <sheetName val="Ekuitas(6A)"/>
      <sheetName val="BantuanLN(6B)"/>
      <sheetName val="AkunPenutup(7A)"/>
      <sheetName val="PendBP(8A)"/>
      <sheetName val="DaftarBP(8B)"/>
      <sheetName val="KewajibanJP(9A)"/>
      <sheetName val="PkRp(9A1)"/>
      <sheetName val="PkVal(9A2)"/>
      <sheetName val="ByDkpRp(9B)"/>
      <sheetName val="HutBank-3(9C)"/>
      <sheetName val="UtBiProy(9D)"/>
      <sheetName val="UtangUsh(10A1)"/>
      <sheetName val="Pensiun(10B1)"/>
      <sheetName val="UT-Pajak(10C)"/>
      <sheetName val="UT-LLJP(10D)"/>
      <sheetName val="UtangBiaya(10E)"/>
      <sheetName val="UtangBiaya(10E1)"/>
      <sheetName val="PinjamanJKPJTempo(10F)"/>
      <sheetName val="PkJtRp(10F1)"/>
      <sheetName val="PkJtVal(10F2)"/>
      <sheetName val="ByDkpJtRp(10G)"/>
      <sheetName val="RKAP2004"/>
      <sheetName val="Pen.Non Pjk"/>
      <sheetName val="Penerimaan"/>
      <sheetName val="Bayar"/>
      <sheetName val="RAB (2)"/>
      <sheetName val="COMMISONING"/>
      <sheetName val="KINsd2004"/>
      <sheetName val="bara"/>
      <sheetName val="FAC "/>
      <sheetName val="DI "/>
      <sheetName val="MANUAL"/>
      <sheetName val="Ind_kit_BLN"/>
      <sheetName val="Ind_Eff_kit_bln"/>
      <sheetName val="FORM 13 2"/>
      <sheetName val="FJK-pltg 8"/>
      <sheetName val="Form 14 3"/>
      <sheetName val="FAKTOR_KIT 6"/>
      <sheetName val="data pgsh pltu-g 5"/>
      <sheetName val="GG"/>
      <sheetName val="GangU1"/>
      <sheetName val="GangU2"/>
      <sheetName val="gangG1"/>
      <sheetName val="gangG2"/>
      <sheetName val="gangG3"/>
      <sheetName val="Kinerja thn"/>
      <sheetName val="Kinerja trw"/>
      <sheetName val="DATA-KWH UPT"/>
      <sheetName val="DATA-KWH KIT"/>
      <sheetName val="Digital"/>
      <sheetName val="BAjan"/>
      <sheetName val="BAfeb"/>
      <sheetName val="BAmar"/>
      <sheetName val="BAapril"/>
      <sheetName val="BA mei"/>
      <sheetName val="BAjuni"/>
      <sheetName val="BA JULI"/>
      <sheetName val="BA AGT"/>
      <sheetName val="FJK-pltu 7"/>
      <sheetName val="JAM"/>
      <sheetName val="12 RB"/>
      <sheetName val="DATA-KWH UPT ANALOG"/>
      <sheetName val="GRAFIK1"/>
      <sheetName val="CEK PS"/>
      <sheetName val="SOMB"/>
      <sheetName val="pengu gajah (2)"/>
      <sheetName val="TE '05"/>
      <sheetName val="KIN -2005 BLN"/>
      <sheetName val="L-R TW III PERBULAN"/>
      <sheetName val="TARGET L-R 3 TW"/>
      <sheetName val="REAL PERBULAN"/>
      <sheetName val="TE '04"/>
      <sheetName val="KIN -2005 BLN "/>
      <sheetName val="KIN -2004 3 BLN"/>
      <sheetName val="NRC PERBULAN"/>
      <sheetName val="SAIFI"/>
      <sheetName val="SAIDI  (2)"/>
      <sheetName val="Losses _form_baru (2)"/>
      <sheetName val="Saidi-saifi-2003"/>
      <sheetName val="Cab.T.krg"/>
      <sheetName val="Cab.Mtr"/>
      <sheetName val="Cab.Ktb"/>
      <sheetName val="Grafik Cab.T.krg"/>
      <sheetName val="Grafik Mtr"/>
      <sheetName val="Grafik ktb"/>
      <sheetName val="Grafik Wil"/>
      <sheetName val="WIL Trgt 293,4"/>
      <sheetName val="Saidi-saifi WIL2004"/>
      <sheetName val="coverPS"/>
      <sheetName val="RENDIK 08"/>
      <sheetName val="Rendik07"/>
      <sheetName val="RekapPS"/>
      <sheetName val="TinPS#1"/>
      <sheetName val="TinPS#2"/>
      <sheetName val="TinPS#4"/>
      <sheetName val="TinPS#5"/>
      <sheetName val="TinPS#6"/>
      <sheetName val="TinPS#7"/>
      <sheetName val="Tin#ksg7-Niigata"/>
      <sheetName val="DikMO#1"/>
      <sheetName val="DikTO#2"/>
      <sheetName val="DikMO#7"/>
      <sheetName val="SUSps"/>
      <sheetName val="AI-PS"/>
      <sheetName val="coverSJ"/>
      <sheetName val="RekapSJ"/>
      <sheetName val="Rendik-SJ"/>
      <sheetName val="matrutinsj#1"/>
      <sheetName val="matrutinsj#2"/>
      <sheetName val="SO1"/>
      <sheetName val="TO2"/>
      <sheetName val="SUSsj "/>
      <sheetName val="AI-SJ"/>
      <sheetName val="RKAPHAR 05"/>
      <sheetName val="HARDIKMUSKM"/>
      <sheetName val="HARDIKMOSKM"/>
      <sheetName val="RUTINSKM"/>
      <sheetName val="KHUSUSSKM"/>
      <sheetName val="MUTOSULI"/>
      <sheetName val="SPPTOSUL1"/>
      <sheetName val="SPPTOSWD"/>
      <sheetName val="MUTOSWD"/>
      <sheetName val="SPPMOSUL2"/>
      <sheetName val="MUMOSUL2"/>
      <sheetName val="RUTINPB"/>
      <sheetName val="KHUSUSPB"/>
      <sheetName val="MUAISFAC"/>
      <sheetName val="MUAIHYA"/>
      <sheetName val="SPPAITES"/>
      <sheetName val="RUTIN TES"/>
      <sheetName val="KHUSUS TES"/>
      <sheetName val="ANGINVKIT2005"/>
      <sheetName val="Fungsi Sarana"/>
      <sheetName val="Harsus PLTA "/>
      <sheetName val="Harsus PLTD"/>
      <sheetName val="RUTIN- PLTD"/>
      <sheetName val="RUTIN-PLTA"/>
      <sheetName val="UKL-UPL SKMD"/>
      <sheetName val="UKL-UPL BAAI"/>
      <sheetName val="Rekap_PLTD SKM"/>
      <sheetName val="Rekap_PLTD BAAI "/>
      <sheetName val="Rekap_PLTA"/>
      <sheetName val="Hydro Art"/>
      <sheetName val="SFAC_Tes"/>
      <sheetName val="SWD_PBAAI "/>
      <sheetName val="Mirrless_PBAAI"/>
      <sheetName val="Sulzer_PBAAI"/>
      <sheetName val="Cockerill_SKM"/>
      <sheetName val="Mirrless_SKM"/>
      <sheetName val="CASHFLOW-TRIWULAN"/>
      <sheetName val="Tragi"/>
      <sheetName val="Har_Sus"/>
      <sheetName val="REN.HAR"/>
      <sheetName val="REN.OP"/>
      <sheetName val="RUTIN.TU"/>
      <sheetName val="KHUSUS"/>
      <sheetName val="RUTIN PLTA (2007)"/>
      <sheetName val="rutin-pltd (2007)"/>
      <sheetName val="REKAP-PLTA+PLTD"/>
      <sheetName val="PERIODIK_PLTA"/>
      <sheetName val="PERIODIK_PLTD"/>
      <sheetName val="INVESTASI DISETUJUI"/>
      <sheetName val="AO"/>
      <sheetName val="M utama GI Hydro Art 1,3,4"/>
      <sheetName val="Hydro GI M kecil 1,3,4 "/>
      <sheetName val="M utama MO Hydro Art 2"/>
      <sheetName val="M kecil Hydro MO 2"/>
      <sheetName val="Rutin PLTA TES (2007)"/>
      <sheetName val="Non Rutin PLTA Tes 2007"/>
      <sheetName val="RUTIN PLTA MUSI 2007"/>
      <sheetName val="NON RUTIN MUSI 2007"/>
      <sheetName val="Rutin SKM (2007)"/>
      <sheetName val="Non Rutin SKM2007"/>
      <sheetName val="Priodik Mirrless2B p baai"/>
      <sheetName val="Priodik Mirrless p baai"/>
      <sheetName val="Rutin Baai  (2007)"/>
      <sheetName val="Non Rutin Baai 2007"/>
      <sheetName val="REN PRIODIK"/>
      <sheetName val="JADHARDIKKIT2006"/>
      <sheetName val="JADHARTINKIT"/>
      <sheetName val="PB06 baru "/>
      <sheetName val="SKM06 baru "/>
      <sheetName val="TA06 baru"/>
      <sheetName val="RRD"/>
      <sheetName val="REKAP RUTIN"/>
      <sheetName val="RUTIN MUSI"/>
      <sheetName val="NON RUTIN MUSI"/>
      <sheetName val="Non Rutin TES"/>
      <sheetName val="Rutin SKM"/>
      <sheetName val="Non Rutin SKM"/>
      <sheetName val="Rutin Baai"/>
      <sheetName val="Non Rutin Baai"/>
      <sheetName val="Priodik Sulzer 2 Baai"/>
      <sheetName val="INVESTASI TU"/>
      <sheetName val="INVESTASI-KIT"/>
      <sheetName val="Priodik Hydro Art 1,2&amp;3"/>
      <sheetName val="Priodik PLTA TES"/>
      <sheetName val="Rutin PLTA TES"/>
      <sheetName val="Non Rutin PLTA Tes"/>
      <sheetName val="Priodik Mirrless2 SKM"/>
      <sheetName val="Priodik Mirrless2B SKM (2)"/>
      <sheetName val="Pri Mir 3 TO"/>
      <sheetName val="Priodik SWD BAAI"/>
      <sheetName val="PRIODIK SWD_B BAAI"/>
      <sheetName val="Priodik Sulzer 2B Baai"/>
      <sheetName val="Rutin Baai "/>
      <sheetName val="JADHARDIKKIT"/>
      <sheetName val="JADHARDIK-RKAP (2)"/>
      <sheetName val="JADHARDIK-RKAP"/>
      <sheetName val="POINT12"/>
      <sheetName val="PB06"/>
      <sheetName val="SKM06 (2)"/>
      <sheetName val="TA06 "/>
      <sheetName val="Rekap Har"/>
      <sheetName val="rutin-pltd"/>
      <sheetName val="REKAP-PLTA (2)"/>
      <sheetName val="renhardik"/>
      <sheetName val="REKAP-PLTD"/>
      <sheetName val="REKAP-PLTA"/>
      <sheetName val="omb09"/>
      <sheetName val="Target Kinerja010bln"/>
      <sheetName val="MASTER BLN SD"/>
      <sheetName val="MASTER BLN"/>
      <sheetName val="JAM KIT"/>
      <sheetName val="MASTER"/>
      <sheetName val="MASTERTRIWULAN"/>
      <sheetName val="Target Kinerja"/>
      <sheetName val="LABA-RUGI (2)"/>
      <sheetName val="BUKU HIJAU SOMB-AO09"/>
      <sheetName val="Target Kinerja10"/>
      <sheetName val="Target TW"/>
      <sheetName val="Target Kinerja09 (2)"/>
      <sheetName val="KinTW"/>
      <sheetName val="surat REVISI"/>
      <sheetName val="bkl (SK099)"/>
      <sheetName val="KinTW (2)"/>
      <sheetName val="LR 21"/>
      <sheetName val="LR (2)"/>
      <sheetName val="DATA_akuntansi"/>
      <sheetName val="DATA_kwh (sk099)"/>
      <sheetName val="DATA_kwh"/>
      <sheetName val="DATA_BB"/>
      <sheetName val="DATA_pelumas"/>
      <sheetName val="Susut Trafo KIT"/>
      <sheetName val="Juni_2010 KITSBS utk LM"/>
      <sheetName val="Juni_2010 KITSBS"/>
      <sheetName val="Juni_2010 SKRM"/>
      <sheetName val="Juni_2010 SJMB"/>
      <sheetName val="Juni_2010 SBAM"/>
      <sheetName val="Juni_2010 SBKL"/>
      <sheetName val="Juni_2010 SOMB"/>
      <sheetName val="Juni_2010 SBKT"/>
      <sheetName val="Juni_2010 SBDL"/>
      <sheetName val="Juni_2010 STAR"/>
      <sheetName val="PENILAIAN KINERJA"/>
      <sheetName val="TARGET KINERJA 2010"/>
      <sheetName val="PENCAPAIAN KINERJA"/>
      <sheetName val="12 RB (2)"/>
      <sheetName val="DATA-KWH UPT baru"/>
      <sheetName val="BA baru"/>
      <sheetName val="DATA-KWH UPT ZUARMAN"/>
      <sheetName val="JANUARI"/>
      <sheetName val="NOPEMBER"/>
      <sheetName val="KIN-2010 PER bln"/>
      <sheetName val="KIN -2010 PRINT"/>
      <sheetName val="KIN -2010 BLN"/>
      <sheetName val="GAB ()"/>
      <sheetName val="PS per Fungsi"/>
      <sheetName val="BB"/>
      <sheetName val="Rasio Energi"/>
      <sheetName val="Terpasang"/>
      <sheetName val="Mampu"/>
      <sheetName val="j-period"/>
      <sheetName val="j-kerja"/>
      <sheetName val="j-har"/>
      <sheetName val="j-gangg"/>
      <sheetName val="SdOF"/>
      <sheetName val="j-Drtg EFDH"/>
      <sheetName val="HarxDM"/>
      <sheetName val="PrdxDM"/>
      <sheetName val="SOF"/>
      <sheetName val="HR-KIT"/>
      <sheetName val="HEAT RATE"/>
      <sheetName val="Tara Kalor Sektor"/>
      <sheetName val="tarakalor-sumary"/>
      <sheetName val="SFC"/>
      <sheetName val="SLC"/>
      <sheetName val="j-stdby"/>
      <sheetName val="POF"/>
      <sheetName val="INPUT QPR"/>
      <sheetName val="LPTK"/>
      <sheetName val="FOR"/>
      <sheetName val="Kin Keu TW"/>
      <sheetName val="NrcTW"/>
      <sheetName val="LRTW"/>
      <sheetName val="Oli"/>
      <sheetName val="KIN KEU"/>
      <sheetName val="Oli "/>
      <sheetName val="SLOC"/>
      <sheetName val="FDH"/>
      <sheetName val="DFDH"/>
      <sheetName val="PDH"/>
      <sheetName val="DPDH"/>
      <sheetName val="EPDH"/>
      <sheetName val="EFDHRS"/>
      <sheetName val="jst,jkXdmn"/>
      <sheetName val="jpXdmn"/>
      <sheetName val="jggn,efdhxdmn"/>
      <sheetName val="jk,jggnxdmn"/>
      <sheetName val="Energi-12 utk RKAP"/>
      <sheetName val="Energi-12 banding dengan 11"/>
      <sheetName val="dd ep"/>
      <sheetName val="12rbkum"/>
      <sheetName val="12rbtw1"/>
      <sheetName val="12rbtw2"/>
      <sheetName val="12rbtw3"/>
      <sheetName val="VolumBBM-12"/>
      <sheetName val="VolumBBM-12 tw1"/>
      <sheetName val="VolumBBM-12 tw2"/>
      <sheetName val="VolumBBM-12 tw3"/>
      <sheetName val="BiayaBBM-12"/>
      <sheetName val="BiayaBBM-12 tw1"/>
      <sheetName val="BiayaBBM-12 tw2"/>
      <sheetName val="BiayaBBM-12 tw3"/>
      <sheetName val="kimia"/>
      <sheetName val="Energi-12"/>
      <sheetName val="Resum-12"/>
      <sheetName val="Resum-12 tw1"/>
      <sheetName val="Resum-12 tw2"/>
      <sheetName val="Resum-12 tw3"/>
      <sheetName val="asumsi kwh"/>
      <sheetName val="Draft_rkap2012_RugiLaba"/>
      <sheetName val="Draft_rkap2012_RugiLaba (2)"/>
      <sheetName val="2012"/>
      <sheetName val="2012 REV"/>
      <sheetName val="LAMP_1"/>
      <sheetName val="LAMP_2"/>
      <sheetName val="LAMP_3"/>
      <sheetName val="LAMP_4"/>
      <sheetName val="LAMP_5"/>
      <sheetName val="LAMP_7"/>
      <sheetName val="BALANCING"/>
      <sheetName val="TO 5000"/>
      <sheetName val="SO10000"/>
      <sheetName val="SO10000 (2)"/>
      <sheetName val="MO"/>
      <sheetName val="MO (2)"/>
      <sheetName val="WKSKT"/>
      <sheetName val="Instalasi-Pembangkit"/>
      <sheetName val="Instalasi-Transmisi"/>
      <sheetName val="Instalasi-Telekomunikasi"/>
      <sheetName val="Instalasi-TID"/>
      <sheetName val="Daftar Kegiatan"/>
      <sheetName val="Skor"/>
      <sheetName val="PRINT"/>
      <sheetName val="WBS"/>
      <sheetName val="WPL"/>
      <sheetName val="Aje&amp;Rje"/>
      <sheetName val="G1"/>
      <sheetName val="H1-A"/>
      <sheetName val="H1-B"/>
      <sheetName val="H1-C"/>
      <sheetName val="I1-A"/>
      <sheetName val="I1-B"/>
      <sheetName val="J1"/>
      <sheetName val="K1"/>
      <sheetName val="L1-A1"/>
      <sheetName val="L1-A2"/>
      <sheetName val="L1-B"/>
      <sheetName val="L1-C"/>
      <sheetName val="N1"/>
      <sheetName val="CIT"/>
      <sheetName val="COGS Segment"/>
      <sheetName val="COGS"/>
      <sheetName val="TBDEC03"/>
      <sheetName val="TBOCT03"/>
      <sheetName val="TBDEC02"/>
      <sheetName val="COA"/>
      <sheetName val="AP-PLANNING"/>
      <sheetName val="Materiality"/>
      <sheetName val="GT_Custom"/>
      <sheetName val="Related Party Transaction"/>
      <sheetName val="Penj ~ bpp "/>
      <sheetName val="TB SAMP"/>
      <sheetName val="TB Consol"/>
      <sheetName val="Lap Keu"/>
      <sheetName val="Details per area"/>
      <sheetName val="Saldo Persd "/>
      <sheetName val="Detail tambahan"/>
      <sheetName val="Koreksi fiskal"/>
      <sheetName val="Aktiva Tetap"/>
      <sheetName val="Depresiasi"/>
      <sheetName val="Transaksi Hubungan Istimewa"/>
      <sheetName val="rokok promosi"/>
      <sheetName val="rokok rusak"/>
      <sheetName val="coa(input saldo awal)"/>
      <sheetName val="input jurnal"/>
      <sheetName val="tRIAL bALANCE"/>
      <sheetName val="cek akun"/>
      <sheetName val="Rekonsel"/>
      <sheetName val="TB SPRP"/>
      <sheetName val="BS-Rupiah"/>
      <sheetName val="BS-USD"/>
      <sheetName val="PL-IDR"/>
      <sheetName val="PL-USD"/>
      <sheetName val="Ex-Rate"/>
      <sheetName val="Cash &amp; cash equivalent"/>
      <sheetName val="Trade Receivable"/>
      <sheetName val="Other Receivable"/>
      <sheetName val="Inventories"/>
      <sheetName val="Tax Recoverable"/>
      <sheetName val="Deffered Expenditure"/>
      <sheetName val="Plasma Investment"/>
      <sheetName val="koreksi plasma"/>
      <sheetName val="Developmen Cost of Plt."/>
      <sheetName val="Fixed Asset"/>
      <sheetName val="Construction In Progress"/>
      <sheetName val="Creditors"/>
      <sheetName val="Acrual "/>
      <sheetName val="Advances from customers"/>
      <sheetName val="Borrowing"/>
      <sheetName val="Tax Payable"/>
      <sheetName val="Bank Loan &amp; Other Loan"/>
      <sheetName val="Capital"/>
      <sheetName val="Forex"/>
      <sheetName val="Other Forex"/>
      <sheetName val="Interest"/>
      <sheetName val="Finance exp."/>
      <sheetName val="loan wilmar 1"/>
      <sheetName val="loan wilmar 2"/>
      <sheetName val="loan u sap 1"/>
      <sheetName val="loan u sap 2"/>
      <sheetName val="loan wilmar"/>
      <sheetName val="loan u sap"/>
      <sheetName val="Tes Bs"/>
      <sheetName val="Tes Pl"/>
      <sheetName val="Idr This Month"/>
      <sheetName val="Idr Todate"/>
      <sheetName val="Usd This Month"/>
      <sheetName val="Usd Todate"/>
      <sheetName val="Forex 1"/>
      <sheetName val="ITEM-BALANCE"/>
      <sheetName val="NMI-Tax Recoverable &amp; Payable"/>
      <sheetName val="NMI-Acrual"/>
      <sheetName val="2-asi-00"/>
      <sheetName val="Sheet1 (2)"/>
      <sheetName val="Daftar Hutang"/>
      <sheetName val="Daftar Piutang"/>
      <sheetName val="SALES BUDGET NOV"/>
      <sheetName val="SCHEDULE NOV"/>
      <sheetName val="A.T. Bali"/>
      <sheetName val="Kas"/>
      <sheetName val="BAG"/>
      <sheetName val="Eksekutif"/>
      <sheetName val="Niaga"/>
      <sheetName val="BII SG"/>
      <sheetName val="Mandiri"/>
      <sheetName val="BCA Giro"/>
      <sheetName val="giro kerluar"/>
      <sheetName val="j. umum"/>
      <sheetName val="RKP KDR"/>
      <sheetName val="LAP KDR"/>
      <sheetName val="RKP MOST"/>
      <sheetName val="PNGM"/>
      <sheetName val="LAP CODE"/>
      <sheetName val="ALL"/>
      <sheetName val="DBF"/>
      <sheetName val="LUNAS"/>
      <sheetName val="TUNAI"/>
      <sheetName val="BON"/>
      <sheetName val="PIUT"/>
      <sheetName val="PER.LIVER"/>
      <sheetName val="PER.LIVER (2)"/>
      <sheetName val="NOTA LIVER MJK"/>
      <sheetName val="NOTA LIVER JMB"/>
      <sheetName val="DO"/>
      <sheetName val="NOTA KVS"/>
      <sheetName val="KANVAS"/>
      <sheetName val="REKAP.LIVER"/>
      <sheetName val="OMZT"/>
      <sheetName val="MUTASI"/>
      <sheetName val="Sumber Sinar"/>
      <sheetName val="PER.PIUT"/>
      <sheetName val="PEMASARAN"/>
      <sheetName val="PENJ SA"/>
      <sheetName val="LABA KVS"/>
      <sheetName val="SETOR"/>
      <sheetName val="SELLING OUT"/>
      <sheetName val="MASTER SA (2)"/>
      <sheetName val="MASTER SA"/>
      <sheetName val="MASTER HARGA"/>
      <sheetName val="LAMPUNG"/>
      <sheetName val="P PINANG"/>
      <sheetName val="TJ PANDAN"/>
      <sheetName val="BENGKULU"/>
      <sheetName val="PALEMBANG"/>
      <sheetName val="JAMBI"/>
      <sheetName val="REGIONAL SUMBAGSEL"/>
      <sheetName val="MEDAN"/>
      <sheetName val="REGIONAL SUMBAGUT"/>
      <sheetName val="PEKANBARU"/>
      <sheetName val="SELAT PANJANG"/>
      <sheetName val="DUMAI"/>
      <sheetName val="RENGAT"/>
      <sheetName val="TEMBILAHAN"/>
      <sheetName val="TJ PINANG"/>
      <sheetName val="TJ BALAI KARIMUN"/>
      <sheetName val="TJ BATU"/>
      <sheetName val="PADANG"/>
      <sheetName val="REGIONAL SUMBAGTENG"/>
      <sheetName val="MAKASAR"/>
      <sheetName val="LUWUK"/>
      <sheetName val="BAU2"/>
      <sheetName val="PALU"/>
      <sheetName val="AMBON"/>
      <sheetName val="TOLI2"/>
      <sheetName val="JAYAPURA"/>
      <sheetName val="SORONG"/>
      <sheetName val="BIAK"/>
      <sheetName val="MERAUKE"/>
      <sheetName val="MANOKWARI"/>
      <sheetName val="FAK2"/>
      <sheetName val="SERUI"/>
      <sheetName val="NABIRE"/>
      <sheetName val="REGIONAL INDONESIA TIMUR"/>
      <sheetName val="KUPANG"/>
      <sheetName val="BANJARMASIN"/>
      <sheetName val="MATARAM"/>
      <sheetName val="ENDE"/>
      <sheetName val="BIMA"/>
      <sheetName val="WAINGAPU"/>
      <sheetName val="MAUMERE"/>
      <sheetName val="REGIONAL BALIKA"/>
      <sheetName val="PONTIANAK"/>
      <sheetName val="SMA"/>
      <sheetName val="dn"/>
      <sheetName val="LPPU Sales Senin"/>
      <sheetName val="JKT1"/>
      <sheetName val="JKT2"/>
      <sheetName val="JKT3"/>
      <sheetName val="TGR"/>
      <sheetName val="SRG"/>
      <sheetName val="BGR"/>
      <sheetName val="KRW"/>
      <sheetName val="BKS"/>
      <sheetName val="REGIONAL JAKARTA"/>
      <sheetName val="SKB"/>
      <sheetName val="CJR"/>
      <sheetName val="SKB+CJR"/>
      <sheetName val="SMD"/>
      <sheetName val="SBG"/>
      <sheetName val="SMD+SBG"/>
      <sheetName val="GRT"/>
      <sheetName val="TSK"/>
      <sheetName val="GRT+TSK"/>
      <sheetName val="BDG"/>
      <sheetName val="REGIONAL JABAR"/>
      <sheetName val="TEGAL"/>
      <sheetName val="CIREBON"/>
      <sheetName val="PURWOKERTO"/>
      <sheetName val="REGIONAL TEGAL"/>
      <sheetName val="YOGYA"/>
      <sheetName val="MAGELANG"/>
      <sheetName val="SURAKARTA"/>
      <sheetName val="SEMARANG"/>
      <sheetName val="PATI"/>
      <sheetName val="REGIONAL JATENG"/>
      <sheetName val="SBY"/>
      <sheetName val="MJKT"/>
      <sheetName val="BJN"/>
      <sheetName val="MDR"/>
      <sheetName val="KEDIRI"/>
      <sheetName val="MADIUN"/>
      <sheetName val="MALANG"/>
      <sheetName val="PROBOLINGGO"/>
      <sheetName val="ADC MALANG"/>
      <sheetName val="JEMBER"/>
      <sheetName val="SITUBONDO"/>
      <sheetName val="LUMAJANG"/>
      <sheetName val="ADC JEMBER"/>
      <sheetName val="REGIONAL JATIM"/>
      <sheetName val="BALI"/>
      <sheetName val="SM"/>
      <sheetName val="KONSOL SM"/>
      <sheetName val=" SPR Standar"/>
      <sheetName val="Omset"/>
      <sheetName val="R.KIRIM"/>
      <sheetName val="R.JUAL"/>
      <sheetName val="TITIPAN"/>
      <sheetName val="STOCK AWAL -3"/>
      <sheetName val="STOCK AWAL-2"/>
      <sheetName val="STOCK AWAL FISIK"/>
      <sheetName val="Rokok rusak SPRP"/>
      <sheetName val="Contoh isi rokok rusak"/>
      <sheetName val="tb"/>
      <sheetName val="KOTABUMI"/>
      <sheetName val="PANGKAL_PINANG"/>
      <sheetName val="TJ_PANDAN"/>
      <sheetName val="MUARA_BUNGO"/>
      <sheetName val="SIANTAR"/>
      <sheetName val="KISARAN"/>
      <sheetName val="B_ACEH"/>
      <sheetName val="LHOKSEUMAWE"/>
      <sheetName val="SELAT_PANJANG"/>
      <sheetName val="ADC PEKANBARU"/>
      <sheetName val="TJ_PINANG"/>
      <sheetName val="TJ_BALAI_KARIMUN"/>
      <sheetName val="ADC TJ_PINANG"/>
      <sheetName val="BUKIT_TINGGI"/>
      <sheetName val="PADANG+BUKIT_TINGGI"/>
      <sheetName val="ADC MAKASAR"/>
      <sheetName val="TERNATE"/>
      <sheetName val="ADC SORONG"/>
      <sheetName val="ADC MERAUKE"/>
      <sheetName val="ADC BIAK"/>
      <sheetName val="Indikator"/>
      <sheetName val="PADANG+BUKIT_TINGGI "/>
      <sheetName val="TJ_BATU"/>
      <sheetName val="muara bungo"/>
      <sheetName val="SDS"/>
      <sheetName val="SAEC"/>
      <sheetName val="SEVAL"/>
      <sheetName val="SSTRAT"/>
      <sheetName val="16B-SBIN345"/>
      <sheetName val="STKBB"/>
      <sheetName val="SRO"/>
      <sheetName val="SSEWA"/>
      <sheetName val="16A-SBIN345"/>
      <sheetName val="SPORSI"/>
      <sheetName val="SNEW"/>
      <sheetName val="SAUDIT"/>
      <sheetName val="SKEY"/>
      <sheetName val="Sdeal"/>
      <sheetName val="14A-SOBIN"/>
      <sheetName val="14B-SOBIN"/>
      <sheetName val="SPARET"/>
      <sheetName val="14C-SOBIN"/>
      <sheetName val="SPARETSPM"/>
      <sheetName val="SOICI-IN"/>
      <sheetName val="SOICI-OUT"/>
      <sheetName val="SROSPM"/>
      <sheetName val="DA-V"/>
      <sheetName val="Grup-V"/>
      <sheetName val="StatusLoadDepo"/>
      <sheetName val="14B-SOBI_x0000_"/>
      <sheetName val="SO "/>
      <sheetName val="Nilai Rupiah"/>
      <sheetName val="SPR (GG)"/>
      <sheetName val="SPR (SS)"/>
      <sheetName val="CR"/>
      <sheetName val="SL"/>
      <sheetName val="SB"/>
      <sheetName val="ML"/>
      <sheetName val="DP"/>
      <sheetName val="NT"/>
      <sheetName val="MD"/>
      <sheetName val="PB"/>
      <sheetName val="LG"/>
      <sheetName val="MK"/>
      <sheetName val="MN"/>
      <sheetName val="BM"/>
      <sheetName val="TOTAL DP"/>
      <sheetName val="TOTAL LP"/>
      <sheetName val="NAS"/>
      <sheetName val="Item"/>
      <sheetName val="Hrg 28 Sept &amp; 30 Nov"/>
      <sheetName val="Harga rokok 25Jan10"/>
      <sheetName val="Harga 15Mar10 "/>
      <sheetName val="Hrg 12Apr10"/>
      <sheetName val="Hrg 10Mei10"/>
      <sheetName val="Harga 24Mei10"/>
      <sheetName val="Harga 28Jun10"/>
      <sheetName val="Harga 12Jul10"/>
      <sheetName val="Harga 6Sept10"/>
      <sheetName val="Harga 25Okt10"/>
      <sheetName val="NAV000"/>
      <sheetName val="10000"/>
      <sheetName val="Materiality and TE"/>
      <sheetName val="PAJE '04"/>
      <sheetName val="PRJE '04"/>
      <sheetName val="CAJE-04"/>
      <sheetName val="PYJE '04"/>
      <sheetName val="WP-PBM-04"/>
      <sheetName val="WBS2005"/>
      <sheetName val="Rincian BS"/>
      <sheetName val="IS"/>
      <sheetName val="CC "/>
      <sheetName val="G-1"/>
      <sheetName val="K Movement"/>
      <sheetName val="K-1"/>
      <sheetName val="M-4"/>
      <sheetName val="N-1"/>
      <sheetName val="N-2"/>
      <sheetName val="NN "/>
      <sheetName val="FISKAL"/>
      <sheetName val="O-1_PPh 21"/>
      <sheetName val="O-1.1 Rekap gaji"/>
      <sheetName val="O-2_PPh 23"/>
      <sheetName val="O-3_PPh 25"/>
      <sheetName val="O-5_PPN"/>
      <sheetName val="P-1"/>
      <sheetName val="Q"/>
      <sheetName val="Q-3"/>
      <sheetName val="Q-3.1"/>
      <sheetName val="QQ"/>
      <sheetName val="R-1 Perhitungan def. tax"/>
      <sheetName val="T"/>
      <sheetName val="T-1"/>
      <sheetName val="TT"/>
      <sheetName val="U-3"/>
      <sheetName val="U-4"/>
      <sheetName val="U-5"/>
      <sheetName val="Kep-150"/>
      <sheetName val="Def tax FA"/>
      <sheetName val="Mutation FA"/>
      <sheetName val="Aktiva 0909"/>
      <sheetName val="Total Balance 2008 012"/>
      <sheetName val="Q Lead"/>
      <sheetName val="Q Memo"/>
      <sheetName val="Q-1 Loan Mutation"/>
      <sheetName val="Q-2 Detail ST Loan"/>
      <sheetName val="Q-2-1 Detail Repayment ST Loan"/>
      <sheetName val="Q-2-1-1 Payment to T.Petchem"/>
      <sheetName val="Q-3 Detail Subordinated Loan"/>
      <sheetName val="Q-4 Detail Loan Interest Exp"/>
      <sheetName val="Q-4-1 Payment Loan Interest Exp"/>
      <sheetName val="Q-4-1 Loan Interest Calc"/>
      <sheetName val="Flow Int Exp CF"/>
      <sheetName val="QQ - Loan Confirmation"/>
      <sheetName val="K-Lead"/>
      <sheetName val="K-2"/>
      <sheetName val="Reclassification vehicle"/>
      <sheetName val="Vehicle"/>
      <sheetName val="Building"/>
      <sheetName val="Machinery and equipment"/>
      <sheetName val="Plant"/>
      <sheetName val="CIP-2008 to 2009"/>
      <sheetName val="Point discuss"/>
      <sheetName val="C.1"/>
      <sheetName val="C.2"/>
      <sheetName val="C.2.1"/>
      <sheetName val="C.3"/>
      <sheetName val="C.4"/>
      <sheetName val="CC"/>
      <sheetName val="D.1"/>
      <sheetName val="E-1"/>
      <sheetName val="E-1.2"/>
      <sheetName val="E-2"/>
      <sheetName val="F.1"/>
      <sheetName val="F.2"/>
      <sheetName val="F.5"/>
      <sheetName val="F.6"/>
      <sheetName val="G-1.3"/>
      <sheetName val="K.1"/>
      <sheetName val="K.2"/>
      <sheetName val="K.2.1"/>
      <sheetName val="K.2.2"/>
      <sheetName val="K.3"/>
      <sheetName val="K.4"/>
      <sheetName val="J.1"/>
      <sheetName val="J.2"/>
      <sheetName val="N"/>
      <sheetName val="N.1"/>
      <sheetName val="N.2"/>
      <sheetName val="N.3"/>
      <sheetName val="NN"/>
      <sheetName val="Pe"/>
      <sheetName val="O.4"/>
      <sheetName val="U-1"/>
      <sheetName val="U.1.1"/>
      <sheetName val="U.1.2"/>
      <sheetName val="U.1.3"/>
      <sheetName val="U-2"/>
      <sheetName val="U.2.1"/>
      <sheetName val="U-3.1"/>
      <sheetName val="U.3.2"/>
      <sheetName val="Rekap SKP"/>
      <sheetName val="U-5.1"/>
      <sheetName val="Cross Check"/>
      <sheetName val="Cash on hand and in banks"/>
      <sheetName val="Short-term investment"/>
      <sheetName val="Accounts receivable"/>
      <sheetName val="Other receivable (payable)"/>
      <sheetName val="Prepaid exp, tax and advance"/>
      <sheetName val="Fixed Assets"/>
      <sheetName val="Other Assets"/>
      <sheetName val="Notes Payable"/>
      <sheetName val="AP trade"/>
      <sheetName val="Accrued expense"/>
      <sheetName val="Taxes payable"/>
      <sheetName val="Advance from customer"/>
      <sheetName val="Pension Fund"/>
      <sheetName val="Deferred tax liabilities"/>
      <sheetName val="Unrealized Gain on MF"/>
      <sheetName val="Sales"/>
      <sheetName val="Other charges (income)"/>
      <sheetName val="Induk+Nothit"/>
      <sheetName val=" Penjualan "/>
      <sheetName val="Rekap Ekspor"/>
      <sheetName val="Pelunasan Piutang"/>
      <sheetName val="Bahan Baku Lokal"/>
      <sheetName val="Bahan Baku Impor "/>
      <sheetName val="PPB"/>
      <sheetName val="Laba (Rugi) Kurs"/>
      <sheetName val="Hasil Lain"/>
      <sheetName val="Kredit Pajak"/>
      <sheetName val="----00000----"/>
      <sheetName val="KKP SUSUT "/>
      <sheetName val="Pendapatan Lain"/>
      <sheetName val="LHP"/>
      <sheetName val="PHP-1"/>
      <sheetName val="PHP-2"/>
      <sheetName val="PPh Ps. 22"/>
      <sheetName val="Alket"/>
      <sheetName val=" Sales "/>
      <sheetName val="Rekap Ekspor (KMK)"/>
      <sheetName val="EKSPOR (BI)"/>
      <sheetName val="Bahan Baku Impor (BI)"/>
      <sheetName val="Bahan Baku Impor (KMK) "/>
      <sheetName val="Bhn Baku-Lokal.1"/>
      <sheetName val="Bhn Baku-Lokal.2"/>
      <sheetName val="KKP SUSUT -AKHIR"/>
      <sheetName val="PM&amp;TE"/>
      <sheetName val="A-3.1"/>
      <sheetName val="detail_A-3.1"/>
      <sheetName val="A-3.2"/>
      <sheetName val="detail_A-3.2"/>
      <sheetName val="A-3.3"/>
      <sheetName val="detail_A-3.3"/>
      <sheetName val="A-4"/>
      <sheetName val="T account"/>
      <sheetName val="Cf Indirect"/>
      <sheetName val="Cf06"/>
      <sheetName val="DIT"/>
      <sheetName val="Machinery"/>
      <sheetName val="SPT 21"/>
      <sheetName val="CutOff Bank"/>
      <sheetName val="C-17 Test of Forex"/>
      <sheetName val="AR analysis"/>
      <sheetName val="F-1"/>
      <sheetName val="F-2"/>
      <sheetName val="F-3"/>
      <sheetName val="F-4"/>
      <sheetName val="G-2"/>
      <sheetName val="HH"/>
      <sheetName val="I Lead"/>
      <sheetName val="I-1"/>
      <sheetName val="I-2"/>
      <sheetName val="II"/>
      <sheetName val="K-2.1"/>
      <sheetName val="K-2.1.1"/>
      <sheetName val="K-2.1.2"/>
      <sheetName val="K-2.1.3"/>
      <sheetName val="K-2.1.4"/>
      <sheetName val="K-2.1.5"/>
      <sheetName val="K-2.1.6"/>
      <sheetName val="M Lead"/>
      <sheetName val="M-1"/>
      <sheetName val="M-2"/>
      <sheetName val="MM"/>
      <sheetName val="Loan Analysis"/>
      <sheetName val="N-3"/>
      <sheetName val="O.1 VAT"/>
      <sheetName val="O-2"/>
      <sheetName val="O-2.1"/>
      <sheetName val="O-3"/>
      <sheetName val="O-3.1 Art 4(2)"/>
      <sheetName val="P Lead"/>
      <sheetName val="P-2"/>
      <sheetName val="T Lead"/>
      <sheetName val="T.1"/>
      <sheetName val="T.2"/>
      <sheetName val="U-1.1.1"/>
      <sheetName val="U-1.2.1"/>
      <sheetName val="U-1.3 Test price sales"/>
      <sheetName val="U-1.4 Predictive exp sales"/>
      <sheetName val="GP analist"/>
      <sheetName val="U-2.1.1"/>
      <sheetName val="Test Pricing"/>
      <sheetName val="U-3 Lead"/>
      <sheetName val="U-3.2"/>
      <sheetName val="U-4.1"/>
      <sheetName val="U-4.2"/>
      <sheetName val="U-4.3"/>
      <sheetName val="U-4.4"/>
      <sheetName val="TOC Sales-Local"/>
      <sheetName val="TOC Sales- Export"/>
      <sheetName val="TOC Purchase"/>
      <sheetName val="U.1.3.1 Sales Cutoff (Ex)"/>
      <sheetName val="U.1.3.1 Sales Cutoff"/>
      <sheetName val="Purchase cut off"/>
      <sheetName val="Inv Analysis"/>
      <sheetName val="F-4 Inv Val"/>
      <sheetName val="SDE"/>
      <sheetName val="BLE"/>
      <sheetName val="KYE"/>
      <sheetName val="KCE"/>
      <sheetName val="SDF"/>
      <sheetName val="BLF"/>
      <sheetName val="KYF"/>
      <sheetName val="induk (2)"/>
      <sheetName val="Deferred tax assets"/>
      <sheetName val="Macro5"/>
      <sheetName val="M T S"/>
      <sheetName val="FP-FIKTIF"/>
      <sheetName val="KOREKSI-PM"/>
      <sheetName val="CONF-EKST"/>
      <sheetName val="CONF-INT"/>
      <sheetName val="JASA-LN"/>
      <sheetName val="Macro2"/>
      <sheetName val="Macro1"/>
      <sheetName val="Macro3"/>
      <sheetName val="Macro4"/>
      <sheetName val="CENTRAL"/>
      <sheetName val="CENTRAL-1"/>
      <sheetName val="NOT-HIT"/>
      <sheetName val="PHP"/>
      <sheetName val="SP-PET"/>
      <sheetName val="Predictive FA Fiscal"/>
      <sheetName val="lre"/>
      <sheetName val="bre"/>
      <sheetName val="lrf"/>
      <sheetName val="Pending Confirmation"/>
      <sheetName val="CC-Confirmation Bank"/>
      <sheetName val="EE_COnfirmation AR"/>
      <sheetName val="II_Confirmation Inter Co."/>
      <sheetName val="Letter to Lawyer"/>
      <sheetName val="NN_Confirmation AP"/>
      <sheetName val="QQ_Confirmation Loan"/>
      <sheetName val="TT_Confirmation SHE"/>
      <sheetName val="PM"/>
      <sheetName val="TMP1"/>
      <sheetName val="WORKS"/>
      <sheetName val="PAJE"/>
      <sheetName val="PRJE"/>
      <sheetName val="CAJE"/>
      <sheetName val="Elim"/>
      <sheetName val="F Lead"/>
      <sheetName val="Purchase Cutoff"/>
      <sheetName val="DNR_Sep"/>
      <sheetName val="Other_Sep"/>
      <sheetName val="Analytical Review"/>
      <sheetName val="NOT"/>
      <sheetName val="mutasiCF"/>
      <sheetName val="CF suppl."/>
      <sheetName val="Memo cash"/>
      <sheetName val="C Lead"/>
      <sheetName val="Memo AR"/>
      <sheetName val="E Lead"/>
      <sheetName val="E 1"/>
      <sheetName val="E 2"/>
      <sheetName val="Memo F"/>
      <sheetName val="Memo G"/>
      <sheetName val="G Lead"/>
      <sheetName val="G 1"/>
      <sheetName val="G 2"/>
      <sheetName val="Memo H"/>
      <sheetName val="H1"/>
      <sheetName val="Memo I"/>
      <sheetName val="I 1"/>
      <sheetName val="I 2"/>
      <sheetName val="I 3"/>
      <sheetName val="I 4"/>
      <sheetName val="Memo J"/>
      <sheetName val="J Lead"/>
      <sheetName val="J 1"/>
      <sheetName val="Memo K"/>
      <sheetName val="K Lead"/>
      <sheetName val="K 1"/>
      <sheetName val="K 2"/>
      <sheetName val="K 2.1"/>
      <sheetName val="K 2.2"/>
      <sheetName val="K 2.3"/>
      <sheetName val="K 3"/>
      <sheetName val="K 4 FA combined"/>
      <sheetName val="N Memo"/>
      <sheetName val="N Lead"/>
      <sheetName val="N 1"/>
      <sheetName val="N 2"/>
      <sheetName val="N 3"/>
      <sheetName val="O Memo"/>
      <sheetName val="O Lead"/>
      <sheetName val="O1"/>
      <sheetName val="O 2"/>
      <sheetName val="P Memo"/>
      <sheetName val="P 1"/>
      <sheetName val="P 2"/>
      <sheetName val="P 2.1"/>
      <sheetName val="P 3"/>
      <sheetName val="P 3.1"/>
      <sheetName val="U 1"/>
      <sheetName val="U 1.1"/>
      <sheetName val="U 1.2"/>
      <sheetName val="U 1.3"/>
      <sheetName val="U 1.4"/>
      <sheetName val="U 1.5"/>
      <sheetName val="U 2"/>
      <sheetName val="U 3"/>
      <sheetName val="U 3.1"/>
      <sheetName val="U 4"/>
      <sheetName val="U 4.1"/>
      <sheetName val="U 5"/>
      <sheetName val="K 2_1"/>
      <sheetName val="K 2.4"/>
      <sheetName val="PP-05"/>
      <sheetName val="SD"/>
      <sheetName val="aktiva lain"/>
      <sheetName val="C Cash and Bank "/>
      <sheetName val="Cash and Bank Register"/>
      <sheetName val="Pakanbaru"/>
      <sheetName val="fiscal CSA 04"/>
      <sheetName val="fiscal WITM 04 "/>
      <sheetName val="NDE Deposito"/>
      <sheetName val="Ellim&amp;Deff.tax unaudited"/>
      <sheetName val="PER SHM WITM  (3)"/>
      <sheetName val="fiscal WITM"/>
      <sheetName val="fiscal WICM 04"/>
      <sheetName val="fiscal WICM"/>
      <sheetName val="fiscal CSA"/>
      <sheetName val="by sewa summ"/>
      <sheetName val="WITM def tax"/>
      <sheetName val="WICM DEFTAX"/>
      <sheetName val="CSA DEFTAX"/>
      <sheetName val="tax csa"/>
      <sheetName val="anlyt konsol"/>
      <sheetName val="REkon IMSI-WITM (2)"/>
      <sheetName val="REkon IMSI-WITM"/>
      <sheetName val="claim for tax"/>
      <sheetName val="anlyt witm"/>
      <sheetName val="anlyt wicm"/>
      <sheetName val="anlyt csa"/>
      <sheetName val="00 received in 01"/>
      <sheetName val="J a n"/>
      <sheetName val="F e b"/>
      <sheetName val="M a r"/>
      <sheetName val="A p r"/>
      <sheetName val="M a y"/>
      <sheetName val="J u n"/>
      <sheetName val="J u l"/>
      <sheetName val="A u g"/>
      <sheetName val="S e p"/>
      <sheetName val="O c t"/>
      <sheetName val="N o v"/>
      <sheetName val="Per GL J a n"/>
      <sheetName val="Marshal"/>
      <sheetName val="Monthly Data"/>
      <sheetName val="Permanent info"/>
      <sheetName val="GeneralInfo"/>
      <sheetName val="Family"/>
      <sheetName val="Biaya PIR"/>
      <sheetName val="Hsl-Pen"/>
      <sheetName val="sat-baru"/>
      <sheetName val="infras"/>
      <sheetName val="BMP"/>
      <sheetName val="Angsuran"/>
      <sheetName val="sensitivity"/>
      <sheetName val="Cash-print"/>
      <sheetName val="BOT"/>
      <sheetName val="tt-biaya"/>
      <sheetName val="SUD"/>
      <sheetName val="STB"/>
      <sheetName val="JKK"/>
      <sheetName val="TBM-OP97 660 HA"/>
      <sheetName val="TBM-OP'96 211 HA"/>
      <sheetName val="TBM-OP96 236 HA"/>
      <sheetName val="TBM-OP96 287 HA"/>
      <sheetName val="TBM-OP96 246 HA"/>
      <sheetName val="TBM-OP97 281 HA"/>
      <sheetName val="TBM-OP95 304 HA"/>
      <sheetName val="TBM-OP98 200 HA"/>
      <sheetName val="127 Ha Out of HGU"/>
      <sheetName val="TBM"/>
      <sheetName val="NERKON "/>
      <sheetName val="DAF.ISI"/>
      <sheetName val="P&amp;L"/>
      <sheetName val="KB"/>
      <sheetName val="P-Kebun-XX "/>
      <sheetName val="P-DGN"/>
      <sheetName val="PPEG"/>
      <sheetName val="BYRM-XX"/>
      <sheetName val="PLL "/>
      <sheetName val="REKAP-AT"/>
      <sheetName val="Depre-TM"/>
      <sheetName val="BT-XX"/>
      <sheetName val="Ak_pro-XX"/>
      <sheetName val="HUT"/>
      <sheetName val="BTH"/>
      <sheetName val="HK-XX"/>
      <sheetName val="HR"/>
      <sheetName val="HLL"/>
      <sheetName val="pph"/>
      <sheetName val="AL-BTL KK"/>
      <sheetName val="BTL-PT'S"/>
      <sheetName val="BTL-RO"/>
      <sheetName val="K-B"/>
      <sheetName val="REKON P-KEBUN"/>
      <sheetName val="P-DGG"/>
      <sheetName val="PERS-DP"/>
      <sheetName val="BYRM"/>
      <sheetName val="PJR-PEM"/>
      <sheetName val="PINJ-PEG"/>
      <sheetName val="PJR-LL"/>
      <sheetName val="P-LL "/>
      <sheetName val="PPN-MASUKAN"/>
      <sheetName val="BIBIT"/>
      <sheetName val="AK-PRS"/>
      <sheetName val="BTGH"/>
      <sheetName val="H-DGG"/>
      <sheetName val="H-GJ"/>
      <sheetName val="H-KONT"/>
      <sheetName val="H-PJK"/>
      <sheetName val="PPN KELUARAN"/>
      <sheetName val="H-LL"/>
      <sheetName val="H-B"/>
      <sheetName val="H-PMG-SHM"/>
      <sheetName val="MODAL"/>
      <sheetName val="LABA-DTHN"/>
      <sheetName val="AL-Peny-BTL-Fin"/>
      <sheetName val="HAL"/>
      <sheetName val="MEMO"/>
      <sheetName val="P-KebunXX"/>
      <sheetName val="PsDiPj"/>
      <sheetName val="PPEGxx"/>
      <sheetName val="BYRMXX"/>
      <sheetName val="AL-BTL KK (2)"/>
      <sheetName val="BTL  "/>
      <sheetName val="XXX"/>
      <sheetName val="BTXX"/>
      <sheetName val="Ak_pro"/>
      <sheetName val="HUT "/>
      <sheetName val="HK"/>
      <sheetName val="pph "/>
      <sheetName val="HB "/>
      <sheetName val="HBJP"/>
      <sheetName val="Capex Sum"/>
      <sheetName val="AAL"/>
      <sheetName val="IIS"/>
      <sheetName val="AARJ"/>
      <sheetName val="AKTIVA1TB"/>
      <sheetName val="AKTIVA2TB"/>
      <sheetName val="AKTIVAMDN"/>
      <sheetName val="OoR-AKTIVA1TB"/>
      <sheetName val="OoR-AKTIVA3TB"/>
      <sheetName val="OoR-AKTIVA4TB"/>
      <sheetName val="F-05"/>
      <sheetName val="F-07 "/>
      <sheetName val="F-07 A"/>
      <sheetName val="F-07.01"/>
      <sheetName val="F-07.02"/>
      <sheetName val="F-07.03"/>
      <sheetName val="F-07.04"/>
      <sheetName val="F-07.06"/>
      <sheetName val="F-07.06 A"/>
      <sheetName val="F-07.07"/>
      <sheetName val="F-07.07 A"/>
      <sheetName val="Ytd"/>
      <sheetName val="LMA 7 Peb"/>
      <sheetName val=" LMA 14 Peb"/>
      <sheetName val="LMA 21 Peb"/>
      <sheetName val="LMA 28 Peb"/>
      <sheetName val="Tax"/>
      <sheetName val="Marshall-JSS"/>
      <sheetName val="F1771"/>
      <sheetName val="Marshall-CMA"/>
      <sheetName val="F1771-I"/>
      <sheetName val="F1771-II"/>
      <sheetName val="F1771-III"/>
      <sheetName val="F1771-IV"/>
      <sheetName val="F1771-V"/>
      <sheetName val="F1771-VI"/>
      <sheetName val="Depreciation  schedule"/>
      <sheetName val="Peny-JSS"/>
      <sheetName val="Peny-CMA"/>
      <sheetName val="Attachment"/>
      <sheetName val="TaxCMA"/>
      <sheetName val="TaxJSS"/>
      <sheetName val="PLconsold"/>
      <sheetName val="pph-25"/>
      <sheetName val="25installment"/>
      <sheetName val="Reasonableness test"/>
      <sheetName val="TB YTD"/>
      <sheetName val="TB Current"/>
      <sheetName val="VATO"/>
      <sheetName val="BSD"/>
      <sheetName val="Table"/>
      <sheetName val="COA Definition"/>
      <sheetName val="To Do"/>
      <sheetName val="Note"/>
      <sheetName val="Calender"/>
      <sheetName val="Knowledge Index"/>
      <sheetName val="3800 mapping"/>
      <sheetName val="PMU"/>
      <sheetName val="TB 31.12.02"/>
      <sheetName val="3800 2001"/>
      <sheetName val="TNG-GDG1"/>
      <sheetName val="MESIN1"/>
      <sheetName val="PABRIK1"/>
      <sheetName val="TNG-GDG1 disp Nov"/>
      <sheetName val="MESIN1 disp Nov"/>
      <sheetName val="PABRIK1 disp Nov"/>
      <sheetName val="IS disp Nov"/>
      <sheetName val="TNG-GDG1 disp Mei"/>
      <sheetName val="MESIN1 disp Mei"/>
      <sheetName val="WORKSHOP disp Mei"/>
      <sheetName val="PABRIK1 disp Mei"/>
      <sheetName val="LAB disp Mei"/>
      <sheetName val="I-KANTOR disp Mei"/>
      <sheetName val="instalasi disp Mei"/>
      <sheetName val="2001GeneralInfo"/>
      <sheetName val="identitas (2)"/>
      <sheetName val="2001Marshal"/>
      <sheetName val="2001profit - loss"/>
      <sheetName val="2000biaya lain-lain"/>
      <sheetName val="2001neraca"/>
      <sheetName val="2001REC-FISCAL"/>
      <sheetName val="2001FA-DEPR"/>
      <sheetName val="2001depr-fisc"/>
      <sheetName val="2001PPh ps 22"/>
      <sheetName val="2001Exit fiscal"/>
      <sheetName val="2001PPh 25"/>
      <sheetName val="2001Art 23(prepaid)"/>
      <sheetName val="2001Pengurus"/>
      <sheetName val="2000dftlamp"/>
      <sheetName val="2002Art25 calc"/>
      <sheetName val="FI-1771$.P1"/>
      <sheetName val="FE-1771$.P1"/>
      <sheetName val="FI-1771$.P2"/>
      <sheetName val="FE-1771$.P2"/>
      <sheetName val="FI-1771-I$"/>
      <sheetName val="FE-1771-I$"/>
      <sheetName val="FI-1771-II$"/>
      <sheetName val="FE-1771-II$"/>
      <sheetName val="FI-1771-III$"/>
      <sheetName val="FE-1771-III$"/>
      <sheetName val="FI-1771-IV"/>
      <sheetName val="FE-1771-IV"/>
      <sheetName val="FI-1771-V"/>
      <sheetName val="FE-1771-V"/>
      <sheetName val="FI-1771-VI $"/>
      <sheetName val="FE-1771-VI$"/>
      <sheetName val="Inventory Lead "/>
      <sheetName val="COGS Lead"/>
      <sheetName val="Detail COGS"/>
      <sheetName val="Gross Margin"/>
      <sheetName val="Penyusutan"/>
      <sheetName val="Unearned premiums"/>
      <sheetName val="Cadangan premi"/>
      <sheetName val="List of Doc Received"/>
      <sheetName val="Attachement"/>
      <sheetName val="FisLoss95"/>
      <sheetName val="IntrVSLoan"/>
      <sheetName val="OperLease95"/>
      <sheetName val="SP-Semarang"/>
      <sheetName val="Reklas"/>
      <sheetName val="akumulasi kerugian"/>
      <sheetName val="Marshal 2nd draft"/>
      <sheetName val="Marshal 1st draft"/>
      <sheetName val="Art. 23"/>
      <sheetName val="PPh 23"/>
      <sheetName val="PUBLISINDO"/>
      <sheetName val="Art. 25 calc"/>
      <sheetName val="Angsuran PPh 25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VI"/>
      <sheetName val="FE-1771-VI"/>
      <sheetName val="Balance Sheet"/>
      <sheetName val="Rugi Laba"/>
      <sheetName val="Income Statm"/>
      <sheetName val="Rek Fiskal"/>
      <sheetName val="Fiscal Rec"/>
      <sheetName val="Rek Fiskal-detail"/>
      <sheetName val="PPh 25"/>
      <sheetName val="Art.25"/>
      <sheetName val="PPh 22"/>
      <sheetName val="Art 22"/>
      <sheetName val="PPh 25 calc."/>
      <sheetName val="Art 25 calc"/>
      <sheetName val="Daftar Pengurus"/>
      <sheetName val="Comm. List"/>
      <sheetName val="Daftar Pemegang Saham"/>
      <sheetName val="Shareholder List"/>
      <sheetName val="Entertainment"/>
      <sheetName val="FE-1770.P1"/>
      <sheetName val="FE-1770.P2"/>
      <sheetName val="FE-1770-I"/>
      <sheetName val="FE-1770-II"/>
      <sheetName val="FE-1770-III"/>
      <sheetName val="FI-177O.P1"/>
      <sheetName val="FI-1770.P2"/>
      <sheetName val="FI-1770-I"/>
      <sheetName val="FI-1770-II"/>
      <sheetName val="FI-1770-III"/>
      <sheetName val="PPh25-Installment"/>
      <sheetName val="TaxPaidAbroad"/>
      <sheetName val="Irregular Income"/>
      <sheetName val="tax calculation"/>
      <sheetName val="data wp"/>
      <sheetName val="Marshal-KSO"/>
      <sheetName val="Marshal-MGTI"/>
      <sheetName val="Fiscal adj"/>
      <sheetName val="Penyusutan5.1"/>
      <sheetName val="Penyusutan5.2"/>
      <sheetName val="Depr Schedule"/>
      <sheetName val="CIP2000"/>
      <sheetName val="Pemegang saham"/>
      <sheetName val="shareholder"/>
      <sheetName val="Bank Rec"/>
      <sheetName val="Op HU"/>
      <sheetName val="1001 Op"/>
      <sheetName val="1002 Cap"/>
      <sheetName val="BNI HU"/>
      <sheetName val="1003 BNI"/>
      <sheetName val="1005 Amro"/>
      <sheetName val="1007 Kas"/>
      <sheetName val="1009 VICO"/>
      <sheetName val="1102 PU"/>
      <sheetName val="IC"/>
      <sheetName val="IC kurs"/>
      <sheetName val="Depr Eng"/>
      <sheetName val="Depr Ind"/>
      <sheetName val="Fa disposal-fiscal"/>
      <sheetName val="Fa disposal-fiscal Ind"/>
      <sheetName val="Fa disposal-commerce"/>
      <sheetName val="Exit Tax"/>
      <sheetName val="Entertainment Eng"/>
      <sheetName val="Installments"/>
      <sheetName val="Installments (2)"/>
      <sheetName val="Attachments"/>
      <sheetName val="Depresiasi total"/>
      <sheetName val="Daftar depresiasi"/>
      <sheetName val="Rekonsiliasi aktiva tetap"/>
      <sheetName val="daftar"/>
      <sheetName val="gol1"/>
      <sheetName val="gol2"/>
      <sheetName val="Attachment-Version 2"/>
      <sheetName val="Marshal (2)"/>
      <sheetName val="Marshal (1)"/>
      <sheetName val="List of attachments"/>
      <sheetName val="Attachment-Version 1 "/>
      <sheetName val="FA Addition (Revised)"/>
      <sheetName val="FA Addition (1)"/>
      <sheetName val="Reconciliation"/>
      <sheetName val="Fiscal Exit Tax"/>
      <sheetName val="Taxcomput"/>
      <sheetName val="Biaya lain2"/>
      <sheetName val="taxcorrection"/>
      <sheetName val="Art 25 Paid"/>
      <sheetName val="Art 21 recon"/>
      <sheetName val="penyusutan-eng"/>
      <sheetName val="Penyusutan (2)"/>
      <sheetName val="pph25"/>
      <sheetName val="pph21"/>
      <sheetName val="1771-Y I"/>
      <sheetName val="1771-Y E"/>
      <sheetName val="Lampiran (E)"/>
      <sheetName val="Depresiasi (E)"/>
      <sheetName val="B8"/>
      <sheetName val="H1.A"/>
      <sheetName val="H1.B"/>
      <sheetName val="H1.C"/>
      <sheetName val="I1.A"/>
      <sheetName val="I1.B"/>
      <sheetName val="L1.A"/>
      <sheetName val="L1.B"/>
      <sheetName val="L1.C"/>
      <sheetName val="Q1"/>
      <sheetName val="R1.B"/>
      <sheetName val="R1.A"/>
      <sheetName val="ARPPL"/>
      <sheetName val="ARPBS"/>
      <sheetName val="DT2005"/>
      <sheetName val="W-CF"/>
      <sheetName val="ARP"/>
      <sheetName val="C10"/>
      <sheetName val="T3.1"/>
      <sheetName val="WBS (T3)"/>
      <sheetName val="T3"/>
      <sheetName val="Ratio(Int)"/>
      <sheetName val="Ratio(YE)"/>
      <sheetName val="Inc. Stat"/>
      <sheetName val="BS 2006"/>
      <sheetName val="AJE-2006-interim (2)"/>
      <sheetName val="List of Pending"/>
      <sheetName val="ratio analysis"/>
      <sheetName val="tb (excell) dec 2005"/>
      <sheetName val="tb 2004 (2)"/>
      <sheetName val="Ratio analysis SA"/>
      <sheetName val="BS&amp;IS"/>
      <sheetName val="SAD-Dec"/>
      <sheetName val="SUAD"/>
      <sheetName val="Client AJE"/>
      <sheetName val="SAD-SEpt(2)"/>
      <sheetName val="SAD-June "/>
      <sheetName val="Omission and error"/>
      <sheetName val="Cash Flows Workpapers Indirect"/>
      <sheetName val="Notes"/>
      <sheetName val="Input"/>
      <sheetName val="AI-1"/>
      <sheetName val="AI-2"/>
      <sheetName val="AII-1"/>
      <sheetName val="AII-2"/>
      <sheetName val="AII-3"/>
      <sheetName val="AII-4"/>
      <sheetName val="AII-5"/>
      <sheetName val="AII-6"/>
      <sheetName val="AII-7"/>
      <sheetName val="AIV-1"/>
      <sheetName val="S-A"/>
      <sheetName val="SA-1"/>
      <sheetName val="S-B"/>
      <sheetName val="S-B2"/>
      <sheetName val="S-C"/>
      <sheetName val="S-C1"/>
      <sheetName val="S-F"/>
      <sheetName val="S-E"/>
      <sheetName val="S-F1"/>
      <sheetName val="S-G"/>
      <sheetName val="S-H"/>
      <sheetName val="S-I"/>
      <sheetName val="S-I1"/>
      <sheetName val="S-I2"/>
      <sheetName val="S-I3"/>
      <sheetName val="S-J"/>
      <sheetName val="S-K"/>
      <sheetName val="S-P"/>
      <sheetName val="S-P1"/>
      <sheetName val="S-P2"/>
      <sheetName val="S-P3"/>
      <sheetName val="S-P4"/>
      <sheetName val="M-2a Local"/>
      <sheetName val="M-2a Export"/>
      <sheetName val="M-3"/>
      <sheetName val="M-3a"/>
      <sheetName val="M-3b"/>
      <sheetName val="M-5 (Type)"/>
      <sheetName val="M-5 (Brand)"/>
      <sheetName val="M-5a"/>
      <sheetName val="M-5b"/>
      <sheetName val="M-6"/>
      <sheetName val="M-7"/>
      <sheetName val="M-8"/>
      <sheetName val="M-9"/>
      <sheetName val="M-10"/>
      <sheetName val="M-10a"/>
      <sheetName val="M-10b"/>
      <sheetName val="M-11"/>
      <sheetName val="M-12"/>
      <sheetName val="M-13"/>
      <sheetName val="M-14"/>
      <sheetName val="M-15"/>
      <sheetName val="1771"/>
      <sheetName val="1771.2"/>
      <sheetName val="1771-I"/>
      <sheetName val="1771-II"/>
      <sheetName val="1771-III"/>
      <sheetName val="1771-IV"/>
      <sheetName val="1771-V"/>
      <sheetName val="1771-VI"/>
      <sheetName val="1771(E)"/>
      <sheetName val="1771.2(E)"/>
      <sheetName val="1771-I(E)"/>
      <sheetName val="1771-II(E)"/>
      <sheetName val="1771-III(E)"/>
      <sheetName val="1771-IV(E)"/>
      <sheetName val="1771-V(E)"/>
      <sheetName val="1771-VI(E)"/>
      <sheetName val="Marshal (3)"/>
      <sheetName val="Marshal (4)"/>
      <sheetName val="4th of 2001"/>
      <sheetName val="provision"/>
      <sheetName val="director"/>
      <sheetName val="FA-gainloss"/>
      <sheetName val="Laba-rugi aktiva"/>
      <sheetName val="peny-2001"/>
      <sheetName val="Depr-2001"/>
      <sheetName val="1770-Y"/>
      <sheetName val="1771 (E)"/>
      <sheetName val="1771.2 (E)"/>
      <sheetName val="1771-I (E)"/>
      <sheetName val="1771-II (E)"/>
      <sheetName val="1771-III (E)"/>
      <sheetName val="1771-IV (E)"/>
      <sheetName val="1771-V (E)"/>
      <sheetName val="1771-VI (E)"/>
      <sheetName val="4200"/>
      <sheetName val="4300"/>
      <sheetName val="6700"/>
      <sheetName val="6400"/>
      <sheetName val="6300"/>
      <sheetName val="6120"/>
      <sheetName val="6110"/>
      <sheetName val="Depr fiskal2006"/>
      <sheetName val="CIT 2006"/>
      <sheetName val="CIT 2005"/>
      <sheetName val="FA Fiscal 2005"/>
      <sheetName val="Tax BTJ 2006"/>
      <sheetName val="CITR Cal"/>
      <sheetName val="ERWIN"/>
      <sheetName val="Depreciation "/>
      <sheetName val="Dep-detailed"/>
      <sheetName val="Gain "/>
      <sheetName val="PPh 21"/>
      <sheetName val="Prepaid"/>
      <sheetName val="Att. 9"/>
      <sheetName val="F1771-1"/>
      <sheetName val="F1771-2"/>
      <sheetName val="F1771-3"/>
      <sheetName val="F1771-4"/>
      <sheetName val="F1771-5"/>
      <sheetName val="F1771-6"/>
      <sheetName val="Attachment (2)"/>
      <sheetName val="disposal"/>
      <sheetName val="Detail-A"/>
      <sheetName val="summary-1"/>
      <sheetName val="summary-2"/>
      <sheetName val="summary-3"/>
      <sheetName val="summary-4"/>
      <sheetName val="summary-5"/>
      <sheetName val="summary-6"/>
      <sheetName val="nov01"/>
      <sheetName val="jan 2001"/>
      <sheetName val="Detail-B"/>
      <sheetName val="ANALYZE"/>
      <sheetName val="car"/>
      <sheetName val="GL 01 report 00"/>
      <sheetName val="2001 per GL (2)"/>
      <sheetName val="2001 per month (2)"/>
      <sheetName val="2001 per GL (1)"/>
      <sheetName val=" 2001 per month (1)"/>
      <sheetName val="Dec"/>
      <sheetName val="2001 per month (1)"/>
      <sheetName val="D e c"/>
      <sheetName val="Life- QBR"/>
      <sheetName val="Life-data"/>
      <sheetName val="Life - Guidelines"/>
      <sheetName val="P&amp;C- QBR"/>
      <sheetName val="P&amp;C -data"/>
      <sheetName val="P&amp;C - Guidelines"/>
      <sheetName val="Reinsurance - QBR"/>
      <sheetName val="Reinsurance - data"/>
      <sheetName val="Reinsurance -Guidelines"/>
      <sheetName val="Asset management -QBR"/>
      <sheetName val="asset management -data"/>
      <sheetName val="Asset managment - Guidelines"/>
      <sheetName val="Bank - QBR"/>
      <sheetName val="Bank - data"/>
      <sheetName val="Bank - Guidelines"/>
      <sheetName val="Global risks - QBR"/>
      <sheetName val="Global risks- data"/>
      <sheetName val="Lifedata"/>
      <sheetName val="Health-QBR"/>
      <sheetName val="HEALTH DATA"/>
      <sheetName val="Q-PC1"/>
      <sheetName val="Q-PC2"/>
      <sheetName val="NCQ-EXP"/>
      <sheetName val="QBR - P&amp;C"/>
      <sheetName val="P&amp;C data"/>
      <sheetName val="P&amp;C guidelines"/>
      <sheetName val="UPR"/>
      <sheetName val="IBNR"/>
      <sheetName val="List att."/>
      <sheetName val="Depreciation - Mulyo"/>
      <sheetName val="Neraca - Auidt"/>
      <sheetName val="Perhitungan PPh 25"/>
      <sheetName val="Fiscal Corr."/>
      <sheetName val="Depreciation &amp; Peny."/>
      <sheetName val="Art. 23 reconciliation"/>
      <sheetName val="Corporate Reporter"/>
      <sheetName val="FX Exposure"/>
      <sheetName val="Trial Bal"/>
      <sheetName val="Sept02"/>
      <sheetName val="Aug 02"/>
      <sheetName val="June 02"/>
      <sheetName val="May 02"/>
      <sheetName val="April 02"/>
      <sheetName val="Mar 02"/>
      <sheetName val="Feb02"/>
      <sheetName val="Jan02"/>
      <sheetName val="Dec01"/>
      <sheetName val="1771-1"/>
      <sheetName val="1771-2"/>
      <sheetName val="1771-3"/>
      <sheetName val="1771-4"/>
      <sheetName val="1771-5"/>
      <sheetName val="1771-6"/>
      <sheetName val="Dftlamp"/>
      <sheetName val="Depr-fiskal"/>
      <sheetName val="fiscal depr"/>
      <sheetName val="Rekon-FA"/>
      <sheetName val="Additional-FA"/>
      <sheetName val="Int-exp"/>
      <sheetName val="positivecorr"/>
      <sheetName val="korfis"/>
      <sheetName val="Breakdown Fiscal Correction"/>
      <sheetName val="Revised wht slips"/>
      <sheetName val="Attachmentx"/>
      <sheetName val="Lampiranx"/>
      <sheetName val="Entertainmentx"/>
      <sheetName val="Revised Depr"/>
      <sheetName val="Depreciationx"/>
      <sheetName val="Art25 installx"/>
      <sheetName val="Depr 2001"/>
      <sheetName val="1771-Y"/>
      <sheetName val="ARt 2223 prepaid"/>
      <sheetName val="Journal Req'd"/>
      <sheetName val="Template "/>
      <sheetName val="TRanscations-Prov"/>
      <sheetName val="1. Provision m'ment"/>
      <sheetName val="2. Depr 00"/>
      <sheetName val="4. FA Addition"/>
      <sheetName val="3. Amort 00"/>
      <sheetName val="5. Expln-Dev"/>
      <sheetName val="TRans-Expln"/>
      <sheetName val="6. P&amp;L Listing ex sun"/>
      <sheetName val="7. Losses"/>
      <sheetName val="CCOA-BAl"/>
      <sheetName val="Trans 1. - 97040"/>
      <sheetName val="43060"/>
      <sheetName val="Trans 2. 97165"/>
      <sheetName val="Trans 3. 97345"/>
      <sheetName val="Trans 4.97850, 97860 "/>
      <sheetName val="Trans 5 - 97515, 97835 , 97840"/>
      <sheetName val="Trans 6 43060, 98017,11831 "/>
      <sheetName val="Trans 7 98075"/>
      <sheetName val="Schedule 4"/>
      <sheetName val="Tangerang Site"/>
      <sheetName val="I-10"/>
      <sheetName val="EBIT-97"/>
      <sheetName val="301198 Prov"/>
      <sheetName val="DIB"/>
      <sheetName val="126 &amp; 127"/>
      <sheetName val="bpcs-rep"/>
      <sheetName val="depr-1998"/>
      <sheetName val="611alloc"/>
      <sheetName val="AI-95"/>
      <sheetName val="Prov Obsolete"/>
      <sheetName val="Structuring"/>
      <sheetName val="AR-conf"/>
      <sheetName val="AP-english"/>
      <sheetName val="AP-conf "/>
      <sheetName val="125 &amp; 128"/>
      <sheetName val="Remarks B14-2 "/>
      <sheetName val="FX-96.97.1098"/>
      <sheetName val="Royalties"/>
      <sheetName val="30614"/>
      <sheetName val="30912"/>
      <sheetName val="AR &amp; Inv WOff "/>
      <sheetName val="MB Country"/>
      <sheetName val="cc-129-98"/>
      <sheetName val="AGING"/>
      <sheetName val="Balance end 2002"/>
      <sheetName val="Balance 30-06-03"/>
      <sheetName val="Ecr"/>
      <sheetName val="2003"/>
      <sheetName val="2004"/>
      <sheetName val="2005"/>
      <sheetName val="2006"/>
      <sheetName val="Awalna"/>
      <sheetName val="Format Ngitung  "/>
      <sheetName val="Rul,m"/>
      <sheetName val="Rul,s"/>
      <sheetName val="NOTA"/>
      <sheetName val="INPUT "/>
      <sheetName val="ANAK HAYAM"/>
      <sheetName val="Parab Hayam 2003"/>
      <sheetName val="H.KONTRAK"/>
      <sheetName val="DOC"/>
      <sheetName val="FARM "/>
      <sheetName val="SUPPLIER"/>
      <sheetName val="Exchange Rate"/>
      <sheetName val="Compta X - 2"/>
      <sheetName val="aug"/>
      <sheetName val="HP Bangunan"/>
      <sheetName val="HP Inventaris"/>
      <sheetName val="HP Kendaraan"/>
      <sheetName val="Ak. Peny. Bangunan"/>
      <sheetName val="Ak. Peny. Inventaris"/>
      <sheetName val="Ak. Peny. Kendaraan"/>
      <sheetName val="Analytical"/>
      <sheetName val="RENTABILITAS"/>
      <sheetName val="CashFL"/>
      <sheetName val="PPAP"/>
      <sheetName val="KAP 4 Report"/>
      <sheetName val="Maturity ++"/>
      <sheetName val="BMPK"/>
      <sheetName val="Konsen-1"/>
      <sheetName val="Konsentrasi"/>
      <sheetName val="PDN ++"/>
      <sheetName val="PDN"/>
      <sheetName val="CAR Versi BI"/>
      <sheetName val="EQ"/>
      <sheetName val="DEFFERED TAX"/>
      <sheetName val="AYD"/>
      <sheetName val="KYD Terkait"/>
      <sheetName val="RJE"/>
      <sheetName val="CCJE"/>
      <sheetName val="Passed"/>
      <sheetName val="Ratio PPAP Audited"/>
      <sheetName val="Trading Bonds (Rp) 2003"/>
      <sheetName val="Trading Bonds (USD) 2003"/>
      <sheetName val="Held to Maturity Bonds(Rp) 2003"/>
      <sheetName val="REPORT and DISCLOSURES"/>
      <sheetName val="Pack"/>
      <sheetName val="Lainnya"/>
      <sheetName val="Roaster"/>
      <sheetName val="F.Drying"/>
      <sheetName val="Molen"/>
      <sheetName val="Selisih"/>
      <sheetName val="Grafik mesin"/>
      <sheetName val="Dapur"/>
      <sheetName val="Tiris"/>
      <sheetName val="Packing"/>
      <sheetName val="mixer kanji"/>
      <sheetName val="Oven"/>
      <sheetName val="Juice bawang"/>
      <sheetName val="Bucket"/>
      <sheetName val="Roasting"/>
      <sheetName val="Mesin Ayak"/>
      <sheetName val="Colloid mill"/>
      <sheetName val="Gotrok"/>
      <sheetName val="H_KONTRAK"/>
      <sheetName val="DAT_1"/>
      <sheetName val="Present"/>
      <sheetName val="Assumption"/>
      <sheetName val="Insurance"/>
      <sheetName val="Throughput"/>
      <sheetName val="Revenue Trend"/>
      <sheetName val="Revenue"/>
      <sheetName val="FA-PELINDO"/>
      <sheetName val="FA-HTP"/>
      <sheetName val="Ass-Fiscal"/>
      <sheetName val="FA-HTP (Fiskal) (2)"/>
      <sheetName val="FA-HTP (Fiskal)"/>
      <sheetName val="Depr - HTP (inl. cap interest)"/>
      <sheetName val="Depr Forex"/>
      <sheetName val="Material @"/>
      <sheetName val="Maintenance"/>
      <sheetName val="Rent"/>
      <sheetName val="Royalty"/>
      <sheetName val="Fin Stat"/>
      <sheetName val="Fin Pro 1"/>
      <sheetName val="Loan"/>
      <sheetName val="Fin Pro - HTP"/>
      <sheetName val="_43_9_1"/>
      <sheetName val="P-Kebun "/>
      <sheetName val="PPEMxx"/>
      <sheetName val="Ak_pro (2)"/>
      <sheetName val="HLLXX"/>
      <sheetName val="PJR.PENJ "/>
      <sheetName val="JASAGIRO"/>
      <sheetName val="DAT-1"/>
      <sheetName val="DAT-2"/>
      <sheetName val="DAT-3"/>
      <sheetName val="DAT-4"/>
      <sheetName val="DAT-5"/>
      <sheetName val="40 Memo"/>
      <sheetName val="40 Lead"/>
      <sheetName val="40.1Freight Expense"/>
      <sheetName val="Biaya Air (2)"/>
      <sheetName val="40.2Biaya Listrik"/>
      <sheetName val="40.3 ARP"/>
      <sheetName val="Revenue Trend (XXX)"/>
      <sheetName val="FA-PELINDO (Koja)"/>
      <sheetName val="FA-HTP (Fiskal) "/>
      <sheetName val="Total Fiskal"/>
      <sheetName val="FA-HTP (Koja)"/>
      <sheetName val="FA-HTP (Komersial)"/>
      <sheetName val="FA-HTP (Komersial) (2)"/>
      <sheetName val="Total Komersial"/>
      <sheetName val="Perbandingan FA (XXX)"/>
      <sheetName val="Depr-Int (XXX)"/>
      <sheetName val="Material @ (XXX)"/>
      <sheetName val="Fin Pro 1 (XXX)"/>
      <sheetName val="Loan Schedule"/>
      <sheetName val="Income Tax "/>
      <sheetName val="Graph (XXX)"/>
      <sheetName val="Rescheduling"/>
      <sheetName val="Ak_pro "/>
      <sheetName val="PJR.PENJ"/>
      <sheetName val="CRA-Detail"/>
      <sheetName val="Control Risk Aspects"/>
      <sheetName val="tm-02"/>
      <sheetName val="jln-02"/>
      <sheetName val="tm-03"/>
      <sheetName val="jln-03"/>
      <sheetName val="tm-04"/>
      <sheetName val="jln-04"/>
      <sheetName val="tm-all"/>
      <sheetName val="tmb-05"/>
      <sheetName val="tbm-06"/>
      <sheetName val="tbm-07"/>
      <sheetName val="tbm-all"/>
      <sheetName val="vp-tmball-2007"/>
      <sheetName val="Vp-tmall-2007"/>
      <sheetName val="vp-bbt-2007"/>
      <sheetName val="vp-pn 2007"/>
      <sheetName val="Panen-all"/>
      <sheetName val="bbt-08"/>
      <sheetName val="8500"/>
      <sheetName val="8500.1"/>
      <sheetName val="8500.1.2"/>
      <sheetName val="BIO DIESEL"/>
      <sheetName val="8500.2"/>
      <sheetName val="8500.3"/>
      <sheetName val="8500.2.1 TOD"/>
      <sheetName val=" ARA"/>
      <sheetName val="Perincian HPP"/>
      <sheetName val="8500.1.3 JURNAL"/>
      <sheetName val="C2.1"/>
      <sheetName val="C2.2"/>
      <sheetName val="C2.3"/>
      <sheetName val="C3"/>
      <sheetName val="C4"/>
      <sheetName val="C5"/>
      <sheetName val="C5.1"/>
      <sheetName val="C6"/>
      <sheetName val="C7"/>
      <sheetName val="C8"/>
      <sheetName val="C.tod"/>
      <sheetName val="C.ARA"/>
      <sheetName val="HARGA_BKS"/>
      <sheetName val="AKHIR BKS"/>
      <sheetName val="HPP_JULI"/>
      <sheetName val="STOCK_AWAL"/>
      <sheetName val="BELI AGST"/>
      <sheetName val="HPP_NON_OPEN"/>
      <sheetName val="HPP_CPN"/>
      <sheetName val="HPP_SRG"/>
      <sheetName val="HPP_TGR_NEW"/>
      <sheetName val="HPP_BKS_NEW"/>
      <sheetName val="REFRES"/>
      <sheetName val="HPP_0803"/>
      <sheetName val="non"/>
      <sheetName val="cpn"/>
      <sheetName val="HPP_JUNI"/>
      <sheetName val="BELI JULI"/>
      <sheetName val="HAP"/>
      <sheetName val="Qunion_Penjualan_PerBULAN_JULI"/>
      <sheetName val="HPP PER UNIT"/>
      <sheetName val="Stock Akhir"/>
      <sheetName val="Jual per unit"/>
      <sheetName val="Beli &amp; Retur"/>
      <sheetName val="HPP PER UNIT CPN"/>
      <sheetName val="Stock Akhir CIPINANG"/>
      <sheetName val="Beli &amp; Retur CPN"/>
      <sheetName val="HPP_0503"/>
      <sheetName val="HPP_0503 CPN"/>
      <sheetName val="M_BARANG"/>
      <sheetName val="SALGO GS"/>
      <sheetName val="SALDO_GS_CPN"/>
      <sheetName val="BELI0503"/>
      <sheetName val="SLD AWAL"/>
      <sheetName val="KD_BELI WITH NPN"/>
      <sheetName val="HG_BEL"/>
      <sheetName val="DATAIL"/>
      <sheetName val="HPP_AGUSTUS"/>
      <sheetName val="BELI _SEPTEMBER"/>
      <sheetName val="COPY"/>
      <sheetName val="Qunion_penjualan"/>
      <sheetName val="PIVOT"/>
      <sheetName val="JL_BEL"/>
      <sheetName val="DATA_JUALAN"/>
      <sheetName val="HPPNON"/>
      <sheetName val="HPPCPN"/>
      <sheetName val="HPPSRG"/>
      <sheetName val="HPPTGR"/>
      <sheetName val="HPPBKS"/>
      <sheetName val="REKAP_JUALAN"/>
      <sheetName val="PIVOT'TE"/>
      <sheetName val="HPP_0703"/>
      <sheetName val="DATA2"/>
      <sheetName val="JUALLAN"/>
      <sheetName val="MAS"/>
      <sheetName val="JBR"/>
      <sheetName val="KDR"/>
      <sheetName val="MDN"/>
      <sheetName val="MLG"/>
      <sheetName val="PRB"/>
      <sheetName val="NGELOM"/>
      <sheetName val="LK"/>
      <sheetName val="GLOBAL"/>
      <sheetName val="S_AWAL-hpp"/>
      <sheetName val="S_AKHIR"/>
      <sheetName val="JUAL@RETUR"/>
      <sheetName val="DATA AWAL"/>
      <sheetName val="PABRIK"/>
      <sheetName val="SAMPEL"/>
      <sheetName val="BONUS"/>
      <sheetName val="BAD STOCK"/>
      <sheetName val="OPNAME GOOD STOCK"/>
      <sheetName val="OPNAME SALES"/>
      <sheetName val="OPNAME BAD STOCK"/>
      <sheetName val="SALDO GOOD STOCK"/>
      <sheetName val="SALDO BAD STOCK"/>
      <sheetName val="SheetGMP"/>
      <sheetName val="SheetGMT"/>
      <sheetName val="KKP13 50 Deb tentiv"/>
      <sheetName val="AA.6 Star Eastern"/>
      <sheetName val="AA.5.1"/>
      <sheetName val="AA.5 Artha Graha"/>
      <sheetName val="bunga Inv"/>
      <sheetName val="Bunga BKP (2)"/>
      <sheetName val="Bunga BKP"/>
      <sheetName val="AA.4.1 Bukopin"/>
      <sheetName val="AA.4 Bukopin"/>
      <sheetName val="bunga kmk"/>
      <sheetName val="AA.3.1.1"/>
      <sheetName val="AA.3.1"/>
      <sheetName val="AA.3 Bumiputera"/>
      <sheetName val="AA.2.1 Bukopin"/>
      <sheetName val="AA.2 Bukopin"/>
      <sheetName val="AA.1.1.1 BNI"/>
      <sheetName val="AA.1.1 BNI"/>
      <sheetName val="AA.1 BNI"/>
      <sheetName val="AA"/>
      <sheetName val="AA_1_1 BNI"/>
      <sheetName val="TCM"/>
      <sheetName val="Ranges"/>
      <sheetName val="Lamp 11"/>
      <sheetName val="Lamp-II.2.2.3"/>
      <sheetName val="KKP-II.2.2.1.2"/>
      <sheetName val="KKP-II.2.2.2.1"/>
      <sheetName val="KKP-II.2.2.2.2"/>
      <sheetName val="KKP-II.2.2.2.3"/>
      <sheetName val="KKP-II.2.2.2.4"/>
      <sheetName val="KKP-II.2.2.2.5"/>
      <sheetName val="KKP-II.2.2.4.1"/>
      <sheetName val="KKP-II.2.2.3.1"/>
      <sheetName val="KKP-II.2.2.5.1"/>
      <sheetName val="KKP-II.2.2.6.1"/>
      <sheetName val="KKP-II.2.2.7.1"/>
      <sheetName val="KKP-II.2.2.8.1"/>
      <sheetName val="KKP-II.2.2.9.1"/>
      <sheetName val="KKP-II.2.2.10.1"/>
      <sheetName val="KKP-II.2.2.11.1"/>
      <sheetName val="Lamp 13"/>
      <sheetName val="Tabel-LHP"/>
      <sheetName val="Combined Report_EUR"/>
      <sheetName val="Report ID523 ADA_EUR"/>
      <sheetName val="Report ID524 C Ost_EUR"/>
      <sheetName val="Report ID525 C Deu_EUR"/>
      <sheetName val="Data ID523 ADA"/>
      <sheetName val="Data ID524 C OSt"/>
      <sheetName val="Data ID525 C Deu"/>
      <sheetName val="Cash Transfer"/>
      <sheetName val="Combined Report_USD"/>
      <sheetName val="Report ID523 ADA_USD"/>
      <sheetName val="Report ID524 C Ost_USD"/>
      <sheetName val="Report ID525 C Deu_USD"/>
      <sheetName val="EAR"/>
      <sheetName val="Adj In ID523"/>
      <sheetName val="Adj Out ID523"/>
      <sheetName val="Adj In ID524"/>
      <sheetName val="Adj Out ID524"/>
      <sheetName val="Adj Out ID525"/>
      <sheetName val="Adj In ID525"/>
      <sheetName val="Main Menu"/>
      <sheetName val="Proj Summ"/>
      <sheetName val="Team"/>
      <sheetName val="Effort.P"/>
      <sheetName val="Effort.A"/>
      <sheetName val="Subcontracted"/>
      <sheetName val="Expense.P"/>
      <sheetName val="Expense.A"/>
      <sheetName val="Asset"/>
      <sheetName val="Tracker"/>
      <sheetName val="Time Report"/>
      <sheetName val="Rates"/>
      <sheetName val="Analysis"/>
      <sheetName val="Help"/>
      <sheetName val="Codestable"/>
      <sheetName val="worksheet Actual"/>
      <sheetName val="worksheet Budget"/>
      <sheetName val="8_1 Bill_Collect Monthly"/>
      <sheetName val="1. Budget PL ASCO 2010"/>
      <sheetName val="2. Budget PL OPCO"/>
      <sheetName val="3. PL ASCO"/>
      <sheetName val="4. PL OPCO"/>
      <sheetName val="5.PL ASCO+OPCO"/>
      <sheetName val="6. PL LMIRT YTD"/>
      <sheetName val="6a.PL LMIRT-Current"/>
      <sheetName val="7a. BS"/>
      <sheetName val="7. BS LMIRT "/>
      <sheetName val="8a. Notes to BS"/>
      <sheetName val="Actual P&amp;L (Rp penuh)"/>
      <sheetName val="Actual Note to BS (Rp penuh)"/>
      <sheetName val="Actual BS  (Rp penuh)"/>
      <sheetName val="8. Notes to BS LMIRT "/>
      <sheetName val="9.Budget CF Asco+Opco"/>
      <sheetName val="9a.Budget CF Asco"/>
      <sheetName val="9b.Budget Opco"/>
      <sheetName val="10. CF Monhy"/>
      <sheetName val="11.CF YTD"/>
      <sheetName val="12. SecDep"/>
      <sheetName val="13. Interest SH"/>
      <sheetName val="14.Unrealised Exchg Diff"/>
      <sheetName val="15.Other Inc."/>
      <sheetName val="16. Int.Inc"/>
      <sheetName val="17.Misc exp."/>
      <sheetName val="18.Legal Exp"/>
      <sheetName val="19. Cash held"/>
      <sheetName val="20. Interest Remit"/>
      <sheetName val="1001"/>
      <sheetName val="1002"/>
      <sheetName val="1003"/>
      <sheetName val="1004"/>
      <sheetName val="1005"/>
      <sheetName val="1006"/>
      <sheetName val="1007"/>
      <sheetName val="1008"/>
      <sheetName val="1009"/>
      <sheetName val="1010"/>
      <sheetName val="NLPAWAL"/>
      <sheetName val="INDIKATOR (3)"/>
      <sheetName val="KOMP.INDKTR.KEU (3)"/>
      <sheetName val="JUAL AT"/>
      <sheetName val="BELI AT "/>
      <sheetName val="HP AT"/>
      <sheetName val="NLP "/>
      <sheetName val="RLP "/>
      <sheetName val="WS CF"/>
      <sheetName val="equity"/>
      <sheetName val="BUA"/>
      <sheetName val="PLL"/>
      <sheetName val="BLL"/>
      <sheetName val="DI"/>
      <sheetName val="PRW.05(10)"/>
      <sheetName val="PRW.06(21)"/>
      <sheetName val="PRW.07(15)"/>
      <sheetName val="EW.01A"/>
      <sheetName val="EW.01A(Rkp)"/>
      <sheetName val="EW.01B"/>
      <sheetName val="EW.01B(Rkp)"/>
      <sheetName val="EW.02"/>
      <sheetName val="Estm-HU"/>
      <sheetName val="Estm-Progres"/>
      <sheetName val="EW.02 (Rkp)"/>
      <sheetName val="EW.03"/>
      <sheetName val="DATA_2009"/>
      <sheetName val="RWD-02"/>
      <sheetName val="RWD-04"/>
      <sheetName val="tw 1"/>
      <sheetName val="tw 2"/>
      <sheetName val="tw 3"/>
      <sheetName val="tw 4"/>
      <sheetName val="barat"/>
      <sheetName val="tengah"/>
      <sheetName val="timur"/>
      <sheetName val="LN"/>
      <sheetName val="gedung"/>
      <sheetName val="sipil"/>
      <sheetName val="(Pusat TW1)"/>
      <sheetName val="(Pusat TW2)"/>
      <sheetName val="(Pusat TW3)"/>
      <sheetName val="(Pusat TW4)"/>
      <sheetName val="(Realisasi TW1)"/>
      <sheetName val="(proyekTW2)"/>
      <sheetName val="(proyekTW3)"/>
      <sheetName val="(proyekTW4"/>
      <sheetName val="tw1"/>
      <sheetName val="tw2"/>
      <sheetName val="tw3"/>
      <sheetName val="tw4"/>
      <sheetName val="tw4 (revisi)"/>
      <sheetName val="8500.05"/>
      <sheetName val="8510.05"/>
      <sheetName val="Tickmark"/>
      <sheetName val="AP Aging"/>
      <sheetName val="Trade creditors"/>
      <sheetName val="Details third party"/>
      <sheetName val="Details Related Party"/>
      <sheetName val="GRIR inventory"/>
      <sheetName val="GRIR non inventory"/>
      <sheetName val="NN Confirmation"/>
      <sheetName val="BS_IDR"/>
      <sheetName val="BS_USD"/>
      <sheetName val="PLBLN_IDR"/>
      <sheetName val="PLBLN_USD"/>
      <sheetName val="DETAIL EXP"/>
      <sheetName val="Def.Tax"/>
      <sheetName val="DIFF IN CONV"/>
      <sheetName val="DEF.CHARGES"/>
      <sheetName val="INVENTORY"/>
      <sheetName val="CIP"/>
      <sheetName val="Detail CIP"/>
      <sheetName val="INTERCO"/>
      <sheetName val="Ex_Rate"/>
      <sheetName val="ALLOWANCE"/>
      <sheetName val="ALLOWANCE-FINAL"/>
      <sheetName val="CRJ-01"/>
      <sheetName val="OM"/>
      <sheetName val="T5"/>
      <sheetName val="T4"/>
      <sheetName val="VROON"/>
      <sheetName val="L107"/>
      <sheetName val="ISMY"/>
      <sheetName val="TO"/>
      <sheetName val="OD"/>
      <sheetName val="AKUM-TB (2)"/>
      <sheetName val="AKUM-TB"/>
      <sheetName val="BTL"/>
      <sheetName val="Schedule Loan"/>
      <sheetName val="5200.15 Loan"/>
      <sheetName val="NSP-ANP"/>
      <sheetName val="Report Tax"/>
      <sheetName val="TPSF"/>
      <sheetName val="RJE TPSF"/>
      <sheetName val="PAJE TPSF "/>
      <sheetName val="WS2005"/>
      <sheetName val="TB 1205&amp;1206"/>
      <sheetName val="WS Konsolidasi"/>
      <sheetName val="TPS"/>
      <sheetName val="Tax-TPS Solo"/>
      <sheetName val="CAJE TPS"/>
      <sheetName val="PAJE TPS"/>
      <sheetName val="RJE TPS"/>
      <sheetName val="5300.85 Foreign. AP"/>
      <sheetName val="WS2006 PBC"/>
      <sheetName val="LC"/>
      <sheetName val="MTN "/>
      <sheetName val="Reclass "/>
      <sheetName val="Cash Flow."/>
      <sheetName val="SKP-STP"/>
      <sheetName val="Mata Uang Asing."/>
      <sheetName val="Segment."/>
      <sheetName val="Struktur Perusahaan Anak"/>
      <sheetName val="LPE"/>
      <sheetName val="Kas&amp;Bank"/>
      <sheetName val="Inv JP"/>
      <sheetName val="Piutang Usaha"/>
      <sheetName val="Persediaan"/>
      <sheetName val="Perikatan"/>
      <sheetName val="HutangBank"/>
      <sheetName val="Hut Obligasi"/>
      <sheetName val="Hut Usaha"/>
      <sheetName val="BMHD"/>
      <sheetName val="HSGU"/>
      <sheetName val="Pinj Jk Panjang"/>
      <sheetName val="Modal Saham"/>
      <sheetName val="Beban Usaha"/>
      <sheetName val="Penjualan Bersih"/>
      <sheetName val="Pokok Penjualan"/>
      <sheetName val="Imbalan KErja"/>
      <sheetName val="BebabBunga"/>
      <sheetName val="Entitas Sepengendali"/>
      <sheetName val="EPS"/>
      <sheetName val="Rel PArties"/>
      <sheetName val="5100.00 Lead"/>
      <sheetName val="Konfirm leasing"/>
      <sheetName val="Cek Pembayaran Poko"/>
      <sheetName val="Lead 2"/>
      <sheetName val="SEP02"/>
      <sheetName val="AUG02"/>
      <sheetName val="NOV03"/>
      <sheetName val="OCT03"/>
      <sheetName val="SEP03"/>
      <sheetName val="AUG03"/>
      <sheetName val="MAR03"/>
      <sheetName val="DEC02"/>
      <sheetName val="NOV02"/>
      <sheetName val="OCT02"/>
      <sheetName val="ark"/>
      <sheetName val="Lamp tax calc"/>
      <sheetName val="Lamp tax calc 08"/>
      <sheetName val="Mata uang Asing"/>
      <sheetName val="Kas dan Setara"/>
      <sheetName val="Piutang Lain-lain"/>
      <sheetName val="Hutang Lain-lain"/>
      <sheetName val="CRJE"/>
      <sheetName val="Uang M dan Biaya Dibayar dimuka"/>
      <sheetName val="Aset Tetap"/>
      <sheetName val="Beban Ditangguhkan"/>
      <sheetName val="Beban yg Masih H. Dibayar"/>
      <sheetName val="Hutang Usaha"/>
      <sheetName val="Pen. Ditangguhkan"/>
      <sheetName val="Uang Jaminan Penyewa"/>
      <sheetName val="Hutang Bank"/>
      <sheetName val="Hutang kpd P. Saham"/>
      <sheetName val="Pendapatan Sewa"/>
      <sheetName val="Pen. Jasa Pelayanan"/>
      <sheetName val="Pen. Usaha Lain-lain"/>
      <sheetName val="Pend. Beban Lain-lain"/>
      <sheetName val="Imbal Kerja"/>
      <sheetName val="Reklasifikasi"/>
      <sheetName val="Ged"/>
      <sheetName val="Partisi"/>
      <sheetName val="Tehnik"/>
      <sheetName val="Keamanan"/>
      <sheetName val="Kend"/>
      <sheetName val="Rekonsiliasi"/>
      <sheetName val="HGB"/>
      <sheetName val="Properti Inv"/>
      <sheetName val="Per PT SD JULI "/>
      <sheetName val="PPh ps.4(2)"/>
      <sheetName val="2800.ARP"/>
      <sheetName val="2800"/>
      <sheetName val="2800.20"/>
      <sheetName val="2800.30"/>
      <sheetName val="2800.30.1"/>
      <sheetName val="2800.30.2"/>
      <sheetName val="2800.40"/>
      <sheetName val="2800.50"/>
      <sheetName val="2800.50.1"/>
      <sheetName val="Symbol"/>
      <sheetName val="BANGUNAN"/>
      <sheetName val="NONBANGUNAN"/>
      <sheetName val="Manpower"/>
      <sheetName val="1771-II_1"/>
      <sheetName val="1771-II_2"/>
      <sheetName val="1771-II_3"/>
      <sheetName val="1771-V Bag A"/>
      <sheetName val="1771-V Bag B"/>
      <sheetName val="Daftar Kompensasi"/>
      <sheetName val="Attc 20"/>
      <sheetName val="Lap_cashflow"/>
      <sheetName val="Detial LapCashflow"/>
      <sheetName val="CF 2010"/>
      <sheetName val="PROYEKSI 2010"/>
      <sheetName val="CF 2010 Budget"/>
      <sheetName val="COVERR"/>
      <sheetName val="DAF-ISI"/>
      <sheetName val="ULAS"/>
      <sheetName val="01a"/>
      <sheetName val="31"/>
      <sheetName val="44"/>
      <sheetName val="45"/>
      <sheetName val="46"/>
      <sheetName val="47"/>
      <sheetName val="48"/>
      <sheetName val="49"/>
      <sheetName val="50"/>
      <sheetName val="51"/>
      <sheetName val="52"/>
      <sheetName val="C13"/>
      <sheetName val="CDYW"/>
      <sheetName val="opini"/>
      <sheetName val="Ws Jul-2004"/>
      <sheetName val="AJE (2)"/>
      <sheetName val="Neraca "/>
      <sheetName val="Neraca  (2)"/>
      <sheetName val="Laba Rugi "/>
      <sheetName val="CF (2)"/>
      <sheetName val="NOTE7"/>
      <sheetName val="NOTE8"/>
      <sheetName val="Ws_Jul-2004"/>
      <sheetName val="AJE_(2)"/>
      <sheetName val="Neraca_"/>
      <sheetName val="Neraca__(2)"/>
      <sheetName val="Laba_Rugi_"/>
      <sheetName val="CF_(2)"/>
      <sheetName val="FA_ACQUISITION_(TOTAL)"/>
      <sheetName val="Ws_Jul-20041"/>
      <sheetName val="AJE_(2)1"/>
      <sheetName val="Neraca_1"/>
      <sheetName val="Neraca__(2)1"/>
      <sheetName val="Laba_Rugi_1"/>
      <sheetName val="CF_(2)1"/>
      <sheetName val="Addition"/>
      <sheetName val="Instructions"/>
      <sheetName val="NAP"/>
      <sheetName val="ROSS LIST"/>
      <sheetName val="21s"/>
      <sheetName val="24b"/>
      <sheetName val="Transport"/>
      <sheetName val="08012_2"/>
      <sheetName val="BUM_Lap"/>
      <sheetName val="08012.3"/>
      <sheetName val="08012.0"/>
      <sheetName val="402"/>
      <sheetName val="Ketentuan"/>
      <sheetName val="Areal"/>
      <sheetName val="DaftarPeg"/>
      <sheetName val="Alokasi"/>
      <sheetName val="BUM_Pengolahan"/>
      <sheetName val="BUM_Rekap"/>
      <sheetName val="Hargabrg"/>
      <sheetName val="0222"/>
      <sheetName val="08012.1"/>
      <sheetName val="08012.2"/>
      <sheetName val="08012.4"/>
      <sheetName val="08012.5"/>
      <sheetName val="400"/>
      <sheetName val="Dibebankan"/>
      <sheetName val="Psr_Penghub"/>
      <sheetName val="HTI"/>
      <sheetName val="A-1"/>
      <sheetName val="A-2"/>
      <sheetName val="A-3"/>
      <sheetName val="Offset Afiliasi &amp; Write-Off"/>
      <sheetName val="Affiliation Reconcile"/>
      <sheetName val="TYT"/>
      <sheetName val="BSU"/>
      <sheetName val="Limpra"/>
      <sheetName val="Ures"/>
      <sheetName val="Muruf"/>
      <sheetName val="HTI Murni"/>
      <sheetName val="Unit IV"/>
      <sheetName val="TYSP"/>
      <sheetName val="reklas(offset)for reporting"/>
      <sheetName val="PSAK 24 TYSP"/>
      <sheetName val="Segmen"/>
      <sheetName val="Sales Geografis"/>
      <sheetName val="Anal Review"/>
      <sheetName val="List of PAJE (to client)"/>
      <sheetName val="mutasi investasi"/>
      <sheetName val="Pending"/>
      <sheetName val="Fin-highlights"/>
      <sheetName val="fiscal rekon"/>
      <sheetName val="WBS1"/>
      <sheetName val="WBS2"/>
      <sheetName val="A4.1"/>
      <sheetName val="A4.2"/>
      <sheetName val="A4.3"/>
      <sheetName val="A4.4"/>
      <sheetName val="CAJE&amp;CRJE"/>
      <sheetName val="total marketing"/>
      <sheetName val="marketing opal"/>
      <sheetName val="marketing amethys"/>
      <sheetName val="Profit &amp; loss"/>
      <sheetName val="product development"/>
      <sheetName val="Oct-06 own prod"/>
      <sheetName val="Sept-06 own prod"/>
      <sheetName val="manitol Oct 06"/>
      <sheetName val="manitol Sept 06 "/>
      <sheetName val="neurotam Sept'06"/>
      <sheetName val="neurotam Oct'06 "/>
      <sheetName val="cravit Oct-06"/>
      <sheetName val="cravit Sept-06"/>
      <sheetName val="hemosol Oct-06"/>
      <sheetName val="hemosol Sept-06"/>
      <sheetName val="Customize Work Program"/>
      <sheetName val="XXXXX"/>
      <sheetName val="XXXX0"/>
      <sheetName val="Recovered_Sheet4"/>
      <sheetName val="Recovered_Sheet5"/>
      <sheetName val="Recovered_Sheet6"/>
      <sheetName val="20000"/>
      <sheetName val="30000"/>
      <sheetName val="2000"/>
      <sheetName val="3000"/>
      <sheetName val="Assets"/>
      <sheetName val="NetSales"/>
      <sheetName val="AR"/>
      <sheetName val="topWBS2"/>
      <sheetName val="topWBS1"/>
      <sheetName val="Consolidated jurnal"/>
      <sheetName val="dtlE1"/>
      <sheetName val="TopPL"/>
      <sheetName val="N2"/>
      <sheetName val="dtlN1"/>
      <sheetName val="U4"/>
      <sheetName val="U.3"/>
      <sheetName val="U.5"/>
      <sheetName val="U.1"/>
      <sheetName val="notused2"/>
      <sheetName val="notused"/>
      <sheetName val="notused1"/>
      <sheetName val="F1,2,3"/>
      <sheetName val="WS for Report-BS"/>
      <sheetName val="WS for Report-PL"/>
      <sheetName val="PRJE For Report Purposes"/>
      <sheetName val="Passed_adj"/>
      <sheetName val="DataCon"/>
      <sheetName val="Input_tables"/>
      <sheetName val="Data Karyawan"/>
      <sheetName val="Benefit_Tab"/>
      <sheetName val="JHT"/>
      <sheetName val="PSC_Calc"/>
      <sheetName val="output"/>
      <sheetName val="Payments"/>
      <sheetName val="summary_frm_output"/>
      <sheetName val="Checker"/>
      <sheetName val="Presentation1"/>
      <sheetName val="Lap Akturia 2004"/>
      <sheetName val="discl_present_gab"/>
      <sheetName val="AG_presntn"/>
      <sheetName val="decr_table"/>
      <sheetName val="GraphBen"/>
      <sheetName val="Sensitivity-Analysis"/>
      <sheetName val="DES'03"/>
      <sheetName val="PL-FARM-MON"/>
      <sheetName val="PL-FARM-VAN"/>
      <sheetName val="PL-FARM-MON (NIAGA)"/>
      <sheetName val="PL-FARM-VAN (NIAGA)"/>
      <sheetName val="PL-CSD"/>
      <sheetName val="Profit-Loss-xx1"/>
      <sheetName val="PL-CSD-JAN-DEC"/>
      <sheetName val="CAPEX-1"/>
      <sheetName val="Intrst+Man Fee-xx1"/>
      <sheetName val="Cash Flow-xx1"/>
      <sheetName val="TR_Coll-xx1"/>
      <sheetName val="TP-xx1"/>
      <sheetName val="Sales-xx1"/>
      <sheetName val="Cost-Rm-Csd-CONV"/>
      <sheetName val="Cost-xx1"/>
      <sheetName val="JURNAL-xx1"/>
      <sheetName val="BS-xx1"/>
      <sheetName val="&lt;&lt;&gt;&gt;"/>
      <sheetName val="  Analisa_Ratio"/>
      <sheetName val="DEPOSITO-ALOC"/>
      <sheetName val="Gain-(Loss)-Forex"/>
      <sheetName val="Forex-Journal-xx1"/>
      <sheetName val="Sch.CB-Niaga"/>
      <sheetName val="TR A (36Jt)"/>
      <sheetName val="Sch.CB-Prima"/>
      <sheetName val="Loan Payment-2003"/>
      <sheetName val="Loan Payment-2004"/>
      <sheetName val="Non Cash Exp"/>
      <sheetName val="Total-Pond-Mon-Van"/>
      <sheetName val="Farmer-Pond-Monodon"/>
      <sheetName val="Farmer-Pond-Vannamei"/>
      <sheetName val="Company-Pond-Monodon"/>
      <sheetName val="Company-Pond-Vannamei"/>
      <sheetName val="Sum Jan - Aug (New)"/>
      <sheetName val="Projected Gross Profit Vanemei "/>
      <sheetName val="Sum Jan - Aug (Old)"/>
      <sheetName val="Individual Gross Profit J - Aug"/>
      <sheetName val="PROFIT-LOSS"/>
      <sheetName val="COMP.ASSUMPTION"/>
      <sheetName val="Summ-Jan - Jun 2005"/>
      <sheetName val="Summ-GP"/>
      <sheetName val="Historical Vanamei Cost"/>
      <sheetName val="FIXED asset updated"/>
      <sheetName val="fa FEb 06"/>
      <sheetName val="REkap PAjak"/>
      <sheetName val="HEADER-NEW"/>
      <sheetName val="HEADER"/>
      <sheetName val="IndJan-Mar"/>
      <sheetName val="IndApr-Juni (2)"/>
      <sheetName val="IndJuly-Des"/>
      <sheetName val="Pemb Induk"/>
      <sheetName val="Cop"/>
      <sheetName val="CONT-ALL"/>
      <sheetName val="CONT-OPR"/>
      <sheetName val="COMB. BO-NP"/>
      <sheetName val="PAR-BO"/>
      <sheetName val="COMP. PAR-BO"/>
      <sheetName val="PAR-BO in PCS"/>
      <sheetName val="BGTPL98 (BO)"/>
      <sheetName val="PAR-NP"/>
      <sheetName val="BGTPL98 (NP)"/>
      <sheetName val="COMP. PAR-NP"/>
      <sheetName val="COMP. NS&amp;GP"/>
      <sheetName val="DETAIL SALES FARMER - BO"/>
      <sheetName val="DETAIL SALES FARMER - NP"/>
      <sheetName val="DETAIL SALES FM-MONODON"/>
      <sheetName val="DETAIL SALES FM-VANNAMEI"/>
      <sheetName val="COM-DETAIL-COGS-MONODON"/>
      <sheetName val="DetailCOGSNP"/>
      <sheetName val="RM-MNPD-MONODON"/>
      <sheetName val="RM-FPD-MONODON"/>
      <sheetName val="DETAIL-COGS-VANNAMEI"/>
      <sheetName val="RM-MNPD-VANNAMEI"/>
      <sheetName val="RM-FPD-VANNAMEI"/>
      <sheetName val="OVERHEAD-MONODON"/>
      <sheetName val="OVERHEAD-VANNAMEI"/>
      <sheetName val="SUM-SECHE-WIPNAUP-MONODON"/>
      <sheetName val="SUM-SECH-WIPFRY-MONODON"/>
      <sheetName val="SUM-SECHE-WIP-VANNAMEI"/>
      <sheetName val="EXPENDITURE-MONODON"/>
      <sheetName val="EXPENDITURE-VANNAMEI"/>
      <sheetName val="SELLEXP"/>
      <sheetName val="8 ADM"/>
      <sheetName val="2 NS&amp;GP(NP)"/>
      <sheetName val="GEN. &amp; ADM. EXP."/>
      <sheetName val="PROD.NAUPLII-MONODON"/>
      <sheetName val="NAUPLII PER UNIT-MONODON"/>
      <sheetName val="NAUPLII-COST-AMOUNT-MONODON"/>
      <sheetName val="PROD.FRY-MONODON"/>
      <sheetName val="COGS PER FRY-MONODON"/>
      <sheetName val="PROD.NAUPLII-VANNAMEI"/>
      <sheetName val="NAUPLII PER UNIT-VANNAMEI"/>
      <sheetName val="NAUPLII-COST-AMOUNT-VANNAMEI"/>
      <sheetName val="PROD.FRY-VANNAMEI"/>
      <sheetName val="COGS PER FRY-VANNAMEI"/>
      <sheetName val="Flushing Jan02"/>
      <sheetName val="Flushing Sep-Des "/>
      <sheetName val="Flushing Feb02"/>
      <sheetName val="Flushing Mar02"/>
      <sheetName val="INV"/>
      <sheetName val="10 FA"/>
      <sheetName val="11 CIP"/>
      <sheetName val="12 JAPG"/>
      <sheetName val="13 BRDSTK"/>
      <sheetName val="Boxes-Monodon"/>
      <sheetName val="Boxes-Vannamei"/>
      <sheetName val="HARVEST02_Vennamei"/>
      <sheetName val="HARVEST02"/>
      <sheetName val="H3"/>
      <sheetName val="h-2"/>
      <sheetName val="CYCLUS"/>
      <sheetName val="P_WEEK"/>
      <sheetName val="AREA_LIST"/>
      <sheetName val="HIII"/>
      <sheetName val="H4"/>
      <sheetName val="Data Per 19 Mei 2005"/>
      <sheetName val="prop_price_van (2)"/>
      <sheetName val="Locas"/>
      <sheetName val="0000000"/>
      <sheetName val="1000000"/>
      <sheetName val="WBS1dec 04@"/>
      <sheetName val="WBS 2dec 04@"/>
      <sheetName val="WPLdec 04@"/>
      <sheetName val="detailwpl dec 04"/>
      <sheetName val="T-ACC-04"/>
      <sheetName val="PM &amp; TE dec 04@"/>
      <sheetName val="Cashflow old"/>
      <sheetName val="cash flows- indirect"/>
      <sheetName val="detail cash flows (2)"/>
      <sheetName val="FA_FISCAL2004"/>
      <sheetName val="Fiscal computation"/>
      <sheetName val="nde "/>
      <sheetName val="C-2.1"/>
      <sheetName val="E-2.1"/>
      <sheetName val="Raw"/>
      <sheetName val="FG &amp; WIP"/>
      <sheetName val="PPH22"/>
      <sheetName val="rekap PPH 25"/>
      <sheetName val="I-1.2"/>
      <sheetName val="Mutasi Fixed assets 2004"/>
      <sheetName val="RekapFA"/>
      <sheetName val="RincianFA"/>
      <sheetName val="rekap pph 21"/>
      <sheetName val="perhit PPH21"/>
      <sheetName val="PPh 23,26"/>
      <sheetName val="rekap PPN"/>
      <sheetName val="accrued UU No.13"/>
      <sheetName val="Home Statement awal"/>
      <sheetName val="Home Statement - Dec '04"/>
      <sheetName val="TB Client Dec 31 '04"/>
      <sheetName val="An. Rev WBS1"/>
      <sheetName val="AN REV WBS 2"/>
      <sheetName val="AN REV WPL"/>
      <sheetName val="Analisa GP"/>
      <sheetName val="Cost Analysis 2003"/>
      <sheetName val="SRM AUDIT 04VS 03"/>
      <sheetName val="FS per month use"/>
      <sheetName val="BI Middle Rate Translation'04"/>
      <sheetName val="Confirmation control"/>
      <sheetName val="E-1 Nov"/>
      <sheetName val="U1-2"/>
      <sheetName val="U1-2-1"/>
      <sheetName val="1721"/>
      <sheetName val="1721-A"/>
      <sheetName val="1721-A1"/>
      <sheetName val="1721-A1 (2)"/>
      <sheetName val="1721-A2"/>
      <sheetName val="1721-B"/>
      <sheetName val="1721-C"/>
      <sheetName val="PA Result"/>
      <sheetName val="LIST EE"/>
      <sheetName val="Lumpsum Payment"/>
      <sheetName val="Lumpsum Payment (Rev)"/>
      <sheetName val="Lumpsum Finance"/>
      <sheetName val="Lumpsum Hatch"/>
      <sheetName val="Lumps farm"/>
      <sheetName val="Lumps Mkt"/>
      <sheetName val="Control 2"/>
      <sheetName val="Control"/>
      <sheetName val="HUTANG SGU"/>
      <sheetName val="Sun_Xenia_4"/>
      <sheetName val="Sun_Mits_6"/>
      <sheetName val="Sri_Mits_3"/>
      <sheetName val="Sri_Mits_4"/>
      <sheetName val="Sun_Mits_7"/>
      <sheetName val="Sun_Mits_2"/>
      <sheetName val="Sun_Mits_3"/>
      <sheetName val="Sun_Mits_4"/>
      <sheetName val="Bra_Mits_23ho"/>
      <sheetName val="Bra_Mits_23rkho"/>
      <sheetName val="Bra_Mits_23ho cls"/>
      <sheetName val="BRA_2rkho"/>
      <sheetName val="BRA_1rkho"/>
      <sheetName val="Sun_Mits_2rkcls"/>
      <sheetName val="BUANA_Carry_13"/>
      <sheetName val="Honda city_3"/>
      <sheetName val="mits FE"/>
      <sheetName val="CARRY_2U"/>
      <sheetName val="XENIA_1U"/>
      <sheetName val="B9461_Bks"/>
      <sheetName val="PE_TO"/>
      <sheetName val="Projected_P&amp;L"/>
      <sheetName val="Historical_P&amp;L"/>
      <sheetName val="Historical Opex"/>
      <sheetName val="E055"/>
      <sheetName val="PREPAID RENT"/>
      <sheetName val="MJ"/>
      <sheetName val="MJ (2)"/>
      <sheetName val="combine"/>
      <sheetName val="CFLS"/>
      <sheetName val="CMLS"/>
      <sheetName val="parent farm"/>
      <sheetName val="Memo on Walkthrough"/>
      <sheetName val="Pending Document (3)"/>
      <sheetName val="Sampling Vouched FA Addition"/>
      <sheetName val="Pending Document-JKT"/>
      <sheetName val="Pending Document"/>
      <sheetName val="Pending Document (2)"/>
      <sheetName val="Summary FA Addition-2005"/>
      <sheetName val="Candra"/>
      <sheetName val="utk auditor"/>
      <sheetName val="BSFeb"/>
      <sheetName val="PLFeb"/>
      <sheetName val="BSMarch"/>
      <sheetName val="TB March 07"/>
      <sheetName val="BS for SRM"/>
      <sheetName val="PL for SRM"/>
      <sheetName val="CF Combine"/>
      <sheetName val="CF-indirect"/>
      <sheetName val="CF Direct"/>
      <sheetName val="PM_TE"/>
      <sheetName val="Test Reval Feb"/>
      <sheetName val="WBS 1"/>
      <sheetName val="WBS 2"/>
      <sheetName val="PAJE PRJE March"/>
      <sheetName val="PAJE PRJE Feb'07"/>
      <sheetName val="Test Reval March "/>
      <sheetName val="FiscComp"/>
      <sheetName val="Fiscal"/>
      <sheetName val="Def Tax"/>
      <sheetName val="E.1"/>
      <sheetName val="E.2"/>
      <sheetName val="F.2.1"/>
      <sheetName val="F2-2"/>
      <sheetName val="F.3"/>
      <sheetName val="G.1"/>
      <sheetName val="L.2"/>
      <sheetName val="O.1 "/>
      <sheetName val="O.2"/>
      <sheetName val="U1-1"/>
      <sheetName val="U1-3"/>
      <sheetName val="U2-1"/>
      <sheetName val="U2-2"/>
      <sheetName val="U-3-1"/>
      <sheetName val="U-3-1-1"/>
      <sheetName val="U-3-2"/>
      <sheetName val="U-3-2-1"/>
      <sheetName val="PSAK 24"/>
      <sheetName val="Cut Off Parts"/>
      <sheetName val="Cut Off Sales"/>
      <sheetName val="Cut Off Purch"/>
      <sheetName val="Question to Ibu Mory"/>
      <sheetName val="F.Inventory"/>
      <sheetName val="F.1feb 08"/>
      <sheetName val="F5.1"/>
      <sheetName val="K.Lead.March"/>
      <sheetName val="K1.Leasehold Improvement.March"/>
      <sheetName val="K2.Furniture and Fixtures.March"/>
      <sheetName val="K3.Office Equipment.March"/>
      <sheetName val="U1.Sales"/>
      <sheetName val="U1.1.sales comm"/>
      <sheetName val="U1.2.instal comm"/>
      <sheetName val="U1.3.Feb"/>
      <sheetName val="U2.Cost of Sales"/>
      <sheetName val="U2.1"/>
      <sheetName val="U.3.1"/>
      <sheetName val="U3.1.1"/>
      <sheetName val="Sheet permintaan vouching"/>
      <sheetName val="140801"/>
      <sheetName val="SAT_STAFF_ACC4_DC4"/>
      <sheetName val="E-1-1 subs AR-conf. only"/>
      <sheetName val="subs. AP"/>
      <sheetName val="conf. control"/>
      <sheetName val="vat&amp;pph21"/>
      <sheetName val="Rekap Per Jenis"/>
      <sheetName val="Rekap Per  Fungsi"/>
      <sheetName val="RKA 2011"/>
      <sheetName val="RUT_MAT"/>
      <sheetName val="Material Operasi PLTU"/>
      <sheetName val="RUT_JASA"/>
      <sheetName val="PER_MAT"/>
      <sheetName val="PER_JASA"/>
      <sheetName val="KHU_MAT"/>
      <sheetName val="KHU_JASA"/>
      <sheetName val="Har-Priok_Per Entitas"/>
      <sheetName val="Kapitalisir"/>
      <sheetName val="Material Operasi PLTGU"/>
      <sheetName val="Material Operasi PLTG"/>
      <sheetName val="REKAP PER UNIT"/>
      <sheetName val="Tab 1 - Rekap"/>
      <sheetName val="Tab 2.1 - HRD Max Rate (325)"/>
      <sheetName val="Tab 2.2 - HRD Max Rate (279)"/>
      <sheetName val="Tab 3.1 - HRD AVR. Rate (325) "/>
      <sheetName val="Tab 3.2 - HRD AVR. Rate  (279)"/>
      <sheetName val="Tab 4 - Projection avg (279) IP"/>
      <sheetName val="Cost Structure"/>
      <sheetName val="Tab 4 - Projection avg (279Mix)"/>
      <sheetName val="Tab 4 - Projection "/>
      <sheetName val="Tab 4 - Projection avg (IP 325)"/>
      <sheetName val="PEMBACAAN"/>
      <sheetName val="Pekerjaan"/>
      <sheetName val="DISPOSISI"/>
      <sheetName val="RP-143"/>
      <sheetName val="SAMPUL (2)"/>
      <sheetName val="SAMPUL (3)"/>
      <sheetName val="Rekap Prio"/>
      <sheetName val="fisik-biaya"/>
      <sheetName val="FORM A12BJI"/>
      <sheetName val="RKP-PROGRAM"/>
      <sheetName val="Basket prio 1"/>
      <sheetName val="REKAP 1"/>
      <sheetName val="FORM A12 BJI"/>
      <sheetName val="RENC-PLGG"/>
      <sheetName val="REKAP 2"/>
      <sheetName val="PRIO 2"/>
      <sheetName val="PRIO 3"/>
      <sheetName val="NON RUTIN"/>
      <sheetName val="Data Basket I"/>
      <sheetName val="UGB-PDKB"/>
      <sheetName val="Luncuran"/>
      <sheetName val="R-Wil"/>
      <sheetName val="FORM A12 WLSU"/>
      <sheetName val="FORM A12MED"/>
      <sheetName val="FORM A12SBG"/>
      <sheetName val="FORM A12PSP"/>
      <sheetName val="FORM A12PMS"/>
      <sheetName val="FORM A12PKM"/>
      <sheetName val="FORM A12RAP"/>
      <sheetName val="FORM A12NIA"/>
      <sheetName val="mdu"/>
      <sheetName val="mdu (2)"/>
      <sheetName val="Kawat &amp; Kabel"/>
      <sheetName val="KWH&amp;MCB"/>
      <sheetName val="CrossARM"/>
      <sheetName val="RP-SG8"/>
      <sheetName val="FISIK"/>
      <sheetName val="HS WIL"/>
      <sheetName val="REKAPITULASI1"/>
      <sheetName val="FISIK R"/>
      <sheetName val="FISIK NR"/>
      <sheetName val="BASKET1"/>
      <sheetName val="REKAP1"/>
      <sheetName val="JTM1"/>
      <sheetName val="JTR1"/>
      <sheetName val="GARDU1"/>
      <sheetName val="SR1"/>
      <sheetName val="FORM A12WSU"/>
      <sheetName val="FORM A12PMS 2011"/>
      <sheetName val="FORM A12 SBG"/>
      <sheetName val="FORM A12 RAP"/>
      <sheetName val="FORM A12 NIAS"/>
      <sheetName val="RKP PRIORITAS"/>
      <sheetName val="RENC PLG"/>
      <sheetName val="COV DT PEDKG"/>
      <sheetName val="ACTIVA"/>
      <sheetName val="RINC TIANG"/>
      <sheetName val="RINC JTM"/>
      <sheetName val="RINC JTR"/>
      <sheetName val="DM-SAR"/>
      <sheetName val="ES"/>
      <sheetName val="UAI-5"/>
      <sheetName val="BAS1"/>
      <sheetName val="BAS2"/>
      <sheetName val="BAS3"/>
      <sheetName val="BAS4"/>
      <sheetName val="BAS5"/>
      <sheetName val="BAS6"/>
      <sheetName val="LOSSES 2009"/>
      <sheetName val="LOSSES 2009 (ESTIMASI)"/>
      <sheetName val="LOSSES 2009 (EST PERHIT SENDIR)"/>
      <sheetName val="ACTION PLAN 09"/>
      <sheetName val="Versi Wil"/>
      <sheetName val="LOSESS PER TRW 06-08"/>
      <sheetName val="dupon chart"/>
      <sheetName val="Pelanggan Meter Elektronik"/>
      <sheetName val="ISI"/>
      <sheetName val="FORM.1.A.CB"/>
      <sheetName val="FORM.1.B-CB"/>
      <sheetName val="FORM.1C- CB"/>
      <sheetName val="FORM.2.A- CB"/>
      <sheetName val="FORM.2.B-WIL"/>
      <sheetName val="Form.2.C-WIL"/>
      <sheetName val="FORM.3A- WIL"/>
      <sheetName val="FORM.3.B PST"/>
      <sheetName val="FORM.3.C PST"/>
      <sheetName val="FORM.3.D PST"/>
      <sheetName val="FORM.3.E PST"/>
      <sheetName val="FORM.3F BENGKEL TRAFO"/>
      <sheetName val="FORM.4"/>
      <sheetName val="FORM.5"/>
      <sheetName val="FORM.6"/>
      <sheetName val="FORM.3.D PST (Ranting-Rayon)"/>
      <sheetName val="Scoring"/>
      <sheetName val="REKAP LKAI BASKET 2014"/>
      <sheetName val="LKAI BULANAN 2014 (2)"/>
      <sheetName val="FORM A12 AREA APD"/>
      <sheetName val="HS JPROC"/>
      <sheetName val="FORM A12MDN"/>
      <sheetName val="LKAI 2014"/>
      <sheetName val="FORM A12 PAKAM "/>
      <sheetName val="FORM 12 R.PRAPAT"/>
      <sheetName val="PIN POST"/>
      <sheetName val="FORM A12 PMS"/>
      <sheetName val="REKAP AI 2014"/>
      <sheetName val="REKAP PER.AREA"/>
      <sheetName val="AKB 2014"/>
      <sheetName val="LKAI 2014 (2)"/>
      <sheetName val="LKAI BULANAN 2014"/>
      <sheetName val="REKAP JTM JTR GARDU SR"/>
      <sheetName val="MATERIAL DISTRIBUSI"/>
      <sheetName val="JTM JTR GARDU SR"/>
      <sheetName val="SKKI"/>
      <sheetName val="FORM A12MDN B"/>
      <sheetName val="FORM A12 BJI B"/>
      <sheetName val="FORM A12 PAKAM B"/>
      <sheetName val="FORM A12 PMS B"/>
      <sheetName val="FORM A12 SBG B"/>
      <sheetName val="FORM A12 PSP B"/>
      <sheetName val="FORM A12  RAP B"/>
      <sheetName val="FORM A12 NIAS B"/>
      <sheetName val="FISIK MDU LKAI (2)"/>
      <sheetName val="MDU DIS"/>
      <sheetName val="FORM A12 P.SP"/>
      <sheetName val="ATK PP"/>
      <sheetName val="BRG CETAK"/>
      <sheetName val="NON OPERASI"/>
      <sheetName val="B.Har.TUL"/>
      <sheetName val="B.Overhoul"/>
      <sheetName val="TELKOM"/>
      <sheetName val="SRN KRJ"/>
      <sheetName val="KENDRN"/>
      <sheetName val="Har-IT"/>
      <sheetName val="B.Har.TU"/>
      <sheetName val="PEND-PLTD"/>
      <sheetName val="GDG-PLTD"/>
      <sheetName val="SEWA KEND"/>
      <sheetName val="bakup1"/>
      <sheetName val="minggu (2)"/>
      <sheetName val="minggu"/>
      <sheetName val="bulan (2)"/>
      <sheetName val="bulan"/>
      <sheetName val="TMSCH1 "/>
      <sheetName val="Rek.TK"/>
      <sheetName val="MONTH AP-JUL'07"/>
      <sheetName val="MONTH SEPT'07-2"/>
      <sheetName val="mgg"/>
      <sheetName val="1-37"/>
      <sheetName val="38"/>
      <sheetName val="39"/>
      <sheetName val="40"/>
      <sheetName val="41"/>
      <sheetName val="42"/>
      <sheetName val="43"/>
      <sheetName val="mei-des"/>
      <sheetName val="Progress SKI_2011"/>
      <sheetName val="Rekap AO R NR"/>
      <sheetName val="NONRUTIN 53"/>
      <sheetName val="RUTIN 54"/>
      <sheetName val="disburse NR"/>
      <sheetName val="Progrs NR"/>
      <sheetName val="RUTIN 53"/>
      <sheetName val="plafond"/>
      <sheetName val="perhitungan 2013"/>
      <sheetName val="REKAP BI-PEG"/>
      <sheetName val="POS-52"/>
      <sheetName val="REKAP-5.3(PEMELIHARAAN)"/>
      <sheetName val="53"/>
      <sheetName val="REKAP BI-ADM(5.4)"/>
      <sheetName val="POS-54"/>
      <sheetName val="BI-LUAR OP"/>
      <sheetName val="2010"/>
      <sheetName val="2011"/>
      <sheetName val="LR Unit"/>
      <sheetName val="Data LR TM1"/>
      <sheetName val="Trsfer Price TM1"/>
      <sheetName val="EP Bu Anik"/>
      <sheetName val="LR Template"/>
      <sheetName val="L15 Inv"/>
      <sheetName val="BPP IBB no AP"/>
      <sheetName val="BPP IBT no AP"/>
      <sheetName val="Spt"/>
      <sheetName val="Pbn"/>
      <sheetName val="Kpg"/>
      <sheetName val="UPpry"/>
      <sheetName val="Ksg"/>
      <sheetName val="Krn"/>
      <sheetName val="skm"/>
      <sheetName val="blk"/>
      <sheetName val="Gab.Cab"/>
      <sheetName val="SPI"/>
      <sheetName val="DIST"/>
      <sheetName val="PERUNIT"/>
      <sheetName val="SAIDI"/>
      <sheetName val="SAIDI (2)"/>
      <sheetName val="SAIDI (3)"/>
      <sheetName val="SAFI"/>
      <sheetName val="SAFI (2)"/>
      <sheetName val="SAFI (3)"/>
      <sheetName val="CAR  PAX"/>
      <sheetName val="CAR  plc"/>
      <sheetName val="scada 2001"/>
      <sheetName val="workshop"/>
      <sheetName val="telkom 2002"/>
      <sheetName val="rkap2002"/>
      <sheetName val="telkom 2002 (2)"/>
      <sheetName val="AI_Radio"/>
      <sheetName val="CLSP"/>
      <sheetName val="CAR  RAD"/>
      <sheetName val="SINGARAJA"/>
      <sheetName val="REKAP DENPASAR"/>
      <sheetName val="KODE DENPASAR"/>
      <sheetName val="REKAP SINGARAJA"/>
      <sheetName val="KODE SINGARAJA"/>
      <sheetName val="Criteria"/>
      <sheetName val="Kode Gangguan"/>
      <sheetName val="Kode GI"/>
      <sheetName val="BPP Kalselteng"/>
      <sheetName val="BPP Kaltim"/>
      <sheetName val="BPP Suluttenggo"/>
      <sheetName val="BPP Sulselra"/>
      <sheetName val="KK Fuel"/>
      <sheetName val="L8-KK NE"/>
      <sheetName val="L5-KK IPP"/>
      <sheetName val="L6-Sewa Kit"/>
      <sheetName val="Data Fuel"/>
      <sheetName val="SMSTR I"/>
      <sheetName val="TRWLN I"/>
      <sheetName val="SUTT"/>
      <sheetName val="Rekap UK"/>
      <sheetName val="AGSTS"/>
      <sheetName val="Ggn sistem"/>
      <sheetName val="ULU"/>
      <sheetName val="ILIR"/>
      <sheetName val="SBR"/>
      <sheetName val="MLK"/>
      <sheetName val="REKAP-2"/>
      <sheetName val="ULU-T"/>
      <sheetName val="ULU-T2"/>
      <sheetName val="KOTA-T"/>
      <sheetName val="ILIR-T"/>
      <sheetName val="ILIR-T2"/>
      <sheetName val="SBR-T"/>
      <sheetName val="TGR-T"/>
      <sheetName val="KTB-T"/>
      <sheetName val="MLK-T"/>
      <sheetName val="MLK-T2"/>
      <sheetName val="ULU-ACC"/>
      <sheetName val="ULU-ACC2"/>
      <sheetName val="KOTA-ACC"/>
      <sheetName val="KOTA-ACC2"/>
      <sheetName val="ILIR-ACC"/>
      <sheetName val="ILIR-ACC (2)"/>
      <sheetName val="SBR-ACC"/>
      <sheetName val="SBR-ACC (2)"/>
      <sheetName val="TGR-ACC"/>
      <sheetName val="TGR-ACC (2)"/>
      <sheetName val="KTB-ACC"/>
      <sheetName val="MLK-ACC"/>
      <sheetName val="MLK-ACC (2)"/>
      <sheetName val="neraca unit"/>
      <sheetName val="LR-2003"/>
      <sheetName val="daft_2"/>
      <sheetName val="daft_1.1-1.3.b"/>
      <sheetName val="daft_1.4"/>
      <sheetName val="daft_1.5-1.5.e"/>
      <sheetName val="daft_1.6-1.8"/>
      <sheetName val="Arus Kas"/>
      <sheetName val="Summary by program"/>
      <sheetName val="Summary by project (2)"/>
      <sheetName val="Summary by project"/>
      <sheetName val="Attachment 1"/>
      <sheetName val="EDP1 ( attachment 2)"/>
      <sheetName val="Attachment 3"/>
      <sheetName val="Act.plan 1"/>
      <sheetName val="Act.plan 1 (2)"/>
      <sheetName val="Act.plan 2"/>
      <sheetName val="Act.plan 2 (2)"/>
      <sheetName val="Act.plan 4"/>
      <sheetName val="Act.plan 2 (3)"/>
      <sheetName val="Act.plan 3"/>
      <sheetName val="Data Dukung Loss"/>
      <sheetName val="Act.plan 4 (2)"/>
      <sheetName val="Retail"/>
      <sheetName val="Support KIT1"/>
      <sheetName val="Support KIT (2)"/>
      <sheetName val="Support KIT (3)"/>
      <sheetName val="Support KIT(4)"/>
      <sheetName val="Support DIST"/>
      <sheetName val="Support DIST (koreksi April)"/>
      <sheetName val="Support DIST (2)"/>
      <sheetName val="R&amp;R PROYEK"/>
      <sheetName val="R&amp;R HRD"/>
      <sheetName val="R&amp;R INVESTASI"/>
      <sheetName val="R&amp;R INCENT.PROG"/>
      <sheetName val="SCRAP"/>
      <sheetName val="REK-MOD"/>
      <sheetName val="ATTB-AKTV"/>
      <sheetName val="RITEL-PJU"/>
      <sheetName val="SwaGabRev"/>
      <sheetName val="jan04"/>
      <sheetName val="feb04"/>
      <sheetName val="mar04"/>
      <sheetName val="apr04"/>
      <sheetName val="mei04"/>
      <sheetName val="jun04"/>
      <sheetName val="s.d.jun04"/>
      <sheetName val="jul04"/>
      <sheetName val="s.d.jul04"/>
      <sheetName val="rekmodiPtk (MAP)"/>
      <sheetName val="KOREKTIP"/>
      <sheetName val="FILTER"/>
      <sheetName val="PERIODIK"/>
      <sheetName val="USULAN"/>
      <sheetName val="REAL&lt;500"/>
      <sheetName val=" Jasa Ophar Triw.II 2003"/>
      <sheetName val=" Jasa Ophar Juni 2003 "/>
      <sheetName val=" Jasa Ophar Mei 2003 "/>
      <sheetName val=" Jasa Ophar April 2003"/>
      <sheetName val="REKAP TRIW.II"/>
      <sheetName val=" PEMEL MOBIL TRIW.II"/>
      <sheetName val=" PEMEL MOBIL JUNI"/>
      <sheetName val=" PEMEL MOBIL MEI"/>
      <sheetName val=" PEMEL MOBIL APRIL"/>
      <sheetName val=" BBM TRIW.II"/>
      <sheetName val=" BBM JUNI"/>
      <sheetName val=" BBM MEI"/>
      <sheetName val=" BBM APRIL "/>
      <sheetName val="  P.KERJA TRIW.II"/>
      <sheetName val=" P.KERJA JUNI"/>
      <sheetName val=" P.KERJA MEI"/>
      <sheetName val=" P.KERJA APRIL"/>
      <sheetName val="LK MAT.DIST TM "/>
      <sheetName val="LK MAT.DIST GT "/>
      <sheetName val="LK MAT.DIST TR "/>
      <sheetName val="LK MAT.DIST SR "/>
      <sheetName val="SEWA MOBIL APRIL"/>
      <sheetName val="SEWA MOBIL MEI"/>
      <sheetName val="SEWA MOBIL  JUNI"/>
      <sheetName val="SEWA MOBIL TRIW.II"/>
      <sheetName val="Penjelas (REAL)"/>
      <sheetName val="Neraca (REAL)"/>
      <sheetName val="LabaRugi (REAL)"/>
      <sheetName val="BukuBesar (REAL)"/>
      <sheetName val="KALIBRASI"/>
      <sheetName val="1. KINERJA (PERS.KEU)"/>
      <sheetName val="2. NERACA (KIN)"/>
      <sheetName val="3. LABA-RUGI (KIN)"/>
      <sheetName val="4. LR-UNIT (KIN)"/>
      <sheetName val="5. NER-UNIT (KIN)"/>
      <sheetName val="6. HAR (52)"/>
      <sheetName val="7. PEG(v.2.0)"/>
      <sheetName val="8. ADM (54)"/>
      <sheetName val="9. NER-UNIT 2007"/>
      <sheetName val="10. LR-UNIT 2007"/>
      <sheetName val="12RB"/>
      <sheetName val="PLG"/>
      <sheetName val="2.KPI"/>
      <sheetName val="3.RASIO KEU"/>
      <sheetName val="2.LABA-RUGI"/>
      <sheetName val="3.NERACA"/>
      <sheetName val="4.LR-UNIT"/>
      <sheetName val="5.NER-UNIT"/>
      <sheetName val="6. NER-UNIT(est.2008)"/>
      <sheetName val="7.HAR"/>
      <sheetName val="8.PEG"/>
      <sheetName val="9.ADM"/>
      <sheetName val="10.AKTIVA"/>
      <sheetName val="JML PEG"/>
      <sheetName val="III-09(des)"/>
      <sheetName val="TUL III -09(jan)  "/>
      <sheetName val="LPTGOL"/>
      <sheetName val="LPTTRP"/>
      <sheetName val="30-60 KWH"/>
      <sheetName val="PERGOL"/>
      <sheetName val="III09-DESEMBER-07 "/>
      <sheetName val="KLS"/>
      <sheetName val="WTS"/>
      <sheetName val="SDY"/>
      <sheetName val="WNS"/>
      <sheetName val="SLM"/>
      <sheetName val="RYU"/>
      <sheetName val="RYS"/>
      <sheetName val="POT"/>
      <sheetName val="Gilimanuk"/>
      <sheetName val="BA Gilimanuk"/>
      <sheetName val="Amortization Table"/>
      <sheetName val="permohonan"/>
      <sheetName val="bukan PNS"/>
      <sheetName val="kebenaran dok."/>
      <sheetName val="surat kuasa"/>
      <sheetName val="spta"/>
      <sheetName val="riwayat hidup"/>
      <sheetName val="personalia"/>
      <sheetName val="tunduk"/>
      <sheetName val="P.MODAL"/>
      <sheetName val="Skk"/>
      <sheetName val="Kit TW1"/>
      <sheetName val="ProdSendiri"/>
      <sheetName val="NEB Ringkas"/>
      <sheetName val="NE Bulanan"/>
      <sheetName val="SewaBeli"/>
      <sheetName val="PS&amp;Susut TL"/>
      <sheetName val="ProdB"/>
      <sheetName val="LapMasuk"/>
      <sheetName val="Listing"/>
      <sheetName val="Neraca Triwulanan"/>
      <sheetName val="Kit Triwulanan"/>
      <sheetName val="Ner TW2"/>
      <sheetName val="Kit TW2"/>
      <sheetName val="BBakar"/>
      <sheetName val="Jawa"/>
      <sheetName val="LM Lamp X"/>
      <sheetName val="Iner"/>
      <sheetName val="0. rekap fasilitas"/>
      <sheetName val="0.1 Rekap Harga Satuan"/>
      <sheetName val="1. ANALISA UPAH"/>
      <sheetName val="2.KEBUTUHAN PETUGAS"/>
      <sheetName val="3. ANALISA Biaya Petugas"/>
      <sheetName val="4. Analisa SewaAlat"/>
      <sheetName val="5. Analisa BPK"/>
      <sheetName val="6. Analisa SewaK3"/>
      <sheetName val="7. Analisa Harga Sarana"/>
      <sheetName val="8. ANALISA VOLUME aset"/>
      <sheetName val="9. ANALISA HPS INSPEKSI"/>
      <sheetName val="10. ANALISA HPS Pemeliharaan"/>
      <sheetName val="11. VARCOST"/>
      <sheetName val="12. HPS RAYON"/>
      <sheetName val="13. REKAP "/>
      <sheetName val="14. FRONT RAYON"/>
      <sheetName val="15. ANALISA TRAFO6"/>
      <sheetName val="16. RAB EMT3"/>
      <sheetName val="17. ANALISA EMT3-1"/>
      <sheetName val="PRK A0 GAB WIL"/>
      <sheetName val="Material RAYON"/>
      <sheetName val="AHS HPS Material"/>
      <sheetName val="Analisa Material Impor"/>
      <sheetName val="KONVERSI MANHOUR"/>
      <sheetName val="PROYEKSI UMK"/>
      <sheetName val="HARGA MOBIL"/>
      <sheetName val="Referensi HPS"/>
      <sheetName val="11. HPS RAYON"/>
      <sheetName val="12. REKAP "/>
      <sheetName val="13. FRONT RAYON"/>
      <sheetName val="14. ANALISA TRAFO6"/>
      <sheetName val="15. RAB EMT3"/>
      <sheetName val="16. ANALISA EMT3-1"/>
      <sheetName val="tuntunan"/>
      <sheetName val="RAB PKL KOTA"/>
      <sheetName val="FRONT-1-"/>
      <sheetName val="VOL INSPEKSI "/>
      <sheetName val="VOL PEMELIHARAAN"/>
      <sheetName val="B.SARANA-3-"/>
      <sheetName val="C.BIAYA INSPEKSI-4-"/>
      <sheetName val="A1.TENAGA-7-"/>
      <sheetName val="A2.TENAGA-8-"/>
      <sheetName val="D.BIAYA PEMELIHARAAN-5-"/>
      <sheetName val="VOL - KEND DAN TK"/>
      <sheetName val="RAB SKA KOTA"/>
      <sheetName val="REKAP NIAS"/>
      <sheetName val="FRONT NIAS"/>
      <sheetName val="HPS NIAS"/>
      <sheetName val="Material NIAS"/>
      <sheetName val="FRONT G. SITOLI"/>
      <sheetName val="HPS G. SITOLI"/>
      <sheetName val="Material G. SITOLI"/>
      <sheetName val="DATA JARINGAN G. SITOLI"/>
      <sheetName val="FRONT T. DALAM"/>
      <sheetName val="HPS T. DALAM"/>
      <sheetName val="Material T. DALAM"/>
      <sheetName val="DATA JARINGAN T. DALAM"/>
      <sheetName val="Jasa TK Yangu"/>
      <sheetName val="Analisa SewaAlat"/>
      <sheetName val=" Analisa SewaK3"/>
      <sheetName val="Analisa Sarana"/>
      <sheetName val="ANALISA HPS INSPEKSI"/>
      <sheetName val="ANALISA HPS Pemeliharaan"/>
      <sheetName val="ANALISA Biaya Yangu"/>
      <sheetName val="TENAGA KERJA"/>
      <sheetName val="Zona 2 R.prapat"/>
      <sheetName val="RAB LOT"/>
      <sheetName val="Transportasi"/>
      <sheetName val="Alat Kerja"/>
      <sheetName val="HSewaAlat"/>
      <sheetName val="HSewaK3"/>
      <sheetName val="Analisa HS inspeksi gardu"/>
      <sheetName val="Aset Zona 2"/>
      <sheetName val="COVER BUKU"/>
      <sheetName val="FORM 1.2"/>
      <sheetName val="REKAP (150 M)"/>
      <sheetName val="FORM 1.2 GAB BABEL (150 M)"/>
      <sheetName val="Rin MDU 2012 Pagu AI 150 Milyar"/>
      <sheetName val="Rekap TJP 2011"/>
      <sheetName val="P0 P1 2011"/>
      <sheetName val="Rin MDU 2012 TJP"/>
      <sheetName val="LITBANG PENUGASAN"/>
      <sheetName val="LITBANG JASTEK"/>
      <sheetName val="BASKET-1"/>
      <sheetName val="BASKET-2"/>
      <sheetName val="BASKET-3"/>
      <sheetName val="BASKET-4"/>
      <sheetName val="BASKET-5"/>
      <sheetName val="BASKET-6"/>
      <sheetName val="KONDISI DIST"/>
      <sheetName val="BSAA"/>
      <sheetName val="JT"/>
      <sheetName val="FORM A13MED (2)"/>
      <sheetName val="FORM A13MED"/>
      <sheetName val="FORM A13MED (Non Rutin)"/>
      <sheetName val="RENC PLG 2012"/>
      <sheetName val="COV DT PEDKG (2)"/>
      <sheetName val="17100"/>
      <sheetName val="LSBALI"/>
      <sheetName val="LSWIL03"/>
      <sheetName val="BALI03"/>
      <sheetName val="JUAL03"/>
      <sheetName val="kitluR-upj"/>
      <sheetName val="kitlur"/>
      <sheetName val="REKAP.KEND"/>
      <sheetName val="JTH"/>
      <sheetName val="TLK"/>
      <sheetName val="KLPG"/>
      <sheetName val="BRW"/>
      <sheetName val="UP"/>
      <sheetName val="NGBL"/>
      <sheetName val="SKMR"/>
      <sheetName val="KSN"/>
      <sheetName val="JASA 2008"/>
      <sheetName val="RYN"/>
      <sheetName val="NBL"/>
      <sheetName val="KKN"/>
      <sheetName val="SL3"/>
      <sheetName val=" PP1 Buntoi (2)"/>
      <sheetName val="pp2"/>
      <sheetName val="PP1"/>
      <sheetName val="FEEDER I BTK"/>
      <sheetName val="FEEDER II BTK "/>
      <sheetName val="FEEDER III BTK  "/>
      <sheetName val="KJ AMPAH"/>
      <sheetName val="puruk cahu"/>
      <sheetName val="MUARA TEWEH"/>
      <sheetName val="MISIP TAMIYANG"/>
      <sheetName val="tamiyang"/>
      <sheetName val="SL4"/>
      <sheetName val="sl 1"/>
      <sheetName val="sl 2"/>
      <sheetName val="sl 5"/>
      <sheetName val="rekap ev"/>
      <sheetName val="FGTM 03 Pusat"/>
      <sheetName val="Form Realisasi"/>
      <sheetName val="6 Jardis"/>
      <sheetName val="7 PPTL"/>
      <sheetName val="8 Teg Ujung"/>
      <sheetName val="9 OPEX-CAPEX"/>
      <sheetName val="Realisasi Fisik Jardis"/>
      <sheetName val="Realisasi Fisik Jardis (3)"/>
      <sheetName val="12A1"/>
      <sheetName val="12A2"/>
      <sheetName val="12B1"/>
      <sheetName val="12B2"/>
      <sheetName val="12B3"/>
      <sheetName val="12B4"/>
      <sheetName val="12C1"/>
      <sheetName val="12C2"/>
      <sheetName val="12C3"/>
      <sheetName val="12C4"/>
      <sheetName val="12C5"/>
      <sheetName val="12C6-1"/>
      <sheetName val="12C6-2"/>
      <sheetName val="REKAP 12C DISTRIBUSI"/>
      <sheetName val="Piut-Umur1"/>
      <sheetName val="Piut-Umur2"/>
      <sheetName val="IPS-IPK DPLK"/>
      <sheetName val="PembelianTL"/>
      <sheetName val="Pembelian TL2"/>
      <sheetName val="Sewa Diesel"/>
      <sheetName val="bi-outsourching"/>
      <sheetName val="UTANG USAHA"/>
      <sheetName val="Tunggakan 10 bulan"/>
      <sheetName val="Revas"/>
      <sheetName val="TP"/>
      <sheetName val="GB"/>
      <sheetName val="KJ"/>
      <sheetName val="SDK"/>
      <sheetName val="CABANG"/>
      <sheetName val="REKAP-REV"/>
      <sheetName val="RAB-REV"/>
      <sheetName val="JLN"/>
      <sheetName val="Twr (15)"/>
      <sheetName val="BQMem"/>
      <sheetName val="Psiapan(1)"/>
      <sheetName val="Tanah(2)"/>
      <sheetName val="RESUME1"/>
      <sheetName val="Pond(3)"/>
      <sheetName val="Dinding(4)"/>
      <sheetName val="Plester(5)"/>
      <sheetName val="Kayu(6)"/>
      <sheetName val="Beton(7)"/>
      <sheetName val="Atap(8)"/>
      <sheetName val="Langit2(9)"/>
      <sheetName val="Stasi(10)"/>
      <sheetName val="Besi-All(11)"/>
      <sheetName val="Kunci-kaca(12)"/>
      <sheetName val="Keramik(13)"/>
      <sheetName val="Definition"/>
      <sheetName val="Dummy"/>
      <sheetName val="FLI - Sec.1"/>
      <sheetName val="FLIb on COD"/>
      <sheetName val="FLIb for Phase One except COD"/>
      <sheetName val="FLIb for Phase Two"/>
      <sheetName val="FLI after COD"/>
      <sheetName val="FLI before COD"/>
      <sheetName val="FLI _ Sec_1"/>
      <sheetName val="Detail Tapak"/>
      <sheetName val="Detail Kolom"/>
      <sheetName val="Detail Pas. Batu"/>
      <sheetName val="Potongan"/>
      <sheetName val="Denah"/>
      <sheetName val="Material-Bahan"/>
      <sheetName val="Analisa Fisik"/>
      <sheetName val="DI-2.1 DHS"/>
      <sheetName val="DI-2.2.1 AHSPS"/>
      <sheetName val="Sens-29Jul30%"/>
      <sheetName val="Sens-29Jul20%"/>
      <sheetName val="Sens-29Jul10%"/>
      <sheetName val="Sens-29Jul"/>
      <sheetName val="Sens"/>
      <sheetName val="DMO"/>
      <sheetName val="MINYAK"/>
      <sheetName val="NBBM"/>
      <sheetName val="STOK"/>
      <sheetName val="arus"/>
      <sheetName val="BOP"/>
      <sheetName val="inv-38"/>
      <sheetName val="inv-39"/>
      <sheetName val="inv-40"/>
      <sheetName val="inv-41"/>
      <sheetName val="harga ekonomi"/>
      <sheetName val="volume bbm "/>
      <sheetName val="Alpha "/>
      <sheetName val="energi dan non energi"/>
      <sheetName val="Grafik BBM &amp; Listrik"/>
      <sheetName val="bbm 2009"/>
      <sheetName val="Listrik (APBN-2010)"/>
      <sheetName val="BBM (APBN-2010)"/>
      <sheetName val="listrik (APBN-P 2010)"/>
      <sheetName val="BBM (APBN-P 2010)"/>
      <sheetName val="BBM (RAPBN 2011)"/>
      <sheetName val="listrik (RAPBN 2011)"/>
      <sheetName val="DPNBP-BBM"/>
      <sheetName val="Model BBM"/>
      <sheetName val="Model LPG"/>
      <sheetName val="Konv-mitan"/>
      <sheetName val="2008-outlook"/>
      <sheetName val="Minyak (Bloomberg)"/>
      <sheetName val="Future (Bloomberg)"/>
      <sheetName val="Kurs (BI)"/>
      <sheetName val="MOPS (Blomberg)"/>
      <sheetName val="Future Oil"/>
      <sheetName val="Kurs Beli"/>
      <sheetName val="volume bbm"/>
      <sheetName val="Source"/>
      <sheetName val="Formula Harga ekonomi "/>
      <sheetName val="Formula"/>
      <sheetName val="Bulanan"/>
      <sheetName val="Tahunan"/>
      <sheetName val="hasil Jual BBM"/>
      <sheetName val="Dampak Neto"/>
      <sheetName val="sales dan losses listrik"/>
      <sheetName val="salaes 2008"/>
      <sheetName val="Sales (2002-2008)"/>
      <sheetName val="harga jual eceran"/>
      <sheetName val="Perh.BBM"/>
      <sheetName val="Kons.BBM"/>
      <sheetName val="Pemantauan dini (2)"/>
      <sheetName val="Konsumsi listrik"/>
      <sheetName val="konsumsi bbm"/>
      <sheetName val="Sub-Juli"/>
      <sheetName val="BBM 2010 (Dit.PNBP)"/>
      <sheetName val="Outlook 2010 (Dit.PNBP)"/>
      <sheetName val="ICP-MOPS"/>
      <sheetName val="Alpha"/>
      <sheetName val="Model BBM-LPG"/>
      <sheetName val="Model BBM-Naik BBM"/>
      <sheetName val="Logbook"/>
      <sheetName val="BK"/>
      <sheetName val="BM (2)"/>
      <sheetName val="cukai 09"/>
      <sheetName val="cukai (2)"/>
      <sheetName val="tax_base"/>
      <sheetName val="pen_measures"/>
      <sheetName val="DTP&amp;Admin "/>
      <sheetName val="rasio PPh"/>
      <sheetName val="PPB Migas baru (2)"/>
      <sheetName val="Catatan Penting"/>
      <sheetName val="pph per pasal print"/>
      <sheetName val="Harga Minyak (2)"/>
      <sheetName val="Elastisitas"/>
      <sheetName val="BM print"/>
      <sheetName val="BK print"/>
      <sheetName val="cukai print"/>
      <sheetName val="DTP&amp;Admin 2008 print"/>
      <sheetName val="DTP&amp;Admin 2009 print"/>
      <sheetName val="DIP"/>
      <sheetName val="DJBC"/>
      <sheetName val="Rincian alpha 2010 dan 2011"/>
      <sheetName val="rumusan alpha 2011 (aep)"/>
      <sheetName val="Simulasi "/>
      <sheetName val="Model BBM-LPG 2010"/>
      <sheetName val="Mgmt Report"/>
      <sheetName val="Butuh Subsidi"/>
      <sheetName val="L13-Depr"/>
      <sheetName val="Copy of 20090119 RKAP 2009 Rev1"/>
      <sheetName val="Model BBM-Naik BBM-2011"/>
      <sheetName val="Ringkas"/>
      <sheetName val="Analisa PPN Pertamax"/>
      <sheetName val="Perk Konsumsi BBM (propor-ICP)"/>
      <sheetName val="Perk Konsumsi BBM (kendraan)"/>
      <sheetName val="jumlah kendaran"/>
      <sheetName val="Grafik bbm"/>
      <sheetName val="Mentah"/>
      <sheetName val="Setengah Mateng"/>
      <sheetName val="dalam US$"/>
      <sheetName val="dalam IDR"/>
      <sheetName val="harga internasional (juni"/>
      <sheetName val=" harga internasional (Juli)"/>
      <sheetName val="Inflasi"/>
      <sheetName val="HET simulasi-2011"/>
      <sheetName val="Subsidi Benih"/>
      <sheetName val="pupuk 2005-2011"/>
      <sheetName val="IC-MOPS"/>
      <sheetName val="Kurs"/>
      <sheetName val="Konsumsi"/>
      <sheetName val="Alpha (2006-2011)"/>
      <sheetName val="Alpha 2012"/>
      <sheetName val="alpha summary"/>
      <sheetName val="volume bbm  (3)"/>
      <sheetName val="volume bbm  (2)"/>
      <sheetName val="Sheet66"/>
      <sheetName val="Sheet66 (2)"/>
      <sheetName val="komoditiBBM"/>
      <sheetName val="% subsidi"/>
      <sheetName val="Pie Chart"/>
      <sheetName val="CPA"/>
      <sheetName val="Alpha BBM"/>
      <sheetName val="Simulasi APBN "/>
      <sheetName val="Simulasi APBN-P (BBM-Naik)"/>
      <sheetName val="subsidi BBM"/>
      <sheetName val="2013 18072012 (2)"/>
      <sheetName val="RAPBN 2013"/>
      <sheetName val="Input_kum"/>
      <sheetName val="Real_bulanan"/>
      <sheetName val="2010 Estimate"/>
      <sheetName val="% Real per bulan"/>
      <sheetName val="Source - charts"/>
      <sheetName val="LKPP"/>
      <sheetName val="Real_chart"/>
      <sheetName val="Proy Bulanan"/>
      <sheetName val="% Proy&amp;Real"/>
      <sheetName val="Grafik bulanan"/>
      <sheetName val="input_mingguan"/>
      <sheetName val="grafik_mingguan"/>
      <sheetName val="rekap harga internasional"/>
      <sheetName val="Petunjuk Pengisian"/>
      <sheetName val="Exec Summary"/>
      <sheetName val="Konteks"/>
      <sheetName val="Risk Register"/>
      <sheetName val="Kriteria Penilaian"/>
      <sheetName val="Taksonomi Risiko"/>
      <sheetName val="OUTPUT 1 (Identifikasi)"/>
      <sheetName val="OUTPUT 2 (Analisis)"/>
      <sheetName val="OUTPUT 3 (Mitigasi)"/>
      <sheetName val="OUTPUT 4 (PETA Risiko)"/>
      <sheetName val="OUTPUT 5 (Pemantauan)"/>
      <sheetName val="산근"/>
      <sheetName val="edit"/>
      <sheetName val="RJBR Material"/>
      <sheetName val="RESUM  Murni"/>
      <sheetName val="RJBR"/>
      <sheetName val="RJBR (2)"/>
      <sheetName val="Judul SKI-2006"/>
      <sheetName val="Monitor 2006"/>
      <sheetName val="SKI KHUSUS"/>
      <sheetName val="Tower Purchase"/>
      <sheetName val="Tower Erection"/>
      <sheetName val="Tower Fond."/>
      <sheetName val="Provisional Sums"/>
      <sheetName val="harGa Satuan Tower"/>
      <sheetName val="Langsir Material"/>
      <sheetName val="hARGA sAtuan Erection"/>
      <sheetName val="HARGA SATUAN PONDASI"/>
      <sheetName val="AHS TO PRINT"/>
      <sheetName val="AHS PERSIAPAN"/>
      <sheetName val="AHS PONDASI"/>
      <sheetName val="ANALISA PROTEKSI"/>
      <sheetName val="AHS PROTEKSI"/>
      <sheetName val="AHS ALOKASI"/>
      <sheetName val="BEBAN TOWER"/>
      <sheetName val="DESAIN PONDASI"/>
      <sheetName val="AHS Twr"/>
      <sheetName val="Anl Vol Proteksi"/>
      <sheetName val="ERECTION+LANGSIR"/>
      <sheetName val="Volume Desain Pondasi"/>
      <sheetName val="BOQ PONDASI"/>
      <sheetName val="Perhit harga"/>
      <sheetName val="daftar sewa alat"/>
      <sheetName val="daftar upah tenaga kerja"/>
      <sheetName val="daftar harga bahan"/>
      <sheetName val="Pengeboran"/>
      <sheetName val="sat.pekerjaan"/>
      <sheetName val="HPS EM eskalasi "/>
      <sheetName val="HPS EM"/>
      <sheetName val="AHS BinaMarga"/>
      <sheetName val="ABK Pek.Tanah"/>
      <sheetName val="ABK Pek.Pondasi"/>
      <sheetName val="ABK Pek.Dinding"/>
      <sheetName val="ABK Pek.Plesteran"/>
      <sheetName val="ABK Pek.Kayu"/>
      <sheetName val="ABK Pek.Beton"/>
      <sheetName val="ABK Pek.Penutup Atap"/>
      <sheetName val="ABK Pek.Langit2"/>
      <sheetName val="ABK Pek.Sanitasi"/>
      <sheetName val="ABK Pek.Besi&amp;Alumunium"/>
      <sheetName val="ABK Pek.Kunci&amp;Kaca"/>
      <sheetName val="ABK Pek.Penutup Lantai&amp;dinding"/>
      <sheetName val="ABK Pek.Pengecatan"/>
      <sheetName val="ABK Pek.Persiapan"/>
      <sheetName val="Summary-Wil IB"/>
      <sheetName val="Wil Aceh"/>
      <sheetName val="Wil Riau"/>
      <sheetName val="Wil S2JB"/>
      <sheetName val="Wil Babel"/>
      <sheetName val="Wil Sumut"/>
      <sheetName val="Wil Lampung"/>
      <sheetName val="Wil Sumbar"/>
      <sheetName val="Wil Kalbar"/>
      <sheetName val="Summary-Pembangkitan"/>
      <sheetName val="Summary-P3B"/>
      <sheetName val="P3B Sumatera"/>
      <sheetName val="Proyek"/>
      <sheetName val="UIP Kit Sum I"/>
      <sheetName val="UIP Kit Sum II"/>
      <sheetName val="UIP Ring Sum I"/>
      <sheetName val="UIP Ring Sum II"/>
      <sheetName val="硸硸湡敧"/>
      <sheetName val="graf2"/>
      <sheetName val="01-01-2015"/>
      <sheetName val="Billing_HistoryA"/>
      <sheetName val="USK 07 Ayangan"/>
      <sheetName val="Menu Utama"/>
      <sheetName val="12 RB Lampiran 1-7"/>
      <sheetName val="12 RB Lampiran 1-5"/>
      <sheetName val="12 RB Lampiran 1-4"/>
      <sheetName val="12 RB Lampiran 1-3"/>
      <sheetName val="12 RB Lampiran 1-2"/>
      <sheetName val="12 RB Lampiran 1-1"/>
      <sheetName val="Losses GI"/>
      <sheetName val="Bagi Selisih kWH GI"/>
      <sheetName val="Data 12RB"/>
      <sheetName val="MONITOR SUSUT RANTING"/>
      <sheetName val="Data Akumulasi"/>
      <sheetName val="Komparasi Pola Susut Rayon"/>
      <sheetName val="Komparasi Pola Susut Area"/>
      <sheetName val="AKUMULASI"/>
      <sheetName val="LOSSES RTG POLA BARU"/>
      <sheetName val="Hg.Sat"/>
      <sheetName val="An.TW"/>
      <sheetName val="A.H.S.PEK"/>
      <sheetName val="DD"/>
      <sheetName val="DDRS"/>
      <sheetName val="DDR6"/>
      <sheetName val="Mt+Uph+Alt"/>
      <sheetName val="An. Hg Sat"/>
      <sheetName val="Hg.Sat "/>
      <sheetName val="A.H.S.PEK "/>
      <sheetName val="An.TW "/>
      <sheetName val="AA6"/>
      <sheetName val="BB6"/>
      <sheetName val="CC6"/>
      <sheetName val="DD6"/>
      <sheetName val="EE6"/>
      <sheetName val="gab-TRANS"/>
      <sheetName val="resum-ai"/>
      <sheetName val="DIVLUR"/>
      <sheetName val="STET"/>
      <sheetName val="SJKT"/>
      <sheetName val="SPGD"/>
      <sheetName val="SBGR"/>
      <sheetName val="SPRN"/>
      <sheetName val="SCRB"/>
      <sheetName val="SKTG"/>
      <sheetName val="STTG"/>
      <sheetName val="SMDN"/>
      <sheetName val="SBYA"/>
      <sheetName val="SMLG"/>
      <sheetName val="SDPS"/>
      <sheetName val="FORM-A"/>
      <sheetName val="NERACA DAYA"/>
      <sheetName val="TRNS-C1"/>
      <sheetName val="DJBB PNYL"/>
      <sheetName val="Chart gang BOGOR"/>
      <sheetName val="MESIN_KIT"/>
      <sheetName val="B.P-C.P 2006"/>
      <sheetName val="sr, jtr &amp; trafo"/>
      <sheetName val="se031"/>
      <sheetName val="JTM BB"/>
      <sheetName val="mntr-dist"/>
      <sheetName val="mntr-kit"/>
      <sheetName val="se031 (2)"/>
      <sheetName val="pdm-trcna"/>
      <sheetName val="rkp-feed"/>
      <sheetName val="urutan"/>
      <sheetName val="layan"/>
      <sheetName val="matrial"/>
      <sheetName val="REKAP SS"/>
      <sheetName val="REKAP SS DATA DASAR APKU1"/>
      <sheetName val="KOTIM"/>
      <sheetName val="KOBAR"/>
      <sheetName val="PANAM"/>
      <sheetName val="MARPOYAN"/>
      <sheetName val="RUMBAI"/>
      <sheetName val="BANGKINANG"/>
      <sheetName val="SIAK"/>
      <sheetName val="KERINCI"/>
      <sheetName val="PERAWANG"/>
      <sheetName val="PASIR"/>
      <sheetName val="CONTOH"/>
      <sheetName val="DATA DASAR "/>
      <sheetName val="Dasar Saidi Saifi"/>
      <sheetName val="kerangka laporan"/>
      <sheetName val="kinerja dist"/>
      <sheetName val="tmp"/>
      <sheetName val="segel ulang"/>
      <sheetName val="p2tl LAMP 1"/>
      <sheetName val="p2tl LAMP 1-A"/>
      <sheetName val="p2tl plg"/>
      <sheetName val="P2TL LUNAS"/>
      <sheetName val="ganti meter"/>
      <sheetName val="KWH exprt Duri - Dumai 01 "/>
      <sheetName val="KWH export belutu 01"/>
      <sheetName val="DAFTAR trf rusak"/>
      <sheetName val="MRK TRF rusak"/>
      <sheetName val="PENYEBAB trf rusak"/>
      <sheetName val="daya trf RSK"/>
      <sheetName val="penyeimbng bbn trf"/>
      <sheetName val="pentanahn"/>
      <sheetName val="mutu V-TR 01"/>
      <sheetName val="meter prabayar"/>
      <sheetName val="data RE"/>
      <sheetName val="se003"/>
      <sheetName val="pekerjaan "/>
      <sheetName val="SAIDI SAIFI"/>
      <sheetName val="gangguan feeder"/>
      <sheetName val="recoveri time LAP"/>
      <sheetName val="KUM JAN"/>
      <sheetName val="KUM FEB"/>
      <sheetName val="KUM MAR"/>
      <sheetName val="KUM APR"/>
      <sheetName val="KUM MEI"/>
      <sheetName val="KUM JUNI"/>
      <sheetName val="KUM JULI"/>
      <sheetName val="AGS"/>
      <sheetName val="AGS-S"/>
      <sheetName val="KUM AGS"/>
      <sheetName val="PENYEBAB AGS "/>
      <sheetName val="KUM SEPT"/>
      <sheetName val="BULAN OKTOBER"/>
      <sheetName val="KUM OKT"/>
      <sheetName val="KUM NOV"/>
      <sheetName val="KUM DES"/>
      <sheetName val="PENYEBAB SEPT"/>
      <sheetName val="CFLK2 01"/>
      <sheetName val="REKAP A-1"/>
      <sheetName val="RAB A-1"/>
      <sheetName val="Rekap harsat"/>
      <sheetName val="Break down"/>
      <sheetName val="Break down (2)"/>
      <sheetName val="TKDN"/>
      <sheetName val="Rekap B &amp; J"/>
      <sheetName val="Billing_HistoryATD1"/>
      <sheetName val="12 RB Lampiran 1-6"/>
      <sheetName val="PLTD-SWASTA 06"/>
      <sheetName val="12 RB TANPA I-4 JAN 07"/>
      <sheetName val="12 RB TANPA I-4 PEB 07"/>
      <sheetName val="12 RB TANPA I-4 MRT 07"/>
      <sheetName val="12 RB TANPA I-4 APR 07"/>
      <sheetName val="12 RB TANPA I-4 MEI 07"/>
      <sheetName val="12 RB TANPA I-4 JUN 07"/>
      <sheetName val="12 RB TANPA I-4 JUL 07"/>
      <sheetName val="12 RB TANPA I-4 AGS 07"/>
      <sheetName val="12 RB TANPA I-4 SEP 07"/>
      <sheetName val="12 RB TANPA I-4 OKT 07"/>
      <sheetName val="12 RB TANPA I-4 NOP 07"/>
      <sheetName val="12 RB TANPA I-4 DES 07"/>
      <sheetName val="Cover PST"/>
      <sheetName val="LAMP_1 PST"/>
      <sheetName val="LAMP_2 PST"/>
      <sheetName val="LAMP_3 PST"/>
      <sheetName val="LAMP_4 PST"/>
      <sheetName val="LAMP_5 PST"/>
      <sheetName val="LAMP_6 PST"/>
      <sheetName val="LAMP_7 PST"/>
      <sheetName val="EXIM ANTAR APJ "/>
      <sheetName val="CRB BLN"/>
      <sheetName val="CRB-I.4 BLN"/>
      <sheetName val="TSK BLN"/>
      <sheetName val="GRT BLN"/>
      <sheetName val="CJR BLN"/>
      <sheetName val="SKI BLN"/>
      <sheetName val="BGR BLN"/>
      <sheetName val="BGR-I.4 BLN"/>
      <sheetName val="BTN BLN"/>
      <sheetName val="BTN-I.4 BLN"/>
      <sheetName val="PWK BLN"/>
      <sheetName val="PWK-I.4 BLN"/>
      <sheetName val="CMH BLN"/>
      <sheetName val="BDG BLN"/>
      <sheetName val="BDG-I.4 BLN"/>
      <sheetName val="MJA BLN"/>
      <sheetName val="BKS BLN"/>
      <sheetName val="BKS-I.4 BLN"/>
      <sheetName val="DPK BLN"/>
      <sheetName val="KRW BLN"/>
      <sheetName val="KRW-I.4 BLN"/>
      <sheetName val="SMD BLN"/>
      <sheetName val="Jan BLN"/>
      <sheetName val="Feb BLN"/>
      <sheetName val="Mar BLN"/>
      <sheetName val="Apr BLN"/>
      <sheetName val="Mei BLN"/>
      <sheetName val="Jun BLN"/>
      <sheetName val="Jul BLN"/>
      <sheetName val="Agt BLN"/>
      <sheetName val="Sep BLN"/>
      <sheetName val="Okt BLN"/>
      <sheetName val="Nov BLN"/>
      <sheetName val="Des BLN"/>
      <sheetName val="12 Bulanan"/>
      <sheetName val="CRB KUMUL"/>
      <sheetName val="CRB-I.4 KUMUL"/>
      <sheetName val="TSK KUMUL"/>
      <sheetName val="GRT KUMUL"/>
      <sheetName val="CJR KUMUL"/>
      <sheetName val="SKI KUMUL"/>
      <sheetName val="BGR KUMUL"/>
      <sheetName val="BGR-I.4 KUMUL"/>
      <sheetName val="BTN KUMUL"/>
      <sheetName val="BTN-I.4 KUMUL"/>
      <sheetName val="PWK KUMUL"/>
      <sheetName val="PWK-I.4 KUMUL"/>
      <sheetName val="CMH KUMUL"/>
      <sheetName val="BDG KUMUL"/>
      <sheetName val="BDG-I.4 KUMUL"/>
      <sheetName val="MJA KUMUL"/>
      <sheetName val="BKS KUMUL"/>
      <sheetName val="BKS-I.4 KUMUL"/>
      <sheetName val="DPK KUMUL"/>
      <sheetName val="KRW KUMUL"/>
      <sheetName val="KRW-I.4 KUMUL"/>
      <sheetName val="SMDKUKUL"/>
      <sheetName val="Jan KUMUL"/>
      <sheetName val="Feb KUMUL"/>
      <sheetName val="Mar KUMUL"/>
      <sheetName val="Apr KUMUL"/>
      <sheetName val="Mei KUMUL"/>
      <sheetName val="Jun KUMUL"/>
      <sheetName val="Jul KUMUL"/>
      <sheetName val="Agt KUMUL"/>
      <sheetName val="Sep KUMUL"/>
      <sheetName val="Okt KUMUL"/>
      <sheetName val="Nov KUMUL"/>
      <sheetName val="Des KUMUL"/>
      <sheetName val="JUMLAH PENYULANG DLL"/>
      <sheetName val="BO"/>
      <sheetName val="UFR"/>
      <sheetName val="Rekap ENS"/>
      <sheetName val="dPdV"/>
      <sheetName val="FEEDER PDM KRN GANGG.SISTEM"/>
      <sheetName val="Trafo Padam"/>
      <sheetName val="Quota"/>
      <sheetName val="Total (Cetak)"/>
      <sheetName val="Ref. Harga"/>
      <sheetName val="rab_50_TRF"/>
      <sheetName val="rab_100_TRF"/>
      <sheetName val="rab_50"/>
      <sheetName val="rab_100"/>
      <sheetName val="REKAP WIL BABEL"/>
      <sheetName val="REKAPTJP"/>
      <sheetName val="FORM 1.2-tjp"/>
      <sheetName val="Res"/>
      <sheetName val="Pak"/>
      <sheetName val="Con"/>
      <sheetName val="TJK"/>
      <sheetName val="Res (2)"/>
      <sheetName val="Material List "/>
      <sheetName val="Steel structure price"/>
      <sheetName val="13.1"/>
      <sheetName val="13.3"/>
      <sheetName val="Metal Roofing"/>
      <sheetName val="RESUM"/>
      <sheetName val="FAS "/>
      <sheetName val="TLK "/>
      <sheetName val="SCH1"/>
      <sheetName val="SCH2"/>
      <sheetName val="SCH3"/>
      <sheetName val="SCH4"/>
      <sheetName val="Alat per jam"/>
      <sheetName val="Hrg Bhn &amp; Upah"/>
      <sheetName val="METODE ALAT "/>
      <sheetName val="ATB"/>
      <sheetName val="AC-WC"/>
      <sheetName val="Satuan"/>
      <sheetName val="ANAL ALAT"/>
      <sheetName val="ANAL KOEF"/>
      <sheetName val="persiapbadan"/>
      <sheetName val="galian"/>
      <sheetName val="timbunan"/>
      <sheetName val="Timb.Pilihan"/>
      <sheetName val="lpbklasc"/>
      <sheetName val="galiansal"/>
      <sheetName val="pas.batu"/>
      <sheetName val="tulangan"/>
      <sheetName val="beton275"/>
      <sheetName val="dinding kepala"/>
      <sheetName val="GPBSB (1,5)"/>
      <sheetName val="GPBSB1"/>
      <sheetName val="REK-Lokasi 1"/>
      <sheetName val="Gt-Lti"/>
      <sheetName val="BEQI"/>
      <sheetName val="MARK UP NEGO"/>
      <sheetName val="alat2"/>
      <sheetName val="Sch. INt (bULANAN)"/>
      <sheetName val="Murk Up"/>
      <sheetName val="rap rinci"/>
      <sheetName val="bhn alt"/>
      <sheetName val="schbhn"/>
      <sheetName val="schalt"/>
      <sheetName val="schtng"/>
      <sheetName val="bantu"/>
      <sheetName val="break"/>
      <sheetName val="DATA PROYEK"/>
      <sheetName val="Analisa Harsat"/>
      <sheetName val="Analisa Harsat CCO Intern"/>
      <sheetName val="AnHarSat Real Sd Saat Lalu"/>
      <sheetName val="AnHarSat Real Saat Ini"/>
      <sheetName val="Harsat Alat"/>
      <sheetName val="Harsat SubKon"/>
      <sheetName val="CCO Intern"/>
      <sheetName val="Cost Control Utk Perub RAP"/>
      <sheetName val="RAP Change"/>
      <sheetName val="RAP Sisa"/>
      <sheetName val="Sel Dev"/>
      <sheetName val="Permhnan UM"/>
      <sheetName val="Penggunaan UM"/>
      <sheetName val="Alat Inven"/>
      <sheetName val="Alat Non Inven"/>
      <sheetName val="Analisa Upah"/>
      <sheetName val="Pengadaan Bahan"/>
      <sheetName val="Pemakaian Bahan"/>
      <sheetName val="Rekap Sisa Bahan"/>
      <sheetName val="Vendor Approved"/>
      <sheetName val="Biaya LONSTAD"/>
      <sheetName val="Progres Rasio LR"/>
      <sheetName val="Jasa2015"/>
      <sheetName val="Preventif"/>
      <sheetName val="Prediktif"/>
      <sheetName val="Korektif"/>
      <sheetName val="JasaOM"/>
      <sheetName val="AlihDaya"/>
      <sheetName val="Rutin"/>
      <sheetName val="NonRutin"/>
      <sheetName val="SAT-PEK"/>
      <sheetName val="KUBIKASI"/>
      <sheetName val="HIT. TULANGAN"/>
      <sheetName val="SAT PEK OK"/>
      <sheetName val="Resource Plan"/>
      <sheetName val="Change control"/>
      <sheetName val="Resource Plan (2)"/>
      <sheetName val="2.5 Supply &amp; Installation Sub"/>
      <sheetName val="2.6 Recurrent Cost Sub-Table"/>
      <sheetName val="Warranty Period"/>
      <sheetName val="Resource Load"/>
      <sheetName val="Jakarta Load Cost"/>
      <sheetName val="Kontrak Kinerja 2008"/>
      <sheetName val="Kinerja 2008"/>
      <sheetName val="bpujl 2008 (2)"/>
      <sheetName val="PIUTANG 2008"/>
      <sheetName val="Pendapatan IPTL 2008 23"/>
      <sheetName val="bpujl 2008"/>
      <sheetName val="Beli TL 2008_23"/>
      <sheetName val="nilai kinerja 2007"/>
      <sheetName val="KPI - KM"/>
      <sheetName val="NAC"/>
      <sheetName val="Breakdown Unit 2008 (2)"/>
      <sheetName val="Load Shedding  "/>
      <sheetName val="GGNKMS"/>
      <sheetName val="SAIDI-SAIFI"/>
      <sheetName val="SIMPATETIK TRIP"/>
      <sheetName val="Data Gangguan Trafo GI trip aki"/>
      <sheetName val="AI 2012 Area Basket 1-2"/>
      <sheetName val="1300"/>
      <sheetName val="800"/>
      <sheetName val="800-SAR"/>
      <sheetName val="FORM A1-A2  Gambir"/>
      <sheetName val="FORM A1-A2  Priok"/>
      <sheetName val="FORM A1-A2  Kramatjati"/>
      <sheetName val="FORM A1-A2  Tangerang"/>
      <sheetName val="FORM A1-A2  Jtnegara"/>
      <sheetName val="FORM A1-A2  Kebayoran"/>
      <sheetName val="FORM A1_A2 APD"/>
      <sheetName val="FORM A1-A2 KD"/>
      <sheetName val="SUTM Kby"/>
      <sheetName val="HARSAT #2"/>
      <sheetName val="rekap bsk2"/>
      <sheetName val="Pro Strategi"/>
      <sheetName val="% (2)"/>
      <sheetName val="Usulan RKAP 2009"/>
      <sheetName val="rab vs lkai"/>
      <sheetName val="rekap tgr"/>
      <sheetName val="rekap kMJ"/>
      <sheetName val="rekap kby"/>
      <sheetName val="rekap GBR"/>
      <sheetName val="14B-SOBI"/>
      <sheetName val="TP02Y"/>
      <sheetName val="JawaBali"/>
      <sheetName val="TP02aNG"/>
      <sheetName val="TP02Real"/>
      <sheetName val="Kode"/>
      <sheetName val="DJBB_PNYL"/>
      <sheetName val="Chart_gang_BOGOR"/>
      <sheetName val="NERACA_DAYA"/>
      <sheetName val="B_P-C_P_2006"/>
      <sheetName val="Resource_Plan_(2)"/>
      <sheetName val="GABLUARJAWA1_(2)"/>
      <sheetName val="terbilang"/>
      <sheetName val="RecoveredExternalLink1"/>
      <sheetName val="SINGLE LINE BUNTOK"/>
      <sheetName val="SENGLE LINE AMPAH"/>
      <sheetName val="No gardu Buntok"/>
      <sheetName val="Peralatan terpasang"/>
      <sheetName val="standart kebutuhan alat"/>
      <sheetName val="kelebihan alat"/>
      <sheetName val="OK"/>
      <sheetName val="OK (2)"/>
      <sheetName val="OK (3)"/>
      <sheetName val="RAB Mobil"/>
      <sheetName val="Workplan Susut 24 nov awal"/>
      <sheetName val="Workplan Keandalan"/>
      <sheetName val="4. Workplan Susut-KPS"/>
      <sheetName val="PPS"/>
      <sheetName val="TLY"/>
      <sheetName val="MTW"/>
      <sheetName val="Kode Scoring"/>
      <sheetName val="PCH"/>
      <sheetName val="RealKPS"/>
      <sheetName val="RealPPS"/>
      <sheetName val="RealBTK"/>
      <sheetName val="RealTLY"/>
      <sheetName val="RealMTW"/>
      <sheetName val="RealPCH"/>
      <sheetName val="RealGAB"/>
      <sheetName val="dmpt"/>
      <sheetName val="blw"/>
      <sheetName val="gdl"/>
      <sheetName val="kpj"/>
      <sheetName val="DNY (2)"/>
      <sheetName val="blb"/>
      <sheetName val="ngt"/>
      <sheetName val="kta"/>
      <sheetName val="btu"/>
      <sheetName val="lwg"/>
      <sheetName val="pcg"/>
      <sheetName val="sgsri"/>
      <sheetName val="kba"/>
      <sheetName val="Rumus Susut Trafo Dist"/>
      <sheetName val="Rekap susut trafo"/>
      <sheetName val="Taksir"/>
      <sheetName val="Gedung Kantor"/>
      <sheetName val="wc"/>
      <sheetName val="DISCLAIMER"/>
      <sheetName val="Peta Quarry"/>
      <sheetName val="Jembatan Sementara"/>
      <sheetName val="Perhitungan Mobilisasi Alat"/>
      <sheetName val="Analisa K3"/>
      <sheetName val="4-Basic Price"/>
      <sheetName val="4-Analisa Quarry"/>
      <sheetName val="4-Formulir harga bahan"/>
      <sheetName val="5-ALAT(1)"/>
      <sheetName val="5-ALAT(2)"/>
      <sheetName val="Agg Halus &amp; Kasar"/>
      <sheetName val="Agg A"/>
      <sheetName val="Agg B"/>
      <sheetName val="Agg C"/>
      <sheetName val="Agg  CBR 60"/>
      <sheetName val="D3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User"/>
      <sheetName val="Menu1"/>
      <sheetName val="Menu2"/>
      <sheetName val="Dbase_nome"/>
      <sheetName val="Dbase_HPS"/>
      <sheetName val="Profil"/>
      <sheetName val="Input_renja"/>
      <sheetName val="dbrenja"/>
      <sheetName val="record RKA"/>
      <sheetName val="DBS2"/>
      <sheetName val="Form"/>
      <sheetName val="rek DKH"/>
      <sheetName val="DKH (2)"/>
      <sheetName val="DIV 1"/>
      <sheetName val="DIV 1 (2)"/>
      <sheetName val="gal sel"/>
      <sheetName val="kupasan"/>
      <sheetName val="gal tnh"/>
      <sheetName val="timb tnh"/>
      <sheetName val="timb pil"/>
      <sheetName val="lap res peng"/>
      <sheetName val="lap per"/>
      <sheetName val="lapen"/>
      <sheetName val="beton K175"/>
      <sheetName val="bj tlg"/>
      <sheetName val="pas bt"/>
      <sheetName val="telford"/>
      <sheetName val="DIV 5 6"/>
      <sheetName val="DKH "/>
      <sheetName val="Sch Pek"/>
      <sheetName val="Sch Prnl"/>
      <sheetName val="Sch Bahan"/>
      <sheetName val="gorong2"/>
      <sheetName val="peny bd jln"/>
      <sheetName val="Beton K250"/>
      <sheetName val="Bj U24"/>
      <sheetName val="Plaster"/>
      <sheetName val="Siar"/>
      <sheetName val="RkAp Alat"/>
      <sheetName val="As Fin"/>
      <sheetName val="As Spray"/>
      <sheetName val="Comp"/>
      <sheetName val="Conc Mix"/>
      <sheetName val="DT"/>
      <sheetName val="Exca"/>
      <sheetName val="Gen Set"/>
      <sheetName val="M Grader"/>
      <sheetName val="W Loader"/>
      <sheetName val="Tandem R"/>
      <sheetName val="TR"/>
      <sheetName val="VBro"/>
      <sheetName val="Con Vb"/>
      <sheetName val="W Tank"/>
      <sheetName val="Tamper"/>
      <sheetName val="Sur-pen"/>
      <sheetName val="quarry1"/>
      <sheetName val="mobilisas"/>
      <sheetName val="Moblisasi"/>
      <sheetName val="sat-dsr bhn"/>
      <sheetName val="an alat"/>
      <sheetName val="an produk bhn"/>
      <sheetName val="anls hrg sat"/>
      <sheetName val="divisi 7"/>
      <sheetName val="urai div2-6"/>
      <sheetName val="urai div7"/>
      <sheetName val="SCEDDULE"/>
      <sheetName val="SONIL"/>
      <sheetName val="urai div8"/>
      <sheetName val="urai div9"/>
      <sheetName val="urai div10"/>
      <sheetName val="divisi 10 pemel"/>
      <sheetName val="anlisa a"/>
      <sheetName val="DFTR BY "/>
      <sheetName val="anls by sewa"/>
      <sheetName val="uraian analisa alt"/>
      <sheetName val="hit kap alt utm"/>
      <sheetName val="rab pemel"/>
      <sheetName val="satuanjadi"/>
      <sheetName val="satuanjadiSNI2007"/>
      <sheetName val="analSNI2007"/>
      <sheetName val="skedul"/>
      <sheetName val="skema"/>
      <sheetName val="DAFT-SONIL"/>
      <sheetName val="DAFT-ALAT"/>
      <sheetName val="lti-gelagar kayu"/>
      <sheetName val="b-strktur-k-350"/>
      <sheetName val="cat-besi"/>
      <sheetName val="tmbrisan"/>
      <sheetName val="urg-pasir"/>
      <sheetName val="BRONJONG"/>
      <sheetName val="SIARAN"/>
      <sheetName val="PLESTERAN"/>
      <sheetName val="PAS-B-Parit"/>
      <sheetName val="TIANG PENGAMAN"/>
      <sheetName val="SAND SHEET"/>
      <sheetName val="PERANCAH"/>
      <sheetName val="PENGECETAN"/>
      <sheetName val="Rawat-JBT"/>
      <sheetName val="BETON-K225"/>
      <sheetName val="BETON K-175"/>
      <sheetName val="BETON K-125"/>
      <sheetName val="BEGISTING"/>
      <sheetName val="lapen-3"/>
      <sheetName val="lapen-krl"/>
      <sheetName val="PACTHING"/>
      <sheetName val="LPA-KLAS B"/>
      <sheetName val="BURAS"/>
      <sheetName val="LPA KLAS A"/>
      <sheetName val="PARIT-A"/>
      <sheetName val="PARIT-samping"/>
      <sheetName val="MEMOTONG BAHU"/>
      <sheetName val="SUB-GRADE"/>
      <sheetName val="PADAT-GRG"/>
      <sheetName val="GAL.KONST"/>
      <sheetName val="PAS.BATU PARIT"/>
      <sheetName val="PARIT GAL.TNH (M)"/>
      <sheetName val="K-018"/>
      <sheetName val="K-017"/>
      <sheetName val="K-016"/>
      <sheetName val="K-013"/>
      <sheetName val="K-012"/>
      <sheetName val="h-tenaga"/>
      <sheetName val="h-alat"/>
      <sheetName val="h-bhn"/>
      <sheetName val="anl.harga"/>
      <sheetName val="BAHU"/>
      <sheetName val="DAMIJA"/>
      <sheetName val="PARIT GAL.TNH"/>
      <sheetName val="LPB KLAS C"/>
      <sheetName val="lapen-5"/>
      <sheetName val="skema-tenaga"/>
      <sheetName val="skema-bahan"/>
      <sheetName val="LS-PERSIAPAN"/>
      <sheetName val="UKUR"/>
      <sheetName val="RAB GRG2"/>
      <sheetName val="s-jadi (2)"/>
      <sheetName val="RAB (4)"/>
      <sheetName val="1 {B-Q}"/>
      <sheetName val="Analisa {3 DIV.2} Irigasi"/>
      <sheetName val="5 { QUARY"/>
      <sheetName val="8 { RINCIAN SEWA ALAT }"/>
      <sheetName val="4 { BASIC }"/>
      <sheetName val="6 { ALAT }"/>
      <sheetName val="Mob To Mob"/>
      <sheetName val="Analisa {3 DIV.2} "/>
      <sheetName val="Analisa {3 DIV.4}"/>
      <sheetName val="Analisa {3 DIV.5}  "/>
      <sheetName val="Analisa {3 DIV.6}"/>
      <sheetName val="Analisa {3 DIV.8}"/>
      <sheetName val="Analisa {3 DIV.10}"/>
      <sheetName val="7 { AGREGAT HALUS DAN KASAR }"/>
      <sheetName val="7 { AGREGAT A,B,C }"/>
      <sheetName val="LS { RUTIN }"/>
      <sheetName val="ANALISA { HSP }"/>
      <sheetName val="2 { UMUM }"/>
      <sheetName val="Analisa {3 DIV.9}"/>
      <sheetName val="Analisa {3 DIV.7}"/>
      <sheetName val="Analisa {3 DIV.3}  "/>
      <sheetName val="DIVISI. 2"/>
      <sheetName val="DIVISI.3"/>
      <sheetName val="DIVISI. 5"/>
      <sheetName val="DIVISI.6"/>
      <sheetName val="DIVISI 6. A"/>
      <sheetName val="DIVISI.7 (Plot)"/>
      <sheetName val="RINCIAN ALAT"/>
      <sheetName val="SUB.KON"/>
      <sheetName val="SCHEDULE (2)"/>
      <sheetName val="DIVISI.7"/>
      <sheetName val="SRT.PLLGN"/>
      <sheetName val="NON PNS"/>
      <sheetName val="FINALLY"/>
      <sheetName val="PLESTER + ACI"/>
      <sheetName val="LANTAI"/>
      <sheetName val="KUSEN BAJA"/>
      <sheetName val="WATERPROOFING"/>
      <sheetName val="TANGGULAN"/>
      <sheetName val="LAIN-LAIN"/>
      <sheetName val="Rekap ARS "/>
      <sheetName val="Ars BATA RINGAN "/>
      <sheetName val="BQ Gdg 7&amp;8"/>
      <sheetName val="BQ Gdg 5&amp;6"/>
      <sheetName val="II_MAIN-LOB"/>
      <sheetName val="III_FASADE"/>
      <sheetName val="IV__POOL_DECK"/>
      <sheetName val="V_BALLROOM"/>
      <sheetName val="VI_CANOPY"/>
      <sheetName val="VII_CAR_&amp;_LIFT"/>
      <sheetName val="IX_ATRIUM"/>
      <sheetName val="X_LANDSCAPE"/>
      <sheetName val="Summary_"/>
      <sheetName val="Mobilization"/>
      <sheetName val="Appendix 4"/>
      <sheetName val="Unit Price Analysis"/>
      <sheetName val="Basic Price I"/>
      <sheetName val="Material Analysis I"/>
      <sheetName val="Supporting Analysis"/>
      <sheetName val="Basic Price II"/>
      <sheetName val="Material Analysis II"/>
      <sheetName val="Cost of Mat on site"/>
      <sheetName val="Method"/>
      <sheetName val="Ow &amp; Op"/>
      <sheetName val="Jumlah Alat"/>
      <sheetName val="Estimate of Foreign"/>
      <sheetName val="Breakdown Foreign"/>
      <sheetName val="Price adjusment"/>
      <sheetName val="APP"/>
      <sheetName val="Harga Satuan "/>
      <sheetName val="Rekapitu"/>
      <sheetName val="Lamp 5A"/>
      <sheetName val="Lamp 5A (2)"/>
      <sheetName val="lamp. 6a"/>
      <sheetName val="lamp. 6b"/>
      <sheetName val="Lamp 7"/>
      <sheetName val="Lamp 9)"/>
      <sheetName val="Lamp 10"/>
      <sheetName val="Lamp 14"/>
      <sheetName val="Lamp 3b (2)"/>
      <sheetName val="2.3 (4)"/>
      <sheetName val="3.1 (1)"/>
      <sheetName val="3.1 (2)"/>
      <sheetName val="3.2 (1)"/>
      <sheetName val="3.2 (2)"/>
      <sheetName val="4.2 (2)"/>
      <sheetName val="5.1(1)"/>
      <sheetName val="5.1 (2)"/>
      <sheetName val="6.1 (1)"/>
      <sheetName val="6.3 (6)"/>
      <sheetName val="7.1 (4)"/>
      <sheetName val="7.1 (5)"/>
      <sheetName val="7.1 (6)"/>
      <sheetName val="7.1(8)"/>
      <sheetName val="7.3 (1)"/>
      <sheetName val="7.9"/>
      <sheetName val="7.10(3)"/>
      <sheetName val="Lamp 3b"/>
      <sheetName val="lamp. 3c"/>
      <sheetName val="lamp. 3d"/>
      <sheetName val="Uraian K"/>
      <sheetName val="rek ana"/>
      <sheetName val="anl. MOB"/>
      <sheetName val="lisa"/>
      <sheetName val="Alat&amp;Anls"/>
      <sheetName val="Lamp 12"/>
      <sheetName val="Lamp 15"/>
      <sheetName val="Rubahen Mulo"/>
      <sheetName val="Indo"/>
      <sheetName val="Ike Pake Angkut"/>
      <sheetName val="conv."/>
      <sheetName val="ISIAN"/>
      <sheetName val="BAHANUPAH"/>
      <sheetName val="REKALAT"/>
      <sheetName val="ANALISAE"/>
      <sheetName val="ANLPEN"/>
      <sheetName val="REK ANALISA"/>
      <sheetName val="volume (2)"/>
      <sheetName val="LBR-KJR"/>
      <sheetName val="Engineer Estimate (EE)"/>
      <sheetName val="DAB"/>
      <sheetName val="Rkp. DAP"/>
      <sheetName val="Daftar Harga Satuan"/>
      <sheetName val="Volume 3 RKB"/>
      <sheetName val="RAB 3 RKB"/>
      <sheetName val="Anl. SNI Gedung"/>
      <sheetName val="Upah Bahan SNI"/>
      <sheetName val="CONV.ANGKA-HURUF"/>
      <sheetName val="S - CURVE"/>
      <sheetName val="RMS"/>
      <sheetName val="Back Up Data Saluran Drainase"/>
      <sheetName val="Back Up Box Culvert"/>
      <sheetName val="REK ANL"/>
      <sheetName val="Bhn &amp; Upah"/>
      <sheetName val="PHOTO VISUAL"/>
      <sheetName val="curve"/>
      <sheetName val="schd"/>
      <sheetName val="SCDL"/>
      <sheetName val="network planning"/>
      <sheetName val="Rek Alat"/>
      <sheetName val="57"/>
      <sheetName val="57 (3)"/>
      <sheetName val="57 (4)"/>
      <sheetName val=" (4)"/>
      <sheetName val="AnalisaEdi"/>
      <sheetName val="AnalisaTahap2"/>
      <sheetName val="RekapTotal"/>
      <sheetName val="JETTY"/>
      <sheetName val="INST.AIR BERSIH"/>
      <sheetName val="REHAB BALAI"/>
      <sheetName val="BUNGKER"/>
      <sheetName val="REHAP PELATARAN"/>
      <sheetName val="REHABPPI"/>
      <sheetName val="REHAB INST.LAMPU"/>
      <sheetName val="JALAN"/>
      <sheetName val="UPAH BAHAN JALAN"/>
      <sheetName val="ANL.JLN.LPA klas A n TIMB"/>
      <sheetName val="ANL.JALAN"/>
      <sheetName val="ANL,GEDUNG"/>
      <sheetName val="BEKESTING"/>
      <sheetName val="B.BESI"/>
      <sheetName val="REKAP ANLS"/>
      <sheetName val="S CURVE"/>
      <sheetName val="Back Up"/>
      <sheetName val="Rincian  "/>
      <sheetName val="acn"/>
      <sheetName val="UpBahal"/>
      <sheetName val="Analisa 2006"/>
    </sheetNames>
    <sheetDataSet>
      <sheetData sheetId="0"/>
      <sheetData sheetId="1">
        <row r="2">
          <cell r="A2" t="str">
            <v>DAFTAR  KUANTITAS DAN HARGA</v>
          </cell>
        </row>
      </sheetData>
      <sheetData sheetId="2">
        <row r="4">
          <cell r="L4" t="str">
            <v>A.1</v>
          </cell>
        </row>
      </sheetData>
      <sheetData sheetId="3">
        <row r="3">
          <cell r="C3" t="str">
            <v>PROV</v>
          </cell>
        </row>
      </sheetData>
      <sheetData sheetId="4">
        <row r="1">
          <cell r="B1">
            <v>1</v>
          </cell>
        </row>
      </sheetData>
      <sheetData sheetId="5">
        <row r="3">
          <cell r="C3" t="str">
            <v>PROV</v>
          </cell>
        </row>
      </sheetData>
      <sheetData sheetId="6">
        <row r="1">
          <cell r="B1">
            <v>1</v>
          </cell>
        </row>
      </sheetData>
      <sheetData sheetId="7">
        <row r="3">
          <cell r="C3" t="str">
            <v>Bustamam</v>
          </cell>
        </row>
      </sheetData>
      <sheetData sheetId="8">
        <row r="1">
          <cell r="B1">
            <v>1</v>
          </cell>
        </row>
      </sheetData>
      <sheetData sheetId="9">
        <row r="3">
          <cell r="C3" t="str">
            <v>Bustamam</v>
          </cell>
        </row>
      </sheetData>
      <sheetData sheetId="10">
        <row r="1">
          <cell r="B1">
            <v>1</v>
          </cell>
        </row>
      </sheetData>
      <sheetData sheetId="11">
        <row r="3">
          <cell r="B3" t="str">
            <v>DAFTAR KUANTITAS DAN HARGA</v>
          </cell>
        </row>
      </sheetData>
      <sheetData sheetId="12">
        <row r="3">
          <cell r="B3" t="str">
            <v>RKA</v>
          </cell>
        </row>
      </sheetData>
      <sheetData sheetId="13"/>
      <sheetData sheetId="14">
        <row r="3">
          <cell r="B3" t="str">
            <v>REKAPITULASI</v>
          </cell>
        </row>
      </sheetData>
      <sheetData sheetId="15">
        <row r="3">
          <cell r="B3" t="str">
            <v>DAFTAR  KUANTITAS DAN HARGA</v>
          </cell>
        </row>
      </sheetData>
      <sheetData sheetId="16">
        <row r="2">
          <cell r="A2" t="str">
            <v>DAFTAR  KUANTITAS DAN HARGA</v>
          </cell>
        </row>
      </sheetData>
      <sheetData sheetId="17">
        <row r="10">
          <cell r="A10">
            <v>1</v>
          </cell>
        </row>
      </sheetData>
      <sheetData sheetId="18"/>
      <sheetData sheetId="19">
        <row r="13">
          <cell r="A13" t="str">
            <v>0037.10701</v>
          </cell>
        </row>
      </sheetData>
      <sheetData sheetId="20">
        <row r="3">
          <cell r="B3" t="str">
            <v>DAFTAR  KUANTITAS DAN HARGA</v>
          </cell>
        </row>
      </sheetData>
      <sheetData sheetId="21">
        <row r="13">
          <cell r="A13" t="str">
            <v>0037.10701</v>
          </cell>
        </row>
      </sheetData>
      <sheetData sheetId="22">
        <row r="3">
          <cell r="B3" t="str">
            <v>DAFTAR  KUANTITAS DAN HARGA</v>
          </cell>
        </row>
      </sheetData>
      <sheetData sheetId="23">
        <row r="13">
          <cell r="A13" t="str">
            <v>0037.10701</v>
          </cell>
        </row>
      </sheetData>
      <sheetData sheetId="24">
        <row r="44">
          <cell r="H44">
            <v>1.0685464333781964</v>
          </cell>
        </row>
      </sheetData>
      <sheetData sheetId="25">
        <row r="26">
          <cell r="R26" t="str">
            <v xml:space="preserve"> Alat Baru</v>
          </cell>
        </row>
      </sheetData>
      <sheetData sheetId="26">
        <row r="2">
          <cell r="A2" t="str">
            <v>DAFTAR  KUANTITAS DAN HARGA</v>
          </cell>
        </row>
      </sheetData>
      <sheetData sheetId="27"/>
      <sheetData sheetId="28">
        <row r="1">
          <cell r="G1">
            <v>4</v>
          </cell>
        </row>
      </sheetData>
      <sheetData sheetId="29">
        <row r="1">
          <cell r="B1" t="str">
            <v>NAMA SKPA SINGKAT</v>
          </cell>
        </row>
      </sheetData>
      <sheetData sheetId="30">
        <row r="1">
          <cell r="G1">
            <v>4</v>
          </cell>
        </row>
      </sheetData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>
        <row r="5">
          <cell r="C5">
            <v>0.22195352097611887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1">
          <cell r="B1">
            <v>1</v>
          </cell>
        </row>
      </sheetData>
      <sheetData sheetId="47" refreshError="1"/>
      <sheetData sheetId="48">
        <row r="1">
          <cell r="B1">
            <v>1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1">
          <cell r="B1" t="str">
            <v>NAMA SKPA SINGKAT</v>
          </cell>
        </row>
      </sheetData>
      <sheetData sheetId="67">
        <row r="1">
          <cell r="G1">
            <v>4</v>
          </cell>
        </row>
      </sheetData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>
        <row r="29">
          <cell r="G29">
            <v>942282413.61460006</v>
          </cell>
        </row>
      </sheetData>
      <sheetData sheetId="111">
        <row r="26">
          <cell r="R26" t="str">
            <v xml:space="preserve"> Alat Baru</v>
          </cell>
        </row>
      </sheetData>
      <sheetData sheetId="112">
        <row r="7">
          <cell r="S7">
            <v>1</v>
          </cell>
        </row>
      </sheetData>
      <sheetData sheetId="113">
        <row r="29">
          <cell r="H29">
            <v>5.8333333333333334E-2</v>
          </cell>
        </row>
      </sheetData>
      <sheetData sheetId="114">
        <row r="1">
          <cell r="D1">
            <v>60</v>
          </cell>
        </row>
      </sheetData>
      <sheetData sheetId="115">
        <row r="666">
          <cell r="BO666" t="str">
            <v xml:space="preserve"> Alat Baru</v>
          </cell>
        </row>
      </sheetData>
      <sheetData sheetId="116">
        <row r="1">
          <cell r="D1">
            <v>60</v>
          </cell>
        </row>
      </sheetData>
      <sheetData sheetId="117">
        <row r="666">
          <cell r="BO666" t="str">
            <v xml:space="preserve"> Alat Baru</v>
          </cell>
        </row>
      </sheetData>
      <sheetData sheetId="118"/>
      <sheetData sheetId="119">
        <row r="1">
          <cell r="D1">
            <v>60</v>
          </cell>
        </row>
      </sheetData>
      <sheetData sheetId="120">
        <row r="29">
          <cell r="H29">
            <v>5.8333333333333334E-2</v>
          </cell>
        </row>
      </sheetData>
      <sheetData sheetId="121"/>
      <sheetData sheetId="122">
        <row r="29">
          <cell r="G29">
            <v>942282413.61460006</v>
          </cell>
        </row>
      </sheetData>
      <sheetData sheetId="123">
        <row r="1">
          <cell r="D1">
            <v>60</v>
          </cell>
        </row>
      </sheetData>
      <sheetData sheetId="124">
        <row r="29">
          <cell r="G29">
            <v>942282413.61460006</v>
          </cell>
        </row>
      </sheetData>
      <sheetData sheetId="125"/>
      <sheetData sheetId="126">
        <row r="26">
          <cell r="R26" t="str">
            <v xml:space="preserve"> Alat Baru</v>
          </cell>
        </row>
      </sheetData>
      <sheetData sheetId="127">
        <row r="29">
          <cell r="G29">
            <v>942282413.61460006</v>
          </cell>
        </row>
      </sheetData>
      <sheetData sheetId="128">
        <row r="2">
          <cell r="B2" t="str">
            <v>DAFTAR ANALISA PERHITUNGAN PERALATAN</v>
          </cell>
        </row>
      </sheetData>
      <sheetData sheetId="129">
        <row r="7">
          <cell r="S7">
            <v>1</v>
          </cell>
        </row>
      </sheetData>
      <sheetData sheetId="130">
        <row r="3">
          <cell r="B3" t="str">
            <v>PEMBANGUNAN JALAN DAN JEMBATAN</v>
          </cell>
        </row>
      </sheetData>
      <sheetData sheetId="131">
        <row r="1">
          <cell r="D1">
            <v>60</v>
          </cell>
        </row>
      </sheetData>
      <sheetData sheetId="132" refreshError="1"/>
      <sheetData sheetId="133">
        <row r="1">
          <cell r="D1">
            <v>60</v>
          </cell>
        </row>
      </sheetData>
      <sheetData sheetId="134" refreshError="1"/>
      <sheetData sheetId="135" refreshError="1"/>
      <sheetData sheetId="136">
        <row r="1">
          <cell r="D1">
            <v>60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>
        <row r="666">
          <cell r="BO666" t="str">
            <v xml:space="preserve"> Alat Baru</v>
          </cell>
        </row>
      </sheetData>
      <sheetData sheetId="153" refreshError="1"/>
      <sheetData sheetId="154" refreshError="1"/>
      <sheetData sheetId="155">
        <row r="29">
          <cell r="G29">
            <v>942282413.61460006</v>
          </cell>
        </row>
      </sheetData>
      <sheetData sheetId="156" refreshError="1"/>
      <sheetData sheetId="157" refreshError="1"/>
      <sheetData sheetId="158">
        <row r="1">
          <cell r="D1">
            <v>60</v>
          </cell>
        </row>
      </sheetData>
      <sheetData sheetId="159">
        <row r="29">
          <cell r="G29">
            <v>942282413.61460006</v>
          </cell>
        </row>
      </sheetData>
      <sheetData sheetId="160" refreshError="1"/>
      <sheetData sheetId="161" refreshError="1"/>
      <sheetData sheetId="162" refreshError="1"/>
      <sheetData sheetId="163" refreshError="1"/>
      <sheetData sheetId="164">
        <row r="29">
          <cell r="G29">
            <v>942282413.61460006</v>
          </cell>
        </row>
      </sheetData>
      <sheetData sheetId="165">
        <row r="1">
          <cell r="D1">
            <v>60</v>
          </cell>
        </row>
      </sheetData>
      <sheetData sheetId="166">
        <row r="26">
          <cell r="R26" t="str">
            <v xml:space="preserve"> Alat Baru</v>
          </cell>
        </row>
      </sheetData>
      <sheetData sheetId="167">
        <row r="1">
          <cell r="D1">
            <v>60</v>
          </cell>
        </row>
      </sheetData>
      <sheetData sheetId="168">
        <row r="1">
          <cell r="D1">
            <v>60</v>
          </cell>
        </row>
      </sheetData>
      <sheetData sheetId="169">
        <row r="9">
          <cell r="B9" t="str">
            <v>UPAH</v>
          </cell>
        </row>
      </sheetData>
      <sheetData sheetId="170">
        <row r="1">
          <cell r="D1">
            <v>60</v>
          </cell>
        </row>
      </sheetData>
      <sheetData sheetId="171">
        <row r="1">
          <cell r="D1">
            <v>60</v>
          </cell>
        </row>
      </sheetData>
      <sheetData sheetId="172">
        <row r="9">
          <cell r="B9" t="str">
            <v>UPAH</v>
          </cell>
        </row>
      </sheetData>
      <sheetData sheetId="173">
        <row r="1">
          <cell r="D1">
            <v>60</v>
          </cell>
        </row>
      </sheetData>
      <sheetData sheetId="174">
        <row r="1">
          <cell r="D1">
            <v>60</v>
          </cell>
        </row>
      </sheetData>
      <sheetData sheetId="175">
        <row r="1">
          <cell r="D1">
            <v>60</v>
          </cell>
        </row>
      </sheetData>
      <sheetData sheetId="176">
        <row r="29">
          <cell r="H29">
            <v>5.8333333333333334E-2</v>
          </cell>
        </row>
      </sheetData>
      <sheetData sheetId="177">
        <row r="1">
          <cell r="D1">
            <v>60</v>
          </cell>
        </row>
      </sheetData>
      <sheetData sheetId="178">
        <row r="10">
          <cell r="C10" t="str">
            <v>Pekerja</v>
          </cell>
        </row>
      </sheetData>
      <sheetData sheetId="179">
        <row r="1">
          <cell r="D1">
            <v>60</v>
          </cell>
        </row>
      </sheetData>
      <sheetData sheetId="180">
        <row r="29">
          <cell r="H29">
            <v>5.8333333333333334E-2</v>
          </cell>
        </row>
      </sheetData>
      <sheetData sheetId="181" refreshError="1"/>
      <sheetData sheetId="182">
        <row r="1">
          <cell r="D1">
            <v>60</v>
          </cell>
        </row>
      </sheetData>
      <sheetData sheetId="183">
        <row r="26">
          <cell r="R26" t="str">
            <v xml:space="preserve"> Alat Baru</v>
          </cell>
        </row>
      </sheetData>
      <sheetData sheetId="184">
        <row r="1">
          <cell r="D1">
            <v>60</v>
          </cell>
        </row>
      </sheetData>
      <sheetData sheetId="185">
        <row r="29">
          <cell r="G29">
            <v>942282413.61460006</v>
          </cell>
        </row>
      </sheetData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>
        <row r="1">
          <cell r="G1">
            <v>4</v>
          </cell>
        </row>
      </sheetData>
      <sheetData sheetId="194">
        <row r="1">
          <cell r="D1">
            <v>60</v>
          </cell>
        </row>
      </sheetData>
      <sheetData sheetId="195">
        <row r="1">
          <cell r="D1">
            <v>60</v>
          </cell>
        </row>
      </sheetData>
      <sheetData sheetId="196">
        <row r="1">
          <cell r="D1">
            <v>60</v>
          </cell>
        </row>
      </sheetData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>
        <row r="43">
          <cell r="H43">
            <v>2.9112676056338039E-3</v>
          </cell>
        </row>
      </sheetData>
      <sheetData sheetId="219">
        <row r="363">
          <cell r="I363">
            <v>17870.55</v>
          </cell>
        </row>
      </sheetData>
      <sheetData sheetId="220" refreshError="1"/>
      <sheetData sheetId="221"/>
      <sheetData sheetId="222"/>
      <sheetData sheetId="223">
        <row r="1">
          <cell r="D1">
            <v>60</v>
          </cell>
        </row>
      </sheetData>
      <sheetData sheetId="224">
        <row r="1">
          <cell r="D1">
            <v>60</v>
          </cell>
        </row>
      </sheetData>
      <sheetData sheetId="225"/>
      <sheetData sheetId="226">
        <row r="1">
          <cell r="D1">
            <v>60</v>
          </cell>
        </row>
      </sheetData>
      <sheetData sheetId="227">
        <row r="2">
          <cell r="A2" t="str">
            <v>DAFTAR  KUANTITAS DAN HARGA</v>
          </cell>
        </row>
      </sheetData>
      <sheetData sheetId="228">
        <row r="1">
          <cell r="D1">
            <v>60</v>
          </cell>
        </row>
      </sheetData>
      <sheetData sheetId="229">
        <row r="1">
          <cell r="G1">
            <v>4</v>
          </cell>
        </row>
      </sheetData>
      <sheetData sheetId="230">
        <row r="1">
          <cell r="D1">
            <v>60</v>
          </cell>
        </row>
      </sheetData>
      <sheetData sheetId="231">
        <row r="1">
          <cell r="D1">
            <v>60</v>
          </cell>
        </row>
      </sheetData>
      <sheetData sheetId="232">
        <row r="2">
          <cell r="A2" t="str">
            <v>DAFTAR  KUANTITAS DAN HARGA</v>
          </cell>
        </row>
      </sheetData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>
        <row r="2">
          <cell r="A2" t="str">
            <v>DAFTAR  KUANTITAS DAN HARGA</v>
          </cell>
        </row>
      </sheetData>
      <sheetData sheetId="265">
        <row r="666">
          <cell r="BO666" t="str">
            <v xml:space="preserve"> Alat Baru</v>
          </cell>
        </row>
      </sheetData>
      <sheetData sheetId="266">
        <row r="2">
          <cell r="A2" t="str">
            <v>DAFTAR  KUANTITAS DAN HARGA</v>
          </cell>
        </row>
      </sheetData>
      <sheetData sheetId="267" refreshError="1"/>
      <sheetData sheetId="268">
        <row r="2">
          <cell r="A2" t="str">
            <v>DAFTAR  KUANTITAS DAN HARGA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/>
      <sheetData sheetId="862"/>
      <sheetData sheetId="863" refreshError="1"/>
      <sheetData sheetId="864" refreshError="1"/>
      <sheetData sheetId="865" refreshError="1"/>
      <sheetData sheetId="866" refreshError="1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>
        <row r="1">
          <cell r="A1" t="str">
            <v>RENCANA ANGGARAN BIAYA</v>
          </cell>
        </row>
      </sheetData>
      <sheetData sheetId="1243">
        <row r="1">
          <cell r="A1" t="str">
            <v>RENCANA ANGGARAN BIAYA</v>
          </cell>
        </row>
      </sheetData>
      <sheetData sheetId="1244">
        <row r="1">
          <cell r="A1" t="str">
            <v>RENCANA ANGGARAN BIAYA</v>
          </cell>
        </row>
      </sheetData>
      <sheetData sheetId="1245">
        <row r="1">
          <cell r="A1" t="str">
            <v>RENCANA ANGGARAN BIAYA</v>
          </cell>
        </row>
      </sheetData>
      <sheetData sheetId="1246">
        <row r="1">
          <cell r="A1" t="str">
            <v>RENCANA ANGGARAN BIAYA</v>
          </cell>
        </row>
      </sheetData>
      <sheetData sheetId="1247"/>
      <sheetData sheetId="1248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>
        <row r="1">
          <cell r="A1" t="str">
            <v>RENCANA ANGGARAN BIAYA</v>
          </cell>
        </row>
      </sheetData>
      <sheetData sheetId="1352">
        <row r="1">
          <cell r="A1" t="str">
            <v>RENCANA ANGGARAN BIAYA</v>
          </cell>
        </row>
      </sheetData>
      <sheetData sheetId="1353">
        <row r="1">
          <cell r="A1" t="str">
            <v>RENCANA ANGGARAN BIAYA</v>
          </cell>
        </row>
      </sheetData>
      <sheetData sheetId="1354">
        <row r="1">
          <cell r="A1" t="str">
            <v>RENCANA ANGGARAN BIAYA</v>
          </cell>
        </row>
      </sheetData>
      <sheetData sheetId="1355">
        <row r="1">
          <cell r="A1" t="str">
            <v>RENCANA ANGGARAN BIAYA</v>
          </cell>
        </row>
      </sheetData>
      <sheetData sheetId="1356" refreshError="1"/>
      <sheetData sheetId="1357">
        <row r="1">
          <cell r="A1" t="str">
            <v>RENCANA ANGGARAN BIAYA</v>
          </cell>
        </row>
      </sheetData>
      <sheetData sheetId="1358">
        <row r="1">
          <cell r="A1" t="str">
            <v>RENCANA ANGGARAN BIAYA</v>
          </cell>
        </row>
      </sheetData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/>
      <sheetData sheetId="1374"/>
      <sheetData sheetId="1375"/>
      <sheetData sheetId="1376"/>
      <sheetData sheetId="1377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/>
      <sheetData sheetId="2204"/>
      <sheetData sheetId="2205"/>
      <sheetData sheetId="2206"/>
      <sheetData sheetId="2207"/>
      <sheetData sheetId="2208"/>
      <sheetData sheetId="2209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/>
      <sheetData sheetId="2283"/>
      <sheetData sheetId="2284"/>
      <sheetData sheetId="2285"/>
      <sheetData sheetId="2286" refreshError="1"/>
      <sheetData sheetId="2287"/>
      <sheetData sheetId="2288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/>
      <sheetData sheetId="2304"/>
      <sheetData sheetId="2305"/>
      <sheetData sheetId="2306"/>
      <sheetData sheetId="2307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/>
      <sheetData sheetId="2462" refreshError="1"/>
      <sheetData sheetId="2463" refreshError="1"/>
      <sheetData sheetId="2464" refreshError="1"/>
      <sheetData sheetId="2465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/>
      <sheetData sheetId="2474" refreshError="1"/>
      <sheetData sheetId="2475" refreshError="1"/>
      <sheetData sheetId="2476" refreshError="1"/>
      <sheetData sheetId="2477"/>
      <sheetData sheetId="2478" refreshError="1"/>
      <sheetData sheetId="2479"/>
      <sheetData sheetId="2480"/>
      <sheetData sheetId="2481" refreshError="1"/>
      <sheetData sheetId="2482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/>
      <sheetData sheetId="2537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/>
      <sheetData sheetId="2565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>
        <row r="1">
          <cell r="A1" t="str">
            <v>RENCANA ANGGARAN BIAYA</v>
          </cell>
        </row>
      </sheetData>
      <sheetData sheetId="2579">
        <row r="1">
          <cell r="A1" t="str">
            <v>RENCANA ANGGARAN BIAYA</v>
          </cell>
        </row>
      </sheetData>
      <sheetData sheetId="2580">
        <row r="1">
          <cell r="A1" t="str">
            <v>RENCANA ANGGARAN BIAYA</v>
          </cell>
        </row>
      </sheetData>
      <sheetData sheetId="2581">
        <row r="1">
          <cell r="A1" t="str">
            <v>RENCANA ANGGARAN BIAYA</v>
          </cell>
        </row>
      </sheetData>
      <sheetData sheetId="2582">
        <row r="1">
          <cell r="A1" t="str">
            <v>RENCANA ANGGARAN BIAYA</v>
          </cell>
        </row>
      </sheetData>
      <sheetData sheetId="2583">
        <row r="1">
          <cell r="A1" t="str">
            <v>RENCANA ANGGARAN BIAYA</v>
          </cell>
        </row>
      </sheetData>
      <sheetData sheetId="2584">
        <row r="1">
          <cell r="A1" t="str">
            <v>RENCANA ANGGARAN BIAYA</v>
          </cell>
        </row>
      </sheetData>
      <sheetData sheetId="2585">
        <row r="1">
          <cell r="A1" t="str">
            <v>RENCANA ANGGARAN BIAYA</v>
          </cell>
        </row>
      </sheetData>
      <sheetData sheetId="2586">
        <row r="1">
          <cell r="A1" t="str">
            <v>RENCANA ANGGARAN BIAYA</v>
          </cell>
        </row>
      </sheetData>
      <sheetData sheetId="2587">
        <row r="1">
          <cell r="A1" t="str">
            <v>RENCANA ANGGARAN BIAYA</v>
          </cell>
        </row>
      </sheetData>
      <sheetData sheetId="2588">
        <row r="1">
          <cell r="A1" t="str">
            <v>RENCANA ANGGARAN BIAYA</v>
          </cell>
        </row>
      </sheetData>
      <sheetData sheetId="2589">
        <row r="1">
          <cell r="A1" t="str">
            <v>RENCANA ANGGARAN BIAYA</v>
          </cell>
        </row>
      </sheetData>
      <sheetData sheetId="2590">
        <row r="1">
          <cell r="A1" t="str">
            <v>RENCANA ANGGARAN BIAYA</v>
          </cell>
        </row>
      </sheetData>
      <sheetData sheetId="2591">
        <row r="1">
          <cell r="A1" t="str">
            <v>RENCANA ANGGARAN BIAYA</v>
          </cell>
        </row>
      </sheetData>
      <sheetData sheetId="2592" refreshError="1"/>
      <sheetData sheetId="2593" refreshError="1"/>
      <sheetData sheetId="2594">
        <row r="1">
          <cell r="A1" t="str">
            <v>RENCANA ANGGARAN BIAYA</v>
          </cell>
        </row>
      </sheetData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>
        <row r="1">
          <cell r="A1" t="str">
            <v>RENCANA ANGGARAN BIAYA</v>
          </cell>
        </row>
      </sheetData>
      <sheetData sheetId="2606">
        <row r="1">
          <cell r="A1" t="str">
            <v>RENCANA ANGGARAN BIAYA</v>
          </cell>
        </row>
      </sheetData>
      <sheetData sheetId="2607">
        <row r="1">
          <cell r="A1" t="str">
            <v>RENCANA ANGGARAN BIAYA</v>
          </cell>
        </row>
      </sheetData>
      <sheetData sheetId="2608">
        <row r="1">
          <cell r="A1" t="str">
            <v>RENCANA ANGGARAN BIAYA</v>
          </cell>
        </row>
      </sheetData>
      <sheetData sheetId="2609">
        <row r="1">
          <cell r="A1" t="str">
            <v>RENCANA ANGGARAN BIAYA</v>
          </cell>
        </row>
      </sheetData>
      <sheetData sheetId="2610">
        <row r="1">
          <cell r="A1" t="str">
            <v>RENCANA ANGGARAN BIAYA</v>
          </cell>
        </row>
      </sheetData>
      <sheetData sheetId="2611">
        <row r="1">
          <cell r="A1" t="str">
            <v>RENCANA ANGGARAN BIAYA</v>
          </cell>
        </row>
      </sheetData>
      <sheetData sheetId="2612">
        <row r="1">
          <cell r="A1" t="str">
            <v>RENCANA ANGGARAN BIAYA</v>
          </cell>
        </row>
      </sheetData>
      <sheetData sheetId="2613">
        <row r="1">
          <cell r="A1" t="str">
            <v>RENCANA ANGGARAN BIAYA</v>
          </cell>
        </row>
      </sheetData>
      <sheetData sheetId="2614">
        <row r="1">
          <cell r="A1" t="str">
            <v>RENCANA ANGGARAN BIAYA</v>
          </cell>
        </row>
      </sheetData>
      <sheetData sheetId="2615">
        <row r="1">
          <cell r="A1" t="str">
            <v>RENCANA ANGGARAN BIAYA</v>
          </cell>
        </row>
      </sheetData>
      <sheetData sheetId="2616">
        <row r="1">
          <cell r="A1" t="str">
            <v>RENCANA ANGGARAN BIAYA</v>
          </cell>
        </row>
      </sheetData>
      <sheetData sheetId="2617">
        <row r="1">
          <cell r="A1" t="str">
            <v>RENCANA ANGGARAN BIAYA</v>
          </cell>
        </row>
      </sheetData>
      <sheetData sheetId="2618">
        <row r="1">
          <cell r="A1" t="str">
            <v>RENCANA ANGGARAN BIAYA</v>
          </cell>
        </row>
      </sheetData>
      <sheetData sheetId="2619"/>
      <sheetData sheetId="2620">
        <row r="1">
          <cell r="A1" t="str">
            <v>RENCANA ANGGARAN BIAYA</v>
          </cell>
        </row>
      </sheetData>
      <sheetData sheetId="2621">
        <row r="1">
          <cell r="A1" t="str">
            <v>RENCANA ANGGARAN BIAYA</v>
          </cell>
        </row>
      </sheetData>
      <sheetData sheetId="2622">
        <row r="1">
          <cell r="A1" t="str">
            <v>RENCANA ANGGARAN BIAYA</v>
          </cell>
        </row>
      </sheetData>
      <sheetData sheetId="2623">
        <row r="1">
          <cell r="A1" t="str">
            <v>RENCANA ANGGARAN BIAYA</v>
          </cell>
        </row>
      </sheetData>
      <sheetData sheetId="2624"/>
      <sheetData sheetId="2625">
        <row r="1">
          <cell r="A1" t="str">
            <v>RENCANA ANGGARAN BIAYA</v>
          </cell>
        </row>
      </sheetData>
      <sheetData sheetId="2626"/>
      <sheetData sheetId="2627"/>
      <sheetData sheetId="2628"/>
      <sheetData sheetId="2629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>
        <row r="1">
          <cell r="A1" t="str">
            <v>RENCANA ANGGARAN BIAYA</v>
          </cell>
        </row>
      </sheetData>
      <sheetData sheetId="2668">
        <row r="1">
          <cell r="A1" t="str">
            <v>RENCANA ANGGARAN BIAYA</v>
          </cell>
        </row>
      </sheetData>
      <sheetData sheetId="2669">
        <row r="1">
          <cell r="A1" t="str">
            <v>RENCANA ANGGARAN BIAYA</v>
          </cell>
        </row>
      </sheetData>
      <sheetData sheetId="2670">
        <row r="1">
          <cell r="A1" t="str">
            <v>RENCANA ANGGARAN BIAYA</v>
          </cell>
        </row>
      </sheetData>
      <sheetData sheetId="2671">
        <row r="1">
          <cell r="A1" t="str">
            <v>RENCANA ANGGARAN BIAYA</v>
          </cell>
        </row>
      </sheetData>
      <sheetData sheetId="2672">
        <row r="1">
          <cell r="A1" t="str">
            <v>RENCANA ANGGARAN BIAYA</v>
          </cell>
        </row>
      </sheetData>
      <sheetData sheetId="2673">
        <row r="1">
          <cell r="A1" t="str">
            <v>RENCANA ANGGARAN BIAYA</v>
          </cell>
        </row>
      </sheetData>
      <sheetData sheetId="2674">
        <row r="1">
          <cell r="A1" t="str">
            <v>RENCANA ANGGARAN BIAYA</v>
          </cell>
        </row>
      </sheetData>
      <sheetData sheetId="2675">
        <row r="1">
          <cell r="A1" t="str">
            <v>RENCANA ANGGARAN BIAYA</v>
          </cell>
        </row>
      </sheetData>
      <sheetData sheetId="2676">
        <row r="1">
          <cell r="A1" t="str">
            <v>RENCANA ANGGARAN BIAYA</v>
          </cell>
        </row>
      </sheetData>
      <sheetData sheetId="2677">
        <row r="1">
          <cell r="A1" t="str">
            <v>RENCANA ANGGARAN BIAYA</v>
          </cell>
        </row>
      </sheetData>
      <sheetData sheetId="2678">
        <row r="1">
          <cell r="A1" t="str">
            <v>RENCANA ANGGARAN BIAYA</v>
          </cell>
        </row>
      </sheetData>
      <sheetData sheetId="2679">
        <row r="1">
          <cell r="A1" t="str">
            <v>RENCANA ANGGARAN BIAYA</v>
          </cell>
        </row>
      </sheetData>
      <sheetData sheetId="2680">
        <row r="1">
          <cell r="A1" t="str">
            <v>RENCANA ANGGARAN BIAYA</v>
          </cell>
        </row>
      </sheetData>
      <sheetData sheetId="2681">
        <row r="1">
          <cell r="A1" t="str">
            <v>RENCANA ANGGARAN BIAYA</v>
          </cell>
        </row>
      </sheetData>
      <sheetData sheetId="2682">
        <row r="1">
          <cell r="A1" t="str">
            <v>RENCANA ANGGARAN BIAYA</v>
          </cell>
        </row>
      </sheetData>
      <sheetData sheetId="2683">
        <row r="1">
          <cell r="A1" t="str">
            <v>RENCANA ANGGARAN BIAYA</v>
          </cell>
        </row>
      </sheetData>
      <sheetData sheetId="2684">
        <row r="1">
          <cell r="A1" t="str">
            <v>RENCANA ANGGARAN BIAYA</v>
          </cell>
        </row>
      </sheetData>
      <sheetData sheetId="2685">
        <row r="1">
          <cell r="A1" t="str">
            <v>RENCANA ANGGARAN BIAYA</v>
          </cell>
        </row>
      </sheetData>
      <sheetData sheetId="2686">
        <row r="1">
          <cell r="A1" t="str">
            <v>RENCANA ANGGARAN BIAYA</v>
          </cell>
        </row>
      </sheetData>
      <sheetData sheetId="2687">
        <row r="1">
          <cell r="A1" t="str">
            <v>RENCANA ANGGARAN BIAYA</v>
          </cell>
        </row>
      </sheetData>
      <sheetData sheetId="2688">
        <row r="1">
          <cell r="A1" t="str">
            <v>RENCANA ANGGARAN BIAYA</v>
          </cell>
        </row>
      </sheetData>
      <sheetData sheetId="2689">
        <row r="1">
          <cell r="A1" t="str">
            <v>RENCANA ANGGARAN BIAYA</v>
          </cell>
        </row>
      </sheetData>
      <sheetData sheetId="2690">
        <row r="1">
          <cell r="A1" t="str">
            <v>RENCANA ANGGARAN BIAYA</v>
          </cell>
        </row>
      </sheetData>
      <sheetData sheetId="2691">
        <row r="1">
          <cell r="A1" t="str">
            <v>RENCANA ANGGARAN BIAYA</v>
          </cell>
        </row>
      </sheetData>
      <sheetData sheetId="2692">
        <row r="1">
          <cell r="A1" t="str">
            <v>RENCANA ANGGARAN BIAYA</v>
          </cell>
        </row>
      </sheetData>
      <sheetData sheetId="2693">
        <row r="1">
          <cell r="A1" t="str">
            <v>RENCANA ANGGARAN BIAYA</v>
          </cell>
        </row>
      </sheetData>
      <sheetData sheetId="2694">
        <row r="1">
          <cell r="A1" t="str">
            <v>RENCANA ANGGARAN BIAYA</v>
          </cell>
        </row>
      </sheetData>
      <sheetData sheetId="2695">
        <row r="1">
          <cell r="A1" t="str">
            <v>RENCANA ANGGARAN BIAYA</v>
          </cell>
        </row>
      </sheetData>
      <sheetData sheetId="2696">
        <row r="1">
          <cell r="A1" t="str">
            <v>RENCANA ANGGARAN BIAYA</v>
          </cell>
        </row>
      </sheetData>
      <sheetData sheetId="2697">
        <row r="1">
          <cell r="A1" t="str">
            <v>RENCANA ANGGARAN BIAYA</v>
          </cell>
        </row>
      </sheetData>
      <sheetData sheetId="2698">
        <row r="1">
          <cell r="A1" t="str">
            <v>RENCANA ANGGARAN BIAYA</v>
          </cell>
        </row>
      </sheetData>
      <sheetData sheetId="2699">
        <row r="1">
          <cell r="A1" t="str">
            <v>RENCANA ANGGARAN BIAYA</v>
          </cell>
        </row>
      </sheetData>
      <sheetData sheetId="2700">
        <row r="1">
          <cell r="A1" t="str">
            <v>RENCANA ANGGARAN BIAYA</v>
          </cell>
        </row>
      </sheetData>
      <sheetData sheetId="2701">
        <row r="1">
          <cell r="A1" t="str">
            <v>RENCANA ANGGARAN BIAYA</v>
          </cell>
        </row>
      </sheetData>
      <sheetData sheetId="2702">
        <row r="1">
          <cell r="A1" t="str">
            <v>RENCANA ANGGARAN BIAYA</v>
          </cell>
        </row>
      </sheetData>
      <sheetData sheetId="2703">
        <row r="1">
          <cell r="A1" t="str">
            <v>RENCANA ANGGARAN BIAYA</v>
          </cell>
        </row>
      </sheetData>
      <sheetData sheetId="2704" refreshError="1"/>
      <sheetData sheetId="2705" refreshError="1"/>
      <sheetData sheetId="2706">
        <row r="1">
          <cell r="A1" t="str">
            <v>RENCANA ANGGARAN BIAYA</v>
          </cell>
        </row>
      </sheetData>
      <sheetData sheetId="2707">
        <row r="1">
          <cell r="A1" t="str">
            <v>RENCANA ANGGARAN BIAYA</v>
          </cell>
        </row>
      </sheetData>
      <sheetData sheetId="2708">
        <row r="1">
          <cell r="A1" t="str">
            <v>RENCANA ANGGARAN BIAYA</v>
          </cell>
        </row>
      </sheetData>
      <sheetData sheetId="2709">
        <row r="1">
          <cell r="A1" t="str">
            <v>RENCANA ANGGARAN BIAYA</v>
          </cell>
        </row>
      </sheetData>
      <sheetData sheetId="2710">
        <row r="1">
          <cell r="A1" t="str">
            <v>RENCANA ANGGARAN BIAYA</v>
          </cell>
        </row>
      </sheetData>
      <sheetData sheetId="2711" refreshError="1"/>
      <sheetData sheetId="2712">
        <row r="1">
          <cell r="A1" t="str">
            <v>RENCANA ANGGARAN BIAYA</v>
          </cell>
        </row>
      </sheetData>
      <sheetData sheetId="2713" refreshError="1"/>
      <sheetData sheetId="2714" refreshError="1"/>
      <sheetData sheetId="2715" refreshError="1"/>
      <sheetData sheetId="2716" refreshError="1"/>
      <sheetData sheetId="2717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 refreshError="1"/>
      <sheetData sheetId="2737" refreshError="1"/>
      <sheetData sheetId="2738" refreshError="1"/>
      <sheetData sheetId="2739">
        <row r="4">
          <cell r="L4" t="str">
            <v>A.1</v>
          </cell>
        </row>
      </sheetData>
      <sheetData sheetId="2740"/>
      <sheetData sheetId="2741">
        <row r="4">
          <cell r="L4" t="str">
            <v>A.1</v>
          </cell>
        </row>
      </sheetData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>
        <row r="2">
          <cell r="A2" t="str">
            <v>DAFTAR  KUANTITAS DAN HARGA</v>
          </cell>
        </row>
      </sheetData>
      <sheetData sheetId="2976">
        <row r="2">
          <cell r="A2" t="str">
            <v>DAFTAR  KUANTITAS DAN HARGA</v>
          </cell>
        </row>
      </sheetData>
      <sheetData sheetId="2977">
        <row r="2">
          <cell r="A2" t="str">
            <v>DAFTAR  KUANTITAS DAN HARGA</v>
          </cell>
        </row>
      </sheetData>
      <sheetData sheetId="2978">
        <row r="2">
          <cell r="A2" t="str">
            <v>DAFTAR  KUANTITAS DAN HARGA</v>
          </cell>
        </row>
      </sheetData>
      <sheetData sheetId="2979">
        <row r="2">
          <cell r="A2" t="str">
            <v>DAFTAR  KUANTITAS DAN HARGA</v>
          </cell>
        </row>
      </sheetData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/>
      <sheetData sheetId="3082"/>
      <sheetData sheetId="3083"/>
      <sheetData sheetId="3084"/>
      <sheetData sheetId="3085"/>
      <sheetData sheetId="3086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 refreshError="1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 refreshError="1"/>
      <sheetData sheetId="3164"/>
      <sheetData sheetId="3165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/>
      <sheetData sheetId="3224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/>
      <sheetData sheetId="3840"/>
      <sheetData sheetId="384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/>
      <sheetData sheetId="4573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 refreshError="1"/>
      <sheetData sheetId="4595" refreshError="1"/>
      <sheetData sheetId="4596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>
        <row r="2">
          <cell r="A2" t="str">
            <v>DAFTAR  KUANTITAS DAN HARGA</v>
          </cell>
        </row>
      </sheetData>
      <sheetData sheetId="4615">
        <row r="2">
          <cell r="A2" t="str">
            <v>DAFTAR  KUANTITAS DAN HARGA</v>
          </cell>
        </row>
      </sheetData>
      <sheetData sheetId="4616">
        <row r="2">
          <cell r="A2" t="str">
            <v>DAFTAR  KUANTITAS DAN HARGA</v>
          </cell>
        </row>
      </sheetData>
      <sheetData sheetId="4617">
        <row r="2">
          <cell r="A2" t="str">
            <v>DAFTAR  KUANTITAS DAN HARGA</v>
          </cell>
        </row>
      </sheetData>
      <sheetData sheetId="4618">
        <row r="2">
          <cell r="A2" t="str">
            <v>DAFTAR  KUANTITAS DAN HARGA</v>
          </cell>
        </row>
      </sheetData>
      <sheetData sheetId="4619">
        <row r="2">
          <cell r="A2" t="str">
            <v>DAFTAR  KUANTITAS DAN HARGA</v>
          </cell>
        </row>
      </sheetData>
      <sheetData sheetId="4620">
        <row r="2">
          <cell r="A2" t="str">
            <v>DAFTAR  KUANTITAS DAN HARGA</v>
          </cell>
        </row>
      </sheetData>
      <sheetData sheetId="4621">
        <row r="2">
          <cell r="A2" t="str">
            <v>DAFTAR  KUANTITAS DAN HARGA</v>
          </cell>
        </row>
      </sheetData>
      <sheetData sheetId="4622">
        <row r="2">
          <cell r="A2" t="str">
            <v>DAFTAR  KUANTITAS DAN HARGA</v>
          </cell>
        </row>
      </sheetData>
      <sheetData sheetId="4623">
        <row r="2">
          <cell r="A2" t="str">
            <v>DAFTAR  KUANTITAS DAN HARGA</v>
          </cell>
        </row>
      </sheetData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/>
      <sheetData sheetId="4651" refreshError="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/>
      <sheetData sheetId="4960" refreshError="1"/>
      <sheetData sheetId="4961">
        <row r="23">
          <cell r="C23">
            <v>66562588959</v>
          </cell>
        </row>
      </sheetData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/>
      <sheetData sheetId="5634"/>
      <sheetData sheetId="5635"/>
      <sheetData sheetId="5636"/>
      <sheetData sheetId="5637"/>
      <sheetData sheetId="5638"/>
      <sheetData sheetId="5639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/>
      <sheetData sheetId="5712"/>
      <sheetData sheetId="5713"/>
      <sheetData sheetId="5714"/>
      <sheetData sheetId="5715" refreshError="1"/>
      <sheetData sheetId="5716"/>
      <sheetData sheetId="5717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/>
      <sheetData sheetId="5733"/>
      <sheetData sheetId="5734"/>
      <sheetData sheetId="5735"/>
      <sheetData sheetId="5736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/>
      <sheetData sheetId="5821"/>
      <sheetData sheetId="5822"/>
      <sheetData sheetId="5823"/>
      <sheetData sheetId="5824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/>
      <sheetData sheetId="5846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 refreshError="1"/>
      <sheetData sheetId="5879" refreshError="1"/>
      <sheetData sheetId="5880" refreshError="1"/>
      <sheetData sheetId="5881"/>
      <sheetData sheetId="5882"/>
      <sheetData sheetId="5883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/>
      <sheetData sheetId="6167"/>
      <sheetData sheetId="6168"/>
      <sheetData sheetId="6169"/>
      <sheetData sheetId="6170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/>
      <sheetData sheetId="6259"/>
      <sheetData sheetId="6260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/>
      <sheetData sheetId="6383"/>
      <sheetData sheetId="6384"/>
      <sheetData sheetId="6385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 refreshError="1"/>
      <sheetData sheetId="6523"/>
      <sheetData sheetId="6524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 refreshError="1"/>
      <sheetData sheetId="6892" refreshError="1"/>
      <sheetData sheetId="6893"/>
      <sheetData sheetId="6894" refreshError="1"/>
      <sheetData sheetId="6895"/>
      <sheetData sheetId="6896"/>
      <sheetData sheetId="6897"/>
      <sheetData sheetId="6898"/>
      <sheetData sheetId="6899"/>
      <sheetData sheetId="6900"/>
      <sheetData sheetId="6901"/>
      <sheetData sheetId="6902" refreshError="1"/>
      <sheetData sheetId="6903" refreshError="1"/>
      <sheetData sheetId="6904" refreshError="1"/>
      <sheetData sheetId="6905" refreshError="1"/>
      <sheetData sheetId="6906"/>
      <sheetData sheetId="6907"/>
      <sheetData sheetId="6908"/>
      <sheetData sheetId="6909"/>
      <sheetData sheetId="6910"/>
      <sheetData sheetId="6911"/>
      <sheetData sheetId="6912"/>
      <sheetData sheetId="6913" refreshError="1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>
        <row r="3">
          <cell r="C3" t="str">
            <v>Bustamam</v>
          </cell>
        </row>
      </sheetData>
      <sheetData sheetId="6934"/>
      <sheetData sheetId="6935"/>
      <sheetData sheetId="6936">
        <row r="666">
          <cell r="BO666" t="str">
            <v xml:space="preserve"> Alat Baru</v>
          </cell>
        </row>
      </sheetData>
      <sheetData sheetId="6937"/>
      <sheetData sheetId="6938"/>
      <sheetData sheetId="6939"/>
      <sheetData sheetId="6940"/>
      <sheetData sheetId="6941"/>
      <sheetData sheetId="6942"/>
      <sheetData sheetId="6943"/>
      <sheetData sheetId="6944">
        <row r="3">
          <cell r="C3" t="str">
            <v>Bustamam</v>
          </cell>
        </row>
      </sheetData>
      <sheetData sheetId="6945"/>
      <sheetData sheetId="6946"/>
      <sheetData sheetId="6947">
        <row r="666">
          <cell r="BO666" t="str">
            <v xml:space="preserve"> Alat Baru</v>
          </cell>
        </row>
      </sheetData>
      <sheetData sheetId="6948">
        <row r="4">
          <cell r="L4" t="str">
            <v>A.1</v>
          </cell>
        </row>
      </sheetData>
      <sheetData sheetId="6949">
        <row r="3">
          <cell r="C3" t="str">
            <v>PROV</v>
          </cell>
        </row>
      </sheetData>
      <sheetData sheetId="6950">
        <row r="1">
          <cell r="B1">
            <v>1</v>
          </cell>
        </row>
      </sheetData>
      <sheetData sheetId="6951">
        <row r="3">
          <cell r="C3" t="str">
            <v>Bustamam</v>
          </cell>
        </row>
      </sheetData>
      <sheetData sheetId="6952">
        <row r="1">
          <cell r="B1">
            <v>1</v>
          </cell>
        </row>
      </sheetData>
      <sheetData sheetId="6953">
        <row r="3">
          <cell r="B3" t="str">
            <v>RKA</v>
          </cell>
        </row>
      </sheetData>
      <sheetData sheetId="6954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/>
      <sheetData sheetId="7149"/>
      <sheetData sheetId="7150">
        <row r="4">
          <cell r="L4" t="str">
            <v>A.1</v>
          </cell>
        </row>
      </sheetData>
      <sheetData sheetId="7151">
        <row r="3">
          <cell r="C3" t="str">
            <v>PROV</v>
          </cell>
        </row>
      </sheetData>
      <sheetData sheetId="7152">
        <row r="1">
          <cell r="B1">
            <v>1</v>
          </cell>
        </row>
      </sheetData>
      <sheetData sheetId="7153">
        <row r="3">
          <cell r="C3" t="str">
            <v>Bustamam</v>
          </cell>
        </row>
      </sheetData>
      <sheetData sheetId="7154">
        <row r="1">
          <cell r="B1">
            <v>1</v>
          </cell>
        </row>
      </sheetData>
      <sheetData sheetId="7155">
        <row r="1">
          <cell r="D1">
            <v>60</v>
          </cell>
        </row>
      </sheetData>
      <sheetData sheetId="7156"/>
      <sheetData sheetId="7157"/>
      <sheetData sheetId="7158">
        <row r="29">
          <cell r="H29">
            <v>5.8333333333333334E-2</v>
          </cell>
        </row>
      </sheetData>
      <sheetData sheetId="7159"/>
      <sheetData sheetId="7160">
        <row r="29">
          <cell r="H29">
            <v>5.8333333333333334E-2</v>
          </cell>
        </row>
      </sheetData>
      <sheetData sheetId="7161">
        <row r="1">
          <cell r="D1">
            <v>60</v>
          </cell>
        </row>
      </sheetData>
      <sheetData sheetId="7162">
        <row r="3">
          <cell r="C3" t="str">
            <v>PROV</v>
          </cell>
        </row>
      </sheetData>
      <sheetData sheetId="7163">
        <row r="1">
          <cell r="B1">
            <v>1</v>
          </cell>
        </row>
      </sheetData>
      <sheetData sheetId="7164">
        <row r="1">
          <cell r="D1">
            <v>60</v>
          </cell>
        </row>
      </sheetData>
      <sheetData sheetId="7165">
        <row r="1">
          <cell r="B1">
            <v>1</v>
          </cell>
        </row>
      </sheetData>
      <sheetData sheetId="7166">
        <row r="2">
          <cell r="A2" t="str">
            <v>DAFTAR  KUANTITAS DAN HARGA</v>
          </cell>
        </row>
      </sheetData>
      <sheetData sheetId="7167"/>
      <sheetData sheetId="7168"/>
      <sheetData sheetId="7169"/>
      <sheetData sheetId="7170"/>
      <sheetData sheetId="7171">
        <row r="29">
          <cell r="H29">
            <v>5.8333333333333334E-2</v>
          </cell>
        </row>
      </sheetData>
      <sheetData sheetId="7172">
        <row r="1">
          <cell r="D1">
            <v>60</v>
          </cell>
        </row>
      </sheetData>
      <sheetData sheetId="7173">
        <row r="1">
          <cell r="G1">
            <v>4</v>
          </cell>
        </row>
      </sheetData>
      <sheetData sheetId="7174"/>
      <sheetData sheetId="7175" refreshError="1"/>
      <sheetData sheetId="7176" refreshError="1"/>
      <sheetData sheetId="7177" refreshError="1"/>
      <sheetData sheetId="7178" refreshError="1"/>
      <sheetData sheetId="7179"/>
      <sheetData sheetId="7180"/>
      <sheetData sheetId="7181" refreshError="1"/>
      <sheetData sheetId="7182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/>
      <sheetData sheetId="7199">
        <row r="1">
          <cell r="G1">
            <v>4</v>
          </cell>
        </row>
      </sheetData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/>
      <sheetData sheetId="7241"/>
      <sheetData sheetId="7242"/>
      <sheetData sheetId="7243">
        <row r="666">
          <cell r="BO666" t="str">
            <v xml:space="preserve"> Alat Baru</v>
          </cell>
        </row>
      </sheetData>
      <sheetData sheetId="7244"/>
      <sheetData sheetId="7245">
        <row r="666">
          <cell r="BO666" t="str">
            <v xml:space="preserve"> Alat Baru</v>
          </cell>
        </row>
      </sheetData>
      <sheetData sheetId="7246"/>
      <sheetData sheetId="7247">
        <row r="29">
          <cell r="G29">
            <v>942282413.61460006</v>
          </cell>
        </row>
      </sheetData>
      <sheetData sheetId="7248">
        <row r="29">
          <cell r="H29">
            <v>5.8333333333333334E-2</v>
          </cell>
        </row>
      </sheetData>
      <sheetData sheetId="7249">
        <row r="29">
          <cell r="H29">
            <v>5.8333333333333334E-2</v>
          </cell>
        </row>
      </sheetData>
      <sheetData sheetId="7250" refreshError="1"/>
      <sheetData sheetId="7251">
        <row r="1">
          <cell r="D1">
            <v>60</v>
          </cell>
        </row>
      </sheetData>
      <sheetData sheetId="7252" refreshError="1"/>
      <sheetData sheetId="7253" refreshError="1"/>
      <sheetData sheetId="7254">
        <row r="666">
          <cell r="BO666" t="str">
            <v xml:space="preserve"> Alat Baru</v>
          </cell>
        </row>
      </sheetData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/>
      <sheetData sheetId="7269" refreshError="1"/>
      <sheetData sheetId="7270" refreshError="1"/>
      <sheetData sheetId="7271"/>
      <sheetData sheetId="7272" refreshError="1"/>
      <sheetData sheetId="7273" refreshError="1"/>
      <sheetData sheetId="7274">
        <row r="666">
          <cell r="BO666" t="str">
            <v xml:space="preserve"> Alat Baru</v>
          </cell>
        </row>
      </sheetData>
      <sheetData sheetId="7275" refreshError="1"/>
      <sheetData sheetId="7276" refreshError="1"/>
      <sheetData sheetId="7277" refreshError="1"/>
      <sheetData sheetId="7278" refreshError="1"/>
      <sheetData sheetId="7279"/>
      <sheetData sheetId="7280"/>
      <sheetData sheetId="7281"/>
      <sheetData sheetId="7282"/>
      <sheetData sheetId="7283"/>
      <sheetData sheetId="7284"/>
      <sheetData sheetId="7285">
        <row r="29">
          <cell r="G29">
            <v>942282413.61460006</v>
          </cell>
        </row>
      </sheetData>
      <sheetData sheetId="7286">
        <row r="29">
          <cell r="H29">
            <v>5.8333333333333334E-2</v>
          </cell>
        </row>
      </sheetData>
      <sheetData sheetId="7287">
        <row r="29">
          <cell r="G29">
            <v>942282413.61460006</v>
          </cell>
        </row>
      </sheetData>
      <sheetData sheetId="7288">
        <row r="1">
          <cell r="D1">
            <v>60</v>
          </cell>
        </row>
      </sheetData>
      <sheetData sheetId="7289"/>
      <sheetData sheetId="7290"/>
      <sheetData sheetId="7291">
        <row r="29">
          <cell r="H29">
            <v>5.8333333333333334E-2</v>
          </cell>
        </row>
      </sheetData>
      <sheetData sheetId="7292"/>
      <sheetData sheetId="7293">
        <row r="29">
          <cell r="H29">
            <v>5.8333333333333334E-2</v>
          </cell>
        </row>
      </sheetData>
      <sheetData sheetId="7294">
        <row r="1">
          <cell r="D1">
            <v>60</v>
          </cell>
        </row>
      </sheetData>
      <sheetData sheetId="7295">
        <row r="43">
          <cell r="H43">
            <v>2.9112676056338039E-3</v>
          </cell>
        </row>
      </sheetData>
      <sheetData sheetId="7296" refreshError="1"/>
      <sheetData sheetId="7297">
        <row r="1">
          <cell r="D1">
            <v>60</v>
          </cell>
        </row>
      </sheetData>
      <sheetData sheetId="7298">
        <row r="29">
          <cell r="G29">
            <v>942282413.61460006</v>
          </cell>
        </row>
      </sheetData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>
        <row r="29">
          <cell r="H29">
            <v>5.8333333333333334E-2</v>
          </cell>
        </row>
      </sheetData>
      <sheetData sheetId="7305">
        <row r="1">
          <cell r="D1">
            <v>60</v>
          </cell>
        </row>
      </sheetData>
      <sheetData sheetId="7306">
        <row r="43">
          <cell r="H43">
            <v>2.9112676056338039E-3</v>
          </cell>
        </row>
      </sheetData>
      <sheetData sheetId="7307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/>
      <sheetData sheetId="7327"/>
      <sheetData sheetId="7328" refreshError="1"/>
      <sheetData sheetId="7329"/>
      <sheetData sheetId="7330"/>
      <sheetData sheetId="7331"/>
      <sheetData sheetId="7332"/>
      <sheetData sheetId="7333"/>
      <sheetData sheetId="7334">
        <row r="2">
          <cell r="A2" t="str">
            <v>DAFTAR  KUANTITAS DAN HARGA</v>
          </cell>
        </row>
      </sheetData>
      <sheetData sheetId="7335"/>
      <sheetData sheetId="7336"/>
      <sheetData sheetId="7337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/>
      <sheetData sheetId="7366">
        <row r="2">
          <cell r="A2" t="str">
            <v>DAFTAR  KUANTITAS DAN HARGA</v>
          </cell>
        </row>
      </sheetData>
      <sheetData sheetId="7367"/>
      <sheetData sheetId="7368">
        <row r="2">
          <cell r="A2" t="str">
            <v>DAFTAR  KUANTITAS DAN HARGA</v>
          </cell>
        </row>
      </sheetData>
      <sheetData sheetId="7369" refreshError="1"/>
      <sheetData sheetId="7370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/>
      <sheetData sheetId="7552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 refreshError="1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 refreshError="1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 refreshError="1"/>
      <sheetData sheetId="7837" refreshError="1"/>
      <sheetData sheetId="7838" refreshError="1"/>
      <sheetData sheetId="7839" refreshError="1"/>
      <sheetData sheetId="7840" refreshError="1"/>
      <sheetData sheetId="7841" refreshError="1"/>
      <sheetData sheetId="7842" refreshError="1"/>
      <sheetData sheetId="7843" refreshError="1"/>
      <sheetData sheetId="7844" refreshError="1"/>
      <sheetData sheetId="7845" refreshError="1"/>
      <sheetData sheetId="7846" refreshError="1"/>
      <sheetData sheetId="7847" refreshError="1"/>
      <sheetData sheetId="7848" refreshError="1"/>
      <sheetData sheetId="7849" refreshError="1"/>
      <sheetData sheetId="7850" refreshError="1"/>
      <sheetData sheetId="7851" refreshError="1"/>
      <sheetData sheetId="7852" refreshError="1"/>
      <sheetData sheetId="7853" refreshError="1"/>
      <sheetData sheetId="7854" refreshError="1"/>
      <sheetData sheetId="7855" refreshError="1"/>
      <sheetData sheetId="7856" refreshError="1"/>
      <sheetData sheetId="7857" refreshError="1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 refreshError="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 refreshError="1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 refreshError="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 refreshError="1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 refreshError="1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 refreshError="1"/>
      <sheetData sheetId="8480" refreshError="1"/>
      <sheetData sheetId="8481" refreshError="1"/>
      <sheetData sheetId="8482" refreshError="1"/>
      <sheetData sheetId="8483" refreshError="1"/>
      <sheetData sheetId="8484" refreshError="1"/>
      <sheetData sheetId="8485" refreshError="1"/>
      <sheetData sheetId="8486" refreshError="1"/>
      <sheetData sheetId="8487" refreshError="1"/>
      <sheetData sheetId="8488" refreshError="1"/>
      <sheetData sheetId="8489" refreshError="1"/>
      <sheetData sheetId="8490" refreshError="1"/>
      <sheetData sheetId="8491" refreshError="1"/>
      <sheetData sheetId="8492" refreshError="1"/>
      <sheetData sheetId="8493" refreshError="1"/>
      <sheetData sheetId="8494" refreshError="1"/>
      <sheetData sheetId="8495" refreshError="1"/>
      <sheetData sheetId="8496" refreshError="1"/>
      <sheetData sheetId="8497" refreshError="1"/>
      <sheetData sheetId="8498" refreshError="1"/>
      <sheetData sheetId="8499" refreshError="1"/>
      <sheetData sheetId="8500" refreshError="1"/>
      <sheetData sheetId="8501" refreshError="1"/>
      <sheetData sheetId="8502" refreshError="1"/>
      <sheetData sheetId="8503" refreshError="1"/>
      <sheetData sheetId="8504" refreshError="1"/>
      <sheetData sheetId="8505" refreshError="1"/>
      <sheetData sheetId="8506" refreshError="1"/>
      <sheetData sheetId="8507" refreshError="1"/>
      <sheetData sheetId="8508" refreshError="1"/>
      <sheetData sheetId="8509" refreshError="1"/>
      <sheetData sheetId="8510" refreshError="1"/>
      <sheetData sheetId="8511" refreshError="1"/>
      <sheetData sheetId="8512" refreshError="1"/>
      <sheetData sheetId="8513" refreshError="1"/>
      <sheetData sheetId="8514" refreshError="1"/>
      <sheetData sheetId="8515" refreshError="1"/>
      <sheetData sheetId="8516" refreshError="1"/>
      <sheetData sheetId="8517" refreshError="1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 refreshError="1"/>
      <sheetData sheetId="8526" refreshError="1"/>
      <sheetData sheetId="8527" refreshError="1"/>
      <sheetData sheetId="8528" refreshError="1"/>
      <sheetData sheetId="8529" refreshError="1"/>
      <sheetData sheetId="8530" refreshError="1"/>
      <sheetData sheetId="8531" refreshError="1"/>
      <sheetData sheetId="8532" refreshError="1"/>
      <sheetData sheetId="8533" refreshError="1"/>
      <sheetData sheetId="8534" refreshError="1"/>
      <sheetData sheetId="8535" refreshError="1"/>
      <sheetData sheetId="8536" refreshError="1"/>
      <sheetData sheetId="8537" refreshError="1"/>
      <sheetData sheetId="8538" refreshError="1"/>
      <sheetData sheetId="8539" refreshError="1"/>
      <sheetData sheetId="8540" refreshError="1"/>
      <sheetData sheetId="8541" refreshError="1"/>
      <sheetData sheetId="8542" refreshError="1"/>
      <sheetData sheetId="8543" refreshError="1"/>
      <sheetData sheetId="8544" refreshError="1"/>
      <sheetData sheetId="8545" refreshError="1"/>
      <sheetData sheetId="8546" refreshError="1"/>
      <sheetData sheetId="8547" refreshError="1"/>
      <sheetData sheetId="8548" refreshError="1"/>
      <sheetData sheetId="8549" refreshError="1"/>
      <sheetData sheetId="8550" refreshError="1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 refreshError="1"/>
      <sheetData sheetId="8557" refreshError="1"/>
      <sheetData sheetId="8558" refreshError="1"/>
      <sheetData sheetId="8559" refreshError="1"/>
      <sheetData sheetId="8560" refreshError="1"/>
      <sheetData sheetId="8561" refreshError="1"/>
      <sheetData sheetId="8562" refreshError="1"/>
      <sheetData sheetId="8563" refreshError="1"/>
      <sheetData sheetId="8564" refreshError="1"/>
      <sheetData sheetId="8565" refreshError="1"/>
      <sheetData sheetId="8566" refreshError="1"/>
      <sheetData sheetId="8567" refreshError="1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 refreshError="1"/>
      <sheetData sheetId="8681" refreshError="1"/>
      <sheetData sheetId="8682" refreshError="1"/>
      <sheetData sheetId="8683" refreshError="1"/>
      <sheetData sheetId="8684" refreshError="1"/>
      <sheetData sheetId="8685" refreshError="1"/>
      <sheetData sheetId="8686" refreshError="1"/>
      <sheetData sheetId="8687" refreshError="1"/>
      <sheetData sheetId="8688" refreshError="1"/>
      <sheetData sheetId="8689" refreshError="1"/>
      <sheetData sheetId="8690" refreshError="1"/>
      <sheetData sheetId="8691" refreshError="1"/>
      <sheetData sheetId="8692" refreshError="1"/>
      <sheetData sheetId="8693" refreshError="1"/>
      <sheetData sheetId="8694" refreshError="1"/>
      <sheetData sheetId="8695" refreshError="1"/>
      <sheetData sheetId="8696" refreshError="1"/>
      <sheetData sheetId="8697" refreshError="1"/>
      <sheetData sheetId="8698" refreshError="1"/>
      <sheetData sheetId="8699" refreshError="1"/>
      <sheetData sheetId="8700" refreshError="1"/>
      <sheetData sheetId="8701" refreshError="1"/>
      <sheetData sheetId="8702" refreshError="1"/>
      <sheetData sheetId="8703" refreshError="1"/>
      <sheetData sheetId="8704" refreshError="1"/>
      <sheetData sheetId="8705" refreshError="1"/>
      <sheetData sheetId="8706" refreshError="1"/>
      <sheetData sheetId="8707" refreshError="1"/>
      <sheetData sheetId="8708" refreshError="1"/>
      <sheetData sheetId="8709" refreshError="1"/>
      <sheetData sheetId="8710" refreshError="1"/>
      <sheetData sheetId="8711" refreshError="1"/>
      <sheetData sheetId="8712" refreshError="1"/>
      <sheetData sheetId="8713" refreshError="1"/>
      <sheetData sheetId="8714" refreshError="1"/>
      <sheetData sheetId="8715" refreshError="1"/>
      <sheetData sheetId="8716" refreshError="1"/>
      <sheetData sheetId="8717" refreshError="1"/>
      <sheetData sheetId="8718" refreshError="1"/>
      <sheetData sheetId="8719" refreshError="1"/>
      <sheetData sheetId="8720" refreshError="1"/>
      <sheetData sheetId="8721" refreshError="1"/>
      <sheetData sheetId="8722" refreshError="1"/>
      <sheetData sheetId="8723" refreshError="1"/>
      <sheetData sheetId="8724" refreshError="1"/>
      <sheetData sheetId="8725" refreshError="1"/>
      <sheetData sheetId="8726" refreshError="1"/>
      <sheetData sheetId="8727" refreshError="1"/>
      <sheetData sheetId="8728" refreshError="1"/>
      <sheetData sheetId="8729" refreshError="1"/>
      <sheetData sheetId="8730" refreshError="1"/>
      <sheetData sheetId="8731" refreshError="1"/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 refreshError="1"/>
      <sheetData sheetId="8827" refreshError="1"/>
      <sheetData sheetId="8828" refreshError="1"/>
      <sheetData sheetId="8829" refreshError="1"/>
      <sheetData sheetId="8830" refreshError="1"/>
      <sheetData sheetId="8831" refreshError="1"/>
      <sheetData sheetId="8832" refreshError="1"/>
      <sheetData sheetId="8833" refreshError="1"/>
      <sheetData sheetId="8834" refreshError="1"/>
      <sheetData sheetId="8835" refreshError="1"/>
      <sheetData sheetId="8836" refreshError="1"/>
      <sheetData sheetId="8837" refreshError="1"/>
      <sheetData sheetId="8838" refreshError="1"/>
      <sheetData sheetId="8839" refreshError="1"/>
      <sheetData sheetId="8840" refreshError="1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 refreshError="1"/>
      <sheetData sheetId="8867" refreshError="1"/>
      <sheetData sheetId="8868" refreshError="1"/>
      <sheetData sheetId="8869" refreshError="1"/>
      <sheetData sheetId="8870" refreshError="1"/>
      <sheetData sheetId="8871" refreshError="1"/>
      <sheetData sheetId="8872" refreshError="1"/>
      <sheetData sheetId="8873" refreshError="1"/>
      <sheetData sheetId="8874" refreshError="1"/>
      <sheetData sheetId="8875" refreshError="1"/>
      <sheetData sheetId="8876" refreshError="1"/>
      <sheetData sheetId="8877" refreshError="1"/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 refreshError="1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 refreshError="1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 refreshError="1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 refreshError="1"/>
      <sheetData sheetId="9354" refreshError="1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 refreshError="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 refreshError="1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LAP-BLN DES2003"/>
      <sheetName val="REKAP APBD"/>
      <sheetName val="REKAP KOTOR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5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7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11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12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1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Y120"/>
  <sheetViews>
    <sheetView showGridLines="0" view="pageBreakPreview" topLeftCell="A55" zoomScale="80" zoomScaleNormal="80" zoomScaleSheetLayoutView="80" workbookViewId="0">
      <selection activeCell="J77" sqref="J77"/>
    </sheetView>
  </sheetViews>
  <sheetFormatPr defaultRowHeight="15"/>
  <cols>
    <col min="1" max="1" width="1.28515625" style="255" customWidth="1"/>
    <col min="2" max="2" width="11.42578125" style="274" customWidth="1"/>
    <col min="3" max="3" width="3.7109375" style="258" customWidth="1"/>
    <col min="4" max="4" width="57" style="261" customWidth="1"/>
    <col min="5" max="5" width="47.28515625" style="259" hidden="1" customWidth="1"/>
    <col min="6" max="6" width="11.85546875" style="260" hidden="1" customWidth="1"/>
    <col min="7" max="7" width="22.7109375" style="260" hidden="1" customWidth="1"/>
    <col min="8" max="8" width="21.42578125" style="260" customWidth="1"/>
    <col min="9" max="9" width="21.42578125" style="260" hidden="1" customWidth="1"/>
    <col min="10" max="10" width="22.28515625" style="260" customWidth="1"/>
    <col min="11" max="11" width="22" style="260" customWidth="1"/>
    <col min="12" max="12" width="22" style="260" hidden="1" customWidth="1"/>
    <col min="13" max="13" width="20.7109375" style="260" hidden="1" customWidth="1"/>
    <col min="14" max="14" width="23" style="260" customWidth="1"/>
    <col min="15" max="15" width="20.85546875" style="260" customWidth="1"/>
    <col min="16" max="16" width="22.85546875" style="255" bestFit="1" customWidth="1"/>
    <col min="17" max="19" width="21.7109375" style="263" bestFit="1" customWidth="1"/>
    <col min="20" max="20" width="8.140625" style="263" bestFit="1" customWidth="1"/>
    <col min="21" max="21" width="21.7109375" style="263" bestFit="1" customWidth="1"/>
    <col min="22" max="22" width="21.5703125" style="263" bestFit="1" customWidth="1"/>
    <col min="23" max="23" width="24.42578125" style="263" bestFit="1" customWidth="1"/>
    <col min="24" max="24" width="25.140625" style="263" bestFit="1" customWidth="1"/>
    <col min="25" max="25" width="23.42578125" style="263" bestFit="1" customWidth="1"/>
    <col min="26" max="16384" width="9.140625" style="255"/>
  </cols>
  <sheetData>
    <row r="1" spans="1:25" s="246" customFormat="1">
      <c r="B1" s="248"/>
      <c r="C1" s="248"/>
      <c r="D1" s="248"/>
      <c r="E1" s="248"/>
      <c r="F1" s="248"/>
      <c r="G1" s="248"/>
      <c r="H1" s="1520"/>
      <c r="I1" s="1520"/>
      <c r="J1" s="1520"/>
      <c r="K1" s="1520"/>
      <c r="L1" s="1520"/>
      <c r="M1" s="1520"/>
      <c r="N1" s="1520"/>
      <c r="O1" s="1520"/>
      <c r="Q1" s="1057"/>
      <c r="R1" s="1057"/>
      <c r="S1" s="1057"/>
      <c r="T1" s="1057"/>
      <c r="U1" s="1057"/>
      <c r="V1" s="1057"/>
      <c r="W1" s="1057"/>
      <c r="X1" s="1057"/>
      <c r="Y1" s="1057"/>
    </row>
    <row r="2" spans="1:25" s="246" customFormat="1">
      <c r="B2" s="248" t="s">
        <v>522</v>
      </c>
      <c r="C2" s="1520" t="s">
        <v>523</v>
      </c>
      <c r="D2" s="248" t="s">
        <v>1481</v>
      </c>
      <c r="E2" s="248"/>
      <c r="F2" s="248"/>
      <c r="G2" s="248"/>
      <c r="H2" s="249"/>
      <c r="I2" s="249"/>
      <c r="J2" s="249"/>
      <c r="K2" s="249"/>
      <c r="L2" s="249"/>
      <c r="M2" s="249"/>
      <c r="N2" s="249"/>
      <c r="O2" s="249"/>
      <c r="Q2" s="1057"/>
      <c r="R2" s="1057"/>
      <c r="S2" s="1057"/>
      <c r="T2" s="1057"/>
      <c r="U2" s="1057"/>
      <c r="V2" s="1057"/>
      <c r="W2" s="1057"/>
      <c r="X2" s="1057"/>
      <c r="Y2" s="1057"/>
    </row>
    <row r="3" spans="1:25" s="246" customFormat="1">
      <c r="B3" s="250"/>
      <c r="C3" s="1520"/>
      <c r="D3" s="1520"/>
      <c r="E3" s="1520"/>
      <c r="F3" s="1520"/>
      <c r="G3" s="1520"/>
      <c r="H3" s="1520"/>
      <c r="I3" s="1520"/>
      <c r="J3" s="1520"/>
      <c r="K3" s="1520"/>
      <c r="L3" s="1520"/>
      <c r="M3" s="1520"/>
      <c r="N3" s="1520"/>
      <c r="O3" s="1520"/>
      <c r="Q3" s="1057"/>
      <c r="R3" s="1057"/>
      <c r="S3" s="1057"/>
      <c r="T3" s="1057"/>
      <c r="U3" s="1057"/>
      <c r="V3" s="1057"/>
      <c r="W3" s="1057"/>
      <c r="X3" s="1057"/>
      <c r="Y3" s="1057"/>
    </row>
    <row r="4" spans="1:25" s="246" customFormat="1">
      <c r="B4" s="251" t="s">
        <v>524</v>
      </c>
      <c r="C4" s="1520" t="s">
        <v>523</v>
      </c>
      <c r="D4" s="252" t="s">
        <v>525</v>
      </c>
      <c r="E4" s="253"/>
      <c r="F4" s="254"/>
      <c r="G4" s="254"/>
      <c r="H4" s="254"/>
      <c r="I4" s="254"/>
      <c r="J4" s="254"/>
      <c r="K4" s="254"/>
      <c r="L4" s="254"/>
      <c r="M4" s="254"/>
      <c r="N4" s="254"/>
      <c r="O4" s="254"/>
      <c r="Q4" s="1057"/>
      <c r="R4" s="1057"/>
      <c r="S4" s="1057"/>
      <c r="T4" s="1057"/>
      <c r="U4" s="1057"/>
      <c r="V4" s="1057"/>
      <c r="W4" s="1057"/>
      <c r="X4" s="1057"/>
      <c r="Y4" s="1057"/>
    </row>
    <row r="5" spans="1:25">
      <c r="B5" s="256" t="s">
        <v>526</v>
      </c>
      <c r="C5" s="257" t="s">
        <v>523</v>
      </c>
      <c r="D5" s="258" t="s">
        <v>527</v>
      </c>
    </row>
    <row r="6" spans="1:25">
      <c r="B6" s="256"/>
    </row>
    <row r="7" spans="1:25" s="262" customFormat="1" ht="31.5" customHeight="1">
      <c r="B7" s="2959" t="s">
        <v>528</v>
      </c>
      <c r="C7" s="2950" t="s">
        <v>529</v>
      </c>
      <c r="D7" s="2951"/>
      <c r="E7" s="2963" t="s">
        <v>530</v>
      </c>
      <c r="F7" s="2963" t="s">
        <v>531</v>
      </c>
      <c r="G7" s="2963" t="s">
        <v>1482</v>
      </c>
      <c r="H7" s="2956" t="s">
        <v>1483</v>
      </c>
      <c r="I7" s="2957"/>
      <c r="J7" s="2958"/>
      <c r="K7" s="2949" t="s">
        <v>1484</v>
      </c>
      <c r="L7" s="2950" t="s">
        <v>1144</v>
      </c>
      <c r="M7" s="2951"/>
      <c r="N7" s="2950" t="s">
        <v>1145</v>
      </c>
      <c r="O7" s="2951"/>
      <c r="P7" s="2952" t="s">
        <v>158</v>
      </c>
      <c r="Q7" s="2953"/>
      <c r="R7" s="2953"/>
      <c r="S7" s="2953"/>
      <c r="T7" s="2953"/>
      <c r="U7" s="2953"/>
      <c r="V7" s="2953" t="s">
        <v>17</v>
      </c>
      <c r="W7" s="1171"/>
      <c r="X7" s="1171"/>
      <c r="Y7" s="1171"/>
    </row>
    <row r="8" spans="1:25" s="262" customFormat="1" ht="48" customHeight="1">
      <c r="B8" s="2960"/>
      <c r="C8" s="2961"/>
      <c r="D8" s="2962"/>
      <c r="E8" s="2964"/>
      <c r="F8" s="2964"/>
      <c r="G8" s="2965"/>
      <c r="H8" s="1531" t="s">
        <v>1485</v>
      </c>
      <c r="I8" s="1531" t="s">
        <v>1486</v>
      </c>
      <c r="J8" s="1531" t="s">
        <v>1051</v>
      </c>
      <c r="K8" s="2949"/>
      <c r="L8" s="2954"/>
      <c r="M8" s="2955"/>
      <c r="N8" s="2954"/>
      <c r="O8" s="2955"/>
      <c r="P8" s="1532" t="s">
        <v>177</v>
      </c>
      <c r="Q8" s="1533" t="s">
        <v>594</v>
      </c>
      <c r="R8" s="1533" t="s">
        <v>651</v>
      </c>
      <c r="S8" s="1533" t="s">
        <v>595</v>
      </c>
      <c r="T8" s="1533" t="s">
        <v>652</v>
      </c>
      <c r="U8" s="1533" t="s">
        <v>593</v>
      </c>
      <c r="V8" s="2953"/>
      <c r="W8" s="1171"/>
      <c r="X8" s="1171"/>
      <c r="Y8" s="1171"/>
    </row>
    <row r="9" spans="1:25" s="1534" customFormat="1" ht="15.75" customHeight="1">
      <c r="B9" s="1535">
        <v>1</v>
      </c>
      <c r="C9" s="2968">
        <v>1</v>
      </c>
      <c r="D9" s="2969"/>
      <c r="E9" s="1536">
        <v>3</v>
      </c>
      <c r="F9" s="1536">
        <v>4</v>
      </c>
      <c r="G9" s="1537"/>
      <c r="H9" s="2970">
        <v>2</v>
      </c>
      <c r="I9" s="2971"/>
      <c r="J9" s="2972"/>
      <c r="K9" s="1536">
        <v>3</v>
      </c>
      <c r="L9" s="2970">
        <v>4</v>
      </c>
      <c r="M9" s="2972"/>
      <c r="N9" s="2970">
        <v>4</v>
      </c>
      <c r="O9" s="2972"/>
      <c r="P9" s="1538">
        <v>6</v>
      </c>
      <c r="Q9" s="1539">
        <v>7</v>
      </c>
      <c r="R9" s="1539">
        <v>8</v>
      </c>
      <c r="S9" s="1539">
        <v>9</v>
      </c>
      <c r="T9" s="1539">
        <v>10</v>
      </c>
      <c r="U9" s="1539">
        <v>11</v>
      </c>
      <c r="V9" s="1539">
        <v>12</v>
      </c>
    </row>
    <row r="10" spans="1:25" s="271" customFormat="1" ht="30" customHeight="1">
      <c r="A10" s="265"/>
      <c r="B10" s="807"/>
      <c r="C10" s="2956" t="s">
        <v>265</v>
      </c>
      <c r="D10" s="2958"/>
      <c r="E10" s="1540"/>
      <c r="F10" s="1541"/>
      <c r="G10" s="759" t="e">
        <f>+#REF!+#REF!</f>
        <v>#REF!</v>
      </c>
      <c r="H10" s="759">
        <f>H11+H13</f>
        <v>95624934812</v>
      </c>
      <c r="I10" s="759">
        <f t="shared" ref="I10:K10" si="0">I11+I13</f>
        <v>95624934812</v>
      </c>
      <c r="J10" s="759">
        <f t="shared" si="0"/>
        <v>92545738261</v>
      </c>
      <c r="K10" s="759">
        <f t="shared" si="0"/>
        <v>3079196551</v>
      </c>
      <c r="L10" s="766"/>
      <c r="M10" s="767"/>
      <c r="N10" s="766"/>
      <c r="O10" s="767"/>
      <c r="P10" s="948" t="e">
        <f t="shared" ref="P10" si="1">SUM(#REF!)</f>
        <v>#REF!</v>
      </c>
      <c r="Q10" s="949" t="e">
        <f t="shared" ref="Q10" si="2">SUM(#REF!)</f>
        <v>#REF!</v>
      </c>
      <c r="R10" s="949" t="e">
        <f>SUM(#REF!)</f>
        <v>#REF!</v>
      </c>
      <c r="S10" s="949" t="e">
        <f>SUM(#REF!)</f>
        <v>#REF!</v>
      </c>
      <c r="T10" s="949" t="e">
        <f t="shared" ref="T10" si="3">SUM(#REF!)</f>
        <v>#REF!</v>
      </c>
      <c r="U10" s="949" t="e">
        <f t="shared" ref="U10" si="4">SUM(#REF!)</f>
        <v>#REF!</v>
      </c>
      <c r="V10" s="1542" t="e">
        <f>SUM(P10:U10)</f>
        <v>#REF!</v>
      </c>
      <c r="W10" s="662" t="e">
        <f>V10-H10</f>
        <v>#REF!</v>
      </c>
      <c r="X10" s="266"/>
      <c r="Y10" s="266"/>
    </row>
    <row r="11" spans="1:25" s="264" customFormat="1" ht="19.5" customHeight="1">
      <c r="B11" s="1648"/>
      <c r="C11" s="2973" t="s">
        <v>139</v>
      </c>
      <c r="D11" s="2974"/>
      <c r="E11" s="1543"/>
      <c r="F11" s="1543"/>
      <c r="G11" s="756">
        <f>+G12</f>
        <v>25272652623</v>
      </c>
      <c r="H11" s="756">
        <f>+H12</f>
        <v>25272652623</v>
      </c>
      <c r="I11" s="756">
        <f>+I12</f>
        <v>25882147623</v>
      </c>
      <c r="J11" s="756">
        <f>+J12</f>
        <v>25882147623</v>
      </c>
      <c r="K11" s="756">
        <f>+K12</f>
        <v>-609495000</v>
      </c>
      <c r="L11" s="2975"/>
      <c r="M11" s="2976"/>
      <c r="N11" s="2975"/>
      <c r="O11" s="2976"/>
      <c r="P11" s="1544"/>
      <c r="Q11" s="1545"/>
      <c r="R11" s="1545"/>
      <c r="S11" s="1545"/>
      <c r="T11" s="1545"/>
      <c r="U11" s="1545"/>
      <c r="V11" s="1545"/>
      <c r="W11" s="266"/>
      <c r="X11" s="266"/>
      <c r="Y11" s="266"/>
    </row>
    <row r="12" spans="1:25" s="265" customFormat="1" ht="30" customHeight="1">
      <c r="B12" s="753"/>
      <c r="C12" s="754"/>
      <c r="D12" s="755" t="s">
        <v>140</v>
      </c>
      <c r="E12" s="1546" t="s">
        <v>533</v>
      </c>
      <c r="F12" s="1547" t="s">
        <v>534</v>
      </c>
      <c r="G12" s="1548">
        <v>25272652623</v>
      </c>
      <c r="H12" s="742">
        <v>25272652623</v>
      </c>
      <c r="I12" s="742">
        <v>25882147623</v>
      </c>
      <c r="J12" s="742">
        <v>25882147623</v>
      </c>
      <c r="K12" s="742">
        <f>H12-J12</f>
        <v>-609495000</v>
      </c>
      <c r="L12" s="2977" t="s">
        <v>1487</v>
      </c>
      <c r="M12" s="2978"/>
      <c r="N12" s="2977" t="s">
        <v>1488</v>
      </c>
      <c r="O12" s="2978"/>
      <c r="P12" s="1549">
        <v>14846272623</v>
      </c>
      <c r="Q12" s="1550"/>
      <c r="R12" s="1550">
        <v>10426380000</v>
      </c>
      <c r="S12" s="1550"/>
      <c r="T12" s="1550"/>
      <c r="U12" s="1551"/>
      <c r="V12" s="1552">
        <f>SUM(P12:U12)</f>
        <v>25272652623</v>
      </c>
      <c r="W12" s="662">
        <f>V12-H12</f>
        <v>0</v>
      </c>
      <c r="X12" s="1553">
        <v>25882147623</v>
      </c>
      <c r="Y12" s="662">
        <f>X12-V12</f>
        <v>609495000</v>
      </c>
    </row>
    <row r="13" spans="1:25" s="263" customFormat="1" ht="15.75">
      <c r="A13" s="266"/>
      <c r="B13" s="1648"/>
      <c r="C13" s="2979" t="s">
        <v>535</v>
      </c>
      <c r="D13" s="2979"/>
      <c r="E13" s="1554"/>
      <c r="F13" s="1543"/>
      <c r="G13" s="756">
        <f>G14+G26+G30+G32+G34+G42+G47+G63+G68+G70</f>
        <v>73188002607</v>
      </c>
      <c r="H13" s="756">
        <f>H14+H26+H30+H32+H34+H42+H47+H63+H68+H70</f>
        <v>70352282189</v>
      </c>
      <c r="I13" s="756">
        <f>I14+I26+I30+I32+I34+I42+I47+I63+I68+I70</f>
        <v>69742787189</v>
      </c>
      <c r="J13" s="756">
        <f>J14+J26+J30+J32+J34+J42+J47+J63+J68+J70</f>
        <v>66663590638</v>
      </c>
      <c r="K13" s="756">
        <f>K14+K26+K30+K32+K34+K42+K47+K63+K68+K70</f>
        <v>3688691551</v>
      </c>
      <c r="L13" s="1518"/>
      <c r="M13" s="1519"/>
      <c r="N13" s="1518"/>
      <c r="O13" s="1519"/>
      <c r="P13" s="1549"/>
      <c r="Q13" s="1550"/>
      <c r="R13" s="1550"/>
      <c r="S13" s="1550"/>
      <c r="T13" s="1550"/>
      <c r="U13" s="1551"/>
      <c r="V13" s="1545"/>
      <c r="W13" s="662"/>
      <c r="Y13" s="1555">
        <v>1844040000</v>
      </c>
    </row>
    <row r="14" spans="1:25" s="263" customFormat="1" ht="15.75">
      <c r="A14" s="265"/>
      <c r="B14" s="793">
        <v>1</v>
      </c>
      <c r="C14" s="1556" t="s">
        <v>159</v>
      </c>
      <c r="D14" s="1557"/>
      <c r="E14" s="1558"/>
      <c r="F14" s="1559"/>
      <c r="G14" s="1560">
        <f>SUM(G15:G25)</f>
        <v>7996590930</v>
      </c>
      <c r="H14" s="1560">
        <f>SUM(H15:H25)</f>
        <v>6341883321</v>
      </c>
      <c r="I14" s="1560">
        <f>SUM(I15:I25)</f>
        <v>7678037645</v>
      </c>
      <c r="J14" s="1560">
        <f>J15+J16+J17+J18+J19+J20+J21+J22+J23+J24+J25</f>
        <v>6412820952</v>
      </c>
      <c r="K14" s="1560">
        <f>SUM(K15:K25)</f>
        <v>-70937631</v>
      </c>
      <c r="L14" s="1140"/>
      <c r="M14" s="1561"/>
      <c r="N14" s="1140"/>
      <c r="O14" s="761"/>
      <c r="P14" s="1562"/>
      <c r="Q14" s="1551"/>
      <c r="R14" s="1551"/>
      <c r="S14" s="1551"/>
      <c r="T14" s="1551"/>
      <c r="U14" s="1551"/>
      <c r="V14" s="1545"/>
      <c r="W14" s="662"/>
      <c r="Y14" s="1563">
        <f>Y13-Y12</f>
        <v>1234545000</v>
      </c>
    </row>
    <row r="15" spans="1:25" s="263" customFormat="1" ht="30.75" customHeight="1">
      <c r="A15" s="265"/>
      <c r="B15" s="793"/>
      <c r="C15" s="1564"/>
      <c r="D15" s="1565" t="s">
        <v>160</v>
      </c>
      <c r="E15" s="1558" t="s">
        <v>536</v>
      </c>
      <c r="F15" s="1566" t="s">
        <v>537</v>
      </c>
      <c r="G15" s="1567">
        <v>8000000</v>
      </c>
      <c r="H15" s="745">
        <v>8000000</v>
      </c>
      <c r="I15" s="745">
        <v>8000000</v>
      </c>
      <c r="J15" s="745">
        <f>PPAS!G14</f>
        <v>8000000</v>
      </c>
      <c r="K15" s="742">
        <f t="shared" ref="K15:K25" si="5">H15-J15</f>
        <v>0</v>
      </c>
      <c r="L15" s="2966" t="s">
        <v>896</v>
      </c>
      <c r="M15" s="2967"/>
      <c r="N15" s="2966" t="s">
        <v>896</v>
      </c>
      <c r="O15" s="2967"/>
      <c r="P15" s="1549">
        <f>[37]Surat!L35</f>
        <v>8000000</v>
      </c>
      <c r="Q15" s="1550">
        <f>[37]Surat!M35</f>
        <v>0</v>
      </c>
      <c r="R15" s="1550">
        <f>[37]Surat!N35</f>
        <v>0</v>
      </c>
      <c r="S15" s="1550">
        <f>[37]Surat!O35</f>
        <v>0</v>
      </c>
      <c r="T15" s="1550">
        <f>[37]Surat!P35</f>
        <v>0</v>
      </c>
      <c r="U15" s="1550">
        <f>[37]Surat!Q35</f>
        <v>0</v>
      </c>
      <c r="V15" s="1552">
        <f>SUM(P15:U15)</f>
        <v>8000000</v>
      </c>
      <c r="W15" s="662">
        <f t="shared" ref="W15:W25" si="6">V15-H15</f>
        <v>0</v>
      </c>
    </row>
    <row r="16" spans="1:25" s="263" customFormat="1" ht="15" customHeight="1">
      <c r="A16" s="265"/>
      <c r="B16" s="793"/>
      <c r="C16" s="1564"/>
      <c r="D16" s="1557" t="s">
        <v>538</v>
      </c>
      <c r="E16" s="1558" t="s">
        <v>539</v>
      </c>
      <c r="F16" s="1568" t="s">
        <v>534</v>
      </c>
      <c r="G16" s="1569">
        <v>1778273412</v>
      </c>
      <c r="H16" s="745">
        <v>1842768000</v>
      </c>
      <c r="I16" s="745">
        <v>1794000000</v>
      </c>
      <c r="J16" s="745">
        <f>PPAS!G15</f>
        <v>1786721246</v>
      </c>
      <c r="K16" s="742">
        <f t="shared" si="5"/>
        <v>56046754</v>
      </c>
      <c r="L16" s="2966" t="s">
        <v>897</v>
      </c>
      <c r="M16" s="2967"/>
      <c r="N16" s="2966" t="s">
        <v>897</v>
      </c>
      <c r="O16" s="2967"/>
      <c r="P16" s="1549">
        <f>[37]Komunikasi!L39</f>
        <v>1842768000</v>
      </c>
      <c r="Q16" s="1550">
        <f>[37]Komunikasi!M39</f>
        <v>0</v>
      </c>
      <c r="R16" s="1550">
        <f>[37]Komunikasi!N39</f>
        <v>0</v>
      </c>
      <c r="S16" s="1550">
        <f>[37]Komunikasi!O39</f>
        <v>0</v>
      </c>
      <c r="T16" s="1550">
        <f>[37]Komunikasi!P39</f>
        <v>0</v>
      </c>
      <c r="U16" s="1550">
        <f>[37]Komunikasi!Q39</f>
        <v>0</v>
      </c>
      <c r="V16" s="1552">
        <f>SUM(P16:U16)</f>
        <v>1842768000</v>
      </c>
      <c r="W16" s="662">
        <f t="shared" si="6"/>
        <v>0</v>
      </c>
    </row>
    <row r="17" spans="1:23" s="263" customFormat="1" ht="15.75">
      <c r="A17" s="265"/>
      <c r="B17" s="793"/>
      <c r="C17" s="1564"/>
      <c r="D17" s="1557" t="s">
        <v>162</v>
      </c>
      <c r="E17" s="1558" t="s">
        <v>540</v>
      </c>
      <c r="F17" s="1568" t="s">
        <v>534</v>
      </c>
      <c r="G17" s="1569">
        <v>1565288000</v>
      </c>
      <c r="H17" s="745">
        <v>1011615321</v>
      </c>
      <c r="I17" s="745">
        <v>1922209000</v>
      </c>
      <c r="J17" s="745">
        <f>PPAS!G16</f>
        <v>1744889000</v>
      </c>
      <c r="K17" s="742">
        <f t="shared" si="5"/>
        <v>-733273679</v>
      </c>
      <c r="L17" s="2980" t="s">
        <v>898</v>
      </c>
      <c r="M17" s="2981"/>
      <c r="N17" s="2980" t="s">
        <v>898</v>
      </c>
      <c r="O17" s="2981"/>
      <c r="P17" s="1549">
        <f>[37]Kebersihan!L46</f>
        <v>1011615321</v>
      </c>
      <c r="Q17" s="1550">
        <f>[37]Kebersihan!M46</f>
        <v>0</v>
      </c>
      <c r="R17" s="1550">
        <f>[37]Kebersihan!N46</f>
        <v>0</v>
      </c>
      <c r="S17" s="1550">
        <f>[37]Kebersihan!O46</f>
        <v>0</v>
      </c>
      <c r="T17" s="1550">
        <f>[37]Kebersihan!P46</f>
        <v>0</v>
      </c>
      <c r="U17" s="1550">
        <f>[37]Kebersihan!Q46</f>
        <v>0</v>
      </c>
      <c r="V17" s="1552">
        <f>SUM(P17:U17)</f>
        <v>1011615321</v>
      </c>
      <c r="W17" s="662">
        <f t="shared" si="6"/>
        <v>0</v>
      </c>
    </row>
    <row r="18" spans="1:23" s="263" customFormat="1" ht="30" customHeight="1">
      <c r="A18" s="265"/>
      <c r="B18" s="793"/>
      <c r="C18" s="794"/>
      <c r="D18" s="1565" t="s">
        <v>97</v>
      </c>
      <c r="E18" s="1558" t="s">
        <v>541</v>
      </c>
      <c r="F18" s="1566" t="s">
        <v>542</v>
      </c>
      <c r="G18" s="1567">
        <v>199843955</v>
      </c>
      <c r="H18" s="745">
        <v>200000000</v>
      </c>
      <c r="I18" s="745">
        <v>193026500</v>
      </c>
      <c r="J18" s="745">
        <f>PPAS!G17</f>
        <v>159238000</v>
      </c>
      <c r="K18" s="742">
        <f t="shared" si="5"/>
        <v>40762000</v>
      </c>
      <c r="L18" s="2980" t="s">
        <v>97</v>
      </c>
      <c r="M18" s="2981"/>
      <c r="N18" s="2980" t="s">
        <v>97</v>
      </c>
      <c r="O18" s="2981"/>
      <c r="P18" s="1549">
        <f>[37]ATK!L119</f>
        <v>200000000</v>
      </c>
      <c r="Q18" s="1550">
        <f>[37]ATK!M119</f>
        <v>0</v>
      </c>
      <c r="R18" s="1550">
        <f>[37]ATK!N119</f>
        <v>0</v>
      </c>
      <c r="S18" s="1550">
        <f>[37]ATK!O119</f>
        <v>0</v>
      </c>
      <c r="T18" s="1550">
        <f>[37]ATK!P119</f>
        <v>0</v>
      </c>
      <c r="U18" s="1550">
        <f>[37]ATK!Q119</f>
        <v>0</v>
      </c>
      <c r="V18" s="1552">
        <f>SUM(P18:U18)</f>
        <v>200000000</v>
      </c>
      <c r="W18" s="662">
        <f t="shared" si="6"/>
        <v>0</v>
      </c>
    </row>
    <row r="19" spans="1:23" s="263" customFormat="1" ht="32.25" customHeight="1">
      <c r="A19" s="265"/>
      <c r="B19" s="793"/>
      <c r="C19" s="794"/>
      <c r="D19" s="795" t="s">
        <v>543</v>
      </c>
      <c r="E19" s="1558" t="s">
        <v>544</v>
      </c>
      <c r="F19" s="1566" t="s">
        <v>542</v>
      </c>
      <c r="G19" s="1567">
        <v>87503500</v>
      </c>
      <c r="H19" s="745">
        <v>49500000</v>
      </c>
      <c r="I19" s="745">
        <v>45374000</v>
      </c>
      <c r="J19" s="745">
        <f>PPAS!G18</f>
        <v>98624000</v>
      </c>
      <c r="K19" s="742">
        <f t="shared" si="5"/>
        <v>-49124000</v>
      </c>
      <c r="L19" s="2980" t="s">
        <v>899</v>
      </c>
      <c r="M19" s="2981"/>
      <c r="N19" s="2980" t="s">
        <v>899</v>
      </c>
      <c r="O19" s="2981"/>
      <c r="P19" s="1549">
        <f>[37]Listrik!L82</f>
        <v>49500000</v>
      </c>
      <c r="Q19" s="1550">
        <f>[37]Listrik!M82</f>
        <v>0</v>
      </c>
      <c r="R19" s="1550">
        <f>[37]Listrik!N82</f>
        <v>0</v>
      </c>
      <c r="S19" s="1550">
        <f>[37]Listrik!O82</f>
        <v>0</v>
      </c>
      <c r="T19" s="1550">
        <f>[37]Listrik!P82</f>
        <v>0</v>
      </c>
      <c r="U19" s="1550">
        <f>[37]Listrik!Q82</f>
        <v>0</v>
      </c>
      <c r="V19" s="1552">
        <f>SUM(P19:U19)</f>
        <v>49500000</v>
      </c>
      <c r="W19" s="662">
        <f>V19-H19</f>
        <v>0</v>
      </c>
    </row>
    <row r="20" spans="1:23" s="263" customFormat="1" ht="30" customHeight="1">
      <c r="A20" s="265"/>
      <c r="B20" s="793"/>
      <c r="C20" s="794"/>
      <c r="D20" s="1565" t="s">
        <v>545</v>
      </c>
      <c r="E20" s="1558" t="s">
        <v>546</v>
      </c>
      <c r="F20" s="1566" t="s">
        <v>542</v>
      </c>
      <c r="G20" s="1567">
        <v>1363169063</v>
      </c>
      <c r="H20" s="745">
        <v>500000000</v>
      </c>
      <c r="I20" s="745">
        <v>1069858145</v>
      </c>
      <c r="J20" s="745">
        <f>PPAS!G19</f>
        <v>633805706</v>
      </c>
      <c r="K20" s="742">
        <f t="shared" si="5"/>
        <v>-133805706</v>
      </c>
      <c r="L20" s="2966" t="s">
        <v>545</v>
      </c>
      <c r="M20" s="2967"/>
      <c r="N20" s="2966" t="s">
        <v>1489</v>
      </c>
      <c r="O20" s="2967"/>
      <c r="P20" s="1549">
        <f>[37]Kantor!L65</f>
        <v>500000000</v>
      </c>
      <c r="Q20" s="1550">
        <f>[37]Kantor!M65</f>
        <v>0</v>
      </c>
      <c r="R20" s="1550">
        <f>[37]Kantor!N65</f>
        <v>0</v>
      </c>
      <c r="S20" s="1550">
        <f>[37]Kantor!O65</f>
        <v>0</v>
      </c>
      <c r="T20" s="1550">
        <f>[37]Kantor!P65</f>
        <v>0</v>
      </c>
      <c r="U20" s="1550">
        <f>[37]Kantor!Q65</f>
        <v>0</v>
      </c>
      <c r="V20" s="1552">
        <f t="shared" ref="V20:V71" si="7">SUM(P20:U20)</f>
        <v>500000000</v>
      </c>
      <c r="W20" s="662">
        <f>V20-H20</f>
        <v>0</v>
      </c>
    </row>
    <row r="21" spans="1:23" s="263" customFormat="1" ht="15" customHeight="1">
      <c r="A21" s="265"/>
      <c r="B21" s="793"/>
      <c r="C21" s="794"/>
      <c r="D21" s="1557" t="s">
        <v>547</v>
      </c>
      <c r="E21" s="1558" t="s">
        <v>548</v>
      </c>
      <c r="F21" s="1566" t="s">
        <v>542</v>
      </c>
      <c r="G21" s="1567">
        <v>802698000</v>
      </c>
      <c r="H21" s="745">
        <v>570000000</v>
      </c>
      <c r="I21" s="745">
        <v>705270000</v>
      </c>
      <c r="J21" s="745">
        <f>PPAS!G20</f>
        <v>161890000</v>
      </c>
      <c r="K21" s="742">
        <f t="shared" si="5"/>
        <v>408110000</v>
      </c>
      <c r="L21" s="2966" t="s">
        <v>900</v>
      </c>
      <c r="M21" s="2967"/>
      <c r="N21" s="2966" t="s">
        <v>900</v>
      </c>
      <c r="O21" s="2967"/>
      <c r="P21" s="1549">
        <f>[37]RT!L60</f>
        <v>570000000</v>
      </c>
      <c r="Q21" s="1550">
        <f>[37]RT!M60</f>
        <v>0</v>
      </c>
      <c r="R21" s="1550">
        <f>[37]RT!N60</f>
        <v>0</v>
      </c>
      <c r="S21" s="1550">
        <f>[37]RT!O60</f>
        <v>0</v>
      </c>
      <c r="T21" s="1550">
        <f>[37]RT!P60</f>
        <v>0</v>
      </c>
      <c r="U21" s="1550">
        <f>[37]RT!Q60</f>
        <v>0</v>
      </c>
      <c r="V21" s="1552">
        <f t="shared" si="7"/>
        <v>570000000</v>
      </c>
      <c r="W21" s="662">
        <f t="shared" si="6"/>
        <v>0</v>
      </c>
    </row>
    <row r="22" spans="1:23" s="263" customFormat="1" ht="30">
      <c r="A22" s="265"/>
      <c r="B22" s="793"/>
      <c r="C22" s="794"/>
      <c r="D22" s="795" t="s">
        <v>549</v>
      </c>
      <c r="E22" s="1558" t="s">
        <v>811</v>
      </c>
      <c r="F22" s="1566" t="s">
        <v>537</v>
      </c>
      <c r="G22" s="1567">
        <v>9000000</v>
      </c>
      <c r="H22" s="745">
        <v>10000000</v>
      </c>
      <c r="I22" s="745">
        <v>10800000</v>
      </c>
      <c r="J22" s="745">
        <f>PPAS!G21</f>
        <v>10800000</v>
      </c>
      <c r="K22" s="742">
        <f t="shared" si="5"/>
        <v>-800000</v>
      </c>
      <c r="L22" s="2980" t="s">
        <v>901</v>
      </c>
      <c r="M22" s="2981"/>
      <c r="N22" s="2980" t="s">
        <v>901</v>
      </c>
      <c r="O22" s="2981"/>
      <c r="P22" s="1549">
        <f>[37]Bacaan!L32</f>
        <v>10000000</v>
      </c>
      <c r="Q22" s="1550">
        <f>[37]Bacaan!M32</f>
        <v>0</v>
      </c>
      <c r="R22" s="1550">
        <f>[37]Bacaan!N32</f>
        <v>0</v>
      </c>
      <c r="S22" s="1550">
        <f>[37]Bacaan!O32</f>
        <v>0</v>
      </c>
      <c r="T22" s="1550">
        <f>[37]Bacaan!P32</f>
        <v>0</v>
      </c>
      <c r="U22" s="1550">
        <f>[37]Bacaan!Q32</f>
        <v>0</v>
      </c>
      <c r="V22" s="1552">
        <f t="shared" si="7"/>
        <v>10000000</v>
      </c>
      <c r="W22" s="662">
        <f t="shared" si="6"/>
        <v>0</v>
      </c>
    </row>
    <row r="23" spans="1:23" s="263" customFormat="1" ht="19.5" customHeight="1">
      <c r="A23" s="265"/>
      <c r="B23" s="793"/>
      <c r="C23" s="794"/>
      <c r="D23" s="1565" t="s">
        <v>166</v>
      </c>
      <c r="E23" s="1558" t="s">
        <v>550</v>
      </c>
      <c r="F23" s="1566" t="s">
        <v>537</v>
      </c>
      <c r="G23" s="1567">
        <v>48300000</v>
      </c>
      <c r="H23" s="745">
        <v>50000000</v>
      </c>
      <c r="I23" s="745">
        <v>35800000</v>
      </c>
      <c r="J23" s="745">
        <f>PPAS!G22</f>
        <v>35800000</v>
      </c>
      <c r="K23" s="742">
        <f t="shared" si="5"/>
        <v>14200000</v>
      </c>
      <c r="L23" s="2980" t="s">
        <v>902</v>
      </c>
      <c r="M23" s="2981"/>
      <c r="N23" s="2980" t="s">
        <v>902</v>
      </c>
      <c r="O23" s="2981"/>
      <c r="P23" s="1549">
        <f>[37]Makan!L37</f>
        <v>50000000</v>
      </c>
      <c r="Q23" s="1550">
        <f>[37]Makan!M37</f>
        <v>0</v>
      </c>
      <c r="R23" s="1550">
        <f>[37]Makan!N37</f>
        <v>0</v>
      </c>
      <c r="S23" s="1550">
        <f>[37]Makan!O37</f>
        <v>0</v>
      </c>
      <c r="T23" s="1550">
        <f>[37]Makan!P37</f>
        <v>0</v>
      </c>
      <c r="U23" s="1550">
        <f>[37]Makan!Q37</f>
        <v>0</v>
      </c>
      <c r="V23" s="1552">
        <f t="shared" si="7"/>
        <v>50000000</v>
      </c>
      <c r="W23" s="662">
        <f t="shared" si="6"/>
        <v>0</v>
      </c>
    </row>
    <row r="24" spans="1:23" s="263" customFormat="1" ht="24.75" customHeight="1">
      <c r="A24" s="265"/>
      <c r="B24" s="793"/>
      <c r="C24" s="794"/>
      <c r="D24" s="1565" t="s">
        <v>551</v>
      </c>
      <c r="E24" s="1558" t="s">
        <v>552</v>
      </c>
      <c r="F24" s="1566" t="s">
        <v>537</v>
      </c>
      <c r="G24" s="1567">
        <v>321190000</v>
      </c>
      <c r="H24" s="745">
        <v>300000000</v>
      </c>
      <c r="I24" s="745">
        <v>300000000</v>
      </c>
      <c r="J24" s="745">
        <f>PPAS!G23</f>
        <v>260777000</v>
      </c>
      <c r="K24" s="742">
        <f t="shared" si="5"/>
        <v>39223000</v>
      </c>
      <c r="L24" s="2980" t="s">
        <v>903</v>
      </c>
      <c r="M24" s="2981"/>
      <c r="N24" s="2980" t="s">
        <v>903</v>
      </c>
      <c r="O24" s="2981"/>
      <c r="P24" s="1549">
        <f>[37]Rapat!L49</f>
        <v>300000000</v>
      </c>
      <c r="Q24" s="1550">
        <f>[37]Rapat!M49</f>
        <v>0</v>
      </c>
      <c r="R24" s="1550">
        <f>[37]Rapat!N49</f>
        <v>0</v>
      </c>
      <c r="S24" s="1550">
        <f>[37]Rapat!O49</f>
        <v>0</v>
      </c>
      <c r="T24" s="1550">
        <f>[37]Rapat!P49</f>
        <v>0</v>
      </c>
      <c r="U24" s="1550">
        <f>[37]Rapat!Q49</f>
        <v>0</v>
      </c>
      <c r="V24" s="1552">
        <f t="shared" si="7"/>
        <v>300000000</v>
      </c>
      <c r="W24" s="662">
        <f t="shared" si="6"/>
        <v>0</v>
      </c>
    </row>
    <row r="25" spans="1:23" s="263" customFormat="1" ht="23.25" customHeight="1">
      <c r="A25" s="265"/>
      <c r="B25" s="793"/>
      <c r="C25" s="794"/>
      <c r="D25" s="755" t="s">
        <v>553</v>
      </c>
      <c r="E25" s="1558" t="s">
        <v>812</v>
      </c>
      <c r="F25" s="1566" t="s">
        <v>537</v>
      </c>
      <c r="G25" s="1567">
        <v>1813325000</v>
      </c>
      <c r="H25" s="745">
        <v>1800000000</v>
      </c>
      <c r="I25" s="745">
        <v>1593700000</v>
      </c>
      <c r="J25" s="745">
        <f>PPAS!G24</f>
        <v>1512276000</v>
      </c>
      <c r="K25" s="742">
        <f t="shared" si="5"/>
        <v>287724000</v>
      </c>
      <c r="L25" s="1570" t="s">
        <v>725</v>
      </c>
      <c r="M25" s="1571" t="s">
        <v>895</v>
      </c>
      <c r="N25" s="1570" t="s">
        <v>725</v>
      </c>
      <c r="O25" s="1571" t="s">
        <v>895</v>
      </c>
      <c r="P25" s="1549">
        <f>'[37]ADM kantor'!L110</f>
        <v>1800000000</v>
      </c>
      <c r="Q25" s="1550">
        <f>'[37]ADM kantor'!M110</f>
        <v>0</v>
      </c>
      <c r="R25" s="1550">
        <f>'[37]ADM kantor'!N110</f>
        <v>0</v>
      </c>
      <c r="S25" s="1550">
        <f>'[37]ADM kantor'!O110</f>
        <v>0</v>
      </c>
      <c r="T25" s="1550">
        <f>'[37]ADM kantor'!P110</f>
        <v>0</v>
      </c>
      <c r="U25" s="1550">
        <f>'[37]ADM kantor'!Q110</f>
        <v>0</v>
      </c>
      <c r="V25" s="1552">
        <f t="shared" si="7"/>
        <v>1800000000</v>
      </c>
      <c r="W25" s="662">
        <f t="shared" si="6"/>
        <v>0</v>
      </c>
    </row>
    <row r="26" spans="1:23" s="263" customFormat="1" ht="30" customHeight="1">
      <c r="A26" s="265"/>
      <c r="B26" s="793">
        <v>2</v>
      </c>
      <c r="C26" s="2982" t="s">
        <v>554</v>
      </c>
      <c r="D26" s="2994"/>
      <c r="E26" s="1558"/>
      <c r="F26" s="1572"/>
      <c r="G26" s="1573">
        <f>SUM(G27:G29)</f>
        <v>161652000</v>
      </c>
      <c r="H26" s="1573">
        <f>SUM(H27:H29)</f>
        <v>408000000</v>
      </c>
      <c r="I26" s="1573">
        <f>SUM(I27:I29)</f>
        <v>687498375</v>
      </c>
      <c r="J26" s="1573">
        <f>SUM(J27:J29)</f>
        <v>240012000</v>
      </c>
      <c r="K26" s="1573">
        <f>SUM(K27:K29)</f>
        <v>167988000</v>
      </c>
      <c r="L26" s="1574"/>
      <c r="M26" s="1575"/>
      <c r="N26" s="1574"/>
      <c r="O26" s="1575"/>
      <c r="P26" s="1549"/>
      <c r="Q26" s="1576"/>
      <c r="R26" s="1576"/>
      <c r="S26" s="1576"/>
      <c r="T26" s="1576"/>
      <c r="U26" s="1577"/>
      <c r="V26" s="1552">
        <f t="shared" si="7"/>
        <v>0</v>
      </c>
      <c r="W26" s="662"/>
    </row>
    <row r="27" spans="1:23" s="263" customFormat="1" ht="30" customHeight="1">
      <c r="A27" s="265"/>
      <c r="B27" s="793"/>
      <c r="C27" s="1556"/>
      <c r="D27" s="1565" t="s">
        <v>291</v>
      </c>
      <c r="E27" s="1558" t="s">
        <v>405</v>
      </c>
      <c r="F27" s="1566" t="s">
        <v>537</v>
      </c>
      <c r="G27" s="1567"/>
      <c r="H27" s="745">
        <v>150000000</v>
      </c>
      <c r="I27" s="745">
        <v>437406375</v>
      </c>
      <c r="J27" s="745">
        <f>PPAS!G26</f>
        <v>0</v>
      </c>
      <c r="K27" s="742">
        <f t="shared" ref="K27:K29" si="8">H27-J27</f>
        <v>150000000</v>
      </c>
      <c r="M27" s="761"/>
      <c r="N27" s="1517" t="s">
        <v>1490</v>
      </c>
      <c r="O27" s="761" t="s">
        <v>1491</v>
      </c>
      <c r="P27" s="1549">
        <f>'[37]mbl jabatan'!L32</f>
        <v>150000000</v>
      </c>
      <c r="Q27" s="1549">
        <f>'[37]mbl jabatan'!M32</f>
        <v>0</v>
      </c>
      <c r="R27" s="1549">
        <f>'[37]mbl jabatan'!N32</f>
        <v>0</v>
      </c>
      <c r="S27" s="1549">
        <f>'[37]mbl jabatan'!O32</f>
        <v>0</v>
      </c>
      <c r="T27" s="1549">
        <f>'[37]mbl jabatan'!P32</f>
        <v>0</v>
      </c>
      <c r="U27" s="1549">
        <f>'[37]mbl jabatan'!Q32</f>
        <v>0</v>
      </c>
      <c r="V27" s="1552">
        <f t="shared" si="7"/>
        <v>150000000</v>
      </c>
      <c r="W27" s="662">
        <f>V27-H27</f>
        <v>0</v>
      </c>
    </row>
    <row r="28" spans="1:23" s="263" customFormat="1" ht="30" customHeight="1">
      <c r="A28" s="265"/>
      <c r="B28" s="793"/>
      <c r="C28" s="1556"/>
      <c r="D28" s="755" t="s">
        <v>630</v>
      </c>
      <c r="E28" s="1558" t="s">
        <v>813</v>
      </c>
      <c r="F28" s="1566" t="s">
        <v>537</v>
      </c>
      <c r="G28" s="1567"/>
      <c r="H28" s="745">
        <v>96000000</v>
      </c>
      <c r="I28" s="745">
        <v>60000000</v>
      </c>
      <c r="J28" s="745">
        <f>PPAS!G27</f>
        <v>0</v>
      </c>
      <c r="K28" s="742">
        <f t="shared" si="8"/>
        <v>96000000</v>
      </c>
      <c r="L28" s="760"/>
      <c r="M28" s="761"/>
      <c r="N28" s="2977" t="s">
        <v>1492</v>
      </c>
      <c r="O28" s="2978"/>
      <c r="P28" s="1549">
        <f>'[37]Perleng Rmh dinas'!L40</f>
        <v>96000000</v>
      </c>
      <c r="Q28" s="1549">
        <f>'[37]Perleng Rmh dinas'!M40</f>
        <v>0</v>
      </c>
      <c r="R28" s="1549">
        <f>'[37]Perleng Rmh dinas'!N40</f>
        <v>0</v>
      </c>
      <c r="S28" s="1549">
        <f>'[37]Perleng Rmh dinas'!O40</f>
        <v>0</v>
      </c>
      <c r="T28" s="1549">
        <f>'[37]Perleng Rmh dinas'!P40</f>
        <v>0</v>
      </c>
      <c r="U28" s="1549">
        <f>'[37]Perleng Rmh dinas'!Q40</f>
        <v>0</v>
      </c>
      <c r="V28" s="1552">
        <f t="shared" si="7"/>
        <v>96000000</v>
      </c>
      <c r="W28" s="662">
        <f>V28-H28</f>
        <v>0</v>
      </c>
    </row>
    <row r="29" spans="1:23" s="263" customFormat="1" ht="43.5" customHeight="1">
      <c r="A29" s="265"/>
      <c r="B29" s="793"/>
      <c r="C29" s="794"/>
      <c r="D29" s="795" t="s">
        <v>555</v>
      </c>
      <c r="E29" s="1558" t="s">
        <v>814</v>
      </c>
      <c r="F29" s="1566" t="s">
        <v>537</v>
      </c>
      <c r="G29" s="1567">
        <v>161652000</v>
      </c>
      <c r="H29" s="745">
        <v>162000000</v>
      </c>
      <c r="I29" s="745">
        <v>190092000</v>
      </c>
      <c r="J29" s="745">
        <f>PPAS!G28</f>
        <v>240012000</v>
      </c>
      <c r="K29" s="742">
        <f t="shared" si="8"/>
        <v>-78012000</v>
      </c>
      <c r="L29" s="2966" t="s">
        <v>1147</v>
      </c>
      <c r="M29" s="2967"/>
      <c r="N29" s="2966" t="s">
        <v>1493</v>
      </c>
      <c r="O29" s="2967"/>
      <c r="P29" s="1549">
        <f>'[37]P. Kendaraaan '!L41</f>
        <v>162000000</v>
      </c>
      <c r="Q29" s="1550">
        <f>'[37]P. Kendaraaan '!M41</f>
        <v>0</v>
      </c>
      <c r="R29" s="1550">
        <f>'[37]P. Kendaraaan '!N41</f>
        <v>0</v>
      </c>
      <c r="S29" s="1550">
        <f>'[37]P. Kendaraaan '!O41</f>
        <v>0</v>
      </c>
      <c r="T29" s="1550">
        <f>'[37]P. Kendaraaan '!P41</f>
        <v>0</v>
      </c>
      <c r="U29" s="1550">
        <f>'[37]P. Kendaraaan '!Q41</f>
        <v>0</v>
      </c>
      <c r="V29" s="1552">
        <f t="shared" si="7"/>
        <v>162000000</v>
      </c>
      <c r="W29" s="662">
        <f>V29-H29</f>
        <v>0</v>
      </c>
    </row>
    <row r="30" spans="1:23" s="263" customFormat="1" ht="30" customHeight="1">
      <c r="A30" s="265"/>
      <c r="B30" s="793">
        <v>3</v>
      </c>
      <c r="C30" s="1578" t="s">
        <v>170</v>
      </c>
      <c r="D30" s="755"/>
      <c r="E30" s="1558"/>
      <c r="F30" s="1572"/>
      <c r="G30" s="1573">
        <f>SUM(G31)</f>
        <v>134242500</v>
      </c>
      <c r="H30" s="1573">
        <f>SUM(H31)</f>
        <v>475250000</v>
      </c>
      <c r="I30" s="1573">
        <f>SUM(I31)</f>
        <v>355512500</v>
      </c>
      <c r="J30" s="1573">
        <f>SUM(J31)</f>
        <v>460040000</v>
      </c>
      <c r="K30" s="1573">
        <f>SUM(K31)</f>
        <v>15210000</v>
      </c>
      <c r="L30" s="1574"/>
      <c r="M30" s="1575"/>
      <c r="N30" s="1574"/>
      <c r="O30" s="761"/>
      <c r="P30" s="1549"/>
      <c r="Q30" s="1577"/>
      <c r="R30" s="1577"/>
      <c r="S30" s="1577"/>
      <c r="T30" s="1577"/>
      <c r="U30" s="1577"/>
      <c r="V30" s="1552">
        <f t="shared" si="7"/>
        <v>0</v>
      </c>
      <c r="W30" s="662"/>
    </row>
    <row r="31" spans="1:23" s="263" customFormat="1" ht="20.25" customHeight="1">
      <c r="A31" s="265"/>
      <c r="B31" s="793"/>
      <c r="C31" s="794"/>
      <c r="D31" s="795" t="s">
        <v>171</v>
      </c>
      <c r="E31" s="1558" t="s">
        <v>556</v>
      </c>
      <c r="F31" s="1566" t="s">
        <v>537</v>
      </c>
      <c r="G31" s="1567">
        <v>134242500</v>
      </c>
      <c r="H31" s="745">
        <v>475250000</v>
      </c>
      <c r="I31" s="745">
        <v>355512500</v>
      </c>
      <c r="J31" s="745">
        <f>PPAS!G30</f>
        <v>460040000</v>
      </c>
      <c r="K31" s="742">
        <f>H31-J31</f>
        <v>15210000</v>
      </c>
      <c r="L31" s="2977" t="s">
        <v>1146</v>
      </c>
      <c r="M31" s="2978"/>
      <c r="N31" s="2977" t="s">
        <v>1494</v>
      </c>
      <c r="O31" s="2978"/>
      <c r="P31" s="1549">
        <f>[37]Pakaian!L53</f>
        <v>475250000</v>
      </c>
      <c r="Q31" s="1550">
        <f>[37]Pakaian!M53</f>
        <v>0</v>
      </c>
      <c r="R31" s="1550">
        <f>[37]Pakaian!N53</f>
        <v>0</v>
      </c>
      <c r="S31" s="1550">
        <f>[37]Pakaian!O53</f>
        <v>0</v>
      </c>
      <c r="T31" s="1550">
        <f>[37]Pakaian!P53</f>
        <v>0</v>
      </c>
      <c r="U31" s="1550">
        <f>[37]Pakaian!Q53</f>
        <v>0</v>
      </c>
      <c r="V31" s="1552">
        <f t="shared" si="7"/>
        <v>475250000</v>
      </c>
      <c r="W31" s="662">
        <f>V31-H31</f>
        <v>0</v>
      </c>
    </row>
    <row r="32" spans="1:23" s="263" customFormat="1" ht="33.75" customHeight="1">
      <c r="A32" s="265"/>
      <c r="B32" s="793">
        <v>4</v>
      </c>
      <c r="C32" s="2982" t="s">
        <v>172</v>
      </c>
      <c r="D32" s="2994"/>
      <c r="E32" s="1579"/>
      <c r="F32" s="1572"/>
      <c r="G32" s="1573">
        <f>SUM(G33)</f>
        <v>51400000</v>
      </c>
      <c r="H32" s="1573">
        <f>SUM(H33)</f>
        <v>50000000</v>
      </c>
      <c r="I32" s="1573">
        <f>SUM(I33)</f>
        <v>50625000</v>
      </c>
      <c r="J32" s="1573">
        <f>SUM(J33)</f>
        <v>76925000</v>
      </c>
      <c r="K32" s="1573">
        <f>SUM(K33)</f>
        <v>-26925000</v>
      </c>
      <c r="L32" s="1574"/>
      <c r="M32" s="1575"/>
      <c r="N32" s="1574"/>
      <c r="O32" s="761"/>
      <c r="P32" s="1549"/>
      <c r="Q32" s="1577"/>
      <c r="R32" s="1577"/>
      <c r="S32" s="1577"/>
      <c r="T32" s="1577"/>
      <c r="U32" s="1577"/>
      <c r="V32" s="1552">
        <f t="shared" si="7"/>
        <v>0</v>
      </c>
      <c r="W32" s="662"/>
    </row>
    <row r="33" spans="1:23" s="263" customFormat="1" ht="20.25" customHeight="1">
      <c r="A33" s="265"/>
      <c r="B33" s="793"/>
      <c r="C33" s="794"/>
      <c r="D33" s="1580" t="s">
        <v>346</v>
      </c>
      <c r="E33" s="1558" t="s">
        <v>557</v>
      </c>
      <c r="F33" s="1566" t="s">
        <v>558</v>
      </c>
      <c r="G33" s="1567">
        <v>51400000</v>
      </c>
      <c r="H33" s="745">
        <v>50000000</v>
      </c>
      <c r="I33" s="745">
        <v>50625000</v>
      </c>
      <c r="J33" s="745">
        <f>PPAS!G32</f>
        <v>76925000</v>
      </c>
      <c r="K33" s="742">
        <f>H33-J33</f>
        <v>-26925000</v>
      </c>
      <c r="L33" s="2966" t="s">
        <v>882</v>
      </c>
      <c r="M33" s="2967"/>
      <c r="N33" s="2966" t="s">
        <v>1495</v>
      </c>
      <c r="O33" s="2967"/>
      <c r="P33" s="1549">
        <f>[37]Agama!L45</f>
        <v>50000000</v>
      </c>
      <c r="Q33" s="1550">
        <f>[37]Agama!M45</f>
        <v>0</v>
      </c>
      <c r="R33" s="1550">
        <f>[37]Agama!N45</f>
        <v>0</v>
      </c>
      <c r="S33" s="1550">
        <f>[37]Agama!O45</f>
        <v>0</v>
      </c>
      <c r="T33" s="1550">
        <f>[37]Agama!P45</f>
        <v>0</v>
      </c>
      <c r="U33" s="1550">
        <f>[37]Agama!Q45</f>
        <v>0</v>
      </c>
      <c r="V33" s="1552">
        <f t="shared" si="7"/>
        <v>50000000</v>
      </c>
      <c r="W33" s="662">
        <f>V33-H33</f>
        <v>0</v>
      </c>
    </row>
    <row r="34" spans="1:23" s="265" customFormat="1" ht="51" customHeight="1">
      <c r="B34" s="793">
        <v>5</v>
      </c>
      <c r="C34" s="2982" t="s">
        <v>559</v>
      </c>
      <c r="D34" s="2983"/>
      <c r="E34" s="1579"/>
      <c r="F34" s="1572"/>
      <c r="G34" s="1573">
        <f>SUM(G35:G41)</f>
        <v>2349877825</v>
      </c>
      <c r="H34" s="1573">
        <f>SUM(H35:H41)</f>
        <v>12688250002</v>
      </c>
      <c r="I34" s="1573">
        <f>SUM(I35:I41)</f>
        <v>11633586228</v>
      </c>
      <c r="J34" s="1573">
        <f>SUM(J35:J41)</f>
        <v>5080669391</v>
      </c>
      <c r="K34" s="1573">
        <f>SUM(K35:K41)</f>
        <v>7607580611</v>
      </c>
      <c r="L34" s="1574"/>
      <c r="M34" s="1575"/>
      <c r="N34" s="1574"/>
      <c r="O34" s="1575"/>
      <c r="P34" s="1549"/>
      <c r="Q34" s="1577"/>
      <c r="R34" s="1577"/>
      <c r="S34" s="1577"/>
      <c r="T34" s="1577"/>
      <c r="U34" s="1577"/>
      <c r="V34" s="1552">
        <f t="shared" si="7"/>
        <v>0</v>
      </c>
      <c r="W34" s="662"/>
    </row>
    <row r="35" spans="1:23" s="263" customFormat="1" ht="33.75" customHeight="1">
      <c r="B35" s="793"/>
      <c r="C35" s="1581"/>
      <c r="D35" s="1582" t="s">
        <v>174</v>
      </c>
      <c r="E35" s="795" t="s">
        <v>1496</v>
      </c>
      <c r="F35" s="1583" t="s">
        <v>537</v>
      </c>
      <c r="G35" s="1567">
        <v>1243200000</v>
      </c>
      <c r="H35" s="745">
        <v>50000000</v>
      </c>
      <c r="I35" s="745">
        <v>1022763420</v>
      </c>
      <c r="J35" s="745">
        <f>PPAS!G34</f>
        <v>0</v>
      </c>
      <c r="K35" s="742">
        <f t="shared" ref="K35:K41" si="9">H35-J35</f>
        <v>50000000</v>
      </c>
      <c r="L35" s="2977" t="s">
        <v>1497</v>
      </c>
      <c r="M35" s="2978"/>
      <c r="N35" s="2977" t="s">
        <v>1498</v>
      </c>
      <c r="O35" s="2978"/>
      <c r="P35" s="1549">
        <f>'[37]Pembangunan RS'!L57</f>
        <v>0</v>
      </c>
      <c r="Q35" s="1549">
        <f>'[37]Pembangunan RS'!M57</f>
        <v>50000000</v>
      </c>
      <c r="R35" s="1549">
        <f>'[37]Pembangunan RS'!N57</f>
        <v>0</v>
      </c>
      <c r="S35" s="1549">
        <f>'[37]Pembangunan RS'!O57</f>
        <v>0</v>
      </c>
      <c r="T35" s="1549">
        <f>'[37]Pembangunan RS'!P57</f>
        <v>0</v>
      </c>
      <c r="U35" s="1549">
        <f>'[37]Pembangunan RS'!Q57</f>
        <v>0</v>
      </c>
      <c r="V35" s="1552">
        <f t="shared" si="7"/>
        <v>50000000</v>
      </c>
      <c r="W35" s="662">
        <f t="shared" ref="W35:W41" si="10">V35-H35</f>
        <v>0</v>
      </c>
    </row>
    <row r="36" spans="1:23" s="263" customFormat="1" ht="30" customHeight="1">
      <c r="B36" s="793"/>
      <c r="C36" s="1581"/>
      <c r="D36" s="1584" t="s">
        <v>1197</v>
      </c>
      <c r="E36" s="795" t="s">
        <v>1198</v>
      </c>
      <c r="F36" s="1583" t="s">
        <v>1199</v>
      </c>
      <c r="G36" s="1567"/>
      <c r="H36" s="745">
        <v>50000000</v>
      </c>
      <c r="I36" s="745">
        <v>896000000</v>
      </c>
      <c r="J36" s="745">
        <f>PPAS!G35</f>
        <v>0</v>
      </c>
      <c r="K36" s="742">
        <f t="shared" si="9"/>
        <v>50000000</v>
      </c>
      <c r="L36" s="760"/>
      <c r="M36" s="761"/>
      <c r="N36" s="2977" t="s">
        <v>1499</v>
      </c>
      <c r="O36" s="2978"/>
      <c r="P36" s="1549">
        <f>'[37]R.Rawat Inap'!L47</f>
        <v>0</v>
      </c>
      <c r="Q36" s="1549">
        <f>'[37]R.Rawat Inap'!M47</f>
        <v>50000000</v>
      </c>
      <c r="R36" s="1549">
        <f>'[37]R.Rawat Inap'!N47</f>
        <v>0</v>
      </c>
      <c r="S36" s="1549">
        <f>'[37]R.Rawat Inap'!O47</f>
        <v>0</v>
      </c>
      <c r="T36" s="1549">
        <f>'[37]R.Rawat Inap'!P47</f>
        <v>0</v>
      </c>
      <c r="U36" s="1549">
        <f>'[37]R.Rawat Inap'!Q47</f>
        <v>0</v>
      </c>
      <c r="V36" s="1552">
        <f t="shared" si="7"/>
        <v>50000000</v>
      </c>
      <c r="W36" s="662">
        <f t="shared" si="10"/>
        <v>0</v>
      </c>
    </row>
    <row r="37" spans="1:23" s="263" customFormat="1" ht="30" customHeight="1">
      <c r="B37" s="1585"/>
      <c r="C37" s="1581"/>
      <c r="D37" s="1586" t="s">
        <v>175</v>
      </c>
      <c r="E37" s="1558" t="s">
        <v>560</v>
      </c>
      <c r="F37" s="1583" t="s">
        <v>537</v>
      </c>
      <c r="G37" s="1567">
        <v>176496800</v>
      </c>
      <c r="H37" s="745">
        <v>850000000</v>
      </c>
      <c r="I37" s="745">
        <v>1102960000</v>
      </c>
      <c r="J37" s="745">
        <f>PPAS!G36</f>
        <v>775454000</v>
      </c>
      <c r="K37" s="742">
        <f t="shared" si="9"/>
        <v>74546000</v>
      </c>
      <c r="L37" s="2977" t="s">
        <v>1500</v>
      </c>
      <c r="M37" s="2978"/>
      <c r="N37" s="2977" t="s">
        <v>1501</v>
      </c>
      <c r="O37" s="2978"/>
      <c r="P37" s="1549">
        <f>[37]Rehabilitasi!L61</f>
        <v>0</v>
      </c>
      <c r="Q37" s="1549">
        <f>[37]Rehabilitasi!M61</f>
        <v>850000000</v>
      </c>
      <c r="R37" s="1549">
        <f>[37]Rehabilitasi!N61</f>
        <v>0</v>
      </c>
      <c r="S37" s="1549">
        <f>[37]Rehabilitasi!O61</f>
        <v>0</v>
      </c>
      <c r="T37" s="1549">
        <f>[37]Rehabilitasi!P61</f>
        <v>0</v>
      </c>
      <c r="U37" s="1549">
        <f>[37]Rehabilitasi!Q61</f>
        <v>0</v>
      </c>
      <c r="V37" s="1552">
        <f t="shared" si="7"/>
        <v>850000000</v>
      </c>
      <c r="W37" s="662">
        <f t="shared" si="10"/>
        <v>0</v>
      </c>
    </row>
    <row r="38" spans="1:23" s="263" customFormat="1" ht="30" customHeight="1">
      <c r="B38" s="1585"/>
      <c r="C38" s="1581"/>
      <c r="D38" s="1586" t="s">
        <v>1200</v>
      </c>
      <c r="E38" s="1558" t="s">
        <v>1201</v>
      </c>
      <c r="F38" s="1583" t="s">
        <v>537</v>
      </c>
      <c r="G38" s="1567"/>
      <c r="H38" s="745">
        <v>10000000000</v>
      </c>
      <c r="I38" s="745">
        <v>6875056783</v>
      </c>
      <c r="J38" s="745">
        <f>PPAS!G37</f>
        <v>3229406741</v>
      </c>
      <c r="K38" s="742">
        <f t="shared" si="9"/>
        <v>6770593259</v>
      </c>
      <c r="L38" s="760"/>
      <c r="M38" s="761"/>
      <c r="N38" s="2977" t="s">
        <v>1502</v>
      </c>
      <c r="O38" s="2978"/>
      <c r="P38" s="1549">
        <f>[37]Alkes!L67</f>
        <v>0</v>
      </c>
      <c r="Q38" s="1549">
        <f>[37]Alkes!M67</f>
        <v>10000000000</v>
      </c>
      <c r="R38" s="1549">
        <f>[37]Alkes!N67</f>
        <v>0</v>
      </c>
      <c r="S38" s="1549">
        <f>[37]Alkes!O67</f>
        <v>0</v>
      </c>
      <c r="T38" s="1549">
        <f>[37]Alkes!P67</f>
        <v>0</v>
      </c>
      <c r="U38" s="1549">
        <f>[37]Alkes!Q67</f>
        <v>0</v>
      </c>
      <c r="V38" s="1552">
        <f t="shared" si="7"/>
        <v>10000000000</v>
      </c>
      <c r="W38" s="662">
        <f t="shared" si="10"/>
        <v>0</v>
      </c>
    </row>
    <row r="39" spans="1:23" s="263" customFormat="1" ht="30" customHeight="1">
      <c r="B39" s="1585"/>
      <c r="C39" s="1581"/>
      <c r="D39" s="1580" t="s">
        <v>1203</v>
      </c>
      <c r="E39" s="1558" t="s">
        <v>1204</v>
      </c>
      <c r="F39" s="1583" t="s">
        <v>1205</v>
      </c>
      <c r="G39" s="1567"/>
      <c r="H39" s="745">
        <v>780000000</v>
      </c>
      <c r="I39" s="745">
        <v>780000000</v>
      </c>
      <c r="J39" s="745">
        <f>PPAS!G38</f>
        <v>0</v>
      </c>
      <c r="K39" s="742">
        <f>H39-J39</f>
        <v>780000000</v>
      </c>
      <c r="L39" s="760"/>
      <c r="M39" s="761"/>
      <c r="N39" s="2977" t="s">
        <v>1503</v>
      </c>
      <c r="O39" s="2978"/>
      <c r="P39" s="1549">
        <f>[37]Ambulance!L39</f>
        <v>0</v>
      </c>
      <c r="Q39" s="1549">
        <f>[37]Ambulance!M39</f>
        <v>780000000</v>
      </c>
      <c r="R39" s="1549">
        <f>[37]Ambulance!N39</f>
        <v>0</v>
      </c>
      <c r="S39" s="1549">
        <f>[37]Ambulance!O39</f>
        <v>0</v>
      </c>
      <c r="T39" s="1549">
        <f>[37]Ambulance!P39</f>
        <v>0</v>
      </c>
      <c r="U39" s="1549">
        <f>[37]Ambulance!Q39</f>
        <v>0</v>
      </c>
      <c r="V39" s="1552">
        <f t="shared" si="7"/>
        <v>780000000</v>
      </c>
      <c r="W39" s="662">
        <f t="shared" si="10"/>
        <v>0</v>
      </c>
    </row>
    <row r="40" spans="1:23" s="263" customFormat="1" ht="30" customHeight="1">
      <c r="B40" s="1585"/>
      <c r="C40" s="1581"/>
      <c r="D40" s="1580" t="s">
        <v>561</v>
      </c>
      <c r="E40" s="1558" t="s">
        <v>562</v>
      </c>
      <c r="F40" s="1583" t="s">
        <v>537</v>
      </c>
      <c r="G40" s="1567">
        <v>311290000</v>
      </c>
      <c r="H40" s="745">
        <v>658250002</v>
      </c>
      <c r="I40" s="745">
        <v>331280000</v>
      </c>
      <c r="J40" s="745">
        <f>PPAS!G39</f>
        <v>285500000</v>
      </c>
      <c r="K40" s="742">
        <f t="shared" si="9"/>
        <v>372750002</v>
      </c>
      <c r="L40" s="2977" t="s">
        <v>1504</v>
      </c>
      <c r="M40" s="2978"/>
      <c r="N40" s="2977" t="s">
        <v>1505</v>
      </c>
      <c r="O40" s="2978"/>
      <c r="P40" s="1549">
        <f>[37]Mebeleur!L51</f>
        <v>0</v>
      </c>
      <c r="Q40" s="1549">
        <f>[37]Mebeleur!M51</f>
        <v>658250002</v>
      </c>
      <c r="R40" s="1549">
        <f>[37]Mebeleur!N51</f>
        <v>0</v>
      </c>
      <c r="S40" s="1549">
        <f>[37]Mebeleur!O51</f>
        <v>0</v>
      </c>
      <c r="T40" s="1549">
        <f>[37]Mebeleur!P51</f>
        <v>0</v>
      </c>
      <c r="U40" s="1549">
        <f>[37]Mebeleur!Q51</f>
        <v>0</v>
      </c>
      <c r="V40" s="1552">
        <f t="shared" si="7"/>
        <v>658250002</v>
      </c>
      <c r="W40" s="662">
        <f t="shared" si="10"/>
        <v>0</v>
      </c>
    </row>
    <row r="41" spans="1:23" s="263" customFormat="1" ht="30" customHeight="1">
      <c r="B41" s="1585"/>
      <c r="C41" s="1581"/>
      <c r="D41" s="1587" t="s">
        <v>563</v>
      </c>
      <c r="E41" s="795" t="s">
        <v>564</v>
      </c>
      <c r="F41" s="1583" t="s">
        <v>537</v>
      </c>
      <c r="G41" s="1567">
        <v>618891025</v>
      </c>
      <c r="H41" s="745">
        <v>300000000</v>
      </c>
      <c r="I41" s="745">
        <v>625526025</v>
      </c>
      <c r="J41" s="745">
        <f>PPAS!G40</f>
        <v>790308650</v>
      </c>
      <c r="K41" s="742">
        <f t="shared" si="9"/>
        <v>-490308650</v>
      </c>
      <c r="L41" s="2980" t="s">
        <v>883</v>
      </c>
      <c r="M41" s="2981"/>
      <c r="N41" s="2980" t="s">
        <v>1506</v>
      </c>
      <c r="O41" s="2981"/>
      <c r="P41" s="1549">
        <f>'[37]Cetak&amp;Penggandaan'!L161</f>
        <v>300000000</v>
      </c>
      <c r="Q41" s="1550">
        <f>'[37]Cetak&amp;Penggandaan'!M161</f>
        <v>0</v>
      </c>
      <c r="R41" s="1550">
        <f>'[37]Cetak&amp;Penggandaan'!N161</f>
        <v>0</v>
      </c>
      <c r="S41" s="1550">
        <f>'[37]Cetak&amp;Penggandaan'!O161</f>
        <v>0</v>
      </c>
      <c r="T41" s="1550">
        <f>'[37]Cetak&amp;Penggandaan'!P161</f>
        <v>0</v>
      </c>
      <c r="U41" s="1550">
        <f>'[37]Cetak&amp;Penggandaan'!Q161</f>
        <v>0</v>
      </c>
      <c r="V41" s="1552">
        <f t="shared" si="7"/>
        <v>300000000</v>
      </c>
      <c r="W41" s="662">
        <f t="shared" si="10"/>
        <v>0</v>
      </c>
    </row>
    <row r="42" spans="1:23" s="263" customFormat="1" ht="46.5" customHeight="1">
      <c r="B42" s="1585">
        <v>6</v>
      </c>
      <c r="C42" s="2995" t="s">
        <v>565</v>
      </c>
      <c r="D42" s="2996"/>
      <c r="E42" s="1579"/>
      <c r="F42" s="1572"/>
      <c r="G42" s="1573">
        <f>SUM(G43:G46)</f>
        <v>1787809500</v>
      </c>
      <c r="H42" s="1573">
        <f>SUM(H43:H46)</f>
        <v>934363566</v>
      </c>
      <c r="I42" s="1573">
        <f>SUM(I43:I46)</f>
        <v>1714865000</v>
      </c>
      <c r="J42" s="1573">
        <f>SUM(J43:J46)</f>
        <v>1514360000</v>
      </c>
      <c r="K42" s="1573">
        <f>SUM(K43:K46)</f>
        <v>-579996434</v>
      </c>
      <c r="L42" s="1574"/>
      <c r="M42" s="1575"/>
      <c r="N42" s="1574"/>
      <c r="O42" s="1575"/>
      <c r="P42" s="1549"/>
      <c r="Q42" s="1577"/>
      <c r="R42" s="1577"/>
      <c r="S42" s="1577"/>
      <c r="T42" s="1577"/>
      <c r="U42" s="1577"/>
      <c r="V42" s="1552">
        <f t="shared" si="7"/>
        <v>0</v>
      </c>
      <c r="W42" s="662"/>
    </row>
    <row r="43" spans="1:23" s="263" customFormat="1" ht="29.25" customHeight="1">
      <c r="B43" s="1585"/>
      <c r="C43" s="1588"/>
      <c r="D43" s="1580" t="s">
        <v>566</v>
      </c>
      <c r="E43" s="1558" t="s">
        <v>567</v>
      </c>
      <c r="F43" s="1583" t="s">
        <v>537</v>
      </c>
      <c r="G43" s="1567">
        <v>84500000</v>
      </c>
      <c r="H43" s="1589">
        <v>60000000</v>
      </c>
      <c r="I43" s="1589">
        <v>225000000</v>
      </c>
      <c r="J43" s="1589">
        <f>PPAS!G42</f>
        <v>222650000</v>
      </c>
      <c r="K43" s="742">
        <f t="shared" ref="K43:K46" si="11">H43-J43</f>
        <v>-162650000</v>
      </c>
      <c r="L43" s="1570" t="s">
        <v>884</v>
      </c>
      <c r="M43" s="1571"/>
      <c r="N43" s="1570" t="s">
        <v>1507</v>
      </c>
      <c r="O43" s="1571"/>
      <c r="P43" s="1549">
        <f>[37]Pel.rs!L43</f>
        <v>60000000</v>
      </c>
      <c r="Q43" s="1549">
        <f>[37]Pel.rs!M43</f>
        <v>0</v>
      </c>
      <c r="R43" s="1549">
        <f>[37]Pel.rs!N43</f>
        <v>0</v>
      </c>
      <c r="S43" s="1549">
        <f>[37]Pel.rs!O43</f>
        <v>0</v>
      </c>
      <c r="T43" s="1549">
        <f>[37]Pel.rs!P43</f>
        <v>0</v>
      </c>
      <c r="U43" s="1549">
        <f>[37]Pel.rs!Q43</f>
        <v>0</v>
      </c>
      <c r="V43" s="1552">
        <f t="shared" si="7"/>
        <v>60000000</v>
      </c>
      <c r="W43" s="662">
        <f>V43-H43</f>
        <v>0</v>
      </c>
    </row>
    <row r="44" spans="1:23" s="263" customFormat="1" ht="30">
      <c r="B44" s="1585"/>
      <c r="C44" s="1588"/>
      <c r="D44" s="717" t="s">
        <v>568</v>
      </c>
      <c r="E44" s="1558" t="s">
        <v>815</v>
      </c>
      <c r="F44" s="1583" t="s">
        <v>537</v>
      </c>
      <c r="G44" s="1567">
        <v>542555000</v>
      </c>
      <c r="H44" s="745">
        <v>300000000</v>
      </c>
      <c r="I44" s="745">
        <v>233769000</v>
      </c>
      <c r="J44" s="1589">
        <f>PPAS!G43</f>
        <v>201844000</v>
      </c>
      <c r="K44" s="742">
        <f t="shared" si="11"/>
        <v>98156000</v>
      </c>
      <c r="L44" s="1570" t="s">
        <v>725</v>
      </c>
      <c r="M44" s="1571" t="s">
        <v>894</v>
      </c>
      <c r="N44" s="1570" t="s">
        <v>725</v>
      </c>
      <c r="O44" s="1571" t="s">
        <v>894</v>
      </c>
      <c r="P44" s="1549">
        <f>[37]Pem.limbah!L127</f>
        <v>300000000</v>
      </c>
      <c r="Q44" s="1550">
        <f>[37]Pem.limbah!M127</f>
        <v>0</v>
      </c>
      <c r="R44" s="1550">
        <f>[37]Pem.limbah!N127</f>
        <v>0</v>
      </c>
      <c r="S44" s="1550">
        <f>[37]Pem.limbah!O127</f>
        <v>0</v>
      </c>
      <c r="T44" s="1550">
        <f>[37]Pem.limbah!P127</f>
        <v>0</v>
      </c>
      <c r="U44" s="1550">
        <f>[37]Pem.limbah!Q127</f>
        <v>0</v>
      </c>
      <c r="V44" s="1552">
        <f t="shared" si="7"/>
        <v>300000000</v>
      </c>
      <c r="W44" s="662">
        <f>V44-H44</f>
        <v>0</v>
      </c>
    </row>
    <row r="45" spans="1:23" s="263" customFormat="1" ht="30.75" customHeight="1">
      <c r="B45" s="1585"/>
      <c r="C45" s="1588"/>
      <c r="D45" s="717" t="s">
        <v>569</v>
      </c>
      <c r="E45" s="1558" t="s">
        <v>816</v>
      </c>
      <c r="F45" s="1583" t="s">
        <v>537</v>
      </c>
      <c r="G45" s="1567">
        <v>516090500</v>
      </c>
      <c r="H45" s="745">
        <v>324363566</v>
      </c>
      <c r="I45" s="745">
        <v>506675000</v>
      </c>
      <c r="J45" s="1589">
        <f>PPAS!G44</f>
        <v>425745000</v>
      </c>
      <c r="K45" s="742">
        <f t="shared" si="11"/>
        <v>-101381434</v>
      </c>
      <c r="L45" s="2980" t="s">
        <v>1149</v>
      </c>
      <c r="M45" s="2981"/>
      <c r="N45" s="2980" t="s">
        <v>1149</v>
      </c>
      <c r="O45" s="2981"/>
      <c r="P45" s="1549">
        <f>[37]Pem.alkes!L71</f>
        <v>324363566</v>
      </c>
      <c r="Q45" s="1550">
        <f>[37]Pem.alkes!M71</f>
        <v>0</v>
      </c>
      <c r="R45" s="1550">
        <f>[37]Pem.alkes!N71</f>
        <v>0</v>
      </c>
      <c r="S45" s="1550">
        <f>[37]Pem.alkes!O71</f>
        <v>0</v>
      </c>
      <c r="T45" s="1550">
        <f>[37]Pem.alkes!P71</f>
        <v>0</v>
      </c>
      <c r="U45" s="1550">
        <f>[37]Pem.alkes!Q71</f>
        <v>0</v>
      </c>
      <c r="V45" s="1552">
        <f t="shared" si="7"/>
        <v>324363566</v>
      </c>
      <c r="W45" s="662">
        <f>V45-H45</f>
        <v>0</v>
      </c>
    </row>
    <row r="46" spans="1:23" s="263" customFormat="1" ht="30.75" customHeight="1">
      <c r="B46" s="1585"/>
      <c r="C46" s="1588"/>
      <c r="D46" s="717" t="s">
        <v>743</v>
      </c>
      <c r="E46" s="1558" t="s">
        <v>817</v>
      </c>
      <c r="F46" s="1583" t="s">
        <v>537</v>
      </c>
      <c r="G46" s="1567">
        <v>644664000</v>
      </c>
      <c r="H46" s="745">
        <v>250000000</v>
      </c>
      <c r="I46" s="745">
        <v>749421000</v>
      </c>
      <c r="J46" s="1589">
        <f>PPAS!G45</f>
        <v>664121000</v>
      </c>
      <c r="K46" s="742">
        <f t="shared" si="11"/>
        <v>-414121000</v>
      </c>
      <c r="L46" s="1570" t="s">
        <v>725</v>
      </c>
      <c r="M46" s="1571" t="s">
        <v>893</v>
      </c>
      <c r="N46" s="1570" t="s">
        <v>725</v>
      </c>
      <c r="O46" s="1571" t="s">
        <v>893</v>
      </c>
      <c r="P46" s="1549">
        <f>[37]Pem.per.RS!L103</f>
        <v>250000000</v>
      </c>
      <c r="Q46" s="1549">
        <f>[37]Pem.per.RS!M103</f>
        <v>0</v>
      </c>
      <c r="R46" s="1549">
        <f>[37]Pem.per.RS!N103</f>
        <v>0</v>
      </c>
      <c r="S46" s="1549">
        <f>[37]Pem.per.RS!O103</f>
        <v>0</v>
      </c>
      <c r="T46" s="1549">
        <f>[37]Pem.per.RS!P103</f>
        <v>0</v>
      </c>
      <c r="U46" s="1549">
        <f>[37]Pem.per.RS!Q103</f>
        <v>0</v>
      </c>
      <c r="V46" s="1552">
        <f t="shared" si="7"/>
        <v>250000000</v>
      </c>
      <c r="W46" s="662">
        <f>V46-H46</f>
        <v>0</v>
      </c>
    </row>
    <row r="47" spans="1:23" s="263" customFormat="1" ht="15.75">
      <c r="B47" s="1585">
        <v>7</v>
      </c>
      <c r="C47" s="2982" t="s">
        <v>279</v>
      </c>
      <c r="D47" s="2986"/>
      <c r="E47" s="1579"/>
      <c r="F47" s="1572"/>
      <c r="G47" s="1573">
        <f>SUM(G48:G59)</f>
        <v>23161889900</v>
      </c>
      <c r="H47" s="1573">
        <f>SUM(H48:H59)</f>
        <v>15044411000</v>
      </c>
      <c r="I47" s="1573">
        <f>SUM(I48:I59)</f>
        <v>14335754232</v>
      </c>
      <c r="J47" s="1573">
        <f>SUM(J48:J59)</f>
        <v>13603014029</v>
      </c>
      <c r="K47" s="1573">
        <f>SUM(K48:K59)</f>
        <v>1441396971</v>
      </c>
      <c r="L47" s="1574"/>
      <c r="M47" s="1575"/>
      <c r="N47" s="1574"/>
      <c r="O47" s="1575"/>
      <c r="P47" s="1549"/>
      <c r="Q47" s="1577"/>
      <c r="R47" s="1577"/>
      <c r="S47" s="1577"/>
      <c r="T47" s="1577"/>
      <c r="U47" s="1577"/>
      <c r="V47" s="1552">
        <f t="shared" si="7"/>
        <v>0</v>
      </c>
      <c r="W47" s="662"/>
    </row>
    <row r="48" spans="1:23" s="263" customFormat="1" ht="30">
      <c r="B48" s="1585"/>
      <c r="C48" s="1590"/>
      <c r="D48" s="1591" t="s">
        <v>739</v>
      </c>
      <c r="E48" s="1558" t="s">
        <v>741</v>
      </c>
      <c r="F48" s="1566" t="s">
        <v>558</v>
      </c>
      <c r="G48" s="1567">
        <v>2245926000</v>
      </c>
      <c r="H48" s="745">
        <v>1000000000</v>
      </c>
      <c r="I48" s="745">
        <v>606771724</v>
      </c>
      <c r="J48" s="745">
        <f>PPAS!G47</f>
        <v>833571724</v>
      </c>
      <c r="K48" s="742">
        <f t="shared" ref="K48:K59" si="12">H48-J48</f>
        <v>166428276</v>
      </c>
      <c r="L48" s="1592" t="s">
        <v>874</v>
      </c>
      <c r="M48" s="1571" t="s">
        <v>892</v>
      </c>
      <c r="N48" s="1592" t="s">
        <v>874</v>
      </c>
      <c r="O48" s="1571" t="s">
        <v>892</v>
      </c>
      <c r="P48" s="1549">
        <f>[37]IGD!L85</f>
        <v>0</v>
      </c>
      <c r="Q48" s="1550">
        <f>[37]IGD!M85</f>
        <v>0</v>
      </c>
      <c r="R48" s="1550">
        <f>[37]IGD!N85</f>
        <v>0</v>
      </c>
      <c r="S48" s="1550">
        <f>[37]IGD!O85</f>
        <v>1000000000</v>
      </c>
      <c r="T48" s="1550">
        <f>[37]IGD!P85</f>
        <v>0</v>
      </c>
      <c r="U48" s="1550">
        <f>[37]IGD!Q85</f>
        <v>0</v>
      </c>
      <c r="V48" s="1552">
        <f t="shared" si="7"/>
        <v>1000000000</v>
      </c>
      <c r="W48" s="662">
        <f t="shared" ref="W48:W59" si="13">V48-H48</f>
        <v>0</v>
      </c>
    </row>
    <row r="49" spans="2:23" s="263" customFormat="1" ht="30" hidden="1">
      <c r="B49" s="1585"/>
      <c r="C49" s="1590"/>
      <c r="D49" s="1591"/>
      <c r="E49" s="1558"/>
      <c r="F49" s="1566"/>
      <c r="G49" s="1567"/>
      <c r="H49" s="745"/>
      <c r="I49" s="745"/>
      <c r="J49" s="745"/>
      <c r="K49" s="742"/>
      <c r="L49" s="1592" t="s">
        <v>1508</v>
      </c>
      <c r="M49" s="1571" t="s">
        <v>1509</v>
      </c>
      <c r="N49" s="1592"/>
      <c r="O49" s="1571"/>
      <c r="P49" s="1549"/>
      <c r="Q49" s="1550"/>
      <c r="R49" s="1550"/>
      <c r="S49" s="1550"/>
      <c r="T49" s="1550"/>
      <c r="U49" s="1550"/>
      <c r="V49" s="1552"/>
      <c r="W49" s="662"/>
    </row>
    <row r="50" spans="2:23" s="263" customFormat="1" ht="60" hidden="1">
      <c r="B50" s="1585"/>
      <c r="C50" s="1590"/>
      <c r="D50" s="1591"/>
      <c r="E50" s="1558"/>
      <c r="F50" s="1566"/>
      <c r="G50" s="1567"/>
      <c r="H50" s="745"/>
      <c r="I50" s="745"/>
      <c r="J50" s="745"/>
      <c r="K50" s="742"/>
      <c r="L50" s="1592" t="s">
        <v>1510</v>
      </c>
      <c r="M50" s="1593" t="s">
        <v>1511</v>
      </c>
      <c r="N50" s="1592"/>
      <c r="O50" s="1571"/>
      <c r="P50" s="1549"/>
      <c r="Q50" s="1550"/>
      <c r="R50" s="1550"/>
      <c r="S50" s="1550"/>
      <c r="T50" s="1550"/>
      <c r="U50" s="1550"/>
      <c r="V50" s="1552"/>
      <c r="W50" s="662"/>
    </row>
    <row r="51" spans="2:23" s="263" customFormat="1" ht="15.75" hidden="1">
      <c r="B51" s="1585"/>
      <c r="C51" s="1590"/>
      <c r="D51" s="1591"/>
      <c r="E51" s="1558"/>
      <c r="F51" s="1566"/>
      <c r="G51" s="1567"/>
      <c r="H51" s="745"/>
      <c r="I51" s="745"/>
      <c r="J51" s="745"/>
      <c r="K51" s="742"/>
      <c r="L51" s="1592" t="s">
        <v>1512</v>
      </c>
      <c r="M51" s="1593"/>
      <c r="N51" s="1592"/>
      <c r="O51" s="1571"/>
      <c r="P51" s="1549"/>
      <c r="Q51" s="1550"/>
      <c r="R51" s="1550"/>
      <c r="S51" s="1550"/>
      <c r="T51" s="1550"/>
      <c r="U51" s="1550"/>
      <c r="V51" s="1552"/>
      <c r="W51" s="662"/>
    </row>
    <row r="52" spans="2:23" s="263" customFormat="1" ht="35.25" customHeight="1">
      <c r="B52" s="1585"/>
      <c r="C52" s="794"/>
      <c r="D52" s="1580" t="s">
        <v>323</v>
      </c>
      <c r="E52" s="1558" t="s">
        <v>740</v>
      </c>
      <c r="F52" s="1566" t="s">
        <v>558</v>
      </c>
      <c r="G52" s="1567">
        <v>6141139580</v>
      </c>
      <c r="H52" s="749">
        <v>4000000000</v>
      </c>
      <c r="I52" s="749">
        <v>1036961476</v>
      </c>
      <c r="J52" s="749">
        <f>PPAS!G48</f>
        <v>1042961476</v>
      </c>
      <c r="K52" s="1594">
        <f t="shared" si="12"/>
        <v>2957038524</v>
      </c>
      <c r="L52" s="771" t="s">
        <v>1513</v>
      </c>
      <c r="M52" s="1595" t="s">
        <v>1514</v>
      </c>
      <c r="N52" s="771" t="s">
        <v>1515</v>
      </c>
      <c r="O52" s="776" t="s">
        <v>890</v>
      </c>
      <c r="P52" s="1549">
        <f>[37]COT!L53</f>
        <v>0</v>
      </c>
      <c r="Q52" s="1550">
        <f>[37]COT!M53</f>
        <v>0</v>
      </c>
      <c r="R52" s="1550">
        <f>[37]COT!N53</f>
        <v>0</v>
      </c>
      <c r="S52" s="1550">
        <f>[37]COT!O53</f>
        <v>4000000000</v>
      </c>
      <c r="T52" s="1550">
        <f>[37]COT!P53</f>
        <v>0</v>
      </c>
      <c r="U52" s="1550">
        <f>[37]COT!Q53</f>
        <v>0</v>
      </c>
      <c r="V52" s="1552">
        <f t="shared" si="7"/>
        <v>4000000000</v>
      </c>
      <c r="W52" s="662">
        <f t="shared" si="13"/>
        <v>0</v>
      </c>
    </row>
    <row r="53" spans="2:23" s="263" customFormat="1" ht="15.75" hidden="1">
      <c r="B53" s="1585"/>
      <c r="C53" s="794"/>
      <c r="D53" s="1580"/>
      <c r="E53" s="1558"/>
      <c r="F53" s="1566"/>
      <c r="G53" s="1567"/>
      <c r="H53" s="749"/>
      <c r="I53" s="749"/>
      <c r="J53" s="749"/>
      <c r="K53" s="1594"/>
      <c r="L53" s="2992" t="s">
        <v>1516</v>
      </c>
      <c r="M53" s="2993"/>
      <c r="N53" s="771"/>
      <c r="O53" s="776"/>
      <c r="P53" s="1549"/>
      <c r="Q53" s="1550"/>
      <c r="R53" s="1550"/>
      <c r="S53" s="1550"/>
      <c r="T53" s="1550"/>
      <c r="U53" s="1550"/>
      <c r="V53" s="1552"/>
      <c r="W53" s="662"/>
    </row>
    <row r="54" spans="2:23" s="263" customFormat="1" ht="27" customHeight="1">
      <c r="B54" s="1585"/>
      <c r="C54" s="794"/>
      <c r="D54" s="1580" t="s">
        <v>324</v>
      </c>
      <c r="E54" s="1558" t="s">
        <v>570</v>
      </c>
      <c r="F54" s="1566" t="s">
        <v>558</v>
      </c>
      <c r="G54" s="1567">
        <v>4356463000</v>
      </c>
      <c r="H54" s="749">
        <v>2000000000</v>
      </c>
      <c r="I54" s="749">
        <v>2804840139</v>
      </c>
      <c r="J54" s="749">
        <f>PPAS!G49</f>
        <v>2807542879</v>
      </c>
      <c r="K54" s="1594">
        <f t="shared" si="12"/>
        <v>-807542879</v>
      </c>
      <c r="L54" s="771" t="s">
        <v>1517</v>
      </c>
      <c r="M54" s="1595" t="s">
        <v>1518</v>
      </c>
      <c r="N54" s="2992" t="s">
        <v>1519</v>
      </c>
      <c r="O54" s="2993"/>
      <c r="P54" s="1549">
        <f>[37]I.Anak!L43</f>
        <v>0</v>
      </c>
      <c r="Q54" s="1550">
        <f>[37]I.Anak!M43</f>
        <v>0</v>
      </c>
      <c r="R54" s="1550">
        <f>[37]I.Anak!N43</f>
        <v>0</v>
      </c>
      <c r="S54" s="1550">
        <f>[37]I.Anak!O43</f>
        <v>2000000000</v>
      </c>
      <c r="T54" s="1550">
        <f>[37]I.Anak!P43</f>
        <v>0</v>
      </c>
      <c r="U54" s="1550">
        <f>[37]I.Anak!Q43</f>
        <v>0</v>
      </c>
      <c r="V54" s="1552">
        <f t="shared" si="7"/>
        <v>2000000000</v>
      </c>
      <c r="W54" s="662">
        <f t="shared" si="13"/>
        <v>0</v>
      </c>
    </row>
    <row r="55" spans="2:23" s="263" customFormat="1" ht="15.75">
      <c r="B55" s="1585"/>
      <c r="C55" s="794"/>
      <c r="D55" s="1580" t="s">
        <v>325</v>
      </c>
      <c r="E55" s="1558" t="s">
        <v>818</v>
      </c>
      <c r="F55" s="1566" t="s">
        <v>558</v>
      </c>
      <c r="G55" s="1567"/>
      <c r="H55" s="749">
        <v>1610492040</v>
      </c>
      <c r="I55" s="749">
        <v>786955000</v>
      </c>
      <c r="J55" s="749">
        <f>PPAS!G50</f>
        <v>1305331620</v>
      </c>
      <c r="K55" s="1594">
        <f t="shared" si="12"/>
        <v>305160420</v>
      </c>
      <c r="L55" s="2984"/>
      <c r="M55" s="2985"/>
      <c r="N55" s="2984" t="s">
        <v>1520</v>
      </c>
      <c r="O55" s="2985"/>
      <c r="P55" s="1549">
        <f>[37]I.Dewasa!L55</f>
        <v>0</v>
      </c>
      <c r="Q55" s="1550">
        <f>[37]I.Dewasa!M55</f>
        <v>0</v>
      </c>
      <c r="R55" s="1550">
        <f>[37]I.Dewasa!N55</f>
        <v>0</v>
      </c>
      <c r="S55" s="1550">
        <f>[37]I.Dewasa!O55</f>
        <v>1610492040</v>
      </c>
      <c r="T55" s="1550">
        <f>[37]I.Dewasa!P55</f>
        <v>0</v>
      </c>
      <c r="U55" s="1550">
        <f>[37]I.Dewasa!Q55</f>
        <v>0</v>
      </c>
      <c r="V55" s="1552">
        <f t="shared" si="7"/>
        <v>1610492040</v>
      </c>
      <c r="W55" s="662">
        <f t="shared" si="13"/>
        <v>0</v>
      </c>
    </row>
    <row r="56" spans="2:23" s="263" customFormat="1" ht="24" customHeight="1">
      <c r="B56" s="1585"/>
      <c r="C56" s="794"/>
      <c r="D56" s="1580" t="s">
        <v>326</v>
      </c>
      <c r="E56" s="1558" t="s">
        <v>819</v>
      </c>
      <c r="F56" s="1566" t="s">
        <v>558</v>
      </c>
      <c r="G56" s="1567">
        <v>3559595720</v>
      </c>
      <c r="H56" s="749">
        <v>2433918960</v>
      </c>
      <c r="I56" s="749">
        <v>1814055889</v>
      </c>
      <c r="J56" s="749">
        <f>PPAS!G51</f>
        <v>1464376529</v>
      </c>
      <c r="K56" s="1594">
        <f t="shared" si="12"/>
        <v>969542431</v>
      </c>
      <c r="L56" s="1596" t="s">
        <v>1521</v>
      </c>
      <c r="M56" s="776" t="s">
        <v>891</v>
      </c>
      <c r="N56" s="1596" t="s">
        <v>1522</v>
      </c>
      <c r="O56" s="776" t="s">
        <v>891</v>
      </c>
      <c r="P56" s="1549">
        <f>[37]R.Jalan!L153</f>
        <v>0</v>
      </c>
      <c r="Q56" s="1550">
        <f>[37]R.Jalan!M153</f>
        <v>0</v>
      </c>
      <c r="R56" s="1550">
        <f>[37]R.Jalan!N153</f>
        <v>0</v>
      </c>
      <c r="S56" s="1550">
        <f>[37]R.Jalan!O153</f>
        <v>2433918960</v>
      </c>
      <c r="T56" s="1550">
        <f>[37]R.Jalan!P153</f>
        <v>0</v>
      </c>
      <c r="U56" s="1550">
        <f>[37]R.Jalan!Q153</f>
        <v>0</v>
      </c>
      <c r="V56" s="1552">
        <f t="shared" si="7"/>
        <v>2433918960</v>
      </c>
      <c r="W56" s="662">
        <f t="shared" si="13"/>
        <v>0</v>
      </c>
    </row>
    <row r="57" spans="2:23" s="263" customFormat="1" ht="15.75" hidden="1">
      <c r="B57" s="1585"/>
      <c r="C57" s="1597"/>
      <c r="D57" s="1598"/>
      <c r="E57" s="1599"/>
      <c r="F57" s="1600"/>
      <c r="G57" s="1601"/>
      <c r="H57" s="1602"/>
      <c r="I57" s="1602"/>
      <c r="J57" s="1602"/>
      <c r="K57" s="1521"/>
      <c r="L57" s="2966" t="s">
        <v>1523</v>
      </c>
      <c r="M57" s="2967"/>
      <c r="N57" s="1603"/>
      <c r="O57" s="1604"/>
      <c r="P57" s="1549"/>
      <c r="Q57" s="1550"/>
      <c r="R57" s="1550"/>
      <c r="S57" s="1550"/>
      <c r="T57" s="1550"/>
      <c r="U57" s="1550"/>
      <c r="V57" s="1552"/>
      <c r="W57" s="662"/>
    </row>
    <row r="58" spans="2:23" s="263" customFormat="1" ht="123" hidden="1" customHeight="1">
      <c r="B58" s="1585"/>
      <c r="C58" s="1597"/>
      <c r="D58" s="1598"/>
      <c r="E58" s="1599"/>
      <c r="F58" s="1600"/>
      <c r="G58" s="1601"/>
      <c r="H58" s="1602"/>
      <c r="I58" s="1602"/>
      <c r="J58" s="1602"/>
      <c r="K58" s="1521"/>
      <c r="L58" s="1605" t="s">
        <v>1524</v>
      </c>
      <c r="M58" s="1606" t="s">
        <v>1525</v>
      </c>
      <c r="N58" s="1603"/>
      <c r="O58" s="1604"/>
      <c r="P58" s="1549"/>
      <c r="Q58" s="1550"/>
      <c r="R58" s="1550"/>
      <c r="S58" s="1550"/>
      <c r="T58" s="1550"/>
      <c r="U58" s="1550"/>
      <c r="V58" s="1552"/>
      <c r="W58" s="662"/>
    </row>
    <row r="59" spans="2:23" s="263" customFormat="1" ht="15.75">
      <c r="B59" s="2987"/>
      <c r="C59" s="1597"/>
      <c r="D59" s="2990" t="s">
        <v>327</v>
      </c>
      <c r="E59" s="1599" t="s">
        <v>820</v>
      </c>
      <c r="F59" s="1600" t="s">
        <v>558</v>
      </c>
      <c r="G59" s="1601">
        <v>6858765600</v>
      </c>
      <c r="H59" s="1602">
        <v>4000000000</v>
      </c>
      <c r="I59" s="1602">
        <v>7286170004</v>
      </c>
      <c r="J59" s="1602">
        <f>PPAS!G52</f>
        <v>6149229801</v>
      </c>
      <c r="K59" s="1521">
        <f t="shared" si="12"/>
        <v>-2149229801</v>
      </c>
      <c r="L59" s="1603" t="s">
        <v>1526</v>
      </c>
      <c r="M59" s="1607" t="s">
        <v>1142</v>
      </c>
      <c r="N59" s="1603" t="s">
        <v>1526</v>
      </c>
      <c r="O59" s="1607" t="s">
        <v>1137</v>
      </c>
      <c r="P59" s="1549">
        <f>[37]R.Inap!L155</f>
        <v>0</v>
      </c>
      <c r="Q59" s="1550">
        <f>[37]R.Inap!M155</f>
        <v>0</v>
      </c>
      <c r="R59" s="1550">
        <f>[37]R.Inap!N155</f>
        <v>0</v>
      </c>
      <c r="S59" s="1550">
        <f>[37]R.Inap!O155</f>
        <v>4000000000</v>
      </c>
      <c r="T59" s="1550">
        <f>[37]R.Inap!P155</f>
        <v>0</v>
      </c>
      <c r="U59" s="1550">
        <f>[37]R.Inap!Q155</f>
        <v>0</v>
      </c>
      <c r="V59" s="1552">
        <f t="shared" si="7"/>
        <v>4000000000</v>
      </c>
      <c r="W59" s="662">
        <f t="shared" si="13"/>
        <v>0</v>
      </c>
    </row>
    <row r="60" spans="2:23" s="263" customFormat="1" ht="27" customHeight="1">
      <c r="B60" s="2988"/>
      <c r="C60" s="1608"/>
      <c r="D60" s="2991"/>
      <c r="E60" s="1609"/>
      <c r="F60" s="1610"/>
      <c r="G60" s="1611"/>
      <c r="H60" s="1612"/>
      <c r="I60" s="1612"/>
      <c r="J60" s="1612"/>
      <c r="K60" s="1613"/>
      <c r="L60" s="1614" t="s">
        <v>1527</v>
      </c>
      <c r="M60" s="1615" t="s">
        <v>1143</v>
      </c>
      <c r="N60" s="1614" t="s">
        <v>1527</v>
      </c>
      <c r="O60" s="1615" t="s">
        <v>1136</v>
      </c>
      <c r="P60" s="1549"/>
      <c r="Q60" s="1550"/>
      <c r="R60" s="1550"/>
      <c r="S60" s="1550"/>
      <c r="T60" s="1550"/>
      <c r="U60" s="1550"/>
      <c r="V60" s="1552"/>
      <c r="W60" s="662"/>
    </row>
    <row r="61" spans="2:23" s="263" customFormat="1" ht="15.75" hidden="1">
      <c r="B61" s="1585"/>
      <c r="C61" s="1608"/>
      <c r="D61" s="1616"/>
      <c r="E61" s="1609"/>
      <c r="F61" s="1610"/>
      <c r="G61" s="1611"/>
      <c r="H61" s="1612"/>
      <c r="I61" s="1612"/>
      <c r="J61" s="1612"/>
      <c r="K61" s="1613"/>
      <c r="L61" s="2966" t="s">
        <v>1528</v>
      </c>
      <c r="M61" s="2967"/>
      <c r="N61" s="1614"/>
      <c r="O61" s="1615"/>
      <c r="P61" s="1549"/>
      <c r="Q61" s="1550"/>
      <c r="R61" s="1550"/>
      <c r="S61" s="1550"/>
      <c r="T61" s="1550"/>
      <c r="U61" s="1550"/>
      <c r="V61" s="1552"/>
      <c r="W61" s="662"/>
    </row>
    <row r="62" spans="2:23" s="263" customFormat="1" ht="90" hidden="1">
      <c r="B62" s="1585"/>
      <c r="C62" s="1608"/>
      <c r="D62" s="1616"/>
      <c r="E62" s="1609"/>
      <c r="F62" s="1610"/>
      <c r="G62" s="1611"/>
      <c r="H62" s="1612"/>
      <c r="I62" s="1612"/>
      <c r="J62" s="1612"/>
      <c r="K62" s="1613"/>
      <c r="L62" s="1617" t="s">
        <v>1529</v>
      </c>
      <c r="M62" s="1618" t="s">
        <v>1530</v>
      </c>
      <c r="N62" s="1614"/>
      <c r="O62" s="1615"/>
      <c r="P62" s="1549"/>
      <c r="Q62" s="1550"/>
      <c r="R62" s="1550"/>
      <c r="S62" s="1550"/>
      <c r="T62" s="1550"/>
      <c r="U62" s="1550"/>
      <c r="V62" s="1552"/>
      <c r="W62" s="662"/>
    </row>
    <row r="63" spans="2:23" s="263" customFormat="1" ht="36.75" customHeight="1">
      <c r="B63" s="1585">
        <v>8</v>
      </c>
      <c r="C63" s="2982" t="s">
        <v>263</v>
      </c>
      <c r="D63" s="2986"/>
      <c r="E63" s="1579"/>
      <c r="F63" s="1572"/>
      <c r="G63" s="1573">
        <f>SUM(G64:G66)</f>
        <v>6138198140</v>
      </c>
      <c r="H63" s="1573">
        <f>SUM(H64:H66)</f>
        <v>2991767500</v>
      </c>
      <c r="I63" s="1573">
        <f>SUM(I64:I66)</f>
        <v>1316621409</v>
      </c>
      <c r="J63" s="1573">
        <f>SUM(J64:J66)</f>
        <v>85840000</v>
      </c>
      <c r="K63" s="1573">
        <f>SUM(K64:K66)</f>
        <v>2905927500</v>
      </c>
      <c r="L63" s="1574"/>
      <c r="M63" s="1575"/>
      <c r="N63" s="1574"/>
      <c r="O63" s="1575"/>
      <c r="P63" s="1549"/>
      <c r="Q63" s="1577"/>
      <c r="R63" s="1577"/>
      <c r="S63" s="1577"/>
      <c r="T63" s="1577"/>
      <c r="U63" s="1577"/>
      <c r="V63" s="1552">
        <f t="shared" si="7"/>
        <v>0</v>
      </c>
      <c r="W63" s="662"/>
    </row>
    <row r="64" spans="2:23" s="263" customFormat="1" ht="30">
      <c r="B64" s="1585"/>
      <c r="C64" s="794"/>
      <c r="D64" s="1580" t="s">
        <v>330</v>
      </c>
      <c r="E64" s="1558" t="s">
        <v>821</v>
      </c>
      <c r="F64" s="1566" t="s">
        <v>558</v>
      </c>
      <c r="G64" s="1567">
        <v>5587291620</v>
      </c>
      <c r="H64" s="745">
        <v>2316767500</v>
      </c>
      <c r="I64" s="745">
        <v>810368409</v>
      </c>
      <c r="J64" s="745">
        <f>PPAS!G54</f>
        <v>0</v>
      </c>
      <c r="K64" s="742">
        <f t="shared" ref="K64:K65" si="14">H64-J64</f>
        <v>2316767500</v>
      </c>
      <c r="L64" s="2992" t="s">
        <v>1531</v>
      </c>
      <c r="M64" s="2993"/>
      <c r="N64" s="771" t="s">
        <v>1521</v>
      </c>
      <c r="O64" s="1571" t="s">
        <v>890</v>
      </c>
      <c r="P64" s="1549">
        <f>[37]Radiologi!L39</f>
        <v>0</v>
      </c>
      <c r="Q64" s="1550">
        <f>[37]Radiologi!M39</f>
        <v>0</v>
      </c>
      <c r="R64" s="1550">
        <f>[37]Radiologi!N39</f>
        <v>2316767500</v>
      </c>
      <c r="S64" s="1550">
        <f>[37]Radiologi!O39</f>
        <v>0</v>
      </c>
      <c r="T64" s="1550">
        <f>[37]Radiologi!P39</f>
        <v>0</v>
      </c>
      <c r="U64" s="1550">
        <f>[37]Radiologi!Q39</f>
        <v>0</v>
      </c>
      <c r="V64" s="1552">
        <f t="shared" si="7"/>
        <v>2316767500</v>
      </c>
      <c r="W64" s="662">
        <f>V64-H64</f>
        <v>0</v>
      </c>
    </row>
    <row r="65" spans="1:25" s="263" customFormat="1" ht="15.75">
      <c r="B65" s="1585"/>
      <c r="C65" s="794"/>
      <c r="D65" s="1619" t="s">
        <v>264</v>
      </c>
      <c r="E65" s="1558" t="s">
        <v>822</v>
      </c>
      <c r="F65" s="1566" t="s">
        <v>558</v>
      </c>
      <c r="G65" s="1567">
        <v>204750000</v>
      </c>
      <c r="H65" s="749">
        <v>500000000</v>
      </c>
      <c r="I65" s="749">
        <v>300000000</v>
      </c>
      <c r="J65" s="745">
        <f>PPAS!G55</f>
        <v>0</v>
      </c>
      <c r="K65" s="742">
        <f t="shared" si="14"/>
        <v>500000000</v>
      </c>
      <c r="L65" s="2984" t="s">
        <v>1532</v>
      </c>
      <c r="M65" s="2985"/>
      <c r="N65" s="2984" t="s">
        <v>886</v>
      </c>
      <c r="O65" s="2985"/>
      <c r="P65" s="1549">
        <f>[37]Gizi!L44</f>
        <v>0</v>
      </c>
      <c r="Q65" s="1550">
        <f>[37]Gizi!M44</f>
        <v>0</v>
      </c>
      <c r="R65" s="1550">
        <f>[37]Gizi!N44</f>
        <v>500000000</v>
      </c>
      <c r="S65" s="1550">
        <f>[37]Gizi!O44</f>
        <v>0</v>
      </c>
      <c r="T65" s="1550">
        <f>[37]Gizi!P44</f>
        <v>0</v>
      </c>
      <c r="U65" s="1550">
        <f>[37]Gizi!Q44</f>
        <v>0</v>
      </c>
      <c r="V65" s="1552">
        <f t="shared" si="7"/>
        <v>500000000</v>
      </c>
      <c r="W65" s="662">
        <f>V65-H65</f>
        <v>0</v>
      </c>
    </row>
    <row r="66" spans="1:25" s="263" customFormat="1" ht="15.75">
      <c r="B66" s="1585"/>
      <c r="C66" s="794"/>
      <c r="D66" s="1619" t="s">
        <v>571</v>
      </c>
      <c r="E66" s="1558" t="s">
        <v>823</v>
      </c>
      <c r="F66" s="1566" t="s">
        <v>558</v>
      </c>
      <c r="G66" s="1567">
        <v>346156520</v>
      </c>
      <c r="H66" s="745">
        <v>175000000</v>
      </c>
      <c r="I66" s="745">
        <v>206253000</v>
      </c>
      <c r="J66" s="745">
        <f>PPAS!G56</f>
        <v>85840000</v>
      </c>
      <c r="K66" s="742">
        <f>H66-J66</f>
        <v>89160000</v>
      </c>
      <c r="L66" s="1570" t="s">
        <v>725</v>
      </c>
      <c r="M66" s="1571" t="s">
        <v>1135</v>
      </c>
      <c r="N66" s="1570" t="s">
        <v>725</v>
      </c>
      <c r="O66" s="1571" t="s">
        <v>1135</v>
      </c>
      <c r="P66" s="1549">
        <f>[37]Laundry!L55</f>
        <v>0</v>
      </c>
      <c r="Q66" s="1550">
        <f>[37]Laundry!M55</f>
        <v>0</v>
      </c>
      <c r="R66" s="1550">
        <f>[37]Laundry!N55</f>
        <v>175000000</v>
      </c>
      <c r="S66" s="1550">
        <f>[37]Laundry!O55</f>
        <v>0</v>
      </c>
      <c r="T66" s="1550">
        <f>[37]Laundry!P55</f>
        <v>0</v>
      </c>
      <c r="U66" s="1550">
        <f>[37]Laundry!Q55</f>
        <v>0</v>
      </c>
      <c r="V66" s="1552">
        <f t="shared" si="7"/>
        <v>175000000</v>
      </c>
      <c r="W66" s="662">
        <f>V66-H66</f>
        <v>0</v>
      </c>
    </row>
    <row r="67" spans="1:25" s="263" customFormat="1" ht="15.75" hidden="1">
      <c r="B67" s="1585"/>
      <c r="C67" s="794"/>
      <c r="D67" s="1619"/>
      <c r="E67" s="1558"/>
      <c r="F67" s="1566"/>
      <c r="G67" s="1567"/>
      <c r="H67" s="745"/>
      <c r="I67" s="745"/>
      <c r="J67" s="745"/>
      <c r="K67" s="742"/>
      <c r="L67" s="1570" t="s">
        <v>1533</v>
      </c>
      <c r="M67" s="1571"/>
      <c r="N67" s="1570"/>
      <c r="O67" s="1571"/>
      <c r="P67" s="1549"/>
      <c r="Q67" s="1550"/>
      <c r="R67" s="1550"/>
      <c r="S67" s="1550"/>
      <c r="T67" s="1550"/>
      <c r="U67" s="1550"/>
      <c r="V67" s="1552"/>
      <c r="W67" s="662"/>
    </row>
    <row r="68" spans="1:25" s="263" customFormat="1" ht="15.75">
      <c r="B68" s="1585">
        <v>9</v>
      </c>
      <c r="C68" s="2982" t="s">
        <v>572</v>
      </c>
      <c r="D68" s="2989"/>
      <c r="E68" s="1558"/>
      <c r="F68" s="1566"/>
      <c r="G68" s="1573">
        <f>SUM(G69)</f>
        <v>1388778920</v>
      </c>
      <c r="H68" s="1573">
        <f>SUM(H69)</f>
        <v>1500000000</v>
      </c>
      <c r="I68" s="1573">
        <f>SUM(I69)</f>
        <v>2051930000</v>
      </c>
      <c r="J68" s="1573">
        <f>SUM(J69)</f>
        <v>1789409266</v>
      </c>
      <c r="K68" s="1573">
        <f>SUM(K69)</f>
        <v>-289409266</v>
      </c>
      <c r="L68" s="1574"/>
      <c r="M68" s="1575"/>
      <c r="N68" s="1574"/>
      <c r="O68" s="1575"/>
      <c r="P68" s="1549"/>
      <c r="Q68" s="1577"/>
      <c r="R68" s="1577"/>
      <c r="S68" s="1577"/>
      <c r="T68" s="1577"/>
      <c r="U68" s="1577"/>
      <c r="V68" s="1552">
        <f t="shared" si="7"/>
        <v>0</v>
      </c>
      <c r="W68" s="662"/>
    </row>
    <row r="69" spans="1:25" s="263" customFormat="1" ht="30" customHeight="1">
      <c r="B69" s="1585"/>
      <c r="C69" s="1590"/>
      <c r="D69" s="1591" t="s">
        <v>573</v>
      </c>
      <c r="E69" s="1558" t="s">
        <v>806</v>
      </c>
      <c r="F69" s="1566" t="s">
        <v>558</v>
      </c>
      <c r="G69" s="1567">
        <v>1388778920</v>
      </c>
      <c r="H69" s="745">
        <v>1500000000</v>
      </c>
      <c r="I69" s="745">
        <v>2051930000</v>
      </c>
      <c r="J69" s="745">
        <f>PPAS!G58</f>
        <v>1789409266</v>
      </c>
      <c r="K69" s="742">
        <f>H69-J69</f>
        <v>-289409266</v>
      </c>
      <c r="L69" s="2966" t="s">
        <v>887</v>
      </c>
      <c r="M69" s="2967"/>
      <c r="N69" s="2966" t="s">
        <v>887</v>
      </c>
      <c r="O69" s="2967"/>
      <c r="P69" s="1549">
        <f>[37]pelatihan!L114</f>
        <v>0</v>
      </c>
      <c r="Q69" s="1549">
        <f>[37]pelatihan!M114</f>
        <v>1500000000</v>
      </c>
      <c r="R69" s="1549">
        <f>[37]pelatihan!N114</f>
        <v>0</v>
      </c>
      <c r="S69" s="1549">
        <f>[37]pelatihan!O114</f>
        <v>0</v>
      </c>
      <c r="T69" s="1549">
        <f>[37]pelatihan!P114</f>
        <v>0</v>
      </c>
      <c r="U69" s="1549">
        <f>[37]pelatihan!Q114</f>
        <v>0</v>
      </c>
      <c r="V69" s="1552">
        <f>SUM(P69:U69)</f>
        <v>1500000000</v>
      </c>
      <c r="W69" s="662">
        <f>V69-H69</f>
        <v>0</v>
      </c>
    </row>
    <row r="70" spans="1:25" s="263" customFormat="1" ht="30" customHeight="1">
      <c r="B70" s="1585">
        <v>10</v>
      </c>
      <c r="C70" s="2982" t="s">
        <v>574</v>
      </c>
      <c r="D70" s="2986"/>
      <c r="E70" s="1558"/>
      <c r="F70" s="1572"/>
      <c r="G70" s="1573">
        <f>SUM(G71)</f>
        <v>30017562892</v>
      </c>
      <c r="H70" s="1573">
        <f>SUM(H71)</f>
        <v>29918356800</v>
      </c>
      <c r="I70" s="1573">
        <f>SUM(I71)</f>
        <v>29918356800</v>
      </c>
      <c r="J70" s="1573">
        <f>SUM(J71)</f>
        <v>37400500000</v>
      </c>
      <c r="K70" s="1573">
        <f>SUM(K71)</f>
        <v>-7482143200</v>
      </c>
      <c r="L70" s="1574"/>
      <c r="M70" s="1575"/>
      <c r="N70" s="1574"/>
      <c r="O70" s="1575"/>
      <c r="P70" s="1549"/>
      <c r="Q70" s="1577"/>
      <c r="R70" s="1577"/>
      <c r="S70" s="1577"/>
      <c r="T70" s="1577"/>
      <c r="U70" s="1577"/>
      <c r="V70" s="1552">
        <f t="shared" si="7"/>
        <v>0</v>
      </c>
      <c r="W70" s="662"/>
    </row>
    <row r="71" spans="1:25" s="263" customFormat="1" ht="34.5" customHeight="1">
      <c r="B71" s="1585"/>
      <c r="C71" s="794"/>
      <c r="D71" s="1580" t="s">
        <v>329</v>
      </c>
      <c r="E71" s="1558" t="s">
        <v>575</v>
      </c>
      <c r="F71" s="1566" t="s">
        <v>558</v>
      </c>
      <c r="G71" s="1620">
        <v>30017562892</v>
      </c>
      <c r="H71" s="745">
        <v>29918356800</v>
      </c>
      <c r="I71" s="745">
        <v>29918356800</v>
      </c>
      <c r="J71" s="745">
        <f>PPAS!G60</f>
        <v>37400500000</v>
      </c>
      <c r="K71" s="742">
        <f>H71-J71</f>
        <v>-7482143200</v>
      </c>
      <c r="L71" s="2966" t="s">
        <v>879</v>
      </c>
      <c r="M71" s="2967"/>
      <c r="N71" s="2966" t="s">
        <v>879</v>
      </c>
      <c r="O71" s="2967"/>
      <c r="P71" s="1549">
        <f>[37]J.Layanan!L178</f>
        <v>0</v>
      </c>
      <c r="Q71" s="1550">
        <f>[37]J.Layanan!M178</f>
        <v>0</v>
      </c>
      <c r="R71" s="1550">
        <f>[37]J.Layanan!N178</f>
        <v>0</v>
      </c>
      <c r="S71" s="1550">
        <f>[37]J.Layanan!O178</f>
        <v>0</v>
      </c>
      <c r="T71" s="1550">
        <f>[37]J.Layanan!P178</f>
        <v>0</v>
      </c>
      <c r="U71" s="1550">
        <f>[37]J.Layanan!Q178</f>
        <v>29918356800</v>
      </c>
      <c r="V71" s="1552">
        <f t="shared" si="7"/>
        <v>29918356800</v>
      </c>
      <c r="W71" s="662">
        <f>V71-H71</f>
        <v>0</v>
      </c>
    </row>
    <row r="72" spans="1:25" s="271" customFormat="1" ht="30" customHeight="1">
      <c r="A72" s="265"/>
      <c r="B72" s="807"/>
      <c r="C72" s="2956" t="s">
        <v>265</v>
      </c>
      <c r="D72" s="2958"/>
      <c r="E72" s="1540"/>
      <c r="F72" s="1541"/>
      <c r="G72" s="759">
        <f>+G11+G13</f>
        <v>98460655230</v>
      </c>
      <c r="H72" s="759">
        <f>+H11+H13</f>
        <v>95624934812</v>
      </c>
      <c r="I72" s="759">
        <f>+I11+I13</f>
        <v>95624934812</v>
      </c>
      <c r="J72" s="759">
        <f>+J11+J13</f>
        <v>92545738261</v>
      </c>
      <c r="K72" s="759">
        <f>+K11+K13</f>
        <v>3079196551</v>
      </c>
      <c r="L72" s="766"/>
      <c r="M72" s="767"/>
      <c r="N72" s="766"/>
      <c r="O72" s="767"/>
      <c r="P72" s="948">
        <f t="shared" ref="P72:U72" si="15">SUM(P11:P71)</f>
        <v>23355769510</v>
      </c>
      <c r="Q72" s="949">
        <f t="shared" si="15"/>
        <v>13888250002</v>
      </c>
      <c r="R72" s="949">
        <f t="shared" si="15"/>
        <v>13418147500</v>
      </c>
      <c r="S72" s="949">
        <f t="shared" si="15"/>
        <v>15044411000</v>
      </c>
      <c r="T72" s="949">
        <f t="shared" si="15"/>
        <v>0</v>
      </c>
      <c r="U72" s="949">
        <f t="shared" si="15"/>
        <v>29918356800</v>
      </c>
      <c r="V72" s="1542">
        <f>SUM(P72:U72)</f>
        <v>95624934812</v>
      </c>
      <c r="W72" s="662">
        <f>V72-H72</f>
        <v>0</v>
      </c>
      <c r="X72" s="266"/>
      <c r="Y72" s="266"/>
    </row>
    <row r="73" spans="1:25" ht="15.75">
      <c r="B73" s="272"/>
      <c r="H73" s="1178"/>
      <c r="I73" s="1178"/>
      <c r="J73" s="280"/>
      <c r="K73" s="280"/>
      <c r="L73" s="280"/>
      <c r="M73" s="280"/>
      <c r="N73" s="280"/>
      <c r="O73" s="280"/>
      <c r="P73" s="1621">
        <f>14846272623+8509496887</f>
        <v>23355769510</v>
      </c>
      <c r="Q73" s="1622">
        <v>13888250002</v>
      </c>
      <c r="R73" s="1623">
        <f>10426380000+2991767500</f>
        <v>13418147500</v>
      </c>
      <c r="S73" s="1624">
        <v>15044411000</v>
      </c>
      <c r="T73" s="1625"/>
      <c r="U73" s="1623">
        <v>29918356800</v>
      </c>
      <c r="V73" s="1626">
        <f>SUM(P73:U73)</f>
        <v>95624934812</v>
      </c>
    </row>
    <row r="74" spans="1:25" ht="15.75">
      <c r="B74" s="272"/>
      <c r="F74" s="255"/>
      <c r="G74" s="255"/>
      <c r="H74" s="255"/>
      <c r="I74" s="273"/>
      <c r="K74" s="273" t="s">
        <v>1534</v>
      </c>
      <c r="P74" s="1627"/>
      <c r="Q74" s="1628"/>
      <c r="R74" s="1629"/>
      <c r="S74" s="1628"/>
      <c r="T74" s="1628"/>
      <c r="U74" s="1628"/>
      <c r="V74" s="1628"/>
    </row>
    <row r="75" spans="1:25" ht="15.75">
      <c r="B75" s="272"/>
      <c r="F75" s="255"/>
      <c r="G75" s="255"/>
      <c r="H75" s="255"/>
      <c r="I75" s="273"/>
      <c r="K75" s="273" t="s">
        <v>576</v>
      </c>
      <c r="P75" s="1083"/>
      <c r="Q75" s="1630"/>
      <c r="R75" s="1631"/>
      <c r="S75" s="1628"/>
      <c r="T75" s="1628"/>
      <c r="U75" s="1628"/>
      <c r="V75" s="1631"/>
    </row>
    <row r="76" spans="1:25" ht="15.75">
      <c r="B76" s="272"/>
      <c r="F76" s="255"/>
      <c r="G76" s="255"/>
      <c r="H76" s="255"/>
      <c r="I76" s="273"/>
      <c r="K76" s="273" t="s">
        <v>577</v>
      </c>
      <c r="P76" s="1083"/>
      <c r="Q76" s="1628"/>
      <c r="R76" s="1630"/>
      <c r="S76" s="1628"/>
      <c r="T76" s="1628"/>
      <c r="U76" s="1628"/>
      <c r="V76" s="1630"/>
    </row>
    <row r="77" spans="1:25" ht="15.75">
      <c r="B77" s="272"/>
      <c r="F77" s="255"/>
      <c r="G77" s="255"/>
      <c r="H77" s="255"/>
      <c r="I77" s="273"/>
      <c r="K77" s="273"/>
      <c r="P77" s="1083"/>
      <c r="Q77" s="1628"/>
      <c r="R77" s="1628"/>
      <c r="S77" s="1628"/>
      <c r="T77" s="1628"/>
      <c r="U77" s="1628"/>
      <c r="V77" s="1628"/>
    </row>
    <row r="78" spans="1:25" ht="15.75">
      <c r="F78" s="255"/>
      <c r="G78" s="255"/>
      <c r="H78" s="255"/>
      <c r="I78" s="273"/>
      <c r="K78" s="273"/>
      <c r="P78" s="1083"/>
      <c r="Q78" s="1630"/>
      <c r="R78" s="1632"/>
      <c r="S78" s="1631"/>
      <c r="T78" s="1628"/>
      <c r="U78" s="1628"/>
      <c r="V78" s="1628"/>
    </row>
    <row r="79" spans="1:25" ht="15.75">
      <c r="F79" s="255"/>
      <c r="G79" s="255"/>
      <c r="H79" s="255"/>
      <c r="I79" s="273"/>
      <c r="K79" s="273"/>
      <c r="P79" s="1627"/>
      <c r="Q79" s="1633"/>
      <c r="R79" s="1632"/>
      <c r="S79" s="1632"/>
      <c r="T79" s="1628"/>
      <c r="U79" s="1628"/>
      <c r="V79" s="1628"/>
    </row>
    <row r="80" spans="1:25" ht="15.75">
      <c r="F80" s="255"/>
      <c r="G80" s="255"/>
      <c r="H80" s="255"/>
      <c r="I80" s="273"/>
      <c r="K80" s="273"/>
      <c r="P80" s="1627"/>
      <c r="Q80" s="1634"/>
      <c r="R80" s="1628"/>
      <c r="S80" s="1628"/>
      <c r="T80" s="1628"/>
      <c r="U80" s="1628"/>
      <c r="V80" s="1628"/>
    </row>
    <row r="81" spans="1:22" ht="15.75">
      <c r="F81" s="255"/>
      <c r="G81" s="255"/>
      <c r="H81" s="255"/>
      <c r="I81" s="273"/>
      <c r="K81" s="273" t="s">
        <v>904</v>
      </c>
      <c r="P81" s="1627"/>
      <c r="Q81" s="1628"/>
      <c r="R81" s="1628"/>
      <c r="S81" s="1628"/>
      <c r="T81" s="1628"/>
      <c r="U81" s="1628"/>
      <c r="V81" s="1628"/>
    </row>
    <row r="82" spans="1:22" ht="15.75">
      <c r="F82" s="255"/>
      <c r="G82" s="255"/>
      <c r="H82" s="255"/>
      <c r="I82" s="273"/>
      <c r="K82" s="273" t="s">
        <v>906</v>
      </c>
      <c r="P82" s="1627"/>
      <c r="Q82" s="1628"/>
      <c r="R82" s="1628"/>
      <c r="S82" s="1628"/>
      <c r="T82" s="1628"/>
      <c r="U82" s="1630"/>
      <c r="V82" s="1628"/>
    </row>
    <row r="83" spans="1:22" ht="15.75">
      <c r="P83" s="1635"/>
      <c r="Q83" s="1636"/>
      <c r="R83" s="1637"/>
      <c r="S83" s="1628"/>
      <c r="T83" s="1628"/>
      <c r="U83" s="1628"/>
      <c r="V83" s="1628"/>
    </row>
    <row r="84" spans="1:22" ht="15.75">
      <c r="I84" s="539"/>
      <c r="J84" s="1638">
        <v>107297595758</v>
      </c>
      <c r="P84" s="1635"/>
      <c r="Q84" s="1636"/>
      <c r="R84" s="1637"/>
      <c r="S84" s="1628"/>
      <c r="T84" s="1628"/>
      <c r="U84" s="1628"/>
      <c r="V84" s="1630"/>
    </row>
    <row r="85" spans="1:22" ht="15.75">
      <c r="H85" s="1639"/>
      <c r="I85" s="1639"/>
      <c r="J85" s="1639">
        <f>J72-J84</f>
        <v>-14751857497</v>
      </c>
      <c r="K85" s="1639"/>
      <c r="L85" s="1639"/>
      <c r="M85" s="1639"/>
      <c r="N85" s="1639"/>
      <c r="O85" s="1639"/>
      <c r="P85" s="1635"/>
      <c r="Q85" s="1640"/>
      <c r="R85" s="1641"/>
      <c r="S85" s="1642"/>
      <c r="T85" s="1628"/>
      <c r="U85" s="1628"/>
      <c r="V85" s="1628"/>
    </row>
    <row r="86" spans="1:22" s="263" customFormat="1" ht="15.75">
      <c r="A86" s="255"/>
      <c r="B86" s="274"/>
      <c r="C86" s="258"/>
      <c r="D86" s="261"/>
      <c r="E86" s="275"/>
      <c r="F86" s="260"/>
      <c r="G86" s="260"/>
      <c r="H86" s="539"/>
      <c r="I86" s="539"/>
      <c r="J86" s="539"/>
      <c r="K86" s="539"/>
      <c r="L86" s="539"/>
      <c r="M86" s="539"/>
      <c r="N86" s="539"/>
      <c r="O86" s="539"/>
      <c r="P86" s="1635"/>
      <c r="Q86" s="1643"/>
      <c r="R86" s="1637"/>
      <c r="S86" s="1642"/>
      <c r="T86" s="1628"/>
      <c r="U86" s="1628"/>
      <c r="V86" s="1628"/>
    </row>
    <row r="87" spans="1:22" s="263" customFormat="1" ht="15.75">
      <c r="A87" s="255"/>
      <c r="B87" s="274"/>
      <c r="C87" s="258"/>
      <c r="D87" s="261"/>
      <c r="E87" s="275"/>
      <c r="F87" s="260"/>
      <c r="G87" s="260"/>
      <c r="H87" s="1639"/>
      <c r="I87" s="1639"/>
      <c r="J87" s="1639"/>
      <c r="K87" s="1639"/>
      <c r="L87" s="1639"/>
      <c r="M87" s="1639"/>
      <c r="N87" s="1639"/>
      <c r="O87" s="1639"/>
      <c r="P87" s="1627"/>
      <c r="Q87" s="1628"/>
      <c r="R87" s="1628"/>
      <c r="S87" s="1642"/>
      <c r="T87" s="1628"/>
      <c r="U87" s="1628"/>
      <c r="V87" s="1628"/>
    </row>
    <row r="88" spans="1:22" s="263" customFormat="1" ht="15.75">
      <c r="A88" s="255"/>
      <c r="B88" s="274"/>
      <c r="C88" s="258"/>
      <c r="D88" s="261"/>
      <c r="E88" s="259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1627"/>
      <c r="Q88" s="1628"/>
      <c r="R88" s="1628"/>
      <c r="S88" s="1628"/>
      <c r="T88" s="1628"/>
      <c r="U88" s="1628"/>
      <c r="V88" s="1628"/>
    </row>
    <row r="89" spans="1:22" s="263" customFormat="1" ht="15.75">
      <c r="A89" s="255"/>
      <c r="B89" s="274"/>
      <c r="C89" s="258"/>
      <c r="D89" s="282"/>
      <c r="E89" s="1644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1627"/>
      <c r="Q89" s="1628"/>
      <c r="R89" s="1628"/>
      <c r="S89" s="1628"/>
      <c r="T89" s="1628"/>
      <c r="U89" s="1628"/>
      <c r="V89" s="1628"/>
    </row>
    <row r="90" spans="1:22" s="263" customFormat="1" ht="15.75">
      <c r="A90" s="255"/>
      <c r="B90" s="274"/>
      <c r="C90" s="258"/>
      <c r="D90" s="282"/>
      <c r="E90" s="1644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1627"/>
      <c r="Q90" s="1630"/>
      <c r="R90" s="1628"/>
      <c r="S90" s="1628"/>
      <c r="T90" s="1628"/>
      <c r="U90" s="1628"/>
      <c r="V90" s="1628"/>
    </row>
    <row r="91" spans="1:22" s="263" customFormat="1" ht="15.75">
      <c r="A91" s="255"/>
      <c r="B91" s="274"/>
      <c r="C91" s="258"/>
      <c r="D91" s="282"/>
      <c r="E91" s="1645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1627"/>
      <c r="Q91" s="1628"/>
      <c r="R91" s="1628"/>
      <c r="S91" s="1628"/>
      <c r="T91" s="1628"/>
      <c r="U91" s="1628"/>
      <c r="V91" s="1628"/>
    </row>
    <row r="92" spans="1:22" s="263" customFormat="1" ht="15.75">
      <c r="A92" s="255"/>
      <c r="B92" s="274"/>
      <c r="C92" s="258"/>
      <c r="D92" s="282"/>
      <c r="E92" s="1646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1627"/>
      <c r="Q92" s="1628"/>
      <c r="R92" s="1628"/>
      <c r="S92" s="1628"/>
      <c r="T92" s="1628"/>
      <c r="U92" s="1628"/>
      <c r="V92" s="1628"/>
    </row>
    <row r="93" spans="1:22" s="263" customFormat="1" ht="15.75">
      <c r="A93" s="255"/>
      <c r="B93" s="274"/>
      <c r="C93" s="258"/>
      <c r="D93" s="282"/>
      <c r="E93" s="1645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1083"/>
      <c r="Q93" s="1628"/>
      <c r="R93" s="1628"/>
      <c r="S93" s="1628"/>
      <c r="T93" s="1628"/>
      <c r="U93" s="1628"/>
      <c r="V93" s="1628"/>
    </row>
    <row r="94" spans="1:22" s="263" customFormat="1" ht="15.75">
      <c r="A94" s="255"/>
      <c r="B94" s="274"/>
      <c r="C94" s="258"/>
      <c r="D94" s="282"/>
      <c r="E94" s="1645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1627"/>
      <c r="Q94" s="1628"/>
      <c r="R94" s="1628"/>
      <c r="S94" s="1628"/>
      <c r="T94" s="1628"/>
      <c r="U94" s="1628"/>
      <c r="V94" s="1628"/>
    </row>
    <row r="95" spans="1:22" s="263" customFormat="1" ht="15.75">
      <c r="A95" s="255"/>
      <c r="B95" s="274"/>
      <c r="C95" s="258"/>
      <c r="D95" s="283"/>
      <c r="E95" s="1645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1627"/>
      <c r="Q95" s="1628"/>
      <c r="R95" s="1628"/>
      <c r="S95" s="1628"/>
      <c r="T95" s="1628"/>
      <c r="U95" s="1628"/>
      <c r="V95" s="1628"/>
    </row>
    <row r="96" spans="1:22" s="263" customFormat="1" ht="15.75">
      <c r="A96" s="255"/>
      <c r="B96" s="274"/>
      <c r="C96" s="258"/>
      <c r="D96" s="261"/>
      <c r="E96" s="1645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1627"/>
      <c r="Q96" s="1628"/>
      <c r="R96" s="1628"/>
      <c r="S96" s="1628"/>
      <c r="T96" s="1628"/>
      <c r="U96" s="1628"/>
      <c r="V96" s="1628"/>
    </row>
    <row r="97" spans="1:22" s="263" customFormat="1" ht="15.75">
      <c r="A97" s="255"/>
      <c r="B97" s="274"/>
      <c r="C97" s="258"/>
      <c r="D97" s="261"/>
      <c r="E97" s="277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1627"/>
      <c r="Q97" s="1628"/>
      <c r="R97" s="1628"/>
      <c r="S97" s="1628"/>
      <c r="T97" s="1628"/>
      <c r="U97" s="1628"/>
      <c r="V97" s="1628"/>
    </row>
    <row r="98" spans="1:22" s="263" customFormat="1" ht="15.75">
      <c r="A98" s="255"/>
      <c r="B98" s="274"/>
      <c r="C98" s="258"/>
      <c r="D98" s="261"/>
      <c r="E98" s="276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1627"/>
      <c r="Q98" s="1628"/>
      <c r="R98" s="1628"/>
      <c r="S98" s="1628"/>
      <c r="T98" s="1628"/>
      <c r="U98" s="1628"/>
      <c r="V98" s="1628"/>
    </row>
    <row r="99" spans="1:22" s="263" customFormat="1" ht="15.75">
      <c r="A99" s="255"/>
      <c r="B99" s="274"/>
      <c r="C99" s="258"/>
      <c r="D99" s="261"/>
      <c r="E99" s="277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1627"/>
      <c r="Q99" s="1628"/>
      <c r="R99" s="1647"/>
      <c r="S99" s="1628"/>
      <c r="T99" s="1628"/>
      <c r="U99" s="1628"/>
      <c r="V99" s="1628"/>
    </row>
    <row r="100" spans="1:22" s="263" customFormat="1" ht="15.75">
      <c r="A100" s="255"/>
      <c r="B100" s="274"/>
      <c r="C100" s="258"/>
      <c r="D100" s="261"/>
      <c r="E100" s="259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1627"/>
      <c r="Q100" s="1628"/>
      <c r="R100" s="1628"/>
      <c r="S100" s="1628"/>
      <c r="T100" s="1628"/>
      <c r="U100" s="1628"/>
      <c r="V100" s="1628"/>
    </row>
    <row r="101" spans="1:22" s="263" customFormat="1" ht="15.75">
      <c r="A101" s="255"/>
      <c r="B101" s="274"/>
      <c r="C101" s="258"/>
      <c r="D101" s="261"/>
      <c r="E101" s="1645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1627"/>
      <c r="Q101" s="1628"/>
      <c r="R101" s="1628"/>
      <c r="S101" s="1628"/>
      <c r="T101" s="1628"/>
      <c r="U101" s="1628"/>
      <c r="V101" s="1628"/>
    </row>
    <row r="102" spans="1:22" s="263" customFormat="1" ht="15.75">
      <c r="A102" s="255"/>
      <c r="B102" s="274"/>
      <c r="C102" s="258"/>
      <c r="D102" s="261"/>
      <c r="E102" s="277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1627"/>
      <c r="Q102" s="1628"/>
      <c r="R102" s="1628"/>
      <c r="S102" s="1628"/>
      <c r="T102" s="1628"/>
      <c r="U102" s="1628"/>
      <c r="V102" s="1628"/>
    </row>
    <row r="103" spans="1:22" s="263" customFormat="1" ht="15.75">
      <c r="A103" s="255"/>
      <c r="B103" s="274"/>
      <c r="C103" s="258"/>
      <c r="D103" s="261"/>
      <c r="E103" s="738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1627"/>
      <c r="Q103" s="1628"/>
      <c r="R103" s="1628"/>
      <c r="S103" s="1628"/>
      <c r="T103" s="1628"/>
      <c r="U103" s="1628"/>
      <c r="V103" s="1628"/>
    </row>
    <row r="104" spans="1:22" s="263" customFormat="1" ht="15.75">
      <c r="A104" s="255"/>
      <c r="B104" s="274"/>
      <c r="C104" s="258"/>
      <c r="D104" s="261"/>
      <c r="E104" s="259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1627"/>
      <c r="Q104" s="1628"/>
      <c r="R104" s="1628"/>
      <c r="S104" s="1628"/>
      <c r="T104" s="1628"/>
      <c r="U104" s="1628"/>
      <c r="V104" s="1628"/>
    </row>
    <row r="105" spans="1:22" s="263" customFormat="1" ht="15.75">
      <c r="A105" s="255"/>
      <c r="B105" s="274"/>
      <c r="C105" s="258"/>
      <c r="D105" s="261"/>
      <c r="E105" s="1645">
        <v>1451450000</v>
      </c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1627"/>
      <c r="Q105" s="1628"/>
      <c r="R105" s="1628"/>
      <c r="S105" s="1628"/>
      <c r="T105" s="1628"/>
      <c r="U105" s="1628"/>
      <c r="V105" s="1628"/>
    </row>
    <row r="106" spans="1:22" s="263" customFormat="1" ht="15.75">
      <c r="A106" s="255"/>
      <c r="B106" s="274"/>
      <c r="C106" s="258"/>
      <c r="D106" s="261"/>
      <c r="E106" s="1645">
        <v>1522519985</v>
      </c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1627"/>
      <c r="Q106" s="1628"/>
      <c r="R106" s="1628"/>
      <c r="S106" s="1628"/>
      <c r="T106" s="1628"/>
      <c r="U106" s="1628"/>
      <c r="V106" s="1628"/>
    </row>
    <row r="107" spans="1:22" s="263" customFormat="1" ht="15.75">
      <c r="A107" s="255"/>
      <c r="B107" s="274"/>
      <c r="C107" s="258"/>
      <c r="D107" s="261"/>
      <c r="E107" s="738">
        <f>SUM(E105:E106)</f>
        <v>2973969985</v>
      </c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1627"/>
      <c r="Q107" s="1628"/>
      <c r="R107" s="1628"/>
      <c r="S107" s="1628"/>
      <c r="T107" s="1628"/>
      <c r="U107" s="1628"/>
      <c r="V107" s="1628"/>
    </row>
    <row r="108" spans="1:22" s="263" customFormat="1" ht="15.75">
      <c r="A108" s="255"/>
      <c r="B108" s="274"/>
      <c r="C108" s="258"/>
      <c r="D108" s="261"/>
      <c r="E108" s="259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1627"/>
      <c r="Q108" s="1628"/>
      <c r="R108" s="1628"/>
      <c r="S108" s="1628"/>
      <c r="T108" s="1628"/>
      <c r="U108" s="1628"/>
      <c r="V108" s="1628"/>
    </row>
    <row r="109" spans="1:22" s="263" customFormat="1" ht="15.75">
      <c r="A109" s="255"/>
      <c r="B109" s="274"/>
      <c r="C109" s="258"/>
      <c r="D109" s="261"/>
      <c r="E109" s="259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1627"/>
      <c r="Q109" s="1628"/>
      <c r="R109" s="1628"/>
      <c r="S109" s="1628"/>
      <c r="T109" s="1628"/>
      <c r="U109" s="1628"/>
      <c r="V109" s="1628"/>
    </row>
    <row r="110" spans="1:22" s="263" customFormat="1" ht="15.75">
      <c r="A110" s="255"/>
      <c r="B110" s="274"/>
      <c r="C110" s="258"/>
      <c r="D110" s="261"/>
      <c r="E110" s="259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1627"/>
      <c r="Q110" s="1628"/>
      <c r="R110" s="1628"/>
      <c r="S110" s="1628"/>
      <c r="T110" s="1628"/>
      <c r="U110" s="1628"/>
      <c r="V110" s="1628"/>
    </row>
    <row r="111" spans="1:22" s="263" customFormat="1" ht="15.75">
      <c r="A111" s="255"/>
      <c r="B111" s="274"/>
      <c r="C111" s="258"/>
      <c r="D111" s="261"/>
      <c r="E111" s="259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1627"/>
      <c r="Q111" s="1628"/>
      <c r="R111" s="1628"/>
      <c r="S111" s="1628"/>
      <c r="T111" s="1628"/>
      <c r="U111" s="1628"/>
      <c r="V111" s="1628"/>
    </row>
    <row r="112" spans="1:22" s="263" customFormat="1" ht="15.75">
      <c r="A112" s="255"/>
      <c r="B112" s="274"/>
      <c r="C112" s="258"/>
      <c r="D112" s="261"/>
      <c r="E112" s="259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1627"/>
      <c r="Q112" s="1628"/>
      <c r="R112" s="1628"/>
      <c r="S112" s="1628"/>
      <c r="T112" s="1628"/>
      <c r="U112" s="1628"/>
      <c r="V112" s="1628"/>
    </row>
    <row r="113" spans="1:22" s="263" customFormat="1" ht="15.75">
      <c r="A113" s="255"/>
      <c r="B113" s="274"/>
      <c r="C113" s="258"/>
      <c r="D113" s="261"/>
      <c r="E113" s="259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1627"/>
      <c r="Q113" s="1628"/>
      <c r="R113" s="1628"/>
      <c r="S113" s="1628"/>
      <c r="T113" s="1628"/>
      <c r="U113" s="1628"/>
      <c r="V113" s="1628"/>
    </row>
    <row r="114" spans="1:22" s="263" customFormat="1" ht="15.75">
      <c r="A114" s="255"/>
      <c r="B114" s="274"/>
      <c r="C114" s="258"/>
      <c r="D114" s="261"/>
      <c r="E114" s="259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1627"/>
      <c r="Q114" s="1628"/>
      <c r="R114" s="1628"/>
      <c r="S114" s="1628"/>
      <c r="T114" s="1628"/>
      <c r="U114" s="1628"/>
      <c r="V114" s="1628"/>
    </row>
    <row r="115" spans="1:22" s="263" customFormat="1" ht="15.75">
      <c r="A115" s="255"/>
      <c r="B115" s="274"/>
      <c r="C115" s="258"/>
      <c r="D115" s="261"/>
      <c r="E115" s="259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1627"/>
      <c r="Q115" s="1628"/>
      <c r="R115" s="1628"/>
      <c r="S115" s="1628"/>
      <c r="T115" s="1628"/>
      <c r="U115" s="1628"/>
      <c r="V115" s="1628"/>
    </row>
    <row r="116" spans="1:22" s="263" customFormat="1" ht="15.75">
      <c r="A116" s="255"/>
      <c r="B116" s="274"/>
      <c r="C116" s="258"/>
      <c r="D116" s="261"/>
      <c r="E116" s="259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1627"/>
      <c r="Q116" s="1628"/>
      <c r="R116" s="1628"/>
      <c r="S116" s="1628"/>
      <c r="T116" s="1628"/>
      <c r="U116" s="1628"/>
      <c r="V116" s="1628"/>
    </row>
    <row r="117" spans="1:22" s="263" customFormat="1" ht="15.75">
      <c r="A117" s="255"/>
      <c r="B117" s="274"/>
      <c r="C117" s="258"/>
      <c r="D117" s="261"/>
      <c r="E117" s="259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1627"/>
      <c r="Q117" s="1628"/>
      <c r="R117" s="1628"/>
      <c r="S117" s="1628"/>
      <c r="T117" s="1628"/>
      <c r="U117" s="1628"/>
      <c r="V117" s="1628"/>
    </row>
    <row r="118" spans="1:22" s="263" customFormat="1" ht="15.75">
      <c r="A118" s="255"/>
      <c r="B118" s="274"/>
      <c r="C118" s="258"/>
      <c r="D118" s="261"/>
      <c r="E118" s="259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1627"/>
      <c r="Q118" s="1628"/>
      <c r="R118" s="1628"/>
      <c r="S118" s="1628"/>
      <c r="T118" s="1628"/>
      <c r="U118" s="1628"/>
      <c r="V118" s="1628"/>
    </row>
    <row r="119" spans="1:22" s="263" customFormat="1" ht="15.75">
      <c r="A119" s="255"/>
      <c r="B119" s="274"/>
      <c r="C119" s="258"/>
      <c r="D119" s="261"/>
      <c r="E119" s="259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1627"/>
      <c r="Q119" s="1628"/>
      <c r="R119" s="1628"/>
      <c r="S119" s="1628"/>
      <c r="T119" s="1628"/>
      <c r="U119" s="1628"/>
      <c r="V119" s="1628"/>
    </row>
    <row r="120" spans="1:22" s="263" customFormat="1" ht="15.75">
      <c r="A120" s="255"/>
      <c r="B120" s="274"/>
      <c r="C120" s="258"/>
      <c r="D120" s="261"/>
      <c r="E120" s="259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1628"/>
      <c r="Q120" s="1628"/>
      <c r="R120" s="1628"/>
      <c r="S120" s="1628"/>
      <c r="T120" s="1628"/>
      <c r="U120" s="1628"/>
      <c r="V120" s="1628"/>
    </row>
  </sheetData>
  <mergeCells count="88">
    <mergeCell ref="C26:D26"/>
    <mergeCell ref="N28:O28"/>
    <mergeCell ref="L29:M29"/>
    <mergeCell ref="L53:M53"/>
    <mergeCell ref="N54:O54"/>
    <mergeCell ref="C42:D42"/>
    <mergeCell ref="N39:O39"/>
    <mergeCell ref="L40:M40"/>
    <mergeCell ref="N40:O40"/>
    <mergeCell ref="L41:M41"/>
    <mergeCell ref="N41:O41"/>
    <mergeCell ref="N38:O38"/>
    <mergeCell ref="L31:M31"/>
    <mergeCell ref="N31:O31"/>
    <mergeCell ref="C32:D32"/>
    <mergeCell ref="L33:M33"/>
    <mergeCell ref="B59:B60"/>
    <mergeCell ref="C68:D68"/>
    <mergeCell ref="L69:M69"/>
    <mergeCell ref="D59:D60"/>
    <mergeCell ref="N69:O69"/>
    <mergeCell ref="L61:M61"/>
    <mergeCell ref="C63:D63"/>
    <mergeCell ref="L64:M64"/>
    <mergeCell ref="L65:M65"/>
    <mergeCell ref="N65:O65"/>
    <mergeCell ref="L57:M57"/>
    <mergeCell ref="C47:D47"/>
    <mergeCell ref="L45:M45"/>
    <mergeCell ref="N45:O45"/>
    <mergeCell ref="C72:D72"/>
    <mergeCell ref="C70:D70"/>
    <mergeCell ref="L71:M71"/>
    <mergeCell ref="N71:O71"/>
    <mergeCell ref="C34:D34"/>
    <mergeCell ref="L35:M35"/>
    <mergeCell ref="N35:O35"/>
    <mergeCell ref="N36:O36"/>
    <mergeCell ref="L55:M55"/>
    <mergeCell ref="N55:O55"/>
    <mergeCell ref="L37:M37"/>
    <mergeCell ref="N37:O37"/>
    <mergeCell ref="N33:O33"/>
    <mergeCell ref="L20:M20"/>
    <mergeCell ref="N20:O20"/>
    <mergeCell ref="L21:M21"/>
    <mergeCell ref="N21:O21"/>
    <mergeCell ref="N29:O29"/>
    <mergeCell ref="L22:M22"/>
    <mergeCell ref="N22:O22"/>
    <mergeCell ref="L23:M23"/>
    <mergeCell ref="N23:O23"/>
    <mergeCell ref="L24:M24"/>
    <mergeCell ref="N24:O24"/>
    <mergeCell ref="L17:M17"/>
    <mergeCell ref="N17:O17"/>
    <mergeCell ref="L18:M18"/>
    <mergeCell ref="N18:O18"/>
    <mergeCell ref="L19:M19"/>
    <mergeCell ref="N19:O19"/>
    <mergeCell ref="L16:M16"/>
    <mergeCell ref="N16:O16"/>
    <mergeCell ref="C9:D9"/>
    <mergeCell ref="H9:J9"/>
    <mergeCell ref="L9:M9"/>
    <mergeCell ref="N9:O9"/>
    <mergeCell ref="C10:D10"/>
    <mergeCell ref="C11:D11"/>
    <mergeCell ref="L11:M11"/>
    <mergeCell ref="N11:O11"/>
    <mergeCell ref="L12:M12"/>
    <mergeCell ref="N12:O12"/>
    <mergeCell ref="C13:D13"/>
    <mergeCell ref="L15:M15"/>
    <mergeCell ref="N15:O15"/>
    <mergeCell ref="H7:J7"/>
    <mergeCell ref="B7:B8"/>
    <mergeCell ref="C7:D8"/>
    <mergeCell ref="E7:E8"/>
    <mergeCell ref="F7:F8"/>
    <mergeCell ref="G7:G8"/>
    <mergeCell ref="K7:K8"/>
    <mergeCell ref="L7:M7"/>
    <mergeCell ref="N7:O7"/>
    <mergeCell ref="P7:U7"/>
    <mergeCell ref="V7:V8"/>
    <mergeCell ref="L8:M8"/>
    <mergeCell ref="N8:O8"/>
  </mergeCells>
  <pageMargins left="0.51" right="0.27559055118110237" top="0.23622047244094491" bottom="0.70866141732283472" header="0.11811023622047245" footer="0.35433070866141736"/>
  <pageSetup paperSize="5" scale="52" fitToHeight="100" orientation="portrait" r:id="rId1"/>
  <headerFooter>
    <oddFooter>&amp;CHal &amp;P dari &amp;N</oddFooter>
  </headerFooter>
  <rowBreaks count="1" manualBreakCount="1">
    <brk id="82" min="1" max="8" man="1"/>
  </rowBreaks>
  <colBreaks count="1" manualBreakCount="1">
    <brk id="15" max="82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2">
    <tabColor rgb="FF00B050"/>
  </sheetPr>
  <dimension ref="B1:U74"/>
  <sheetViews>
    <sheetView view="pageBreakPreview" topLeftCell="A16" zoomScaleNormal="115" zoomScaleSheetLayoutView="100" workbookViewId="0">
      <selection activeCell="B44" sqref="B44:K46"/>
    </sheetView>
  </sheetViews>
  <sheetFormatPr defaultRowHeight="12.75"/>
  <cols>
    <col min="1" max="1" width="2.42578125" style="9" customWidth="1"/>
    <col min="2" max="6" width="3.7109375" style="9" customWidth="1"/>
    <col min="7" max="7" width="44.42578125" style="9" customWidth="1"/>
    <col min="8" max="8" width="9" style="9" customWidth="1"/>
    <col min="9" max="9" width="8" style="9" customWidth="1"/>
    <col min="10" max="10" width="14" style="9" bestFit="1" customWidth="1"/>
    <col min="11" max="11" width="16.5703125" style="9" bestFit="1" customWidth="1"/>
    <col min="12" max="12" width="18.5703125" style="9" bestFit="1" customWidth="1"/>
    <col min="13" max="13" width="18.42578125" style="9" bestFit="1" customWidth="1"/>
    <col min="14" max="15" width="7.5703125" style="9" bestFit="1" customWidth="1"/>
    <col min="16" max="16" width="7.85546875" style="9" customWidth="1"/>
    <col min="17" max="17" width="7.5703125" style="9" customWidth="1"/>
    <col min="18" max="18" width="18.42578125" style="9" bestFit="1" customWidth="1"/>
    <col min="19" max="19" width="11.42578125" style="9" customWidth="1"/>
    <col min="20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6.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467" t="s">
        <v>31</v>
      </c>
      <c r="C5" s="3312"/>
      <c r="D5" s="3312"/>
      <c r="E5" s="3312"/>
      <c r="F5" s="3312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70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91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42</v>
      </c>
      <c r="H11" s="3315"/>
      <c r="I11" s="3315"/>
      <c r="J11" s="3315"/>
      <c r="K11" s="3316"/>
    </row>
    <row r="12" spans="2:13">
      <c r="B12" s="3468" t="s">
        <v>89</v>
      </c>
      <c r="C12" s="3469"/>
      <c r="D12" s="3469"/>
      <c r="E12" s="3469"/>
      <c r="F12" s="3469"/>
      <c r="G12" s="3469"/>
      <c r="H12" s="3469"/>
      <c r="I12" s="3469"/>
      <c r="J12" s="3469"/>
      <c r="K12" s="3470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ht="16.5" customHeight="1">
      <c r="B14" s="3462" t="s">
        <v>8</v>
      </c>
      <c r="C14" s="3463"/>
      <c r="D14" s="3463"/>
      <c r="E14" s="3463"/>
      <c r="F14" s="3464"/>
      <c r="G14" s="3445" t="s">
        <v>92</v>
      </c>
      <c r="H14" s="3448"/>
      <c r="I14" s="3450">
        <v>1</v>
      </c>
      <c r="J14" s="3451"/>
      <c r="K14" s="3452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1744889000</v>
      </c>
      <c r="J15" s="3454"/>
      <c r="K15" s="3455"/>
    </row>
    <row r="16" spans="2:13" ht="16.5" customHeight="1">
      <c r="B16" s="3439" t="s">
        <v>10</v>
      </c>
      <c r="C16" s="3451"/>
      <c r="D16" s="3451"/>
      <c r="E16" s="3451"/>
      <c r="F16" s="3460"/>
      <c r="G16" s="3445" t="s">
        <v>386</v>
      </c>
      <c r="H16" s="3448"/>
      <c r="I16" s="3456">
        <v>1</v>
      </c>
      <c r="J16" s="3457"/>
      <c r="K16" s="3458"/>
    </row>
    <row r="17" spans="2:18" s="13" customFormat="1">
      <c r="B17" s="3439" t="s">
        <v>11</v>
      </c>
      <c r="C17" s="3440"/>
      <c r="D17" s="3440"/>
      <c r="E17" s="3440"/>
      <c r="F17" s="3441"/>
      <c r="G17" s="3445" t="s">
        <v>93</v>
      </c>
      <c r="H17" s="3446"/>
      <c r="I17" s="3447">
        <v>1</v>
      </c>
      <c r="J17" s="3448"/>
      <c r="K17" s="3449"/>
    </row>
    <row r="18" spans="2:18">
      <c r="B18" s="3442" t="s">
        <v>94</v>
      </c>
      <c r="C18" s="3443"/>
      <c r="D18" s="3443"/>
      <c r="E18" s="3443"/>
      <c r="F18" s="3443"/>
      <c r="G18" s="3443"/>
      <c r="H18" s="3443"/>
      <c r="I18" s="3443"/>
      <c r="J18" s="3443"/>
      <c r="K18" s="3444"/>
      <c r="M18" s="8"/>
    </row>
    <row r="19" spans="2:18" ht="15" customHeight="1">
      <c r="B19" s="3373" t="s">
        <v>72</v>
      </c>
      <c r="C19" s="3374"/>
      <c r="D19" s="3374"/>
      <c r="E19" s="3374"/>
      <c r="F19" s="3374"/>
      <c r="G19" s="3374"/>
      <c r="H19" s="3374"/>
      <c r="I19" s="3374"/>
      <c r="J19" s="3374"/>
      <c r="K19" s="3375"/>
      <c r="L19" s="842"/>
      <c r="M19" s="822"/>
      <c r="N19" s="822"/>
      <c r="O19" s="822"/>
      <c r="P19" s="822"/>
      <c r="Q19" s="823"/>
      <c r="R19" s="82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465" t="s">
        <v>158</v>
      </c>
      <c r="M20" s="3466"/>
      <c r="N20" s="3466"/>
      <c r="O20" s="3466"/>
      <c r="P20" s="3466"/>
      <c r="Q20" s="3466"/>
      <c r="R20" s="3466" t="s">
        <v>17</v>
      </c>
    </row>
    <row r="21" spans="2:18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608" t="s">
        <v>17</v>
      </c>
      <c r="L21" s="1153"/>
      <c r="M21" s="1154"/>
      <c r="N21" s="1154"/>
      <c r="O21" s="1154"/>
      <c r="P21" s="1154"/>
      <c r="Q21" s="1154"/>
      <c r="R21" s="3466"/>
    </row>
    <row r="22" spans="2:18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1153" t="s">
        <v>177</v>
      </c>
      <c r="M22" s="1154" t="s">
        <v>594</v>
      </c>
      <c r="N22" s="1154" t="s">
        <v>651</v>
      </c>
      <c r="O22" s="1154" t="s">
        <v>595</v>
      </c>
      <c r="P22" s="1154" t="s">
        <v>652</v>
      </c>
      <c r="Q22" s="1154" t="s">
        <v>593</v>
      </c>
      <c r="R22" s="3466"/>
    </row>
    <row r="23" spans="2:18">
      <c r="B23" s="3364">
        <v>1</v>
      </c>
      <c r="C23" s="3358"/>
      <c r="D23" s="3358"/>
      <c r="E23" s="3358"/>
      <c r="F23" s="3365"/>
      <c r="G23" s="425">
        <v>2</v>
      </c>
      <c r="H23" s="368">
        <v>3</v>
      </c>
      <c r="I23" s="368">
        <v>4</v>
      </c>
      <c r="J23" s="368">
        <v>5</v>
      </c>
      <c r="K23" s="426" t="s">
        <v>22</v>
      </c>
      <c r="L23" s="1153">
        <v>6</v>
      </c>
      <c r="M23" s="1154">
        <v>7</v>
      </c>
      <c r="N23" s="1154">
        <v>8</v>
      </c>
      <c r="O23" s="1154">
        <v>9</v>
      </c>
      <c r="P23" s="1154">
        <v>10</v>
      </c>
      <c r="Q23" s="1154">
        <v>11</v>
      </c>
      <c r="R23" s="1154">
        <v>12</v>
      </c>
    </row>
    <row r="24" spans="2:18" ht="15.75" customHeight="1">
      <c r="B24" s="427">
        <v>5</v>
      </c>
      <c r="C24" s="368">
        <v>2</v>
      </c>
      <c r="D24" s="368"/>
      <c r="E24" s="368"/>
      <c r="F24" s="368"/>
      <c r="G24" s="366" t="s">
        <v>23</v>
      </c>
      <c r="H24" s="367"/>
      <c r="I24" s="368"/>
      <c r="J24" s="369"/>
      <c r="K24" s="370">
        <f>K25</f>
        <v>1744889000</v>
      </c>
      <c r="L24" s="842"/>
      <c r="M24" s="822"/>
      <c r="N24" s="822"/>
      <c r="O24" s="822"/>
      <c r="P24" s="822"/>
      <c r="Q24" s="823"/>
      <c r="R24" s="823"/>
    </row>
    <row r="25" spans="2:18" ht="14.25" customHeight="1">
      <c r="B25" s="427">
        <v>5</v>
      </c>
      <c r="C25" s="368">
        <v>2</v>
      </c>
      <c r="D25" s="368">
        <v>2</v>
      </c>
      <c r="E25" s="368"/>
      <c r="F25" s="368"/>
      <c r="G25" s="366" t="s">
        <v>43</v>
      </c>
      <c r="H25" s="367"/>
      <c r="I25" s="368"/>
      <c r="J25" s="369"/>
      <c r="K25" s="370">
        <f>K32+K44</f>
        <v>1744889000</v>
      </c>
      <c r="L25" s="842"/>
      <c r="M25" s="822"/>
      <c r="N25" s="822"/>
      <c r="O25" s="822"/>
      <c r="P25" s="822"/>
      <c r="Q25" s="823"/>
      <c r="R25" s="823"/>
    </row>
    <row r="26" spans="2:18" ht="12.75" hidden="1" customHeight="1">
      <c r="B26" s="429">
        <v>5</v>
      </c>
      <c r="C26" s="424">
        <v>2</v>
      </c>
      <c r="D26" s="424">
        <v>2</v>
      </c>
      <c r="E26" s="430" t="s">
        <v>24</v>
      </c>
      <c r="F26" s="430"/>
      <c r="G26" s="620" t="s">
        <v>69</v>
      </c>
      <c r="H26" s="621"/>
      <c r="I26" s="620"/>
      <c r="J26" s="622"/>
      <c r="K26" s="623">
        <f>K27</f>
        <v>0</v>
      </c>
      <c r="L26" s="843"/>
      <c r="M26" s="823"/>
      <c r="N26" s="823"/>
      <c r="O26" s="823"/>
      <c r="P26" s="823"/>
      <c r="Q26" s="823"/>
      <c r="R26" s="823"/>
    </row>
    <row r="27" spans="2:18" ht="25.5" hidden="1">
      <c r="B27" s="346">
        <v>5</v>
      </c>
      <c r="C27" s="371">
        <v>2</v>
      </c>
      <c r="D27" s="371">
        <v>2</v>
      </c>
      <c r="E27" s="372" t="s">
        <v>24</v>
      </c>
      <c r="F27" s="372" t="s">
        <v>80</v>
      </c>
      <c r="G27" s="613" t="s">
        <v>280</v>
      </c>
      <c r="H27" s="461"/>
      <c r="I27" s="383"/>
      <c r="J27" s="624"/>
      <c r="K27" s="625"/>
      <c r="L27" s="842">
        <f>K27</f>
        <v>0</v>
      </c>
      <c r="M27" s="822"/>
      <c r="N27" s="822"/>
      <c r="O27" s="822"/>
      <c r="P27" s="822"/>
      <c r="Q27" s="823"/>
      <c r="R27" s="823"/>
    </row>
    <row r="28" spans="2:18" hidden="1">
      <c r="B28" s="429"/>
      <c r="C28" s="424"/>
      <c r="D28" s="424"/>
      <c r="E28" s="430"/>
      <c r="F28" s="430"/>
      <c r="G28" s="391" t="s">
        <v>749</v>
      </c>
      <c r="H28" s="374"/>
      <c r="I28" s="858" t="s">
        <v>293</v>
      </c>
      <c r="J28" s="897">
        <v>100000</v>
      </c>
      <c r="K28" s="626">
        <f>H28*J28</f>
        <v>0</v>
      </c>
      <c r="L28" s="842">
        <f>K28</f>
        <v>0</v>
      </c>
      <c r="M28" s="846"/>
      <c r="N28" s="895"/>
      <c r="O28" s="846"/>
      <c r="P28" s="846"/>
      <c r="Q28" s="846"/>
      <c r="R28" s="846"/>
    </row>
    <row r="29" spans="2:18" hidden="1">
      <c r="B29" s="429"/>
      <c r="C29" s="424"/>
      <c r="D29" s="424"/>
      <c r="E29" s="430"/>
      <c r="F29" s="430"/>
      <c r="G29" s="391" t="s">
        <v>750</v>
      </c>
      <c r="H29" s="374"/>
      <c r="I29" s="858" t="s">
        <v>293</v>
      </c>
      <c r="J29" s="897">
        <v>15000</v>
      </c>
      <c r="K29" s="626">
        <f>H29*J29</f>
        <v>0</v>
      </c>
      <c r="L29" s="842">
        <f>K29</f>
        <v>0</v>
      </c>
      <c r="M29" s="846"/>
      <c r="N29" s="895"/>
      <c r="O29" s="846"/>
      <c r="P29" s="846"/>
      <c r="Q29" s="846"/>
      <c r="R29" s="846"/>
    </row>
    <row r="30" spans="2:18" hidden="1">
      <c r="B30" s="429"/>
      <c r="C30" s="424"/>
      <c r="D30" s="424"/>
      <c r="E30" s="430"/>
      <c r="F30" s="430"/>
      <c r="G30" s="391" t="s">
        <v>941</v>
      </c>
      <c r="H30" s="374"/>
      <c r="I30" s="858" t="s">
        <v>293</v>
      </c>
      <c r="J30" s="897">
        <f>92000*50%+92000</f>
        <v>138000</v>
      </c>
      <c r="K30" s="626">
        <f>H30*J30</f>
        <v>0</v>
      </c>
      <c r="L30" s="842">
        <f>K30</f>
        <v>0</v>
      </c>
      <c r="M30" s="846"/>
      <c r="N30" s="895"/>
      <c r="O30" s="846"/>
      <c r="P30" s="846"/>
      <c r="Q30" s="846"/>
      <c r="R30" s="846"/>
    </row>
    <row r="31" spans="2:18" hidden="1">
      <c r="B31" s="429"/>
      <c r="C31" s="424"/>
      <c r="D31" s="424"/>
      <c r="E31" s="430"/>
      <c r="F31" s="430"/>
      <c r="G31" s="462"/>
      <c r="H31" s="646"/>
      <c r="I31" s="864"/>
      <c r="J31" s="865"/>
      <c r="K31" s="626"/>
      <c r="L31" s="842"/>
      <c r="M31" s="822"/>
      <c r="N31" s="822"/>
      <c r="O31" s="822"/>
      <c r="P31" s="822"/>
      <c r="Q31" s="823"/>
      <c r="R31" s="823"/>
    </row>
    <row r="32" spans="2:18">
      <c r="B32" s="388">
        <v>5</v>
      </c>
      <c r="C32" s="389">
        <v>2</v>
      </c>
      <c r="D32" s="389">
        <v>2</v>
      </c>
      <c r="E32" s="390" t="s">
        <v>24</v>
      </c>
      <c r="F32" s="390"/>
      <c r="G32" s="396" t="s">
        <v>69</v>
      </c>
      <c r="H32" s="599"/>
      <c r="I32" s="391"/>
      <c r="J32" s="394"/>
      <c r="K32" s="627">
        <f>K33</f>
        <v>144889000</v>
      </c>
      <c r="L32" s="842"/>
      <c r="M32" s="823"/>
      <c r="N32" s="823"/>
      <c r="O32" s="823"/>
      <c r="P32" s="823"/>
      <c r="Q32" s="823"/>
      <c r="R32" s="823"/>
    </row>
    <row r="33" spans="2:21" ht="25.5">
      <c r="B33" s="429">
        <v>5</v>
      </c>
      <c r="C33" s="424">
        <v>2</v>
      </c>
      <c r="D33" s="424">
        <v>2</v>
      </c>
      <c r="E33" s="430" t="s">
        <v>24</v>
      </c>
      <c r="F33" s="430">
        <v>5</v>
      </c>
      <c r="G33" s="2258" t="s">
        <v>280</v>
      </c>
      <c r="H33" s="867"/>
      <c r="I33" s="868"/>
      <c r="J33" s="628"/>
      <c r="K33" s="629">
        <f>SUM(K34:K43)</f>
        <v>144889000</v>
      </c>
      <c r="L33" s="842"/>
      <c r="M33" s="822"/>
      <c r="N33" s="822"/>
      <c r="O33" s="822"/>
      <c r="P33" s="822"/>
      <c r="Q33" s="823"/>
      <c r="R33" s="823"/>
    </row>
    <row r="34" spans="2:21" ht="15">
      <c r="B34" s="36"/>
      <c r="C34" s="37"/>
      <c r="D34" s="37"/>
      <c r="E34" s="38"/>
      <c r="F34" s="1193">
        <v>1</v>
      </c>
      <c r="G34" s="59" t="s">
        <v>924</v>
      </c>
      <c r="H34" s="1663">
        <v>1500</v>
      </c>
      <c r="I34" s="1653" t="s">
        <v>925</v>
      </c>
      <c r="J34" s="2259">
        <v>18000</v>
      </c>
      <c r="K34" s="62">
        <f>H34*J34</f>
        <v>27000000</v>
      </c>
      <c r="L34" s="842">
        <f>K34</f>
        <v>27000000</v>
      </c>
      <c r="M34" s="406"/>
      <c r="N34" s="413"/>
      <c r="O34" s="405"/>
      <c r="P34" s="405"/>
      <c r="Q34" s="405"/>
      <c r="R34" s="306"/>
    </row>
    <row r="35" spans="2:21" ht="15">
      <c r="B35" s="36"/>
      <c r="C35" s="37"/>
      <c r="D35" s="37"/>
      <c r="E35" s="38"/>
      <c r="F35" s="1193">
        <v>2</v>
      </c>
      <c r="G35" s="59" t="s">
        <v>626</v>
      </c>
      <c r="H35" s="862">
        <v>1500</v>
      </c>
      <c r="I35" s="102" t="s">
        <v>925</v>
      </c>
      <c r="J35" s="898">
        <v>27240</v>
      </c>
      <c r="K35" s="62">
        <f>H35*J35</f>
        <v>40860000</v>
      </c>
      <c r="L35" s="842">
        <f t="shared" ref="L35:L42" si="0">K35</f>
        <v>40860000</v>
      </c>
      <c r="M35" s="406"/>
      <c r="N35" s="413"/>
      <c r="O35" s="405"/>
      <c r="P35" s="405"/>
      <c r="Q35" s="405"/>
      <c r="R35" s="306"/>
    </row>
    <row r="36" spans="2:21" ht="15">
      <c r="B36" s="346"/>
      <c r="C36" s="371"/>
      <c r="D36" s="371"/>
      <c r="E36" s="372"/>
      <c r="F36" s="1193">
        <v>3</v>
      </c>
      <c r="G36" s="474" t="s">
        <v>926</v>
      </c>
      <c r="H36" s="933">
        <v>500</v>
      </c>
      <c r="I36" s="375" t="s">
        <v>927</v>
      </c>
      <c r="J36" s="898">
        <v>27240</v>
      </c>
      <c r="K36" s="62">
        <f>H36*J36</f>
        <v>13620000</v>
      </c>
      <c r="L36" s="842">
        <f t="shared" si="0"/>
        <v>13620000</v>
      </c>
      <c r="M36" s="406"/>
      <c r="N36" s="413"/>
      <c r="O36" s="412"/>
      <c r="P36" s="412"/>
      <c r="Q36" s="412"/>
      <c r="R36" s="378"/>
    </row>
    <row r="37" spans="2:21" ht="15">
      <c r="B37" s="346"/>
      <c r="C37" s="371"/>
      <c r="D37" s="371"/>
      <c r="E37" s="372"/>
      <c r="F37" s="1193">
        <v>4</v>
      </c>
      <c r="G37" s="474" t="s">
        <v>1396</v>
      </c>
      <c r="H37" s="933">
        <v>30</v>
      </c>
      <c r="I37" s="375" t="s">
        <v>1397</v>
      </c>
      <c r="J37" s="898">
        <v>400000</v>
      </c>
      <c r="K37" s="465">
        <f>H37*J37</f>
        <v>12000000</v>
      </c>
      <c r="L37" s="842">
        <f t="shared" si="0"/>
        <v>12000000</v>
      </c>
      <c r="M37" s="406"/>
      <c r="N37" s="963"/>
      <c r="O37" s="412"/>
      <c r="P37" s="412"/>
      <c r="Q37" s="412"/>
      <c r="R37" s="378"/>
    </row>
    <row r="38" spans="2:21">
      <c r="B38" s="429"/>
      <c r="C38" s="424"/>
      <c r="D38" s="424"/>
      <c r="E38" s="430"/>
      <c r="F38" s="1193">
        <v>5</v>
      </c>
      <c r="G38" s="391" t="s">
        <v>1101</v>
      </c>
      <c r="H38" s="374">
        <v>4</v>
      </c>
      <c r="I38" s="858" t="s">
        <v>293</v>
      </c>
      <c r="J38" s="897">
        <v>1561760</v>
      </c>
      <c r="K38" s="626">
        <f t="shared" ref="K38:K41" si="1">H38*J38</f>
        <v>6247040</v>
      </c>
      <c r="L38" s="842">
        <f t="shared" si="0"/>
        <v>6247040</v>
      </c>
      <c r="M38" s="1073"/>
      <c r="N38" s="895"/>
      <c r="O38" s="846"/>
      <c r="P38" s="846"/>
      <c r="Q38" s="846"/>
      <c r="R38" s="846"/>
      <c r="S38" s="897">
        <v>1531134</v>
      </c>
      <c r="T38" s="9">
        <f t="shared" ref="T38:T41" si="2">S38*2%</f>
        <v>30622.68</v>
      </c>
      <c r="U38" s="1161">
        <f t="shared" ref="U38:U41" si="3">SUM(S38:T38)</f>
        <v>1561756.68</v>
      </c>
    </row>
    <row r="39" spans="2:21">
      <c r="B39" s="429"/>
      <c r="C39" s="424"/>
      <c r="D39" s="424"/>
      <c r="E39" s="430"/>
      <c r="F39" s="1193">
        <v>6</v>
      </c>
      <c r="G39" s="391" t="s">
        <v>940</v>
      </c>
      <c r="H39" s="374">
        <v>10</v>
      </c>
      <c r="I39" s="858" t="s">
        <v>293</v>
      </c>
      <c r="J39" s="897">
        <v>397240</v>
      </c>
      <c r="K39" s="626">
        <f t="shared" si="1"/>
        <v>3972400</v>
      </c>
      <c r="L39" s="842">
        <f t="shared" si="0"/>
        <v>3972400</v>
      </c>
      <c r="M39" s="1073"/>
      <c r="N39" s="895"/>
      <c r="O39" s="846"/>
      <c r="P39" s="846"/>
      <c r="Q39" s="846"/>
      <c r="R39" s="846"/>
      <c r="S39" s="897">
        <v>389445</v>
      </c>
      <c r="T39" s="9">
        <f t="shared" si="2"/>
        <v>7788.9000000000005</v>
      </c>
      <c r="U39" s="1161">
        <f t="shared" si="3"/>
        <v>397233.9</v>
      </c>
    </row>
    <row r="40" spans="2:21">
      <c r="B40" s="429"/>
      <c r="C40" s="424"/>
      <c r="D40" s="424"/>
      <c r="E40" s="430"/>
      <c r="F40" s="1193">
        <v>7</v>
      </c>
      <c r="G40" s="391" t="s">
        <v>961</v>
      </c>
      <c r="H40" s="374">
        <v>30</v>
      </c>
      <c r="I40" s="858" t="s">
        <v>293</v>
      </c>
      <c r="J40" s="897">
        <v>616820</v>
      </c>
      <c r="K40" s="626">
        <f t="shared" si="1"/>
        <v>18504600</v>
      </c>
      <c r="L40" s="842">
        <f t="shared" si="0"/>
        <v>18504600</v>
      </c>
      <c r="M40" s="1073"/>
      <c r="N40" s="895"/>
      <c r="O40" s="846"/>
      <c r="P40" s="846"/>
      <c r="Q40" s="846"/>
      <c r="R40" s="846"/>
      <c r="S40" s="897">
        <v>604720</v>
      </c>
      <c r="T40" s="9">
        <f t="shared" si="2"/>
        <v>12094.4</v>
      </c>
      <c r="U40" s="1161">
        <f t="shared" si="3"/>
        <v>616814.4</v>
      </c>
    </row>
    <row r="41" spans="2:21">
      <c r="B41" s="429"/>
      <c r="C41" s="424"/>
      <c r="D41" s="424"/>
      <c r="E41" s="430"/>
      <c r="F41" s="1193">
        <v>8</v>
      </c>
      <c r="G41" s="391" t="s">
        <v>1100</v>
      </c>
      <c r="H41" s="374">
        <v>10</v>
      </c>
      <c r="I41" s="858" t="s">
        <v>293</v>
      </c>
      <c r="J41" s="897">
        <v>1331440</v>
      </c>
      <c r="K41" s="626">
        <f t="shared" si="1"/>
        <v>13314400</v>
      </c>
      <c r="L41" s="842">
        <f t="shared" si="0"/>
        <v>13314400</v>
      </c>
      <c r="M41" s="1073"/>
      <c r="N41" s="895"/>
      <c r="O41" s="846"/>
      <c r="P41" s="846"/>
      <c r="Q41" s="846"/>
      <c r="R41" s="846"/>
      <c r="S41" s="897">
        <v>1305331</v>
      </c>
      <c r="T41" s="9">
        <f t="shared" si="2"/>
        <v>26106.62</v>
      </c>
      <c r="U41" s="1161">
        <f t="shared" si="3"/>
        <v>1331437.6200000001</v>
      </c>
    </row>
    <row r="42" spans="2:21">
      <c r="B42" s="429"/>
      <c r="C42" s="424"/>
      <c r="D42" s="424"/>
      <c r="E42" s="430"/>
      <c r="F42" s="1193">
        <v>9</v>
      </c>
      <c r="G42" s="391" t="s">
        <v>1820</v>
      </c>
      <c r="H42" s="374">
        <v>3</v>
      </c>
      <c r="I42" s="858" t="s">
        <v>293</v>
      </c>
      <c r="J42" s="897">
        <v>3123520</v>
      </c>
      <c r="K42" s="626">
        <f>H42*J42</f>
        <v>9370560</v>
      </c>
      <c r="L42" s="842">
        <f t="shared" si="0"/>
        <v>9370560</v>
      </c>
      <c r="M42" s="1073"/>
      <c r="N42" s="895"/>
      <c r="O42" s="846"/>
      <c r="P42" s="846"/>
      <c r="Q42" s="846"/>
      <c r="R42" s="846"/>
      <c r="S42" s="897">
        <v>3062268</v>
      </c>
      <c r="T42" s="9">
        <f>S42*2%</f>
        <v>61245.36</v>
      </c>
      <c r="U42" s="1161">
        <f>SUM(S42:T42)</f>
        <v>3123513.36</v>
      </c>
    </row>
    <row r="43" spans="2:21" ht="15">
      <c r="B43" s="1679"/>
      <c r="C43" s="1680"/>
      <c r="D43" s="1680"/>
      <c r="E43" s="1681"/>
      <c r="F43" s="1681"/>
      <c r="G43" s="1693"/>
      <c r="H43" s="1663"/>
      <c r="I43" s="1653"/>
      <c r="J43" s="898"/>
      <c r="K43" s="2256"/>
      <c r="L43" s="842"/>
      <c r="M43" s="1447"/>
      <c r="N43" s="2257"/>
      <c r="O43" s="2252"/>
      <c r="P43" s="2252"/>
      <c r="Q43" s="2252"/>
      <c r="R43" s="1668"/>
    </row>
    <row r="44" spans="2:21">
      <c r="B44" s="388">
        <v>5</v>
      </c>
      <c r="C44" s="389">
        <v>2</v>
      </c>
      <c r="D44" s="389">
        <v>2</v>
      </c>
      <c r="E44" s="390" t="s">
        <v>44</v>
      </c>
      <c r="F44" s="390"/>
      <c r="G44" s="396" t="s">
        <v>45</v>
      </c>
      <c r="H44" s="599"/>
      <c r="I44" s="391"/>
      <c r="J44" s="394"/>
      <c r="K44" s="627">
        <f>K45</f>
        <v>1600000000</v>
      </c>
      <c r="L44" s="842"/>
      <c r="M44" s="823"/>
      <c r="N44" s="823"/>
      <c r="O44" s="823"/>
      <c r="P44" s="823"/>
      <c r="Q44" s="823"/>
      <c r="R44" s="823"/>
    </row>
    <row r="45" spans="2:21">
      <c r="B45" s="429">
        <v>5</v>
      </c>
      <c r="C45" s="424">
        <v>2</v>
      </c>
      <c r="D45" s="424">
        <v>2</v>
      </c>
      <c r="E45" s="430" t="s">
        <v>44</v>
      </c>
      <c r="F45" s="430">
        <v>16</v>
      </c>
      <c r="G45" s="866" t="s">
        <v>283</v>
      </c>
      <c r="H45" s="867"/>
      <c r="I45" s="868"/>
      <c r="J45" s="628"/>
      <c r="K45" s="629">
        <f>SUM(K46:K46)</f>
        <v>1600000000</v>
      </c>
      <c r="L45" s="842"/>
      <c r="M45" s="822"/>
      <c r="N45" s="822"/>
      <c r="O45" s="822"/>
      <c r="P45" s="822"/>
      <c r="Q45" s="823"/>
      <c r="R45" s="823"/>
    </row>
    <row r="46" spans="2:21">
      <c r="B46" s="630"/>
      <c r="C46" s="631"/>
      <c r="D46" s="631"/>
      <c r="E46" s="632"/>
      <c r="F46" s="632"/>
      <c r="G46" s="869" t="s">
        <v>1872</v>
      </c>
      <c r="H46" s="867">
        <v>1</v>
      </c>
      <c r="I46" s="868" t="s">
        <v>504</v>
      </c>
      <c r="J46" s="1072">
        <v>1600000000</v>
      </c>
      <c r="K46" s="633">
        <f>J46*H46</f>
        <v>1600000000</v>
      </c>
      <c r="L46" s="842"/>
      <c r="M46" s="822">
        <f>K46</f>
        <v>1600000000</v>
      </c>
      <c r="N46" s="822"/>
      <c r="O46" s="822"/>
      <c r="P46" s="822"/>
      <c r="Q46" s="824"/>
      <c r="R46" s="824"/>
    </row>
    <row r="47" spans="2:21">
      <c r="B47" s="630"/>
      <c r="C47" s="631"/>
      <c r="D47" s="631"/>
      <c r="E47" s="632"/>
      <c r="F47" s="632"/>
      <c r="G47" s="869"/>
      <c r="H47" s="867"/>
      <c r="I47" s="868"/>
      <c r="J47" s="1072"/>
      <c r="K47" s="633"/>
      <c r="L47" s="842"/>
      <c r="M47" s="842"/>
      <c r="N47" s="837"/>
      <c r="O47" s="837"/>
      <c r="P47" s="837"/>
      <c r="Q47" s="838"/>
      <c r="R47" s="838"/>
    </row>
    <row r="48" spans="2:21">
      <c r="B48" s="429"/>
      <c r="C48" s="424"/>
      <c r="D48" s="424"/>
      <c r="E48" s="430"/>
      <c r="F48" s="430"/>
      <c r="G48" s="851"/>
      <c r="H48" s="646"/>
      <c r="I48" s="1088"/>
      <c r="J48" s="464"/>
      <c r="K48" s="465"/>
      <c r="L48" s="842"/>
      <c r="M48" s="842"/>
      <c r="N48" s="837"/>
      <c r="O48" s="837"/>
      <c r="P48" s="837"/>
      <c r="Q48" s="838"/>
      <c r="R48" s="838"/>
    </row>
    <row r="49" spans="2:18" ht="15" customHeight="1" thickBot="1">
      <c r="B49" s="3436" t="s">
        <v>30</v>
      </c>
      <c r="C49" s="3437"/>
      <c r="D49" s="3437"/>
      <c r="E49" s="3437"/>
      <c r="F49" s="3437"/>
      <c r="G49" s="3437"/>
      <c r="H49" s="3437"/>
      <c r="I49" s="3437"/>
      <c r="J49" s="3438"/>
      <c r="K49" s="182">
        <f>K24</f>
        <v>1744889000</v>
      </c>
      <c r="L49" s="842">
        <f t="shared" ref="L49:Q49" si="4">SUM(L27:L48)</f>
        <v>144889000</v>
      </c>
      <c r="M49" s="842">
        <f t="shared" si="4"/>
        <v>1600000000</v>
      </c>
      <c r="N49" s="842">
        <f t="shared" si="4"/>
        <v>0</v>
      </c>
      <c r="O49" s="842">
        <f t="shared" si="4"/>
        <v>0</v>
      </c>
      <c r="P49" s="842">
        <f t="shared" si="4"/>
        <v>0</v>
      </c>
      <c r="Q49" s="842">
        <f t="shared" si="4"/>
        <v>0</v>
      </c>
      <c r="R49" s="835">
        <f>SUM(L49:Q49)</f>
        <v>1744889000</v>
      </c>
    </row>
    <row r="50" spans="2:18" ht="13.5" thickTop="1">
      <c r="G50" s="57"/>
      <c r="K50" s="41"/>
      <c r="L50" s="822"/>
      <c r="M50" s="822"/>
      <c r="N50" s="822"/>
      <c r="O50" s="822"/>
      <c r="P50" s="822"/>
      <c r="Q50" s="824"/>
      <c r="R50" s="815"/>
    </row>
    <row r="51" spans="2:18">
      <c r="G51" s="57"/>
      <c r="K51" s="57"/>
      <c r="L51" s="837"/>
      <c r="M51" s="842"/>
      <c r="N51" s="837"/>
      <c r="O51" s="837"/>
      <c r="P51" s="837"/>
      <c r="Q51" s="838"/>
      <c r="R51" s="889"/>
    </row>
    <row r="52" spans="2:18" ht="15" customHeight="1">
      <c r="H52" s="3336" t="s">
        <v>1534</v>
      </c>
      <c r="I52" s="3336"/>
      <c r="J52" s="3336"/>
      <c r="K52" s="7"/>
      <c r="L52" s="842"/>
      <c r="M52" s="829"/>
      <c r="N52" s="830"/>
      <c r="O52" s="830"/>
      <c r="P52" s="830"/>
      <c r="Q52" s="824"/>
      <c r="R52" s="824"/>
    </row>
    <row r="53" spans="2:18" ht="15" customHeight="1">
      <c r="H53" s="3337" t="s">
        <v>272</v>
      </c>
      <c r="I53" s="3337"/>
      <c r="J53" s="3337"/>
      <c r="K53" s="72"/>
      <c r="L53" s="842"/>
      <c r="M53" s="832"/>
      <c r="N53" s="833"/>
      <c r="O53" s="833"/>
      <c r="P53" s="833"/>
      <c r="Q53" s="824"/>
      <c r="R53" s="824"/>
    </row>
    <row r="54" spans="2:18">
      <c r="H54" s="1155"/>
      <c r="I54" s="127"/>
      <c r="J54" s="127"/>
      <c r="K54" s="935"/>
      <c r="L54" s="842"/>
      <c r="M54" s="834"/>
      <c r="N54" s="835"/>
      <c r="O54" s="835"/>
      <c r="P54" s="835"/>
      <c r="Q54" s="824"/>
      <c r="R54" s="824"/>
    </row>
    <row r="55" spans="2:18">
      <c r="H55" s="1155"/>
      <c r="I55" s="127"/>
      <c r="J55" s="127"/>
      <c r="K55" s="935"/>
      <c r="L55" s="842"/>
      <c r="M55" s="831"/>
      <c r="N55" s="824"/>
      <c r="O55" s="824"/>
      <c r="P55" s="824"/>
      <c r="Q55" s="824"/>
      <c r="R55" s="824"/>
    </row>
    <row r="56" spans="2:18" ht="15" customHeight="1">
      <c r="H56" s="3434" t="s">
        <v>904</v>
      </c>
      <c r="I56" s="3434"/>
      <c r="J56" s="3434"/>
      <c r="K56" s="908"/>
      <c r="L56" s="842"/>
      <c r="M56" s="831"/>
      <c r="N56" s="824"/>
      <c r="O56" s="824"/>
      <c r="P56" s="824"/>
      <c r="Q56" s="824"/>
      <c r="R56" s="824"/>
    </row>
    <row r="57" spans="2:18" ht="15" customHeight="1">
      <c r="H57" s="3434" t="s">
        <v>906</v>
      </c>
      <c r="I57" s="3434"/>
      <c r="J57" s="3434"/>
      <c r="K57" s="908"/>
      <c r="L57" s="842"/>
      <c r="M57" s="831"/>
      <c r="N57" s="824"/>
      <c r="O57" s="824"/>
      <c r="P57" s="824"/>
      <c r="Q57" s="824"/>
      <c r="R57" s="824"/>
    </row>
    <row r="58" spans="2:18">
      <c r="H58" s="1155"/>
      <c r="I58" s="1155"/>
      <c r="J58" s="1155"/>
    </row>
    <row r="60" spans="2:18">
      <c r="G60" s="9" t="s">
        <v>1125</v>
      </c>
      <c r="H60" s="9">
        <f>30*12</f>
        <v>360</v>
      </c>
      <c r="J60" s="157">
        <v>2500000</v>
      </c>
      <c r="K60" s="157">
        <f>H60*J60</f>
        <v>900000000</v>
      </c>
      <c r="L60" s="157">
        <f>K60/12</f>
        <v>75000000</v>
      </c>
      <c r="M60" s="875">
        <f>L60/L62</f>
        <v>0.59335443037974689</v>
      </c>
    </row>
    <row r="61" spans="2:18">
      <c r="G61" s="9" t="s">
        <v>1124</v>
      </c>
      <c r="H61" s="9">
        <v>12</v>
      </c>
      <c r="J61" s="157">
        <v>51400000</v>
      </c>
      <c r="K61" s="157">
        <f>H61*J61</f>
        <v>616800000</v>
      </c>
      <c r="L61" s="157">
        <f>K61/12</f>
        <v>51400000</v>
      </c>
      <c r="M61" s="875">
        <f>L61/L62</f>
        <v>0.40664556962025317</v>
      </c>
    </row>
    <row r="62" spans="2:18">
      <c r="J62" s="157"/>
      <c r="K62" s="157">
        <f>SUM(K60:K61)</f>
        <v>1516800000</v>
      </c>
      <c r="L62" s="157">
        <f>SUM(L60:L61)</f>
        <v>126400000</v>
      </c>
      <c r="M62" s="1111">
        <f>SUM(M60:M61)</f>
        <v>1</v>
      </c>
    </row>
    <row r="63" spans="2:18">
      <c r="J63" s="157"/>
      <c r="K63" s="157"/>
      <c r="L63" s="157"/>
    </row>
    <row r="64" spans="2:18">
      <c r="G64" s="9" t="s">
        <v>1126</v>
      </c>
      <c r="H64" s="9">
        <f>35*12</f>
        <v>420</v>
      </c>
      <c r="J64" s="157">
        <v>2700000</v>
      </c>
      <c r="K64" s="157">
        <f>H64*J64</f>
        <v>1134000000</v>
      </c>
      <c r="L64" s="157">
        <f>K64/12</f>
        <v>94500000</v>
      </c>
      <c r="M64" s="875">
        <f>L64/L66</f>
        <v>0.60615779345734444</v>
      </c>
    </row>
    <row r="65" spans="7:14">
      <c r="G65" s="9" t="s">
        <v>1124</v>
      </c>
      <c r="H65" s="9">
        <v>12</v>
      </c>
      <c r="J65" s="157">
        <f>51400000+10000000</f>
        <v>61400000</v>
      </c>
      <c r="K65" s="157">
        <f>H65*J65</f>
        <v>736800000</v>
      </c>
      <c r="L65" s="157">
        <f>K65/12</f>
        <v>61400000</v>
      </c>
      <c r="M65" s="875">
        <f>L65/L66</f>
        <v>0.39384220654265556</v>
      </c>
    </row>
    <row r="66" spans="7:14">
      <c r="J66" s="157"/>
      <c r="K66" s="157">
        <f>SUM(K64:K65)</f>
        <v>1870800000</v>
      </c>
      <c r="L66" s="157">
        <f>SUM(L64:L65)</f>
        <v>155900000</v>
      </c>
      <c r="M66" s="1111">
        <f>SUM(M64:M65)</f>
        <v>1</v>
      </c>
    </row>
    <row r="67" spans="7:14">
      <c r="J67" s="157"/>
      <c r="K67" s="157"/>
      <c r="L67" s="157"/>
    </row>
    <row r="68" spans="7:14">
      <c r="G68" s="9" t="s">
        <v>1275</v>
      </c>
      <c r="J68" s="157">
        <v>1180898400</v>
      </c>
      <c r="K68" s="157">
        <f>J68/12</f>
        <v>98408200</v>
      </c>
      <c r="L68" s="157"/>
      <c r="M68" s="875"/>
      <c r="N68" s="875"/>
    </row>
    <row r="69" spans="7:14">
      <c r="J69" s="157"/>
      <c r="K69" s="157"/>
      <c r="L69" s="157"/>
      <c r="M69" s="875"/>
      <c r="N69" s="875"/>
    </row>
    <row r="74" spans="7:14">
      <c r="K74" s="57"/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4:K4"/>
    <mergeCell ref="B5:F5"/>
    <mergeCell ref="G5:K5"/>
    <mergeCell ref="G6:K6"/>
    <mergeCell ref="B6:F6"/>
    <mergeCell ref="B12:K12"/>
    <mergeCell ref="G10:K10"/>
    <mergeCell ref="G11:K11"/>
    <mergeCell ref="G7:K7"/>
    <mergeCell ref="G8:K8"/>
    <mergeCell ref="G9:K9"/>
    <mergeCell ref="B7:F7"/>
    <mergeCell ref="B8:F8"/>
    <mergeCell ref="B10:F10"/>
    <mergeCell ref="B11:F11"/>
    <mergeCell ref="I14:K14"/>
    <mergeCell ref="I15:K15"/>
    <mergeCell ref="I16:K16"/>
    <mergeCell ref="G13:H13"/>
    <mergeCell ref="I13:K13"/>
    <mergeCell ref="G14:H14"/>
    <mergeCell ref="B15:F15"/>
    <mergeCell ref="B16:F16"/>
    <mergeCell ref="G15:H15"/>
    <mergeCell ref="G16:H16"/>
    <mergeCell ref="B13:F13"/>
    <mergeCell ref="B14:F14"/>
    <mergeCell ref="B19:K20"/>
    <mergeCell ref="B21:F22"/>
    <mergeCell ref="G21:G22"/>
    <mergeCell ref="H21:J21"/>
    <mergeCell ref="B17:F17"/>
    <mergeCell ref="B18:K18"/>
    <mergeCell ref="G17:H17"/>
    <mergeCell ref="I17:K17"/>
    <mergeCell ref="H57:J57"/>
    <mergeCell ref="B23:F23"/>
    <mergeCell ref="B49:J49"/>
    <mergeCell ref="H52:J52"/>
    <mergeCell ref="H53:J53"/>
    <mergeCell ref="H56:J56"/>
  </mergeCells>
  <pageMargins left="0.11811023622047245" right="0.23622047244094491" top="0.55118110236220474" bottom="1.3385826771653544" header="0.31496062992125984" footer="0.11811023622047245"/>
  <pageSetup paperSize="5" scale="90"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B1:T127"/>
  <sheetViews>
    <sheetView tabSelected="1" view="pageBreakPreview" topLeftCell="A100" zoomScaleNormal="115" zoomScaleSheetLayoutView="100" workbookViewId="0">
      <selection activeCell="K122" sqref="K122"/>
    </sheetView>
  </sheetViews>
  <sheetFormatPr defaultRowHeight="12.75"/>
  <cols>
    <col min="1" max="1" width="2.7109375" style="9" customWidth="1"/>
    <col min="2" max="2" width="3.140625" style="9" customWidth="1"/>
    <col min="3" max="3" width="3.28515625" style="9" customWidth="1"/>
    <col min="4" max="5" width="3.5703125" style="9" customWidth="1"/>
    <col min="6" max="6" width="3.7109375" style="9" customWidth="1"/>
    <col min="7" max="7" width="31.42578125" style="9" customWidth="1"/>
    <col min="8" max="9" width="8" style="9" customWidth="1"/>
    <col min="10" max="10" width="13.42578125" style="9" customWidth="1"/>
    <col min="11" max="11" width="15.28515625" style="9" customWidth="1"/>
    <col min="12" max="12" width="17" style="9" bestFit="1" customWidth="1"/>
    <col min="13" max="13" width="11.5703125" style="9" bestFit="1" customWidth="1"/>
    <col min="14" max="17" width="6.42578125" style="9" bestFit="1" customWidth="1"/>
    <col min="18" max="18" width="16.7109375" style="9" bestFit="1" customWidth="1"/>
    <col min="19" max="19" width="15.28515625" style="9" bestFit="1" customWidth="1"/>
    <col min="20" max="20" width="5" style="9" bestFit="1" customWidth="1"/>
    <col min="21" max="16384" width="9.140625" style="9"/>
  </cols>
  <sheetData>
    <row r="1" spans="2:13" ht="14.25" thickTop="1" thickBot="1">
      <c r="B1" s="3471"/>
      <c r="C1" s="3472"/>
      <c r="D1" s="3472"/>
      <c r="E1" s="3473"/>
      <c r="F1" s="3473"/>
      <c r="G1" s="3473"/>
      <c r="H1" s="3473"/>
      <c r="I1" s="3473"/>
      <c r="J1" s="3473"/>
      <c r="K1" s="3474"/>
    </row>
    <row r="2" spans="2:13" ht="17.25" customHeight="1" thickTop="1">
      <c r="B2" s="3321"/>
      <c r="C2" s="3322"/>
      <c r="D2" s="3322"/>
      <c r="E2" s="3475" t="s">
        <v>274</v>
      </c>
      <c r="F2" s="3476"/>
      <c r="G2" s="3476"/>
      <c r="H2" s="347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478"/>
      <c r="J3" s="3334"/>
      <c r="K3" s="12" t="s">
        <v>3</v>
      </c>
    </row>
    <row r="4" spans="2:13" ht="16.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479" t="s">
        <v>31</v>
      </c>
      <c r="C5" s="3361"/>
      <c r="D5" s="3361"/>
      <c r="E5" s="3361"/>
      <c r="F5" s="3361"/>
      <c r="G5" s="3362" t="s">
        <v>38</v>
      </c>
      <c r="H5" s="3362"/>
      <c r="I5" s="3362"/>
      <c r="J5" s="3362"/>
      <c r="K5" s="336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39" t="s">
        <v>70</v>
      </c>
      <c r="H7" s="3339"/>
      <c r="I7" s="3339"/>
      <c r="J7" s="3339"/>
      <c r="K7" s="3340"/>
    </row>
    <row r="8" spans="2:13">
      <c r="B8" s="3341" t="s">
        <v>34</v>
      </c>
      <c r="C8" s="3339"/>
      <c r="D8" s="3339"/>
      <c r="E8" s="3339"/>
      <c r="F8" s="3339"/>
      <c r="G8" s="3339" t="s">
        <v>96</v>
      </c>
      <c r="H8" s="3339"/>
      <c r="I8" s="3339"/>
      <c r="J8" s="3339"/>
      <c r="K8" s="3340"/>
      <c r="M8" s="9">
        <v>55</v>
      </c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291">
        <v>10000</v>
      </c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291">
        <f>M8*M9</f>
        <v>550000</v>
      </c>
    </row>
    <row r="11" spans="2:13">
      <c r="B11" s="3314" t="s">
        <v>37</v>
      </c>
      <c r="C11" s="3315"/>
      <c r="D11" s="3315"/>
      <c r="E11" s="3315"/>
      <c r="F11" s="3315"/>
      <c r="G11" s="3315" t="s">
        <v>42</v>
      </c>
      <c r="H11" s="3315"/>
      <c r="I11" s="3315"/>
      <c r="J11" s="3315"/>
      <c r="K11" s="3316"/>
    </row>
    <row r="12" spans="2:13">
      <c r="B12" s="3305" t="s">
        <v>4</v>
      </c>
      <c r="C12" s="3425"/>
      <c r="D12" s="3425"/>
      <c r="E12" s="3425"/>
      <c r="F12" s="3425"/>
      <c r="G12" s="3425"/>
      <c r="H12" s="3425"/>
      <c r="I12" s="3425"/>
      <c r="J12" s="3425"/>
      <c r="K12" s="3309"/>
    </row>
    <row r="13" spans="2:13">
      <c r="B13" s="3401" t="s">
        <v>5</v>
      </c>
      <c r="C13" s="3480"/>
      <c r="D13" s="3480"/>
      <c r="E13" s="3480"/>
      <c r="F13" s="3403"/>
      <c r="G13" s="3404" t="s">
        <v>6</v>
      </c>
      <c r="H13" s="3405"/>
      <c r="I13" s="3404" t="s">
        <v>7</v>
      </c>
      <c r="J13" s="3481"/>
      <c r="K13" s="3407"/>
    </row>
    <row r="14" spans="2:13" ht="16.5" customHeight="1">
      <c r="B14" s="3462" t="s">
        <v>8</v>
      </c>
      <c r="C14" s="3408"/>
      <c r="D14" s="3408"/>
      <c r="E14" s="3408"/>
      <c r="F14" s="3464"/>
      <c r="G14" s="3445" t="s">
        <v>97</v>
      </c>
      <c r="H14" s="3412"/>
      <c r="I14" s="3450">
        <v>1</v>
      </c>
      <c r="J14" s="3414"/>
      <c r="K14" s="3452"/>
    </row>
    <row r="15" spans="2:13">
      <c r="B15" s="3459" t="s">
        <v>9</v>
      </c>
      <c r="C15" s="3414"/>
      <c r="D15" s="3414"/>
      <c r="E15" s="3414"/>
      <c r="F15" s="3460"/>
      <c r="G15" s="3461" t="s">
        <v>47</v>
      </c>
      <c r="H15" s="3417"/>
      <c r="I15" s="3453">
        <f>K24</f>
        <v>159238000</v>
      </c>
      <c r="J15" s="3419"/>
      <c r="K15" s="3455"/>
    </row>
    <row r="16" spans="2:13" ht="16.5" customHeight="1">
      <c r="B16" s="3439" t="s">
        <v>10</v>
      </c>
      <c r="C16" s="3414"/>
      <c r="D16" s="3414"/>
      <c r="E16" s="3414"/>
      <c r="F16" s="3460"/>
      <c r="G16" s="3445" t="s">
        <v>387</v>
      </c>
      <c r="H16" s="3412"/>
      <c r="I16" s="3456">
        <v>1</v>
      </c>
      <c r="J16" s="3417"/>
      <c r="K16" s="3458"/>
    </row>
    <row r="17" spans="2:18" ht="28.5" customHeight="1">
      <c r="B17" s="3439" t="s">
        <v>11</v>
      </c>
      <c r="C17" s="3414"/>
      <c r="D17" s="3414"/>
      <c r="E17" s="3414"/>
      <c r="F17" s="3460"/>
      <c r="G17" s="3445" t="s">
        <v>98</v>
      </c>
      <c r="H17" s="3446"/>
      <c r="I17" s="3456">
        <v>1</v>
      </c>
      <c r="J17" s="3417"/>
      <c r="K17" s="3458"/>
    </row>
    <row r="18" spans="2:18" ht="16.5" customHeight="1">
      <c r="B18" s="3482" t="s">
        <v>99</v>
      </c>
      <c r="C18" s="3427"/>
      <c r="D18" s="3427"/>
      <c r="E18" s="3427"/>
      <c r="F18" s="3427"/>
      <c r="G18" s="3427"/>
      <c r="H18" s="3427"/>
      <c r="I18" s="3427"/>
      <c r="J18" s="3427"/>
      <c r="K18" s="3483"/>
    </row>
    <row r="19" spans="2:18" ht="15" customHeight="1">
      <c r="B19" s="3429" t="s">
        <v>72</v>
      </c>
      <c r="C19" s="3374"/>
      <c r="D19" s="3374"/>
      <c r="E19" s="3374"/>
      <c r="F19" s="3374"/>
      <c r="G19" s="3374"/>
      <c r="H19" s="3374"/>
      <c r="I19" s="3374"/>
      <c r="J19" s="3374"/>
      <c r="K19" s="3375"/>
      <c r="L19" s="2139"/>
      <c r="M19" s="2139"/>
      <c r="N19" s="2139"/>
      <c r="O19" s="2139"/>
      <c r="P19" s="2139"/>
      <c r="Q19" s="2140"/>
      <c r="R19" s="2140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484" t="s">
        <v>158</v>
      </c>
      <c r="M20" s="3484"/>
      <c r="N20" s="3484"/>
      <c r="O20" s="3484"/>
      <c r="P20" s="3484"/>
      <c r="Q20" s="3484"/>
      <c r="R20" s="3484" t="s">
        <v>17</v>
      </c>
    </row>
    <row r="21" spans="2:18" ht="16.5" customHeight="1">
      <c r="B21" s="3429" t="s">
        <v>14</v>
      </c>
      <c r="C21" s="3374"/>
      <c r="D21" s="3374"/>
      <c r="E21" s="3374"/>
      <c r="F21" s="3392"/>
      <c r="G21" s="3430" t="s">
        <v>15</v>
      </c>
      <c r="H21" s="3302" t="s">
        <v>16</v>
      </c>
      <c r="I21" s="3432"/>
      <c r="J21" s="3304"/>
      <c r="K21" s="292" t="s">
        <v>17</v>
      </c>
      <c r="L21" s="2141"/>
      <c r="M21" s="2141"/>
      <c r="N21" s="2141"/>
      <c r="O21" s="2141"/>
      <c r="P21" s="2141"/>
      <c r="Q21" s="2141"/>
      <c r="R21" s="3484"/>
    </row>
    <row r="22" spans="2:18" ht="25.5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2141" t="s">
        <v>177</v>
      </c>
      <c r="M22" s="2141" t="s">
        <v>594</v>
      </c>
      <c r="N22" s="2141" t="s">
        <v>651</v>
      </c>
      <c r="O22" s="2141" t="s">
        <v>595</v>
      </c>
      <c r="P22" s="2141" t="s">
        <v>652</v>
      </c>
      <c r="Q22" s="2141" t="s">
        <v>593</v>
      </c>
      <c r="R22" s="3484"/>
    </row>
    <row r="23" spans="2:18">
      <c r="B23" s="3305">
        <v>1</v>
      </c>
      <c r="C23" s="3425"/>
      <c r="D23" s="3425"/>
      <c r="E23" s="3425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2141">
        <v>6</v>
      </c>
      <c r="M23" s="2141">
        <v>7</v>
      </c>
      <c r="N23" s="2141">
        <v>8</v>
      </c>
      <c r="O23" s="2141">
        <v>9</v>
      </c>
      <c r="P23" s="2141">
        <v>10</v>
      </c>
      <c r="Q23" s="2141">
        <v>11</v>
      </c>
      <c r="R23" s="2141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293">
        <f>K25</f>
        <v>159238000</v>
      </c>
      <c r="L24" s="2139"/>
      <c r="M24" s="2139"/>
      <c r="N24" s="2139"/>
      <c r="O24" s="2139"/>
      <c r="P24" s="2139"/>
      <c r="Q24" s="2140"/>
      <c r="R24" s="2140"/>
    </row>
    <row r="25" spans="2:18" ht="14.25" customHeight="1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45"/>
      <c r="I25" s="17"/>
      <c r="J25" s="46"/>
      <c r="K25" s="293">
        <f>K26</f>
        <v>159238000</v>
      </c>
      <c r="L25" s="2139"/>
      <c r="M25" s="2139"/>
      <c r="N25" s="2139"/>
      <c r="O25" s="2139"/>
      <c r="P25" s="2139"/>
      <c r="Q25" s="2140"/>
      <c r="R25" s="2140"/>
    </row>
    <row r="26" spans="2:18" ht="15" customHeight="1">
      <c r="B26" s="43">
        <v>5</v>
      </c>
      <c r="C26" s="17">
        <v>2</v>
      </c>
      <c r="D26" s="17">
        <v>2</v>
      </c>
      <c r="E26" s="65" t="s">
        <v>24</v>
      </c>
      <c r="F26" s="17"/>
      <c r="G26" s="44" t="s">
        <v>69</v>
      </c>
      <c r="H26" s="45"/>
      <c r="I26" s="17"/>
      <c r="J26" s="46"/>
      <c r="K26" s="293">
        <f>K27</f>
        <v>159238000</v>
      </c>
      <c r="L26" s="2142"/>
      <c r="M26" s="2140"/>
      <c r="N26" s="2140"/>
      <c r="O26" s="2140"/>
      <c r="P26" s="2140"/>
      <c r="Q26" s="2140"/>
      <c r="R26" s="2140"/>
    </row>
    <row r="27" spans="2:18">
      <c r="B27" s="19">
        <v>5</v>
      </c>
      <c r="C27" s="15">
        <v>2</v>
      </c>
      <c r="D27" s="15">
        <v>2</v>
      </c>
      <c r="E27" s="28" t="s">
        <v>24</v>
      </c>
      <c r="F27" s="28" t="s">
        <v>24</v>
      </c>
      <c r="G27" s="44" t="s">
        <v>100</v>
      </c>
      <c r="H27" s="45"/>
      <c r="I27" s="17"/>
      <c r="J27" s="46"/>
      <c r="K27" s="294">
        <f>SUM(K28:K114)</f>
        <v>159238000</v>
      </c>
      <c r="L27" s="2139"/>
      <c r="M27" s="2139"/>
      <c r="N27" s="2139"/>
      <c r="O27" s="2139"/>
      <c r="P27" s="2139"/>
      <c r="Q27" s="2140"/>
      <c r="R27" s="2140"/>
    </row>
    <row r="28" spans="2:18">
      <c r="B28" s="19"/>
      <c r="C28" s="15"/>
      <c r="D28" s="15"/>
      <c r="E28" s="28"/>
      <c r="F28" s="28"/>
      <c r="G28" s="2129" t="s">
        <v>1281</v>
      </c>
      <c r="H28" s="2130">
        <v>2</v>
      </c>
      <c r="I28" s="2130" t="s">
        <v>120</v>
      </c>
      <c r="J28" s="2143">
        <v>14000</v>
      </c>
      <c r="K28" s="363">
        <f>H28*J28</f>
        <v>28000</v>
      </c>
      <c r="L28" s="2139">
        <f>K28</f>
        <v>28000</v>
      </c>
      <c r="M28" s="2144"/>
      <c r="N28" s="2144"/>
      <c r="O28" s="2140"/>
      <c r="P28" s="2140"/>
      <c r="Q28" s="2140"/>
      <c r="R28" s="2140"/>
    </row>
    <row r="29" spans="2:18">
      <c r="B29" s="19"/>
      <c r="C29" s="15"/>
      <c r="D29" s="15"/>
      <c r="E29" s="28"/>
      <c r="F29" s="28"/>
      <c r="G29" s="2129" t="s">
        <v>1282</v>
      </c>
      <c r="H29" s="2130">
        <v>30</v>
      </c>
      <c r="I29" s="2130" t="s">
        <v>120</v>
      </c>
      <c r="J29" s="2145">
        <v>14000</v>
      </c>
      <c r="K29" s="363">
        <f t="shared" ref="K29:K92" si="0">H29*J29</f>
        <v>420000</v>
      </c>
      <c r="L29" s="2139">
        <f t="shared" ref="L29:L92" si="1">K29</f>
        <v>420000</v>
      </c>
      <c r="M29" s="2144"/>
      <c r="N29" s="2144"/>
      <c r="O29" s="2139"/>
      <c r="P29" s="2139"/>
      <c r="Q29" s="2140"/>
      <c r="R29" s="2140"/>
    </row>
    <row r="30" spans="2:18" s="2033" customFormat="1">
      <c r="B30" s="2533"/>
      <c r="C30" s="2534"/>
      <c r="D30" s="2534"/>
      <c r="E30" s="2535"/>
      <c r="F30" s="2535"/>
      <c r="G30" s="2536" t="s">
        <v>1283</v>
      </c>
      <c r="H30" s="2537">
        <v>700</v>
      </c>
      <c r="I30" s="2537" t="s">
        <v>120</v>
      </c>
      <c r="J30" s="2538">
        <v>3000</v>
      </c>
      <c r="K30" s="2539">
        <f t="shared" si="0"/>
        <v>2100000</v>
      </c>
      <c r="L30" s="2540">
        <f t="shared" si="1"/>
        <v>2100000</v>
      </c>
      <c r="M30" s="2541"/>
      <c r="N30" s="2541"/>
      <c r="O30" s="2545"/>
      <c r="P30" s="2545"/>
      <c r="Q30" s="2545"/>
      <c r="R30" s="2545"/>
    </row>
    <row r="31" spans="2:18">
      <c r="B31" s="19"/>
      <c r="C31" s="15"/>
      <c r="D31" s="15"/>
      <c r="E31" s="28"/>
      <c r="F31" s="28"/>
      <c r="G31" s="2131" t="s">
        <v>1284</v>
      </c>
      <c r="H31" s="2132">
        <v>20</v>
      </c>
      <c r="I31" s="2132" t="s">
        <v>120</v>
      </c>
      <c r="J31" s="2145">
        <v>4000</v>
      </c>
      <c r="K31" s="363">
        <f t="shared" si="0"/>
        <v>80000</v>
      </c>
      <c r="L31" s="2139">
        <f t="shared" si="1"/>
        <v>80000</v>
      </c>
      <c r="M31" s="2144"/>
      <c r="N31" s="2144"/>
      <c r="O31" s="2139"/>
      <c r="P31" s="2139"/>
      <c r="Q31" s="2140"/>
      <c r="R31" s="2140"/>
    </row>
    <row r="32" spans="2:18">
      <c r="B32" s="19"/>
      <c r="C32" s="15"/>
      <c r="D32" s="15"/>
      <c r="E32" s="28"/>
      <c r="F32" s="28"/>
      <c r="G32" s="2129" t="s">
        <v>1285</v>
      </c>
      <c r="H32" s="2130">
        <v>5</v>
      </c>
      <c r="I32" s="2130" t="s">
        <v>293</v>
      </c>
      <c r="J32" s="2145">
        <v>14000</v>
      </c>
      <c r="K32" s="363">
        <f t="shared" si="0"/>
        <v>70000</v>
      </c>
      <c r="L32" s="2139">
        <f t="shared" si="1"/>
        <v>70000</v>
      </c>
      <c r="M32" s="2144"/>
      <c r="N32" s="2144"/>
      <c r="O32" s="2139"/>
      <c r="P32" s="2139"/>
      <c r="Q32" s="2146"/>
      <c r="R32" s="2146"/>
    </row>
    <row r="33" spans="2:18">
      <c r="B33" s="19"/>
      <c r="C33" s="15"/>
      <c r="D33" s="15"/>
      <c r="E33" s="28"/>
      <c r="F33" s="28"/>
      <c r="G33" s="2129" t="s">
        <v>1286</v>
      </c>
      <c r="H33" s="2130">
        <v>60</v>
      </c>
      <c r="I33" s="2130" t="s">
        <v>293</v>
      </c>
      <c r="J33" s="2145">
        <v>14000</v>
      </c>
      <c r="K33" s="363">
        <f t="shared" si="0"/>
        <v>840000</v>
      </c>
      <c r="L33" s="2139">
        <f t="shared" si="1"/>
        <v>840000</v>
      </c>
      <c r="M33" s="2144"/>
      <c r="N33" s="2144"/>
      <c r="O33" s="2147"/>
      <c r="P33" s="2147"/>
      <c r="Q33" s="2148"/>
      <c r="R33" s="2148"/>
    </row>
    <row r="34" spans="2:18" s="2033" customFormat="1">
      <c r="B34" s="2533"/>
      <c r="C34" s="2534"/>
      <c r="D34" s="2534"/>
      <c r="E34" s="2535"/>
      <c r="F34" s="2535"/>
      <c r="G34" s="2536" t="s">
        <v>1287</v>
      </c>
      <c r="H34" s="2537">
        <v>100</v>
      </c>
      <c r="I34" s="2537" t="s">
        <v>293</v>
      </c>
      <c r="J34" s="2538">
        <v>20000</v>
      </c>
      <c r="K34" s="2539">
        <f t="shared" si="0"/>
        <v>2000000</v>
      </c>
      <c r="L34" s="2540">
        <f t="shared" si="1"/>
        <v>2000000</v>
      </c>
      <c r="M34" s="2541"/>
      <c r="N34" s="2541"/>
      <c r="O34" s="2542"/>
      <c r="P34" s="2542"/>
      <c r="Q34" s="2543"/>
      <c r="R34" s="2543"/>
    </row>
    <row r="35" spans="2:18">
      <c r="B35" s="19"/>
      <c r="C35" s="15"/>
      <c r="D35" s="15"/>
      <c r="E35" s="28"/>
      <c r="F35" s="28"/>
      <c r="G35" s="2129" t="s">
        <v>1288</v>
      </c>
      <c r="H35" s="2130">
        <v>36</v>
      </c>
      <c r="I35" s="2130" t="s">
        <v>293</v>
      </c>
      <c r="J35" s="2145">
        <v>3000</v>
      </c>
      <c r="K35" s="363">
        <f t="shared" si="0"/>
        <v>108000</v>
      </c>
      <c r="L35" s="2139">
        <f t="shared" si="1"/>
        <v>108000</v>
      </c>
      <c r="M35" s="2144"/>
      <c r="N35" s="2144"/>
      <c r="O35" s="2146"/>
      <c r="P35" s="2146"/>
      <c r="Q35" s="2149"/>
      <c r="R35" s="2146"/>
    </row>
    <row r="36" spans="2:18" s="2033" customFormat="1">
      <c r="B36" s="2533"/>
      <c r="C36" s="2534"/>
      <c r="D36" s="2534"/>
      <c r="E36" s="2535"/>
      <c r="F36" s="2535"/>
      <c r="G36" s="2536" t="s">
        <v>1289</v>
      </c>
      <c r="H36" s="2537">
        <v>800</v>
      </c>
      <c r="I36" s="2537" t="s">
        <v>293</v>
      </c>
      <c r="J36" s="2538">
        <v>3000</v>
      </c>
      <c r="K36" s="2539">
        <f t="shared" si="0"/>
        <v>2400000</v>
      </c>
      <c r="L36" s="2540">
        <f t="shared" si="1"/>
        <v>2400000</v>
      </c>
      <c r="M36" s="2541"/>
      <c r="N36" s="2541"/>
      <c r="O36" s="2540"/>
      <c r="P36" s="2540"/>
      <c r="Q36" s="2543"/>
      <c r="R36" s="2544"/>
    </row>
    <row r="37" spans="2:18">
      <c r="B37" s="19"/>
      <c r="C37" s="15"/>
      <c r="D37" s="15"/>
      <c r="E37" s="28"/>
      <c r="F37" s="28"/>
      <c r="G37" s="2129" t="s">
        <v>1290</v>
      </c>
      <c r="H37" s="2130">
        <v>24</v>
      </c>
      <c r="I37" s="2130" t="s">
        <v>293</v>
      </c>
      <c r="J37" s="2145">
        <v>7000</v>
      </c>
      <c r="K37" s="363">
        <f t="shared" si="0"/>
        <v>168000</v>
      </c>
      <c r="L37" s="2139">
        <f t="shared" si="1"/>
        <v>168000</v>
      </c>
      <c r="M37" s="2144"/>
      <c r="N37" s="2144"/>
      <c r="O37" s="2149"/>
      <c r="P37" s="2149"/>
      <c r="Q37" s="2146"/>
      <c r="R37" s="2146"/>
    </row>
    <row r="38" spans="2:18">
      <c r="B38" s="19"/>
      <c r="C38" s="15"/>
      <c r="D38" s="15"/>
      <c r="E38" s="28"/>
      <c r="F38" s="28"/>
      <c r="G38" s="2129" t="s">
        <v>1291</v>
      </c>
      <c r="H38" s="2130">
        <v>120</v>
      </c>
      <c r="I38" s="2130" t="s">
        <v>293</v>
      </c>
      <c r="J38" s="2145">
        <v>6000</v>
      </c>
      <c r="K38" s="363">
        <f t="shared" si="0"/>
        <v>720000</v>
      </c>
      <c r="L38" s="2139">
        <f t="shared" si="1"/>
        <v>720000</v>
      </c>
      <c r="M38" s="2144"/>
      <c r="N38" s="2144"/>
      <c r="O38" s="2150"/>
      <c r="P38" s="2150"/>
      <c r="Q38" s="2146"/>
      <c r="R38" s="2146"/>
    </row>
    <row r="39" spans="2:18">
      <c r="B39" s="19"/>
      <c r="C39" s="15"/>
      <c r="D39" s="15"/>
      <c r="E39" s="28"/>
      <c r="F39" s="28"/>
      <c r="G39" s="2129" t="s">
        <v>1292</v>
      </c>
      <c r="H39" s="2130">
        <v>6</v>
      </c>
      <c r="I39" s="2130" t="s">
        <v>293</v>
      </c>
      <c r="J39" s="2145">
        <v>5000</v>
      </c>
      <c r="K39" s="363">
        <f t="shared" si="0"/>
        <v>30000</v>
      </c>
      <c r="L39" s="2139">
        <f t="shared" si="1"/>
        <v>30000</v>
      </c>
      <c r="M39" s="2144"/>
      <c r="N39" s="2144"/>
      <c r="O39" s="2151"/>
      <c r="P39" s="2151"/>
      <c r="Q39" s="2146"/>
      <c r="R39" s="2146"/>
    </row>
    <row r="40" spans="2:18">
      <c r="B40" s="19"/>
      <c r="C40" s="15"/>
      <c r="D40" s="15"/>
      <c r="E40" s="28"/>
      <c r="F40" s="28"/>
      <c r="G40" s="2129" t="s">
        <v>1293</v>
      </c>
      <c r="H40" s="2130">
        <v>5</v>
      </c>
      <c r="I40" s="2130" t="s">
        <v>1294</v>
      </c>
      <c r="J40" s="2145">
        <v>17500</v>
      </c>
      <c r="K40" s="363">
        <f t="shared" si="0"/>
        <v>87500</v>
      </c>
      <c r="L40" s="2139">
        <f t="shared" si="1"/>
        <v>87500</v>
      </c>
      <c r="M40" s="2144"/>
      <c r="N40" s="2144"/>
      <c r="O40" s="2146"/>
      <c r="P40" s="2146"/>
      <c r="Q40" s="2146"/>
      <c r="R40" s="2146"/>
    </row>
    <row r="41" spans="2:18">
      <c r="B41" s="19"/>
      <c r="C41" s="15"/>
      <c r="D41" s="15"/>
      <c r="E41" s="28"/>
      <c r="F41" s="28"/>
      <c r="G41" s="2129" t="s">
        <v>1295</v>
      </c>
      <c r="H41" s="2130">
        <v>60</v>
      </c>
      <c r="I41" s="2130" t="s">
        <v>120</v>
      </c>
      <c r="J41" s="2145">
        <v>3000</v>
      </c>
      <c r="K41" s="363">
        <f t="shared" si="0"/>
        <v>180000</v>
      </c>
      <c r="L41" s="2139">
        <f t="shared" si="1"/>
        <v>180000</v>
      </c>
      <c r="M41" s="2144"/>
      <c r="N41" s="2144"/>
      <c r="O41" s="2146"/>
      <c r="P41" s="2146"/>
      <c r="Q41" s="2146"/>
      <c r="R41" s="2146"/>
    </row>
    <row r="42" spans="2:18">
      <c r="B42" s="19"/>
      <c r="C42" s="15"/>
      <c r="D42" s="15"/>
      <c r="E42" s="28"/>
      <c r="F42" s="28"/>
      <c r="G42" s="2129" t="s">
        <v>1296</v>
      </c>
      <c r="H42" s="2130">
        <v>60</v>
      </c>
      <c r="I42" s="2130" t="s">
        <v>120</v>
      </c>
      <c r="J42" s="2145">
        <v>5500</v>
      </c>
      <c r="K42" s="363">
        <f t="shared" si="0"/>
        <v>330000</v>
      </c>
      <c r="L42" s="2139">
        <f t="shared" si="1"/>
        <v>330000</v>
      </c>
      <c r="M42" s="2144"/>
      <c r="N42" s="2144"/>
      <c r="O42" s="2146"/>
      <c r="P42" s="2146"/>
      <c r="Q42" s="2146"/>
      <c r="R42" s="2146"/>
    </row>
    <row r="43" spans="2:18">
      <c r="B43" s="19"/>
      <c r="C43" s="15"/>
      <c r="D43" s="15"/>
      <c r="E43" s="28"/>
      <c r="F43" s="28"/>
      <c r="G43" s="2129" t="s">
        <v>1297</v>
      </c>
      <c r="H43" s="2130">
        <v>60</v>
      </c>
      <c r="I43" s="2130" t="s">
        <v>120</v>
      </c>
      <c r="J43" s="2145">
        <v>9400</v>
      </c>
      <c r="K43" s="363">
        <f t="shared" si="0"/>
        <v>564000</v>
      </c>
      <c r="L43" s="2139">
        <f t="shared" si="1"/>
        <v>564000</v>
      </c>
      <c r="M43" s="2144"/>
      <c r="N43" s="2144"/>
      <c r="O43" s="2146"/>
      <c r="P43" s="2146"/>
      <c r="Q43" s="2146"/>
      <c r="R43" s="2146"/>
    </row>
    <row r="44" spans="2:18">
      <c r="B44" s="19"/>
      <c r="C44" s="15"/>
      <c r="D44" s="15"/>
      <c r="E44" s="28"/>
      <c r="F44" s="28"/>
      <c r="G44" s="2129" t="s">
        <v>1298</v>
      </c>
      <c r="H44" s="2130">
        <v>50</v>
      </c>
      <c r="I44" s="2130" t="s">
        <v>120</v>
      </c>
      <c r="J44" s="2145">
        <v>12000</v>
      </c>
      <c r="K44" s="363">
        <f t="shared" si="0"/>
        <v>600000</v>
      </c>
      <c r="L44" s="2139">
        <f t="shared" si="1"/>
        <v>600000</v>
      </c>
      <c r="M44" s="2144"/>
      <c r="N44" s="2144"/>
      <c r="O44" s="2146"/>
      <c r="P44" s="2146"/>
      <c r="Q44" s="2146"/>
      <c r="R44" s="2146"/>
    </row>
    <row r="45" spans="2:18">
      <c r="B45" s="19"/>
      <c r="C45" s="15"/>
      <c r="D45" s="15"/>
      <c r="E45" s="28"/>
      <c r="F45" s="28"/>
      <c r="G45" s="2129" t="s">
        <v>1299</v>
      </c>
      <c r="H45" s="2130">
        <v>20</v>
      </c>
      <c r="I45" s="2130" t="s">
        <v>120</v>
      </c>
      <c r="J45" s="2133">
        <v>14700</v>
      </c>
      <c r="K45" s="363">
        <f t="shared" si="0"/>
        <v>294000</v>
      </c>
      <c r="L45" s="2139">
        <f t="shared" si="1"/>
        <v>294000</v>
      </c>
      <c r="M45" s="2144"/>
      <c r="N45" s="2144"/>
      <c r="O45" s="2146"/>
      <c r="P45" s="2146"/>
      <c r="Q45" s="2146"/>
      <c r="R45" s="2146"/>
    </row>
    <row r="46" spans="2:18">
      <c r="B46" s="19"/>
      <c r="C46" s="15"/>
      <c r="D46" s="15"/>
      <c r="E46" s="28"/>
      <c r="F46" s="28"/>
      <c r="G46" s="2129" t="s">
        <v>1791</v>
      </c>
      <c r="H46" s="2130">
        <v>2</v>
      </c>
      <c r="I46" s="2130" t="s">
        <v>293</v>
      </c>
      <c r="J46" s="2152">
        <v>18000</v>
      </c>
      <c r="K46" s="363">
        <f t="shared" si="0"/>
        <v>36000</v>
      </c>
      <c r="L46" s="2139">
        <f t="shared" si="1"/>
        <v>36000</v>
      </c>
      <c r="M46" s="2144"/>
      <c r="N46" s="2144"/>
      <c r="O46" s="2146"/>
      <c r="P46" s="2146"/>
      <c r="Q46" s="2146"/>
      <c r="R46" s="2146"/>
    </row>
    <row r="47" spans="2:18">
      <c r="B47" s="19"/>
      <c r="C47" s="15"/>
      <c r="D47" s="15"/>
      <c r="E47" s="28"/>
      <c r="F47" s="28"/>
      <c r="G47" s="2129" t="s">
        <v>1300</v>
      </c>
      <c r="H47" s="2130">
        <v>15</v>
      </c>
      <c r="I47" s="2130" t="s">
        <v>293</v>
      </c>
      <c r="J47" s="2152">
        <v>12600</v>
      </c>
      <c r="K47" s="363">
        <f t="shared" si="0"/>
        <v>189000</v>
      </c>
      <c r="L47" s="2139">
        <f t="shared" si="1"/>
        <v>189000</v>
      </c>
      <c r="M47" s="2144"/>
      <c r="N47" s="2144"/>
      <c r="O47" s="2146"/>
      <c r="P47" s="2146"/>
      <c r="Q47" s="2146"/>
      <c r="R47" s="2146"/>
    </row>
    <row r="48" spans="2:18">
      <c r="B48" s="19"/>
      <c r="C48" s="15"/>
      <c r="D48" s="15"/>
      <c r="E48" s="28"/>
      <c r="F48" s="28"/>
      <c r="G48" s="2129" t="s">
        <v>1301</v>
      </c>
      <c r="H48" s="2130">
        <v>200</v>
      </c>
      <c r="I48" s="2130" t="s">
        <v>293</v>
      </c>
      <c r="J48" s="2152">
        <v>18950</v>
      </c>
      <c r="K48" s="363">
        <f t="shared" si="0"/>
        <v>3790000</v>
      </c>
      <c r="L48" s="2139">
        <f t="shared" si="1"/>
        <v>3790000</v>
      </c>
      <c r="M48" s="2144"/>
      <c r="N48" s="2144"/>
      <c r="O48" s="2146"/>
      <c r="P48" s="2146"/>
      <c r="Q48" s="2146"/>
      <c r="R48" s="2146"/>
    </row>
    <row r="49" spans="2:18">
      <c r="B49" s="19"/>
      <c r="C49" s="15"/>
      <c r="D49" s="15"/>
      <c r="E49" s="28"/>
      <c r="F49" s="28"/>
      <c r="G49" s="2129" t="s">
        <v>1302</v>
      </c>
      <c r="H49" s="2130">
        <v>100</v>
      </c>
      <c r="I49" s="2130" t="s">
        <v>293</v>
      </c>
      <c r="J49" s="2152">
        <v>25000</v>
      </c>
      <c r="K49" s="363">
        <f t="shared" si="0"/>
        <v>2500000</v>
      </c>
      <c r="L49" s="2139">
        <f t="shared" si="1"/>
        <v>2500000</v>
      </c>
      <c r="M49" s="2144"/>
      <c r="N49" s="2144"/>
      <c r="O49" s="2146"/>
      <c r="P49" s="2146"/>
      <c r="Q49" s="2146"/>
      <c r="R49" s="2146"/>
    </row>
    <row r="50" spans="2:18">
      <c r="B50" s="19"/>
      <c r="C50" s="15"/>
      <c r="D50" s="15"/>
      <c r="E50" s="28"/>
      <c r="F50" s="28"/>
      <c r="G50" s="2129" t="s">
        <v>1535</v>
      </c>
      <c r="H50" s="2130">
        <v>50</v>
      </c>
      <c r="I50" s="2130" t="s">
        <v>293</v>
      </c>
      <c r="J50" s="2152">
        <v>12000</v>
      </c>
      <c r="K50" s="363">
        <f t="shared" si="0"/>
        <v>600000</v>
      </c>
      <c r="L50" s="2139">
        <f t="shared" si="1"/>
        <v>600000</v>
      </c>
      <c r="M50" s="2144"/>
      <c r="N50" s="2144"/>
      <c r="O50" s="2146"/>
      <c r="P50" s="2146"/>
      <c r="Q50" s="2146"/>
      <c r="R50" s="2146"/>
    </row>
    <row r="51" spans="2:18">
      <c r="B51" s="19"/>
      <c r="C51" s="15"/>
      <c r="D51" s="15"/>
      <c r="E51" s="28"/>
      <c r="F51" s="28"/>
      <c r="G51" s="2129" t="s">
        <v>1303</v>
      </c>
      <c r="H51" s="2130">
        <v>6</v>
      </c>
      <c r="I51" s="2130" t="s">
        <v>293</v>
      </c>
      <c r="J51" s="2152">
        <v>179000</v>
      </c>
      <c r="K51" s="363">
        <f t="shared" si="0"/>
        <v>1074000</v>
      </c>
      <c r="L51" s="2139">
        <f t="shared" si="1"/>
        <v>1074000</v>
      </c>
      <c r="M51" s="2144"/>
      <c r="N51" s="2144"/>
      <c r="O51" s="2146"/>
      <c r="P51" s="2146"/>
      <c r="Q51" s="2146"/>
      <c r="R51" s="2146"/>
    </row>
    <row r="52" spans="2:18">
      <c r="B52" s="19"/>
      <c r="C52" s="15"/>
      <c r="D52" s="15"/>
      <c r="E52" s="28"/>
      <c r="F52" s="28"/>
      <c r="G52" s="2129" t="s">
        <v>1304</v>
      </c>
      <c r="H52" s="2130">
        <v>10</v>
      </c>
      <c r="I52" s="2130" t="s">
        <v>293</v>
      </c>
      <c r="J52" s="2152">
        <v>170000</v>
      </c>
      <c r="K52" s="363">
        <f t="shared" si="0"/>
        <v>1700000</v>
      </c>
      <c r="L52" s="2139">
        <f t="shared" si="1"/>
        <v>1700000</v>
      </c>
      <c r="M52" s="2144"/>
      <c r="N52" s="2144"/>
      <c r="O52" s="2146"/>
      <c r="P52" s="2146"/>
      <c r="Q52" s="2146"/>
      <c r="R52" s="2146"/>
    </row>
    <row r="53" spans="2:18">
      <c r="B53" s="19"/>
      <c r="C53" s="15"/>
      <c r="D53" s="15"/>
      <c r="E53" s="28"/>
      <c r="F53" s="28"/>
      <c r="G53" s="2129" t="s">
        <v>1305</v>
      </c>
      <c r="H53" s="2130">
        <v>20</v>
      </c>
      <c r="I53" s="2130" t="s">
        <v>293</v>
      </c>
      <c r="J53" s="2152">
        <v>15000</v>
      </c>
      <c r="K53" s="363">
        <f t="shared" si="0"/>
        <v>300000</v>
      </c>
      <c r="L53" s="2139">
        <f t="shared" si="1"/>
        <v>300000</v>
      </c>
      <c r="M53" s="2144"/>
      <c r="N53" s="2144"/>
      <c r="O53" s="2146"/>
      <c r="P53" s="2146"/>
      <c r="Q53" s="2146"/>
      <c r="R53" s="2146"/>
    </row>
    <row r="54" spans="2:18">
      <c r="B54" s="19"/>
      <c r="C54" s="15"/>
      <c r="D54" s="15"/>
      <c r="E54" s="28"/>
      <c r="F54" s="28"/>
      <c r="G54" s="2129" t="s">
        <v>1306</v>
      </c>
      <c r="H54" s="2130">
        <v>5</v>
      </c>
      <c r="I54" s="2130" t="s">
        <v>293</v>
      </c>
      <c r="J54" s="2133">
        <v>9000</v>
      </c>
      <c r="K54" s="363">
        <f t="shared" si="0"/>
        <v>45000</v>
      </c>
      <c r="L54" s="2139">
        <f t="shared" si="1"/>
        <v>45000</v>
      </c>
      <c r="M54" s="2144"/>
      <c r="N54" s="2144"/>
      <c r="O54" s="2146"/>
      <c r="P54" s="2146"/>
      <c r="Q54" s="2146"/>
      <c r="R54" s="2146"/>
    </row>
    <row r="55" spans="2:18">
      <c r="B55" s="19"/>
      <c r="C55" s="15"/>
      <c r="D55" s="15"/>
      <c r="E55" s="28"/>
      <c r="F55" s="28"/>
      <c r="G55" s="2129" t="s">
        <v>1307</v>
      </c>
      <c r="H55" s="2130">
        <v>20</v>
      </c>
      <c r="I55" s="2130" t="s">
        <v>293</v>
      </c>
      <c r="J55" s="2133">
        <v>12000</v>
      </c>
      <c r="K55" s="363">
        <f t="shared" si="0"/>
        <v>240000</v>
      </c>
      <c r="L55" s="2139">
        <f t="shared" si="1"/>
        <v>240000</v>
      </c>
      <c r="M55" s="2144"/>
      <c r="N55" s="2144"/>
      <c r="O55" s="2146"/>
      <c r="P55" s="2146"/>
      <c r="Q55" s="2146"/>
      <c r="R55" s="2146"/>
    </row>
    <row r="56" spans="2:18">
      <c r="B56" s="19"/>
      <c r="C56" s="15"/>
      <c r="D56" s="15"/>
      <c r="E56" s="28"/>
      <c r="F56" s="28"/>
      <c r="G56" s="2129" t="s">
        <v>1308</v>
      </c>
      <c r="H56" s="2130">
        <v>20</v>
      </c>
      <c r="I56" s="2130" t="s">
        <v>293</v>
      </c>
      <c r="J56" s="2133">
        <v>7000</v>
      </c>
      <c r="K56" s="363">
        <f t="shared" si="0"/>
        <v>140000</v>
      </c>
      <c r="L56" s="2139">
        <f t="shared" si="1"/>
        <v>140000</v>
      </c>
      <c r="M56" s="2144"/>
      <c r="N56" s="2144"/>
      <c r="O56" s="2146"/>
      <c r="P56" s="2146"/>
      <c r="Q56" s="2146"/>
      <c r="R56" s="2146"/>
    </row>
    <row r="57" spans="2:18">
      <c r="B57" s="19"/>
      <c r="C57" s="15"/>
      <c r="D57" s="15"/>
      <c r="E57" s="28"/>
      <c r="F57" s="28"/>
      <c r="G57" s="2129" t="s">
        <v>1309</v>
      </c>
      <c r="H57" s="2130">
        <v>20</v>
      </c>
      <c r="I57" s="2130" t="s">
        <v>293</v>
      </c>
      <c r="J57" s="2133">
        <v>5000</v>
      </c>
      <c r="K57" s="363">
        <f t="shared" si="0"/>
        <v>100000</v>
      </c>
      <c r="L57" s="2139">
        <f t="shared" si="1"/>
        <v>100000</v>
      </c>
      <c r="M57" s="2144"/>
      <c r="N57" s="2144"/>
      <c r="O57" s="2146"/>
      <c r="P57" s="2146"/>
      <c r="Q57" s="2146"/>
      <c r="R57" s="2146"/>
    </row>
    <row r="58" spans="2:18">
      <c r="B58" s="19"/>
      <c r="C58" s="15"/>
      <c r="D58" s="15"/>
      <c r="E58" s="28"/>
      <c r="F58" s="28"/>
      <c r="G58" s="2129" t="s">
        <v>1310</v>
      </c>
      <c r="H58" s="2130">
        <v>5</v>
      </c>
      <c r="I58" s="2130" t="s">
        <v>293</v>
      </c>
      <c r="J58" s="2133">
        <v>8000</v>
      </c>
      <c r="K58" s="363">
        <f t="shared" si="0"/>
        <v>40000</v>
      </c>
      <c r="L58" s="2139">
        <f t="shared" si="1"/>
        <v>40000</v>
      </c>
      <c r="M58" s="2144"/>
      <c r="N58" s="2144"/>
      <c r="O58" s="2146"/>
      <c r="P58" s="2146"/>
      <c r="Q58" s="2146"/>
      <c r="R58" s="2146"/>
    </row>
    <row r="59" spans="2:18">
      <c r="B59" s="19"/>
      <c r="C59" s="15"/>
      <c r="D59" s="15"/>
      <c r="E59" s="28"/>
      <c r="F59" s="28"/>
      <c r="G59" s="2129" t="s">
        <v>917</v>
      </c>
      <c r="H59" s="2130">
        <v>10</v>
      </c>
      <c r="I59" s="2130" t="s">
        <v>293</v>
      </c>
      <c r="J59" s="2152">
        <v>14000</v>
      </c>
      <c r="K59" s="363">
        <f t="shared" si="0"/>
        <v>140000</v>
      </c>
      <c r="L59" s="2139">
        <f t="shared" si="1"/>
        <v>140000</v>
      </c>
      <c r="M59" s="2144"/>
      <c r="N59" s="2144"/>
      <c r="O59" s="2146"/>
      <c r="P59" s="2146"/>
      <c r="Q59" s="2146"/>
      <c r="R59" s="2146"/>
    </row>
    <row r="60" spans="2:18">
      <c r="B60" s="19"/>
      <c r="C60" s="15"/>
      <c r="D60" s="15"/>
      <c r="E60" s="28"/>
      <c r="F60" s="28"/>
      <c r="G60" s="2129" t="s">
        <v>1580</v>
      </c>
      <c r="H60" s="2130">
        <v>70</v>
      </c>
      <c r="I60" s="2130" t="s">
        <v>1581</v>
      </c>
      <c r="J60" s="2145">
        <v>20000</v>
      </c>
      <c r="K60" s="363">
        <f t="shared" si="0"/>
        <v>1400000</v>
      </c>
      <c r="L60" s="2139">
        <f t="shared" si="1"/>
        <v>1400000</v>
      </c>
      <c r="M60" s="2144"/>
      <c r="N60" s="2144"/>
      <c r="O60" s="2146"/>
      <c r="P60" s="2146"/>
      <c r="Q60" s="2146"/>
      <c r="R60" s="2146"/>
    </row>
    <row r="61" spans="2:18">
      <c r="B61" s="19"/>
      <c r="C61" s="15"/>
      <c r="D61" s="15"/>
      <c r="E61" s="28"/>
      <c r="F61" s="28"/>
      <c r="G61" s="2129" t="s">
        <v>1311</v>
      </c>
      <c r="H61" s="2130">
        <v>77</v>
      </c>
      <c r="I61" s="2130" t="s">
        <v>370</v>
      </c>
      <c r="J61" s="2145">
        <v>50000</v>
      </c>
      <c r="K61" s="363">
        <f t="shared" si="0"/>
        <v>3850000</v>
      </c>
      <c r="L61" s="2139">
        <f t="shared" si="1"/>
        <v>3850000</v>
      </c>
      <c r="M61" s="2144"/>
      <c r="N61" s="2144"/>
      <c r="O61" s="2146"/>
      <c r="P61" s="2146"/>
      <c r="Q61" s="2146"/>
      <c r="R61" s="2146"/>
    </row>
    <row r="62" spans="2:18" s="2033" customFormat="1">
      <c r="B62" s="2533"/>
      <c r="C62" s="2534"/>
      <c r="D62" s="2534"/>
      <c r="E62" s="2535"/>
      <c r="F62" s="2535"/>
      <c r="G62" s="2536" t="s">
        <v>1312</v>
      </c>
      <c r="H62" s="2537">
        <v>800</v>
      </c>
      <c r="I62" s="2537" t="s">
        <v>370</v>
      </c>
      <c r="J62" s="2538">
        <v>58000</v>
      </c>
      <c r="K62" s="2539">
        <f t="shared" si="0"/>
        <v>46400000</v>
      </c>
      <c r="L62" s="2540">
        <f t="shared" si="1"/>
        <v>46400000</v>
      </c>
      <c r="M62" s="2541"/>
      <c r="N62" s="2541"/>
      <c r="O62" s="2543"/>
      <c r="P62" s="2543"/>
      <c r="Q62" s="2543"/>
      <c r="R62" s="2543"/>
    </row>
    <row r="63" spans="2:18">
      <c r="B63" s="19"/>
      <c r="C63" s="15"/>
      <c r="D63" s="15"/>
      <c r="E63" s="28"/>
      <c r="F63" s="28"/>
      <c r="G63" s="2129" t="s">
        <v>918</v>
      </c>
      <c r="H63" s="2130">
        <v>50</v>
      </c>
      <c r="I63" s="2130" t="s">
        <v>293</v>
      </c>
      <c r="J63" s="2145">
        <v>1700</v>
      </c>
      <c r="K63" s="363">
        <f t="shared" si="0"/>
        <v>85000</v>
      </c>
      <c r="L63" s="2139">
        <f t="shared" si="1"/>
        <v>85000</v>
      </c>
      <c r="M63" s="2144"/>
      <c r="N63" s="2144"/>
      <c r="O63" s="2146"/>
      <c r="P63" s="2146"/>
      <c r="Q63" s="2146"/>
      <c r="R63" s="2146"/>
    </row>
    <row r="64" spans="2:18">
      <c r="B64" s="19"/>
      <c r="C64" s="15"/>
      <c r="D64" s="15"/>
      <c r="E64" s="28"/>
      <c r="F64" s="28"/>
      <c r="G64" s="2129" t="s">
        <v>1313</v>
      </c>
      <c r="H64" s="2130">
        <v>2</v>
      </c>
      <c r="I64" s="2130" t="s">
        <v>314</v>
      </c>
      <c r="J64" s="2145">
        <v>18000</v>
      </c>
      <c r="K64" s="363">
        <f t="shared" si="0"/>
        <v>36000</v>
      </c>
      <c r="L64" s="2139">
        <f t="shared" si="1"/>
        <v>36000</v>
      </c>
      <c r="M64" s="2144"/>
      <c r="N64" s="2144"/>
      <c r="O64" s="2146"/>
      <c r="P64" s="2146"/>
      <c r="Q64" s="2146"/>
      <c r="R64" s="2146"/>
    </row>
    <row r="65" spans="2:18">
      <c r="B65" s="19"/>
      <c r="C65" s="15"/>
      <c r="D65" s="15"/>
      <c r="E65" s="28"/>
      <c r="F65" s="28"/>
      <c r="G65" s="2129" t="s">
        <v>919</v>
      </c>
      <c r="H65" s="2130">
        <v>20</v>
      </c>
      <c r="I65" s="2130" t="s">
        <v>293</v>
      </c>
      <c r="J65" s="2145">
        <v>17500</v>
      </c>
      <c r="K65" s="363">
        <f t="shared" si="0"/>
        <v>350000</v>
      </c>
      <c r="L65" s="2139">
        <f t="shared" si="1"/>
        <v>350000</v>
      </c>
      <c r="M65" s="2144"/>
      <c r="N65" s="2144"/>
      <c r="O65" s="2146"/>
      <c r="P65" s="2146"/>
      <c r="Q65" s="2146"/>
      <c r="R65" s="2146"/>
    </row>
    <row r="66" spans="2:18">
      <c r="B66" s="19"/>
      <c r="C66" s="15"/>
      <c r="D66" s="15"/>
      <c r="E66" s="28"/>
      <c r="F66" s="28"/>
      <c r="G66" s="2129" t="s">
        <v>1314</v>
      </c>
      <c r="H66" s="2130">
        <v>10</v>
      </c>
      <c r="I66" s="2130" t="s">
        <v>293</v>
      </c>
      <c r="J66" s="2145">
        <v>8000</v>
      </c>
      <c r="K66" s="363">
        <f t="shared" si="0"/>
        <v>80000</v>
      </c>
      <c r="L66" s="2139">
        <f t="shared" si="1"/>
        <v>80000</v>
      </c>
      <c r="M66" s="2144"/>
      <c r="N66" s="2144"/>
      <c r="O66" s="2146"/>
      <c r="P66" s="2146"/>
      <c r="Q66" s="2146"/>
      <c r="R66" s="2146"/>
    </row>
    <row r="67" spans="2:18">
      <c r="B67" s="19"/>
      <c r="C67" s="15"/>
      <c r="D67" s="15"/>
      <c r="E67" s="28"/>
      <c r="F67" s="28"/>
      <c r="G67" s="2129" t="s">
        <v>1315</v>
      </c>
      <c r="H67" s="2130">
        <v>100</v>
      </c>
      <c r="I67" s="2130" t="s">
        <v>293</v>
      </c>
      <c r="J67" s="2145">
        <v>12500</v>
      </c>
      <c r="K67" s="363">
        <f t="shared" si="0"/>
        <v>1250000</v>
      </c>
      <c r="L67" s="2139">
        <f t="shared" si="1"/>
        <v>1250000</v>
      </c>
      <c r="M67" s="2144"/>
      <c r="N67" s="2144"/>
      <c r="O67" s="2146"/>
      <c r="P67" s="2146"/>
      <c r="Q67" s="2146"/>
      <c r="R67" s="2146"/>
    </row>
    <row r="68" spans="2:18">
      <c r="B68" s="19"/>
      <c r="C68" s="15"/>
      <c r="D68" s="15"/>
      <c r="E68" s="28"/>
      <c r="F68" s="28"/>
      <c r="G68" s="2129" t="s">
        <v>1316</v>
      </c>
      <c r="H68" s="2130">
        <v>24</v>
      </c>
      <c r="I68" s="2130" t="s">
        <v>293</v>
      </c>
      <c r="J68" s="2145">
        <v>20000</v>
      </c>
      <c r="K68" s="363">
        <f t="shared" si="0"/>
        <v>480000</v>
      </c>
      <c r="L68" s="2139">
        <f t="shared" si="1"/>
        <v>480000</v>
      </c>
      <c r="M68" s="2144"/>
      <c r="N68" s="2144"/>
      <c r="O68" s="2146"/>
      <c r="P68" s="2146"/>
      <c r="Q68" s="2146"/>
      <c r="R68" s="2146"/>
    </row>
    <row r="69" spans="2:18" s="2033" customFormat="1">
      <c r="B69" s="2533"/>
      <c r="C69" s="2534"/>
      <c r="D69" s="2534"/>
      <c r="E69" s="2535"/>
      <c r="F69" s="2535"/>
      <c r="G69" s="2536" t="s">
        <v>1317</v>
      </c>
      <c r="H69" s="2537">
        <v>100</v>
      </c>
      <c r="I69" s="2537" t="s">
        <v>293</v>
      </c>
      <c r="J69" s="2538">
        <v>51750</v>
      </c>
      <c r="K69" s="2539">
        <f t="shared" si="0"/>
        <v>5175000</v>
      </c>
      <c r="L69" s="2540">
        <f t="shared" si="1"/>
        <v>5175000</v>
      </c>
      <c r="M69" s="2541"/>
      <c r="N69" s="2541"/>
      <c r="O69" s="2543"/>
      <c r="P69" s="2543"/>
      <c r="Q69" s="2543"/>
      <c r="R69" s="2543"/>
    </row>
    <row r="70" spans="2:18" s="2033" customFormat="1">
      <c r="B70" s="2533"/>
      <c r="C70" s="2534"/>
      <c r="D70" s="2534"/>
      <c r="E70" s="2535"/>
      <c r="F70" s="2535"/>
      <c r="G70" s="2536" t="s">
        <v>920</v>
      </c>
      <c r="H70" s="2537">
        <v>150</v>
      </c>
      <c r="I70" s="2537" t="s">
        <v>293</v>
      </c>
      <c r="J70" s="2538">
        <v>29900</v>
      </c>
      <c r="K70" s="2539">
        <f t="shared" si="0"/>
        <v>4485000</v>
      </c>
      <c r="L70" s="2540">
        <f t="shared" si="1"/>
        <v>4485000</v>
      </c>
      <c r="M70" s="2541"/>
      <c r="N70" s="2541"/>
      <c r="O70" s="2543"/>
      <c r="P70" s="2543"/>
      <c r="Q70" s="2543"/>
      <c r="R70" s="2543"/>
    </row>
    <row r="71" spans="2:18" s="2033" customFormat="1">
      <c r="B71" s="2533"/>
      <c r="C71" s="2534"/>
      <c r="D71" s="2534"/>
      <c r="E71" s="2535"/>
      <c r="F71" s="2535"/>
      <c r="G71" s="2536" t="s">
        <v>921</v>
      </c>
      <c r="H71" s="2537">
        <v>150</v>
      </c>
      <c r="I71" s="2537" t="s">
        <v>293</v>
      </c>
      <c r="J71" s="2538">
        <v>26000</v>
      </c>
      <c r="K71" s="2539">
        <f t="shared" si="0"/>
        <v>3900000</v>
      </c>
      <c r="L71" s="2540">
        <f t="shared" si="1"/>
        <v>3900000</v>
      </c>
      <c r="M71" s="2541"/>
      <c r="N71" s="2541"/>
      <c r="O71" s="2543"/>
      <c r="P71" s="2543"/>
      <c r="Q71" s="2543"/>
      <c r="R71" s="2543"/>
    </row>
    <row r="72" spans="2:18">
      <c r="B72" s="19"/>
      <c r="C72" s="15"/>
      <c r="D72" s="15"/>
      <c r="E72" s="28"/>
      <c r="F72" s="28"/>
      <c r="G72" s="2129" t="s">
        <v>1318</v>
      </c>
      <c r="H72" s="2130">
        <v>24</v>
      </c>
      <c r="I72" s="2130" t="s">
        <v>293</v>
      </c>
      <c r="J72" s="2133">
        <v>20500</v>
      </c>
      <c r="K72" s="363">
        <f t="shared" si="0"/>
        <v>492000</v>
      </c>
      <c r="L72" s="2139">
        <f t="shared" si="1"/>
        <v>492000</v>
      </c>
      <c r="M72" s="2144"/>
      <c r="N72" s="2144"/>
      <c r="O72" s="2146"/>
      <c r="P72" s="2146"/>
      <c r="Q72" s="2146"/>
      <c r="R72" s="2146"/>
    </row>
    <row r="73" spans="2:18">
      <c r="B73" s="19"/>
      <c r="C73" s="15"/>
      <c r="D73" s="15"/>
      <c r="E73" s="28"/>
      <c r="F73" s="28"/>
      <c r="G73" s="2129" t="s">
        <v>1319</v>
      </c>
      <c r="H73" s="2130">
        <v>10</v>
      </c>
      <c r="I73" s="2130" t="s">
        <v>120</v>
      </c>
      <c r="J73" s="2133">
        <v>9200</v>
      </c>
      <c r="K73" s="363">
        <f t="shared" si="0"/>
        <v>92000</v>
      </c>
      <c r="L73" s="2139">
        <f t="shared" si="1"/>
        <v>92000</v>
      </c>
      <c r="M73" s="2144"/>
      <c r="N73" s="2144"/>
      <c r="O73" s="2146"/>
      <c r="P73" s="2146"/>
      <c r="Q73" s="2146"/>
      <c r="R73" s="2146"/>
    </row>
    <row r="74" spans="2:18">
      <c r="B74" s="19"/>
      <c r="C74" s="15"/>
      <c r="D74" s="15"/>
      <c r="E74" s="28"/>
      <c r="F74" s="28"/>
      <c r="G74" s="2129" t="s">
        <v>922</v>
      </c>
      <c r="H74" s="2130">
        <v>6</v>
      </c>
      <c r="I74" s="2130" t="s">
        <v>293</v>
      </c>
      <c r="J74" s="2133">
        <v>8000</v>
      </c>
      <c r="K74" s="363">
        <f t="shared" si="0"/>
        <v>48000</v>
      </c>
      <c r="L74" s="2139">
        <f t="shared" si="1"/>
        <v>48000</v>
      </c>
      <c r="M74" s="2144"/>
      <c r="N74" s="2144"/>
      <c r="O74" s="2146"/>
      <c r="P74" s="2146"/>
      <c r="Q74" s="2146"/>
      <c r="R74" s="2146"/>
    </row>
    <row r="75" spans="2:18">
      <c r="B75" s="19"/>
      <c r="C75" s="15"/>
      <c r="D75" s="15"/>
      <c r="E75" s="28"/>
      <c r="F75" s="28"/>
      <c r="G75" s="2129" t="s">
        <v>1320</v>
      </c>
      <c r="H75" s="2130">
        <v>3</v>
      </c>
      <c r="I75" s="2130" t="s">
        <v>293</v>
      </c>
      <c r="J75" s="2145">
        <v>140000</v>
      </c>
      <c r="K75" s="363">
        <f t="shared" si="0"/>
        <v>420000</v>
      </c>
      <c r="L75" s="2139">
        <f t="shared" si="1"/>
        <v>420000</v>
      </c>
      <c r="M75" s="2144"/>
      <c r="N75" s="2144"/>
      <c r="O75" s="2146"/>
      <c r="P75" s="2146"/>
      <c r="Q75" s="2146"/>
      <c r="R75" s="2146"/>
    </row>
    <row r="76" spans="2:18">
      <c r="B76" s="19"/>
      <c r="C76" s="15"/>
      <c r="D76" s="15"/>
      <c r="E76" s="28"/>
      <c r="F76" s="28"/>
      <c r="G76" s="2129" t="s">
        <v>1321</v>
      </c>
      <c r="H76" s="2130">
        <v>4</v>
      </c>
      <c r="I76" s="2130" t="s">
        <v>293</v>
      </c>
      <c r="J76" s="2145">
        <v>257000</v>
      </c>
      <c r="K76" s="363">
        <f t="shared" si="0"/>
        <v>1028000</v>
      </c>
      <c r="L76" s="2139">
        <f t="shared" si="1"/>
        <v>1028000</v>
      </c>
      <c r="M76" s="2144"/>
      <c r="N76" s="2144"/>
      <c r="O76" s="2146"/>
      <c r="P76" s="2146"/>
      <c r="Q76" s="2146"/>
      <c r="R76" s="2146"/>
    </row>
    <row r="77" spans="2:18" s="2033" customFormat="1">
      <c r="B77" s="2533"/>
      <c r="C77" s="2534"/>
      <c r="D77" s="2534"/>
      <c r="E77" s="2535"/>
      <c r="F77" s="2535"/>
      <c r="G77" s="2536" t="s">
        <v>1322</v>
      </c>
      <c r="H77" s="2537">
        <v>80</v>
      </c>
      <c r="I77" s="2537" t="s">
        <v>293</v>
      </c>
      <c r="J77" s="2538">
        <v>238000</v>
      </c>
      <c r="K77" s="2539">
        <f t="shared" si="0"/>
        <v>19040000</v>
      </c>
      <c r="L77" s="2540">
        <f t="shared" si="1"/>
        <v>19040000</v>
      </c>
      <c r="M77" s="2541"/>
      <c r="N77" s="2541"/>
      <c r="O77" s="2543"/>
      <c r="P77" s="2543"/>
      <c r="Q77" s="2543"/>
      <c r="R77" s="2543"/>
    </row>
    <row r="78" spans="2:18" s="2033" customFormat="1">
      <c r="B78" s="2533"/>
      <c r="C78" s="2534"/>
      <c r="D78" s="2534"/>
      <c r="E78" s="2535"/>
      <c r="F78" s="2535"/>
      <c r="G78" s="2536" t="s">
        <v>1323</v>
      </c>
      <c r="H78" s="2537">
        <v>20</v>
      </c>
      <c r="I78" s="2537" t="s">
        <v>293</v>
      </c>
      <c r="J78" s="2538">
        <v>10000</v>
      </c>
      <c r="K78" s="2539">
        <f t="shared" si="0"/>
        <v>200000</v>
      </c>
      <c r="L78" s="2540">
        <f t="shared" si="1"/>
        <v>200000</v>
      </c>
      <c r="M78" s="2541"/>
      <c r="N78" s="2541"/>
      <c r="O78" s="2543"/>
      <c r="P78" s="2543"/>
      <c r="Q78" s="2543"/>
      <c r="R78" s="2543"/>
    </row>
    <row r="79" spans="2:18">
      <c r="B79" s="19"/>
      <c r="C79" s="15"/>
      <c r="D79" s="15"/>
      <c r="E79" s="28"/>
      <c r="F79" s="28"/>
      <c r="G79" s="2129" t="s">
        <v>1324</v>
      </c>
      <c r="H79" s="2130">
        <v>12</v>
      </c>
      <c r="I79" s="2130" t="s">
        <v>293</v>
      </c>
      <c r="J79" s="2145">
        <v>30000</v>
      </c>
      <c r="K79" s="363">
        <f t="shared" si="0"/>
        <v>360000</v>
      </c>
      <c r="L79" s="2139">
        <f t="shared" si="1"/>
        <v>360000</v>
      </c>
      <c r="M79" s="2144"/>
      <c r="N79" s="2144"/>
      <c r="O79" s="2146"/>
      <c r="P79" s="2146"/>
      <c r="Q79" s="2146"/>
      <c r="R79" s="2146"/>
    </row>
    <row r="80" spans="2:18">
      <c r="B80" s="19"/>
      <c r="C80" s="15"/>
      <c r="D80" s="15"/>
      <c r="E80" s="28"/>
      <c r="F80" s="28"/>
      <c r="G80" s="2129" t="s">
        <v>1325</v>
      </c>
      <c r="H80" s="2130">
        <v>12</v>
      </c>
      <c r="I80" s="2130" t="s">
        <v>293</v>
      </c>
      <c r="J80" s="2145">
        <v>20000</v>
      </c>
      <c r="K80" s="363">
        <f t="shared" si="0"/>
        <v>240000</v>
      </c>
      <c r="L80" s="2139">
        <f t="shared" si="1"/>
        <v>240000</v>
      </c>
      <c r="M80" s="2144"/>
      <c r="N80" s="2144"/>
      <c r="O80" s="2146"/>
      <c r="P80" s="2146"/>
      <c r="Q80" s="2146"/>
      <c r="R80" s="2146"/>
    </row>
    <row r="81" spans="2:19">
      <c r="B81" s="19"/>
      <c r="C81" s="15"/>
      <c r="D81" s="15"/>
      <c r="E81" s="28"/>
      <c r="F81" s="28"/>
      <c r="G81" s="2129" t="s">
        <v>1326</v>
      </c>
      <c r="H81" s="2130">
        <v>5</v>
      </c>
      <c r="I81" s="2130" t="s">
        <v>293</v>
      </c>
      <c r="J81" s="2145">
        <v>2500</v>
      </c>
      <c r="K81" s="363">
        <f t="shared" si="0"/>
        <v>12500</v>
      </c>
      <c r="L81" s="2139">
        <f t="shared" si="1"/>
        <v>12500</v>
      </c>
      <c r="M81" s="2144"/>
      <c r="N81" s="2144"/>
      <c r="O81" s="2146"/>
      <c r="P81" s="2146"/>
      <c r="Q81" s="2146"/>
      <c r="R81" s="2146"/>
    </row>
    <row r="82" spans="2:19">
      <c r="B82" s="19"/>
      <c r="C82" s="15"/>
      <c r="D82" s="15"/>
      <c r="E82" s="28"/>
      <c r="F82" s="28"/>
      <c r="G82" s="2129" t="s">
        <v>1327</v>
      </c>
      <c r="H82" s="2130">
        <v>300</v>
      </c>
      <c r="I82" s="2130" t="s">
        <v>314</v>
      </c>
      <c r="J82" s="2145">
        <v>9700</v>
      </c>
      <c r="K82" s="363">
        <f t="shared" si="0"/>
        <v>2910000</v>
      </c>
      <c r="L82" s="2139">
        <f t="shared" si="1"/>
        <v>2910000</v>
      </c>
      <c r="M82" s="2144"/>
      <c r="N82" s="2144"/>
      <c r="O82" s="2146"/>
      <c r="P82" s="2146"/>
      <c r="Q82" s="2146"/>
      <c r="R82" s="2146"/>
    </row>
    <row r="83" spans="2:19">
      <c r="B83" s="19"/>
      <c r="C83" s="15"/>
      <c r="D83" s="15"/>
      <c r="E83" s="28"/>
      <c r="F83" s="28"/>
      <c r="G83" s="2129" t="s">
        <v>923</v>
      </c>
      <c r="H83" s="2130">
        <v>200</v>
      </c>
      <c r="I83" s="2130" t="s">
        <v>293</v>
      </c>
      <c r="J83" s="2145">
        <v>3600</v>
      </c>
      <c r="K83" s="363">
        <f t="shared" si="0"/>
        <v>720000</v>
      </c>
      <c r="L83" s="2139">
        <f t="shared" si="1"/>
        <v>720000</v>
      </c>
      <c r="M83" s="2144"/>
      <c r="N83" s="2144"/>
      <c r="O83" s="2146"/>
      <c r="P83" s="2146"/>
      <c r="Q83" s="2146"/>
      <c r="R83" s="2146"/>
    </row>
    <row r="84" spans="2:19">
      <c r="B84" s="19"/>
      <c r="C84" s="15"/>
      <c r="D84" s="15"/>
      <c r="E84" s="28"/>
      <c r="F84" s="28"/>
      <c r="G84" s="2129" t="s">
        <v>1328</v>
      </c>
      <c r="H84" s="2130">
        <v>24</v>
      </c>
      <c r="I84" s="2130" t="s">
        <v>293</v>
      </c>
      <c r="J84" s="2145">
        <v>2000</v>
      </c>
      <c r="K84" s="363">
        <f t="shared" si="0"/>
        <v>48000</v>
      </c>
      <c r="L84" s="2139">
        <f t="shared" si="1"/>
        <v>48000</v>
      </c>
      <c r="M84" s="2144"/>
      <c r="N84" s="2144"/>
      <c r="O84" s="2146"/>
      <c r="P84" s="2146"/>
      <c r="Q84" s="2146"/>
      <c r="R84" s="2146"/>
    </row>
    <row r="85" spans="2:19">
      <c r="B85" s="19"/>
      <c r="C85" s="15"/>
      <c r="D85" s="15"/>
      <c r="E85" s="28"/>
      <c r="F85" s="28"/>
      <c r="G85" s="2129" t="s">
        <v>1329</v>
      </c>
      <c r="H85" s="2130">
        <v>2</v>
      </c>
      <c r="I85" s="2130" t="s">
        <v>293</v>
      </c>
      <c r="J85" s="2145">
        <v>74000</v>
      </c>
      <c r="K85" s="363">
        <f t="shared" si="0"/>
        <v>148000</v>
      </c>
      <c r="L85" s="2139">
        <f t="shared" si="1"/>
        <v>148000</v>
      </c>
      <c r="M85" s="2144"/>
      <c r="N85" s="2144"/>
      <c r="O85" s="2146"/>
      <c r="P85" s="2146"/>
      <c r="Q85" s="2146"/>
      <c r="R85" s="2146"/>
    </row>
    <row r="86" spans="2:19">
      <c r="B86" s="19"/>
      <c r="C86" s="15"/>
      <c r="D86" s="15"/>
      <c r="E86" s="28"/>
      <c r="F86" s="28"/>
      <c r="G86" s="2129" t="s">
        <v>1330</v>
      </c>
      <c r="H86" s="2130">
        <v>15</v>
      </c>
      <c r="I86" s="2130" t="s">
        <v>293</v>
      </c>
      <c r="J86" s="2145">
        <v>14500</v>
      </c>
      <c r="K86" s="363">
        <f t="shared" si="0"/>
        <v>217500</v>
      </c>
      <c r="L86" s="2139">
        <f t="shared" si="1"/>
        <v>217500</v>
      </c>
      <c r="M86" s="2144"/>
      <c r="N86" s="2144"/>
      <c r="O86" s="2146"/>
      <c r="P86" s="2146"/>
      <c r="Q86" s="2146"/>
      <c r="R86" s="2146"/>
    </row>
    <row r="87" spans="2:19" s="2033" customFormat="1">
      <c r="B87" s="2533"/>
      <c r="C87" s="2534"/>
      <c r="D87" s="2534"/>
      <c r="E87" s="2535"/>
      <c r="F87" s="2535"/>
      <c r="G87" s="2536" t="s">
        <v>1331</v>
      </c>
      <c r="H87" s="2537">
        <v>2</v>
      </c>
      <c r="I87" s="2537" t="s">
        <v>293</v>
      </c>
      <c r="J87" s="2538">
        <v>102000</v>
      </c>
      <c r="K87" s="2539">
        <f t="shared" si="0"/>
        <v>204000</v>
      </c>
      <c r="L87" s="2540">
        <f t="shared" si="1"/>
        <v>204000</v>
      </c>
      <c r="M87" s="2541"/>
      <c r="N87" s="2541"/>
      <c r="O87" s="2543"/>
      <c r="P87" s="2543"/>
      <c r="Q87" s="2543"/>
      <c r="R87" s="2543"/>
    </row>
    <row r="88" spans="2:19">
      <c r="B88" s="19"/>
      <c r="C88" s="15"/>
      <c r="D88" s="15"/>
      <c r="E88" s="28"/>
      <c r="F88" s="28"/>
      <c r="G88" s="2129" t="s">
        <v>1332</v>
      </c>
      <c r="H88" s="2130">
        <v>12</v>
      </c>
      <c r="I88" s="2130" t="s">
        <v>293</v>
      </c>
      <c r="J88" s="2145">
        <v>126000</v>
      </c>
      <c r="K88" s="363">
        <f t="shared" si="0"/>
        <v>1512000</v>
      </c>
      <c r="L88" s="2139">
        <f t="shared" si="1"/>
        <v>1512000</v>
      </c>
      <c r="M88" s="2144"/>
      <c r="N88" s="2144"/>
      <c r="O88" s="2146"/>
      <c r="P88" s="2146"/>
      <c r="Q88" s="2146"/>
      <c r="R88" s="2146"/>
    </row>
    <row r="89" spans="2:19">
      <c r="B89" s="19"/>
      <c r="C89" s="15"/>
      <c r="D89" s="15"/>
      <c r="E89" s="28"/>
      <c r="F89" s="28"/>
      <c r="G89" s="2129" t="s">
        <v>1333</v>
      </c>
      <c r="H89" s="2130">
        <v>500</v>
      </c>
      <c r="I89" s="2130" t="s">
        <v>375</v>
      </c>
      <c r="J89" s="2145">
        <v>10000</v>
      </c>
      <c r="K89" s="363">
        <f t="shared" si="0"/>
        <v>5000000</v>
      </c>
      <c r="L89" s="2139">
        <f t="shared" si="1"/>
        <v>5000000</v>
      </c>
      <c r="M89" s="2144"/>
      <c r="N89" s="2144"/>
      <c r="O89" s="2146"/>
      <c r="P89" s="2146"/>
      <c r="Q89" s="2146"/>
      <c r="R89" s="2146"/>
    </row>
    <row r="90" spans="2:19">
      <c r="B90" s="19"/>
      <c r="C90" s="15"/>
      <c r="D90" s="15"/>
      <c r="E90" s="28"/>
      <c r="F90" s="28"/>
      <c r="G90" s="2129" t="s">
        <v>1334</v>
      </c>
      <c r="H90" s="2130">
        <v>500</v>
      </c>
      <c r="I90" s="2130" t="s">
        <v>375</v>
      </c>
      <c r="J90" s="2145">
        <v>8500</v>
      </c>
      <c r="K90" s="363">
        <f t="shared" si="0"/>
        <v>4250000</v>
      </c>
      <c r="L90" s="2139">
        <f t="shared" si="1"/>
        <v>4250000</v>
      </c>
      <c r="M90" s="2144"/>
      <c r="N90" s="2144"/>
      <c r="O90" s="2146"/>
      <c r="P90" s="2146"/>
      <c r="Q90" s="2146"/>
      <c r="R90" s="2146"/>
    </row>
    <row r="91" spans="2:19">
      <c r="B91" s="19"/>
      <c r="C91" s="15"/>
      <c r="D91" s="15"/>
      <c r="E91" s="28"/>
      <c r="F91" s="28"/>
      <c r="G91" s="2129" t="s">
        <v>1335</v>
      </c>
      <c r="H91" s="2130">
        <v>60</v>
      </c>
      <c r="I91" s="2130" t="s">
        <v>314</v>
      </c>
      <c r="J91" s="2145">
        <v>65000</v>
      </c>
      <c r="K91" s="363">
        <f t="shared" si="0"/>
        <v>3900000</v>
      </c>
      <c r="L91" s="2139">
        <f t="shared" si="1"/>
        <v>3900000</v>
      </c>
      <c r="M91" s="2144"/>
      <c r="N91" s="2144"/>
      <c r="O91" s="2146"/>
      <c r="P91" s="2146"/>
      <c r="Q91" s="2146"/>
      <c r="R91" s="2146"/>
    </row>
    <row r="92" spans="2:19">
      <c r="B92" s="19"/>
      <c r="C92" s="15"/>
      <c r="D92" s="15"/>
      <c r="E92" s="28"/>
      <c r="F92" s="28"/>
      <c r="G92" s="2129" t="s">
        <v>1336</v>
      </c>
      <c r="H92" s="2130">
        <v>70</v>
      </c>
      <c r="I92" s="2130" t="s">
        <v>314</v>
      </c>
      <c r="J92" s="2145">
        <v>100000</v>
      </c>
      <c r="K92" s="363">
        <f t="shared" si="0"/>
        <v>7000000</v>
      </c>
      <c r="L92" s="2139">
        <f t="shared" si="1"/>
        <v>7000000</v>
      </c>
      <c r="M92" s="2144"/>
      <c r="N92" s="2144"/>
      <c r="O92" s="2146"/>
      <c r="P92" s="2146"/>
      <c r="Q92" s="2146"/>
      <c r="R92" s="2146"/>
    </row>
    <row r="93" spans="2:19">
      <c r="B93" s="19"/>
      <c r="C93" s="15"/>
      <c r="D93" s="15"/>
      <c r="E93" s="28"/>
      <c r="F93" s="28"/>
      <c r="G93" s="2129" t="s">
        <v>1337</v>
      </c>
      <c r="H93" s="2130">
        <v>35</v>
      </c>
      <c r="I93" s="2130" t="s">
        <v>314</v>
      </c>
      <c r="J93" s="2145">
        <v>105000</v>
      </c>
      <c r="K93" s="363">
        <f t="shared" ref="K93:K113" si="2">H93*J93</f>
        <v>3675000</v>
      </c>
      <c r="L93" s="2139">
        <f t="shared" ref="L93:L113" si="3">K93</f>
        <v>3675000</v>
      </c>
      <c r="M93" s="2144"/>
      <c r="N93" s="2144"/>
      <c r="O93" s="2146"/>
      <c r="P93" s="2146"/>
      <c r="Q93" s="2146"/>
      <c r="R93" s="2146"/>
    </row>
    <row r="94" spans="2:19">
      <c r="B94" s="19"/>
      <c r="C94" s="15"/>
      <c r="D94" s="15"/>
      <c r="E94" s="28"/>
      <c r="F94" s="28"/>
      <c r="G94" s="2129" t="s">
        <v>1338</v>
      </c>
      <c r="H94" s="2130">
        <v>40</v>
      </c>
      <c r="I94" s="2130" t="s">
        <v>314</v>
      </c>
      <c r="J94" s="2145">
        <v>55000</v>
      </c>
      <c r="K94" s="363">
        <f t="shared" si="2"/>
        <v>2200000</v>
      </c>
      <c r="L94" s="2139">
        <f t="shared" si="3"/>
        <v>2200000</v>
      </c>
      <c r="M94" s="2144"/>
      <c r="N94" s="2144"/>
      <c r="O94" s="2146"/>
      <c r="P94" s="2146"/>
      <c r="Q94" s="2146"/>
      <c r="R94" s="2146"/>
    </row>
    <row r="95" spans="2:19" s="2033" customFormat="1">
      <c r="B95" s="2533"/>
      <c r="C95" s="2534"/>
      <c r="D95" s="2534"/>
      <c r="E95" s="2535"/>
      <c r="F95" s="2535"/>
      <c r="G95" s="2536" t="s">
        <v>1339</v>
      </c>
      <c r="H95" s="2537">
        <v>100</v>
      </c>
      <c r="I95" s="2537" t="s">
        <v>293</v>
      </c>
      <c r="J95" s="2538">
        <v>11200</v>
      </c>
      <c r="K95" s="2539">
        <f t="shared" si="2"/>
        <v>1120000</v>
      </c>
      <c r="L95" s="2540">
        <f t="shared" si="3"/>
        <v>1120000</v>
      </c>
      <c r="M95" s="2541"/>
      <c r="N95" s="2541"/>
      <c r="O95" s="2543"/>
      <c r="P95" s="2543"/>
      <c r="Q95" s="2543"/>
      <c r="R95" s="2543"/>
    </row>
    <row r="96" spans="2:19">
      <c r="B96" s="19"/>
      <c r="C96" s="15"/>
      <c r="D96" s="15"/>
      <c r="E96" s="28"/>
      <c r="F96" s="28"/>
      <c r="G96" s="2129" t="s">
        <v>1340</v>
      </c>
      <c r="H96" s="2130">
        <v>30</v>
      </c>
      <c r="I96" s="2130" t="s">
        <v>293</v>
      </c>
      <c r="J96" s="2145">
        <v>2000</v>
      </c>
      <c r="K96" s="363">
        <f t="shared" si="2"/>
        <v>60000</v>
      </c>
      <c r="L96" s="2139">
        <f t="shared" si="3"/>
        <v>60000</v>
      </c>
      <c r="M96" s="2144"/>
      <c r="N96" s="2144"/>
      <c r="O96" s="2146"/>
      <c r="P96" s="2146"/>
      <c r="Q96" s="2146"/>
      <c r="R96" s="2146"/>
      <c r="S96" s="10"/>
    </row>
    <row r="97" spans="2:18">
      <c r="B97" s="19"/>
      <c r="C97" s="15"/>
      <c r="D97" s="15"/>
      <c r="E97" s="28"/>
      <c r="F97" s="28"/>
      <c r="G97" s="2129" t="s">
        <v>1341</v>
      </c>
      <c r="H97" s="2130">
        <v>200</v>
      </c>
      <c r="I97" s="2130" t="s">
        <v>293</v>
      </c>
      <c r="J97" s="2145">
        <v>10000</v>
      </c>
      <c r="K97" s="363">
        <f t="shared" si="2"/>
        <v>2000000</v>
      </c>
      <c r="L97" s="2139">
        <f t="shared" si="3"/>
        <v>2000000</v>
      </c>
      <c r="M97" s="2144"/>
      <c r="N97" s="2144"/>
      <c r="O97" s="2146"/>
      <c r="P97" s="2146"/>
      <c r="Q97" s="2146"/>
      <c r="R97" s="2146"/>
    </row>
    <row r="98" spans="2:18">
      <c r="B98" s="19"/>
      <c r="C98" s="15"/>
      <c r="D98" s="15"/>
      <c r="E98" s="28"/>
      <c r="F98" s="28"/>
      <c r="G98" s="2129" t="s">
        <v>1342</v>
      </c>
      <c r="H98" s="2130">
        <v>12</v>
      </c>
      <c r="I98" s="2130" t="s">
        <v>293</v>
      </c>
      <c r="J98" s="2145">
        <v>18000</v>
      </c>
      <c r="K98" s="363">
        <f t="shared" si="2"/>
        <v>216000</v>
      </c>
      <c r="L98" s="2139">
        <f t="shared" si="3"/>
        <v>216000</v>
      </c>
      <c r="M98" s="2144"/>
      <c r="N98" s="2144"/>
      <c r="O98" s="2146"/>
      <c r="P98" s="2146"/>
      <c r="Q98" s="2146"/>
      <c r="R98" s="2146"/>
    </row>
    <row r="99" spans="2:18">
      <c r="B99" s="19"/>
      <c r="C99" s="15"/>
      <c r="D99" s="15"/>
      <c r="E99" s="28"/>
      <c r="F99" s="28"/>
      <c r="G99" s="2129" t="s">
        <v>1343</v>
      </c>
      <c r="H99" s="2130">
        <v>200</v>
      </c>
      <c r="I99" s="2130" t="s">
        <v>293</v>
      </c>
      <c r="J99" s="2145">
        <v>11000</v>
      </c>
      <c r="K99" s="363">
        <f t="shared" si="2"/>
        <v>2200000</v>
      </c>
      <c r="L99" s="2139">
        <f t="shared" si="3"/>
        <v>2200000</v>
      </c>
      <c r="M99" s="2144"/>
      <c r="N99" s="2144"/>
      <c r="O99" s="2146"/>
      <c r="P99" s="2146"/>
      <c r="Q99" s="2146"/>
      <c r="R99" s="2146"/>
    </row>
    <row r="100" spans="2:18">
      <c r="B100" s="19"/>
      <c r="C100" s="15"/>
      <c r="D100" s="15"/>
      <c r="E100" s="28"/>
      <c r="F100" s="28"/>
      <c r="G100" s="2134" t="s">
        <v>1344</v>
      </c>
      <c r="H100" s="2130">
        <v>100</v>
      </c>
      <c r="I100" s="2130" t="s">
        <v>293</v>
      </c>
      <c r="J100" s="2145">
        <v>7400</v>
      </c>
      <c r="K100" s="363">
        <f t="shared" si="2"/>
        <v>740000</v>
      </c>
      <c r="L100" s="2139">
        <f t="shared" si="3"/>
        <v>740000</v>
      </c>
      <c r="M100" s="2144"/>
      <c r="N100" s="2144"/>
      <c r="O100" s="2146"/>
      <c r="P100" s="2146"/>
      <c r="Q100" s="2146"/>
      <c r="R100" s="2146"/>
    </row>
    <row r="101" spans="2:18">
      <c r="B101" s="19"/>
      <c r="C101" s="15"/>
      <c r="D101" s="15"/>
      <c r="E101" s="28"/>
      <c r="F101" s="28"/>
      <c r="G101" s="2129" t="s">
        <v>1345</v>
      </c>
      <c r="H101" s="2130">
        <v>30</v>
      </c>
      <c r="I101" s="2130" t="s">
        <v>293</v>
      </c>
      <c r="J101" s="2145">
        <v>17700</v>
      </c>
      <c r="K101" s="363">
        <f t="shared" si="2"/>
        <v>531000</v>
      </c>
      <c r="L101" s="2139">
        <f t="shared" si="3"/>
        <v>531000</v>
      </c>
      <c r="M101" s="2144"/>
      <c r="N101" s="2144"/>
      <c r="O101" s="2146"/>
      <c r="P101" s="2146"/>
      <c r="Q101" s="2146"/>
      <c r="R101" s="2146"/>
    </row>
    <row r="102" spans="2:18">
      <c r="B102" s="19"/>
      <c r="C102" s="15"/>
      <c r="D102" s="15"/>
      <c r="E102" s="28"/>
      <c r="F102" s="28"/>
      <c r="G102" s="2129" t="s">
        <v>1346</v>
      </c>
      <c r="H102" s="2130">
        <v>5</v>
      </c>
      <c r="I102" s="2130" t="s">
        <v>293</v>
      </c>
      <c r="J102" s="2145">
        <v>34500</v>
      </c>
      <c r="K102" s="363">
        <f t="shared" si="2"/>
        <v>172500</v>
      </c>
      <c r="L102" s="2139">
        <f t="shared" si="3"/>
        <v>172500</v>
      </c>
      <c r="M102" s="2144"/>
      <c r="N102" s="2144"/>
      <c r="O102" s="2146"/>
      <c r="P102" s="2146"/>
      <c r="Q102" s="2146"/>
      <c r="R102" s="2146"/>
    </row>
    <row r="103" spans="2:18">
      <c r="B103" s="19"/>
      <c r="C103" s="15"/>
      <c r="D103" s="15"/>
      <c r="E103" s="28"/>
      <c r="F103" s="28"/>
      <c r="G103" s="2129" t="s">
        <v>204</v>
      </c>
      <c r="H103" s="2130">
        <v>10</v>
      </c>
      <c r="I103" s="2130" t="s">
        <v>293</v>
      </c>
      <c r="J103" s="2145">
        <v>55000</v>
      </c>
      <c r="K103" s="363">
        <f t="shared" si="2"/>
        <v>550000</v>
      </c>
      <c r="L103" s="2139">
        <f t="shared" si="3"/>
        <v>550000</v>
      </c>
      <c r="M103" s="2144"/>
      <c r="N103" s="2144"/>
      <c r="O103" s="2146"/>
      <c r="P103" s="2146"/>
      <c r="Q103" s="2146"/>
      <c r="R103" s="2146"/>
    </row>
    <row r="104" spans="2:18">
      <c r="B104" s="19"/>
      <c r="C104" s="15"/>
      <c r="D104" s="15"/>
      <c r="E104" s="28"/>
      <c r="F104" s="28"/>
      <c r="G104" s="2129" t="s">
        <v>1347</v>
      </c>
      <c r="H104" s="2130">
        <v>15</v>
      </c>
      <c r="I104" s="2130" t="s">
        <v>293</v>
      </c>
      <c r="J104" s="2145">
        <v>150000</v>
      </c>
      <c r="K104" s="363">
        <f t="shared" si="2"/>
        <v>2250000</v>
      </c>
      <c r="L104" s="2139">
        <f t="shared" si="3"/>
        <v>2250000</v>
      </c>
      <c r="M104" s="2144"/>
      <c r="N104" s="2144"/>
      <c r="O104" s="2146"/>
      <c r="P104" s="2146"/>
      <c r="Q104" s="2146"/>
      <c r="R104" s="2146"/>
    </row>
    <row r="105" spans="2:18">
      <c r="B105" s="19"/>
      <c r="C105" s="15"/>
      <c r="D105" s="15"/>
      <c r="E105" s="28"/>
      <c r="F105" s="28"/>
      <c r="G105" s="2129" t="s">
        <v>1582</v>
      </c>
      <c r="H105" s="2130">
        <v>125</v>
      </c>
      <c r="I105" s="2130" t="s">
        <v>137</v>
      </c>
      <c r="J105" s="2145">
        <v>31000</v>
      </c>
      <c r="K105" s="363">
        <f t="shared" si="2"/>
        <v>3875000</v>
      </c>
      <c r="L105" s="2139">
        <f t="shared" si="3"/>
        <v>3875000</v>
      </c>
      <c r="M105" s="2144"/>
      <c r="N105" s="2144"/>
      <c r="O105" s="2146"/>
      <c r="P105" s="2146"/>
      <c r="Q105" s="2146"/>
      <c r="R105" s="2146"/>
    </row>
    <row r="106" spans="2:18">
      <c r="B106" s="19"/>
      <c r="C106" s="15"/>
      <c r="D106" s="15"/>
      <c r="E106" s="28"/>
      <c r="F106" s="28"/>
      <c r="G106" s="2129" t="s">
        <v>1348</v>
      </c>
      <c r="H106" s="2130">
        <v>100</v>
      </c>
      <c r="I106" s="2130" t="s">
        <v>293</v>
      </c>
      <c r="J106" s="2145">
        <v>1600</v>
      </c>
      <c r="K106" s="363">
        <f t="shared" si="2"/>
        <v>160000</v>
      </c>
      <c r="L106" s="2139">
        <f t="shared" si="3"/>
        <v>160000</v>
      </c>
      <c r="M106" s="2144"/>
      <c r="N106" s="2144"/>
      <c r="O106" s="2146"/>
      <c r="P106" s="2146"/>
      <c r="Q106" s="2146"/>
      <c r="R106" s="2146"/>
    </row>
    <row r="107" spans="2:18">
      <c r="B107" s="19"/>
      <c r="C107" s="15"/>
      <c r="D107" s="15"/>
      <c r="E107" s="28"/>
      <c r="F107" s="28"/>
      <c r="G107" s="2129" t="s">
        <v>1349</v>
      </c>
      <c r="H107" s="2130">
        <v>100</v>
      </c>
      <c r="I107" s="2130" t="s">
        <v>293</v>
      </c>
      <c r="J107" s="2145">
        <v>5600</v>
      </c>
      <c r="K107" s="363">
        <f t="shared" si="2"/>
        <v>560000</v>
      </c>
      <c r="L107" s="2139">
        <f t="shared" si="3"/>
        <v>560000</v>
      </c>
      <c r="M107" s="2144"/>
      <c r="N107" s="2144"/>
      <c r="O107" s="2146"/>
      <c r="P107" s="2146"/>
      <c r="Q107" s="2146"/>
      <c r="R107" s="2146"/>
    </row>
    <row r="108" spans="2:18">
      <c r="B108" s="19"/>
      <c r="C108" s="15"/>
      <c r="D108" s="15"/>
      <c r="E108" s="28"/>
      <c r="F108" s="28"/>
      <c r="G108" s="2129" t="s">
        <v>1350</v>
      </c>
      <c r="H108" s="2130">
        <v>20</v>
      </c>
      <c r="I108" s="2130" t="s">
        <v>293</v>
      </c>
      <c r="J108" s="2145">
        <v>11500</v>
      </c>
      <c r="K108" s="363">
        <f t="shared" si="2"/>
        <v>230000</v>
      </c>
      <c r="L108" s="2139">
        <f t="shared" si="3"/>
        <v>230000</v>
      </c>
      <c r="M108" s="2144"/>
      <c r="N108" s="2144"/>
      <c r="O108" s="2146"/>
      <c r="P108" s="2146"/>
      <c r="Q108" s="2146"/>
      <c r="R108" s="2146"/>
    </row>
    <row r="109" spans="2:18">
      <c r="B109" s="19"/>
      <c r="C109" s="15"/>
      <c r="D109" s="15"/>
      <c r="E109" s="28"/>
      <c r="F109" s="28"/>
      <c r="G109" s="2129" t="s">
        <v>1351</v>
      </c>
      <c r="H109" s="2130">
        <v>10</v>
      </c>
      <c r="I109" s="2130" t="s">
        <v>293</v>
      </c>
      <c r="J109" s="2145">
        <v>12000</v>
      </c>
      <c r="K109" s="363">
        <f t="shared" si="2"/>
        <v>120000</v>
      </c>
      <c r="L109" s="2139">
        <f t="shared" si="3"/>
        <v>120000</v>
      </c>
      <c r="M109" s="2144"/>
      <c r="N109" s="2144"/>
      <c r="O109" s="2146"/>
      <c r="P109" s="2146"/>
      <c r="Q109" s="2146"/>
      <c r="R109" s="2146"/>
    </row>
    <row r="110" spans="2:18">
      <c r="B110" s="19"/>
      <c r="C110" s="15"/>
      <c r="D110" s="15"/>
      <c r="E110" s="28"/>
      <c r="F110" s="28"/>
      <c r="G110" s="2129" t="s">
        <v>1352</v>
      </c>
      <c r="H110" s="2130">
        <v>6</v>
      </c>
      <c r="I110" s="2130" t="s">
        <v>293</v>
      </c>
      <c r="J110" s="2145">
        <v>45000</v>
      </c>
      <c r="K110" s="363">
        <f t="shared" si="2"/>
        <v>270000</v>
      </c>
      <c r="L110" s="2139">
        <f t="shared" si="3"/>
        <v>270000</v>
      </c>
      <c r="M110" s="2144"/>
      <c r="N110" s="2144"/>
      <c r="O110" s="2146"/>
      <c r="P110" s="2146"/>
      <c r="Q110" s="2146"/>
      <c r="R110" s="2146"/>
    </row>
    <row r="111" spans="2:18">
      <c r="B111" s="19"/>
      <c r="C111" s="15"/>
      <c r="D111" s="15"/>
      <c r="E111" s="28"/>
      <c r="F111" s="28"/>
      <c r="G111" s="2129" t="s">
        <v>1353</v>
      </c>
      <c r="H111" s="2130">
        <v>3</v>
      </c>
      <c r="I111" s="2130" t="s">
        <v>293</v>
      </c>
      <c r="J111" s="2145">
        <v>149000</v>
      </c>
      <c r="K111" s="363">
        <f t="shared" si="2"/>
        <v>447000</v>
      </c>
      <c r="L111" s="2139">
        <f t="shared" si="3"/>
        <v>447000</v>
      </c>
      <c r="M111" s="2144"/>
      <c r="N111" s="2144"/>
      <c r="O111" s="2146"/>
      <c r="P111" s="2146"/>
      <c r="Q111" s="2146"/>
      <c r="R111" s="2146"/>
    </row>
    <row r="112" spans="2:18">
      <c r="B112" s="429"/>
      <c r="C112" s="424"/>
      <c r="D112" s="424"/>
      <c r="E112" s="430"/>
      <c r="F112" s="28"/>
      <c r="G112" s="2135" t="s">
        <v>1354</v>
      </c>
      <c r="H112" s="2136">
        <v>250</v>
      </c>
      <c r="I112" s="2136" t="s">
        <v>120</v>
      </c>
      <c r="J112" s="2153">
        <v>1300</v>
      </c>
      <c r="K112" s="363">
        <f t="shared" si="2"/>
        <v>325000</v>
      </c>
      <c r="L112" s="2139">
        <f t="shared" si="3"/>
        <v>325000</v>
      </c>
      <c r="M112" s="2144"/>
      <c r="N112" s="2144"/>
      <c r="O112" s="2154"/>
      <c r="P112" s="2154"/>
      <c r="Q112" s="2154"/>
      <c r="R112" s="2154"/>
    </row>
    <row r="113" spans="2:20">
      <c r="B113" s="429"/>
      <c r="C113" s="424"/>
      <c r="D113" s="424"/>
      <c r="E113" s="430"/>
      <c r="F113" s="28"/>
      <c r="G113" s="2135" t="s">
        <v>1355</v>
      </c>
      <c r="H113" s="2136">
        <v>5</v>
      </c>
      <c r="I113" s="2136" t="s">
        <v>293</v>
      </c>
      <c r="J113" s="2153">
        <v>58000</v>
      </c>
      <c r="K113" s="363">
        <f t="shared" si="2"/>
        <v>290000</v>
      </c>
      <c r="L113" s="2139">
        <f t="shared" si="3"/>
        <v>290000</v>
      </c>
      <c r="M113" s="2144"/>
      <c r="N113" s="2144"/>
      <c r="O113" s="2154"/>
      <c r="P113" s="2154"/>
      <c r="Q113" s="2154"/>
      <c r="R113" s="2154"/>
    </row>
    <row r="114" spans="2:20">
      <c r="B114" s="1705"/>
      <c r="C114" s="1706"/>
      <c r="D114" s="1706"/>
      <c r="E114" s="1707"/>
      <c r="F114" s="1707"/>
      <c r="G114" s="2137"/>
      <c r="H114" s="2138"/>
      <c r="I114" s="2138"/>
      <c r="J114" s="2155"/>
      <c r="K114" s="1708"/>
      <c r="L114" s="2156"/>
      <c r="M114" s="2157"/>
      <c r="N114" s="2158"/>
      <c r="O114" s="2159"/>
      <c r="P114" s="2159"/>
      <c r="Q114" s="2159"/>
      <c r="R114" s="2159"/>
    </row>
    <row r="115" spans="2:20" ht="15" customHeight="1" thickBot="1">
      <c r="B115" s="3289" t="s">
        <v>30</v>
      </c>
      <c r="C115" s="3290"/>
      <c r="D115" s="3290"/>
      <c r="E115" s="3290"/>
      <c r="F115" s="3290"/>
      <c r="G115" s="3290"/>
      <c r="H115" s="3290"/>
      <c r="I115" s="3290"/>
      <c r="J115" s="3291"/>
      <c r="K115" s="63">
        <f>K24</f>
        <v>159238000</v>
      </c>
      <c r="L115" s="2139">
        <f>K115</f>
        <v>159238000</v>
      </c>
      <c r="M115" s="2139">
        <f>SUM(M28:M113)</f>
        <v>0</v>
      </c>
      <c r="N115" s="2139">
        <f>SUM(N28:N113)</f>
        <v>0</v>
      </c>
      <c r="O115" s="2139">
        <f>SUM(O28:O113)</f>
        <v>0</v>
      </c>
      <c r="P115" s="2139">
        <f>SUM(P28:P113)</f>
        <v>0</v>
      </c>
      <c r="Q115" s="2139">
        <f>SUM(Q28:Q113)</f>
        <v>0</v>
      </c>
      <c r="R115" s="2151">
        <f>SUM(L115:Q115)</f>
        <v>159238000</v>
      </c>
      <c r="S115" s="41">
        <v>275350425</v>
      </c>
      <c r="T115" s="158">
        <f>S115-K115</f>
        <v>116112425</v>
      </c>
    </row>
    <row r="116" spans="2:20" ht="13.5" thickTop="1">
      <c r="K116" s="41"/>
      <c r="L116" s="2139"/>
      <c r="M116" s="2160"/>
      <c r="N116" s="2146"/>
      <c r="O116" s="2146"/>
      <c r="P116" s="2146"/>
      <c r="Q116" s="2146"/>
      <c r="R116" s="2146"/>
    </row>
    <row r="117" spans="2:20">
      <c r="K117" s="57"/>
      <c r="L117" s="2161"/>
      <c r="M117" s="2162"/>
      <c r="N117" s="2154"/>
      <c r="O117" s="2154"/>
      <c r="P117" s="2154"/>
      <c r="Q117" s="2154"/>
      <c r="R117" s="2154"/>
    </row>
    <row r="118" spans="2:20">
      <c r="H118" s="3336" t="s">
        <v>1534</v>
      </c>
      <c r="I118" s="3336"/>
      <c r="J118" s="3336"/>
      <c r="K118" s="7"/>
      <c r="L118" s="2163"/>
      <c r="M118" s="2160"/>
      <c r="N118" s="2146"/>
      <c r="O118" s="2146"/>
      <c r="P118" s="2146"/>
      <c r="Q118" s="2146"/>
      <c r="R118" s="2146"/>
    </row>
    <row r="119" spans="2:20">
      <c r="H119" s="3337" t="s">
        <v>272</v>
      </c>
      <c r="I119" s="3337"/>
      <c r="J119" s="3337"/>
      <c r="K119" s="72"/>
      <c r="L119" s="2163"/>
      <c r="M119" s="2160"/>
      <c r="N119" s="2146"/>
      <c r="O119" s="2146"/>
      <c r="P119" s="2146"/>
      <c r="Q119" s="2146"/>
      <c r="R119" s="2146"/>
    </row>
    <row r="120" spans="2:20">
      <c r="H120" s="2105"/>
      <c r="I120" s="127"/>
      <c r="J120" s="127"/>
      <c r="K120" s="935"/>
      <c r="L120" s="2162"/>
      <c r="M120" s="2146"/>
      <c r="N120" s="2146"/>
      <c r="O120" s="2146"/>
      <c r="P120" s="2146"/>
      <c r="Q120" s="2146"/>
      <c r="R120" s="2146"/>
    </row>
    <row r="121" spans="2:20">
      <c r="H121" s="2105"/>
      <c r="I121" s="127"/>
      <c r="J121" s="127"/>
      <c r="K121" s="935"/>
    </row>
    <row r="122" spans="2:20" ht="15" customHeight="1">
      <c r="H122" s="3434" t="s">
        <v>904</v>
      </c>
      <c r="I122" s="3434"/>
      <c r="J122" s="3434"/>
      <c r="K122" s="908"/>
    </row>
    <row r="123" spans="2:20" ht="15" customHeight="1">
      <c r="H123" s="3434" t="s">
        <v>906</v>
      </c>
      <c r="I123" s="3434"/>
      <c r="J123" s="3434"/>
      <c r="K123" s="908"/>
    </row>
    <row r="124" spans="2:20">
      <c r="H124" s="2105"/>
      <c r="I124" s="2105"/>
      <c r="J124" s="2105"/>
      <c r="K124" s="291"/>
    </row>
    <row r="126" spans="2:20">
      <c r="K126" s="158"/>
    </row>
    <row r="127" spans="2:20">
      <c r="K127" s="158"/>
    </row>
  </sheetData>
  <mergeCells count="49">
    <mergeCell ref="H118:J118"/>
    <mergeCell ref="H119:J119"/>
    <mergeCell ref="H122:J122"/>
    <mergeCell ref="H123:J123"/>
    <mergeCell ref="R20:R22"/>
    <mergeCell ref="B115:J115"/>
    <mergeCell ref="B21:F22"/>
    <mergeCell ref="G21:G22"/>
    <mergeCell ref="H21:J21"/>
    <mergeCell ref="L20:Q20"/>
    <mergeCell ref="B23:F23"/>
    <mergeCell ref="B17:F17"/>
    <mergeCell ref="G17:H17"/>
    <mergeCell ref="I17:K17"/>
    <mergeCell ref="B18:K18"/>
    <mergeCell ref="B19:K20"/>
    <mergeCell ref="B15:F15"/>
    <mergeCell ref="G15:H15"/>
    <mergeCell ref="I15:K15"/>
    <mergeCell ref="B16:F16"/>
    <mergeCell ref="G16:H16"/>
    <mergeCell ref="I16:K16"/>
    <mergeCell ref="B12:K12"/>
    <mergeCell ref="B13:F13"/>
    <mergeCell ref="G13:H13"/>
    <mergeCell ref="I13:K13"/>
    <mergeCell ref="B14:F14"/>
    <mergeCell ref="G14:H14"/>
    <mergeCell ref="I14:K14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:K1"/>
    <mergeCell ref="B2:D3"/>
    <mergeCell ref="E2:H2"/>
    <mergeCell ref="I2:J2"/>
    <mergeCell ref="E3:H3"/>
    <mergeCell ref="I3:J3"/>
  </mergeCells>
  <pageMargins left="0.11811023622047245" right="0.23622047244094491" top="0.55118110236220474" bottom="1.6929133858267718" header="0.31496062992125984" footer="0.11811023622047245"/>
  <pageSetup paperSize="5" scale="105"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7030A0"/>
  </sheetPr>
  <dimension ref="B1:T96"/>
  <sheetViews>
    <sheetView view="pageBreakPreview" topLeftCell="G5" zoomScaleNormal="115" zoomScaleSheetLayoutView="100" workbookViewId="0">
      <selection activeCell="B26" sqref="B26:K83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5" width="3.140625" style="9" customWidth="1"/>
    <col min="6" max="6" width="3.28515625" style="9" customWidth="1"/>
    <col min="7" max="7" width="40.140625" style="9" customWidth="1"/>
    <col min="8" max="8" width="8.28515625" style="9" customWidth="1"/>
    <col min="9" max="9" width="8.140625" style="9" customWidth="1"/>
    <col min="10" max="10" width="13.7109375" style="9" customWidth="1"/>
    <col min="11" max="11" width="15" style="9" customWidth="1"/>
    <col min="12" max="12" width="16" style="9" bestFit="1" customWidth="1"/>
    <col min="13" max="17" width="6.42578125" style="9" bestFit="1" customWidth="1"/>
    <col min="18" max="18" width="16.28515625" style="9" bestFit="1" customWidth="1"/>
    <col min="19" max="19" width="13.140625" style="9" bestFit="1" customWidth="1"/>
    <col min="20" max="20" width="14.5703125" style="9" customWidth="1"/>
    <col min="21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19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70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269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42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ht="15" customHeight="1">
      <c r="B14" s="3462" t="s">
        <v>8</v>
      </c>
      <c r="C14" s="3463"/>
      <c r="D14" s="3463"/>
      <c r="E14" s="3463"/>
      <c r="F14" s="3464"/>
      <c r="G14" s="3445" t="s">
        <v>111</v>
      </c>
      <c r="H14" s="3448"/>
      <c r="I14" s="3450">
        <v>1</v>
      </c>
      <c r="J14" s="3451"/>
      <c r="K14" s="3452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98624000</v>
      </c>
      <c r="J15" s="3454"/>
      <c r="K15" s="3455"/>
    </row>
    <row r="16" spans="2:13" ht="16.5" customHeight="1">
      <c r="B16" s="3439" t="s">
        <v>10</v>
      </c>
      <c r="C16" s="3451"/>
      <c r="D16" s="3451"/>
      <c r="E16" s="3451"/>
      <c r="F16" s="3460"/>
      <c r="G16" s="3445" t="s">
        <v>388</v>
      </c>
      <c r="H16" s="3448"/>
      <c r="I16" s="3456">
        <v>1</v>
      </c>
      <c r="J16" s="3457"/>
      <c r="K16" s="3458"/>
    </row>
    <row r="17" spans="2:19" ht="25.5" customHeight="1">
      <c r="B17" s="3439" t="s">
        <v>11</v>
      </c>
      <c r="C17" s="3451"/>
      <c r="D17" s="3451"/>
      <c r="E17" s="3451"/>
      <c r="F17" s="3460"/>
      <c r="G17" s="3445" t="s">
        <v>389</v>
      </c>
      <c r="H17" s="3448"/>
      <c r="I17" s="3456">
        <v>1</v>
      </c>
      <c r="J17" s="3457"/>
      <c r="K17" s="3458"/>
    </row>
    <row r="18" spans="2:19">
      <c r="B18" s="3442" t="s">
        <v>94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9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19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9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188"/>
      <c r="M21" s="1188"/>
      <c r="N21" s="1188"/>
      <c r="O21" s="1188"/>
      <c r="P21" s="1188"/>
      <c r="Q21" s="1188"/>
      <c r="R21" s="3378"/>
    </row>
    <row r="22" spans="2:19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187" t="s">
        <v>177</v>
      </c>
      <c r="M22" s="1187" t="s">
        <v>594</v>
      </c>
      <c r="N22" s="1187" t="s">
        <v>651</v>
      </c>
      <c r="O22" s="1187" t="s">
        <v>595</v>
      </c>
      <c r="P22" s="1187" t="s">
        <v>652</v>
      </c>
      <c r="Q22" s="1187" t="s">
        <v>593</v>
      </c>
      <c r="R22" s="3379"/>
    </row>
    <row r="23" spans="2:19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188">
        <v>6</v>
      </c>
      <c r="M23" s="1188">
        <v>7</v>
      </c>
      <c r="N23" s="1188">
        <v>8</v>
      </c>
      <c r="O23" s="1188">
        <v>9</v>
      </c>
      <c r="P23" s="1188">
        <v>10</v>
      </c>
      <c r="Q23" s="1188">
        <v>11</v>
      </c>
      <c r="R23" s="1188">
        <v>12</v>
      </c>
    </row>
    <row r="24" spans="2:19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K25</f>
        <v>98624000</v>
      </c>
      <c r="L24" s="305"/>
      <c r="M24" s="305"/>
      <c r="N24" s="305"/>
      <c r="O24" s="305"/>
      <c r="P24" s="305"/>
      <c r="Q24" s="303"/>
      <c r="R24" s="303"/>
    </row>
    <row r="25" spans="2:19" ht="14.25" customHeight="1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45"/>
      <c r="I25" s="17"/>
      <c r="J25" s="46"/>
      <c r="K25" s="47">
        <f>K26</f>
        <v>98624000</v>
      </c>
      <c r="L25" s="305"/>
      <c r="M25" s="305"/>
      <c r="N25" s="305"/>
      <c r="O25" s="305"/>
      <c r="P25" s="305"/>
      <c r="Q25" s="303"/>
      <c r="R25" s="303"/>
    </row>
    <row r="26" spans="2:19">
      <c r="B26" s="36">
        <v>5</v>
      </c>
      <c r="C26" s="37">
        <v>2</v>
      </c>
      <c r="D26" s="37">
        <v>2</v>
      </c>
      <c r="E26" s="38" t="s">
        <v>24</v>
      </c>
      <c r="F26" s="17"/>
      <c r="G26" s="48" t="s">
        <v>219</v>
      </c>
      <c r="H26" s="45"/>
      <c r="I26" s="17"/>
      <c r="J26" s="46"/>
      <c r="K26" s="47">
        <f>K27</f>
        <v>98624000</v>
      </c>
      <c r="L26" s="304"/>
      <c r="M26" s="303"/>
      <c r="N26" s="303"/>
      <c r="O26" s="303"/>
      <c r="P26" s="303"/>
      <c r="Q26" s="303"/>
      <c r="R26" s="303"/>
    </row>
    <row r="27" spans="2:19" ht="29.25" customHeight="1">
      <c r="B27" s="36">
        <v>5</v>
      </c>
      <c r="C27" s="37">
        <v>2</v>
      </c>
      <c r="D27" s="37">
        <v>2</v>
      </c>
      <c r="E27" s="38" t="s">
        <v>24</v>
      </c>
      <c r="F27" s="38" t="s">
        <v>44</v>
      </c>
      <c r="G27" s="381" t="s">
        <v>220</v>
      </c>
      <c r="H27" s="617"/>
      <c r="I27" s="371"/>
      <c r="J27" s="618"/>
      <c r="K27" s="120">
        <f>SUM(K28:K86)</f>
        <v>98624000</v>
      </c>
      <c r="L27" s="305"/>
      <c r="M27" s="305"/>
      <c r="N27" s="305"/>
      <c r="O27" s="305"/>
      <c r="P27" s="305"/>
      <c r="Q27" s="303"/>
      <c r="R27" s="303"/>
      <c r="S27" s="154">
        <f>62283500-K25</f>
        <v>-36340500</v>
      </c>
    </row>
    <row r="28" spans="2:19" ht="15">
      <c r="B28" s="36"/>
      <c r="C28" s="37"/>
      <c r="D28" s="37"/>
      <c r="E28" s="38"/>
      <c r="F28" s="38">
        <v>1</v>
      </c>
      <c r="G28" s="1455" t="s">
        <v>230</v>
      </c>
      <c r="H28" s="1464">
        <v>100</v>
      </c>
      <c r="I28" s="1464" t="s">
        <v>51</v>
      </c>
      <c r="J28" s="1458">
        <v>22000</v>
      </c>
      <c r="K28" s="55">
        <f>H28*J28</f>
        <v>2200000</v>
      </c>
      <c r="L28" s="305">
        <f>K28</f>
        <v>2200000</v>
      </c>
      <c r="M28" s="305"/>
      <c r="N28" s="305"/>
      <c r="O28" s="305"/>
      <c r="P28" s="305"/>
      <c r="Q28" s="303"/>
      <c r="R28" s="303"/>
    </row>
    <row r="29" spans="2:19" ht="15">
      <c r="B29" s="36"/>
      <c r="C29" s="37"/>
      <c r="D29" s="37"/>
      <c r="E29" s="38"/>
      <c r="F29" s="38">
        <v>2</v>
      </c>
      <c r="G29" s="1452" t="s">
        <v>764</v>
      </c>
      <c r="H29" s="1465">
        <v>300</v>
      </c>
      <c r="I29" s="1465" t="s">
        <v>51</v>
      </c>
      <c r="J29" s="1463">
        <v>52000</v>
      </c>
      <c r="K29" s="55">
        <f t="shared" ref="K29:K72" si="0">H29*J29</f>
        <v>15600000</v>
      </c>
      <c r="L29" s="305">
        <f t="shared" ref="L29:L72" si="1">K29</f>
        <v>15600000</v>
      </c>
      <c r="M29" s="303"/>
      <c r="N29" s="305"/>
      <c r="O29" s="303"/>
      <c r="P29" s="303"/>
      <c r="Q29" s="303"/>
      <c r="R29" s="303"/>
    </row>
    <row r="30" spans="2:19" ht="15">
      <c r="B30" s="36"/>
      <c r="C30" s="37"/>
      <c r="D30" s="37"/>
      <c r="E30" s="38"/>
      <c r="F30" s="38">
        <v>3</v>
      </c>
      <c r="G30" s="1452" t="s">
        <v>608</v>
      </c>
      <c r="H30" s="1465">
        <v>50</v>
      </c>
      <c r="I30" s="1465" t="s">
        <v>51</v>
      </c>
      <c r="J30" s="1463">
        <v>35000</v>
      </c>
      <c r="K30" s="55">
        <f t="shared" si="0"/>
        <v>1750000</v>
      </c>
      <c r="L30" s="305">
        <f t="shared" si="1"/>
        <v>1750000</v>
      </c>
      <c r="M30" s="305"/>
      <c r="N30" s="305"/>
      <c r="O30" s="305"/>
      <c r="P30" s="305"/>
      <c r="Q30" s="303"/>
      <c r="R30" s="303"/>
    </row>
    <row r="31" spans="2:19" ht="15">
      <c r="B31" s="36"/>
      <c r="C31" s="37"/>
      <c r="D31" s="37"/>
      <c r="E31" s="38"/>
      <c r="F31" s="38">
        <v>4</v>
      </c>
      <c r="G31" s="1452" t="s">
        <v>765</v>
      </c>
      <c r="H31" s="1457">
        <v>200</v>
      </c>
      <c r="I31" s="1466" t="s">
        <v>51</v>
      </c>
      <c r="J31" s="1459">
        <v>18000</v>
      </c>
      <c r="K31" s="55">
        <f t="shared" si="0"/>
        <v>3600000</v>
      </c>
      <c r="L31" s="305">
        <f t="shared" si="1"/>
        <v>3600000</v>
      </c>
      <c r="M31" s="305"/>
      <c r="N31" s="305"/>
      <c r="O31" s="305"/>
      <c r="P31" s="305"/>
      <c r="Q31" s="306"/>
      <c r="R31" s="306"/>
    </row>
    <row r="32" spans="2:19" ht="15">
      <c r="B32" s="36"/>
      <c r="C32" s="37"/>
      <c r="D32" s="37"/>
      <c r="E32" s="38"/>
      <c r="F32" s="38">
        <v>5</v>
      </c>
      <c r="G32" s="1453" t="s">
        <v>231</v>
      </c>
      <c r="H32" s="1457">
        <v>20</v>
      </c>
      <c r="I32" s="1457" t="s">
        <v>51</v>
      </c>
      <c r="J32" s="1460">
        <v>8500</v>
      </c>
      <c r="K32" s="55">
        <f t="shared" si="0"/>
        <v>170000</v>
      </c>
      <c r="L32" s="305">
        <f t="shared" si="1"/>
        <v>170000</v>
      </c>
      <c r="M32" s="329"/>
      <c r="N32" s="305"/>
      <c r="O32" s="330"/>
      <c r="P32" s="330"/>
      <c r="Q32" s="319"/>
      <c r="R32" s="319"/>
    </row>
    <row r="33" spans="2:18" ht="15">
      <c r="B33" s="36"/>
      <c r="C33" s="37"/>
      <c r="D33" s="37"/>
      <c r="E33" s="38"/>
      <c r="F33" s="38">
        <v>6</v>
      </c>
      <c r="G33" s="1453" t="s">
        <v>232</v>
      </c>
      <c r="H33" s="1457">
        <v>5</v>
      </c>
      <c r="I33" s="1457" t="s">
        <v>51</v>
      </c>
      <c r="J33" s="1461">
        <v>65000</v>
      </c>
      <c r="K33" s="55">
        <f t="shared" si="0"/>
        <v>325000</v>
      </c>
      <c r="L33" s="305">
        <f t="shared" si="1"/>
        <v>325000</v>
      </c>
      <c r="M33" s="308"/>
      <c r="N33" s="305"/>
      <c r="O33" s="309"/>
      <c r="P33" s="309"/>
      <c r="Q33" s="306"/>
      <c r="R33" s="306"/>
    </row>
    <row r="34" spans="2:18" ht="15">
      <c r="B34" s="36"/>
      <c r="C34" s="37"/>
      <c r="D34" s="37"/>
      <c r="E34" s="38"/>
      <c r="F34" s="38">
        <v>7</v>
      </c>
      <c r="G34" s="1455" t="s">
        <v>475</v>
      </c>
      <c r="H34" s="1457">
        <v>5</v>
      </c>
      <c r="I34" s="1457" t="s">
        <v>51</v>
      </c>
      <c r="J34" s="1461">
        <v>65000</v>
      </c>
      <c r="K34" s="55">
        <f t="shared" si="0"/>
        <v>325000</v>
      </c>
      <c r="L34" s="305">
        <f t="shared" si="1"/>
        <v>325000</v>
      </c>
      <c r="M34" s="310"/>
      <c r="N34" s="305"/>
      <c r="O34" s="306"/>
      <c r="P34" s="306"/>
      <c r="Q34" s="309"/>
      <c r="R34" s="306"/>
    </row>
    <row r="35" spans="2:18" ht="15">
      <c r="B35" s="36"/>
      <c r="C35" s="37"/>
      <c r="D35" s="37"/>
      <c r="E35" s="38"/>
      <c r="F35" s="38">
        <v>8</v>
      </c>
      <c r="G35" s="1452" t="s">
        <v>233</v>
      </c>
      <c r="H35" s="1457">
        <v>30</v>
      </c>
      <c r="I35" s="1457" t="s">
        <v>51</v>
      </c>
      <c r="J35" s="1459">
        <v>51000</v>
      </c>
      <c r="K35" s="55">
        <f t="shared" si="0"/>
        <v>1530000</v>
      </c>
      <c r="L35" s="305">
        <f t="shared" si="1"/>
        <v>1530000</v>
      </c>
      <c r="M35" s="305"/>
      <c r="N35" s="305"/>
      <c r="O35" s="305"/>
      <c r="P35" s="305"/>
      <c r="Q35" s="306"/>
      <c r="R35" s="316"/>
    </row>
    <row r="36" spans="2:18" ht="15">
      <c r="B36" s="36"/>
      <c r="C36" s="37"/>
      <c r="D36" s="37"/>
      <c r="E36" s="38"/>
      <c r="F36" s="38">
        <v>9</v>
      </c>
      <c r="G36" s="1454" t="s">
        <v>946</v>
      </c>
      <c r="H36" s="1467">
        <v>5</v>
      </c>
      <c r="I36" s="1467" t="s">
        <v>229</v>
      </c>
      <c r="J36" s="1462">
        <v>145000</v>
      </c>
      <c r="K36" s="55">
        <f t="shared" si="0"/>
        <v>725000</v>
      </c>
      <c r="L36" s="305">
        <f t="shared" si="1"/>
        <v>725000</v>
      </c>
      <c r="M36" s="308"/>
      <c r="N36" s="305"/>
      <c r="O36" s="309"/>
      <c r="P36" s="309"/>
      <c r="Q36" s="306"/>
      <c r="R36" s="306"/>
    </row>
    <row r="37" spans="2:18" ht="15">
      <c r="B37" s="36"/>
      <c r="C37" s="37"/>
      <c r="D37" s="37"/>
      <c r="E37" s="38"/>
      <c r="F37" s="38">
        <v>10</v>
      </c>
      <c r="G37" s="1454" t="s">
        <v>476</v>
      </c>
      <c r="H37" s="1467">
        <v>5</v>
      </c>
      <c r="I37" s="1467" t="s">
        <v>107</v>
      </c>
      <c r="J37" s="1462">
        <v>320000</v>
      </c>
      <c r="K37" s="55">
        <f t="shared" si="0"/>
        <v>1600000</v>
      </c>
      <c r="L37" s="305">
        <f t="shared" si="1"/>
        <v>1600000</v>
      </c>
      <c r="M37" s="311"/>
      <c r="N37" s="305"/>
      <c r="O37" s="312"/>
      <c r="P37" s="312"/>
      <c r="Q37" s="306"/>
      <c r="R37" s="306"/>
    </row>
    <row r="38" spans="2:18" ht="15">
      <c r="B38" s="36"/>
      <c r="C38" s="37"/>
      <c r="D38" s="37"/>
      <c r="E38" s="38"/>
      <c r="F38" s="38">
        <v>11</v>
      </c>
      <c r="G38" s="1451" t="s">
        <v>1420</v>
      </c>
      <c r="H38" s="1467">
        <v>50</v>
      </c>
      <c r="I38" s="1456" t="s">
        <v>107</v>
      </c>
      <c r="J38" s="1462">
        <v>5000</v>
      </c>
      <c r="K38" s="55">
        <f t="shared" si="0"/>
        <v>250000</v>
      </c>
      <c r="L38" s="305">
        <f t="shared" si="1"/>
        <v>250000</v>
      </c>
      <c r="M38" s="313"/>
      <c r="N38" s="305"/>
      <c r="O38" s="314"/>
      <c r="P38" s="314"/>
      <c r="Q38" s="306"/>
      <c r="R38" s="306"/>
    </row>
    <row r="39" spans="2:18" ht="15">
      <c r="B39" s="36"/>
      <c r="C39" s="37"/>
      <c r="D39" s="37"/>
      <c r="E39" s="38"/>
      <c r="F39" s="38">
        <v>12</v>
      </c>
      <c r="G39" s="1452" t="s">
        <v>766</v>
      </c>
      <c r="H39" s="1457">
        <v>8</v>
      </c>
      <c r="I39" s="1457" t="s">
        <v>51</v>
      </c>
      <c r="J39" s="1459">
        <v>98000</v>
      </c>
      <c r="K39" s="55">
        <f t="shared" si="0"/>
        <v>784000</v>
      </c>
      <c r="L39" s="305">
        <f t="shared" si="1"/>
        <v>784000</v>
      </c>
      <c r="M39" s="310"/>
      <c r="N39" s="305"/>
      <c r="O39" s="306"/>
      <c r="P39" s="306"/>
      <c r="Q39" s="306"/>
      <c r="R39" s="306"/>
    </row>
    <row r="40" spans="2:18" ht="15">
      <c r="B40" s="36"/>
      <c r="C40" s="37"/>
      <c r="D40" s="37"/>
      <c r="E40" s="38"/>
      <c r="F40" s="38">
        <v>13</v>
      </c>
      <c r="G40" s="1452" t="s">
        <v>767</v>
      </c>
      <c r="H40" s="1457">
        <v>8</v>
      </c>
      <c r="I40" s="1457" t="s">
        <v>51</v>
      </c>
      <c r="J40" s="1459">
        <v>98000</v>
      </c>
      <c r="K40" s="55">
        <f t="shared" si="0"/>
        <v>784000</v>
      </c>
      <c r="L40" s="305">
        <f t="shared" si="1"/>
        <v>784000</v>
      </c>
      <c r="M40" s="310"/>
      <c r="N40" s="305"/>
      <c r="O40" s="306"/>
      <c r="P40" s="306"/>
      <c r="Q40" s="306"/>
      <c r="R40" s="306"/>
    </row>
    <row r="41" spans="2:18" ht="15">
      <c r="B41" s="36"/>
      <c r="C41" s="37"/>
      <c r="D41" s="37"/>
      <c r="E41" s="38"/>
      <c r="F41" s="38">
        <v>14</v>
      </c>
      <c r="G41" s="1452" t="s">
        <v>768</v>
      </c>
      <c r="H41" s="1457">
        <v>8</v>
      </c>
      <c r="I41" s="1457" t="s">
        <v>51</v>
      </c>
      <c r="J41" s="1459">
        <v>98000</v>
      </c>
      <c r="K41" s="55">
        <f t="shared" si="0"/>
        <v>784000</v>
      </c>
      <c r="L41" s="305">
        <f t="shared" si="1"/>
        <v>784000</v>
      </c>
      <c r="M41" s="310"/>
      <c r="N41" s="305"/>
      <c r="O41" s="306"/>
      <c r="P41" s="306"/>
      <c r="Q41" s="306"/>
      <c r="R41" s="306"/>
    </row>
    <row r="42" spans="2:18" ht="15">
      <c r="B42" s="36"/>
      <c r="C42" s="37"/>
      <c r="D42" s="37"/>
      <c r="E42" s="38"/>
      <c r="F42" s="38">
        <v>15</v>
      </c>
      <c r="G42" s="1453" t="s">
        <v>234</v>
      </c>
      <c r="H42" s="1457">
        <v>1</v>
      </c>
      <c r="I42" s="1457" t="s">
        <v>51</v>
      </c>
      <c r="J42" s="1459">
        <v>650000</v>
      </c>
      <c r="K42" s="55">
        <f t="shared" si="0"/>
        <v>650000</v>
      </c>
      <c r="L42" s="305">
        <f t="shared" si="1"/>
        <v>650000</v>
      </c>
      <c r="M42" s="310"/>
      <c r="N42" s="305"/>
      <c r="O42" s="306"/>
      <c r="P42" s="306"/>
      <c r="Q42" s="306"/>
      <c r="R42" s="306"/>
    </row>
    <row r="43" spans="2:18" ht="15">
      <c r="B43" s="36"/>
      <c r="C43" s="37"/>
      <c r="D43" s="37"/>
      <c r="E43" s="38"/>
      <c r="F43" s="38">
        <v>16</v>
      </c>
      <c r="G43" s="1452" t="s">
        <v>235</v>
      </c>
      <c r="H43" s="1457">
        <v>2</v>
      </c>
      <c r="I43" s="1457" t="s">
        <v>105</v>
      </c>
      <c r="J43" s="1459">
        <v>390000</v>
      </c>
      <c r="K43" s="55">
        <f t="shared" si="0"/>
        <v>780000</v>
      </c>
      <c r="L43" s="305">
        <f t="shared" si="1"/>
        <v>780000</v>
      </c>
      <c r="M43" s="310"/>
      <c r="N43" s="305"/>
      <c r="O43" s="306"/>
      <c r="P43" s="306"/>
      <c r="Q43" s="306"/>
      <c r="R43" s="306"/>
    </row>
    <row r="44" spans="2:18" ht="15">
      <c r="B44" s="36"/>
      <c r="C44" s="37"/>
      <c r="D44" s="37"/>
      <c r="E44" s="38"/>
      <c r="F44" s="38">
        <v>17</v>
      </c>
      <c r="G44" s="1452" t="s">
        <v>236</v>
      </c>
      <c r="H44" s="1457">
        <v>2</v>
      </c>
      <c r="I44" s="1457" t="s">
        <v>105</v>
      </c>
      <c r="J44" s="1459">
        <v>270000</v>
      </c>
      <c r="K44" s="55">
        <f t="shared" si="0"/>
        <v>540000</v>
      </c>
      <c r="L44" s="305">
        <f t="shared" si="1"/>
        <v>540000</v>
      </c>
      <c r="M44" s="310"/>
      <c r="N44" s="305"/>
      <c r="O44" s="306"/>
      <c r="P44" s="306"/>
      <c r="Q44" s="306"/>
      <c r="R44" s="306"/>
    </row>
    <row r="45" spans="2:18" ht="15">
      <c r="B45" s="36"/>
      <c r="C45" s="37"/>
      <c r="D45" s="37"/>
      <c r="E45" s="38"/>
      <c r="F45" s="38">
        <v>18</v>
      </c>
      <c r="G45" s="1452" t="s">
        <v>237</v>
      </c>
      <c r="H45" s="1457">
        <v>1</v>
      </c>
      <c r="I45" s="1466" t="s">
        <v>105</v>
      </c>
      <c r="J45" s="1459">
        <v>1950000</v>
      </c>
      <c r="K45" s="55">
        <f t="shared" si="0"/>
        <v>1950000</v>
      </c>
      <c r="L45" s="305">
        <f t="shared" si="1"/>
        <v>1950000</v>
      </c>
      <c r="M45" s="310"/>
      <c r="N45" s="305"/>
      <c r="O45" s="306"/>
      <c r="P45" s="306"/>
      <c r="Q45" s="306"/>
      <c r="R45" s="306"/>
    </row>
    <row r="46" spans="2:18" ht="15">
      <c r="B46" s="36"/>
      <c r="C46" s="37"/>
      <c r="D46" s="37"/>
      <c r="E46" s="38"/>
      <c r="F46" s="38">
        <v>19</v>
      </c>
      <c r="G46" s="1452" t="s">
        <v>238</v>
      </c>
      <c r="H46" s="1457">
        <v>100</v>
      </c>
      <c r="I46" s="1466" t="s">
        <v>82</v>
      </c>
      <c r="J46" s="1459">
        <v>4000</v>
      </c>
      <c r="K46" s="55">
        <f t="shared" si="0"/>
        <v>400000</v>
      </c>
      <c r="L46" s="305">
        <f t="shared" si="1"/>
        <v>400000</v>
      </c>
      <c r="M46" s="310"/>
      <c r="N46" s="305"/>
      <c r="O46" s="306"/>
      <c r="P46" s="306"/>
      <c r="Q46" s="306"/>
      <c r="R46" s="306"/>
    </row>
    <row r="47" spans="2:18" ht="15">
      <c r="B47" s="36"/>
      <c r="C47" s="37"/>
      <c r="D47" s="37"/>
      <c r="E47" s="38"/>
      <c r="F47" s="38">
        <v>20</v>
      </c>
      <c r="G47" s="1452" t="s">
        <v>1157</v>
      </c>
      <c r="H47" s="1457">
        <v>200</v>
      </c>
      <c r="I47" s="1466" t="s">
        <v>1158</v>
      </c>
      <c r="J47" s="1459">
        <v>16000</v>
      </c>
      <c r="K47" s="55">
        <f t="shared" si="0"/>
        <v>3200000</v>
      </c>
      <c r="L47" s="305">
        <f t="shared" si="1"/>
        <v>3200000</v>
      </c>
      <c r="M47" s="310"/>
      <c r="N47" s="305"/>
      <c r="O47" s="306"/>
      <c r="P47" s="306"/>
      <c r="Q47" s="306"/>
      <c r="R47" s="306"/>
    </row>
    <row r="48" spans="2:18" ht="15">
      <c r="B48" s="36"/>
      <c r="C48" s="37"/>
      <c r="D48" s="37"/>
      <c r="E48" s="38"/>
      <c r="F48" s="38">
        <v>21</v>
      </c>
      <c r="G48" s="1453" t="s">
        <v>239</v>
      </c>
      <c r="H48" s="1457">
        <v>20</v>
      </c>
      <c r="I48" s="1457" t="s">
        <v>51</v>
      </c>
      <c r="J48" s="1459">
        <v>15000</v>
      </c>
      <c r="K48" s="55">
        <f t="shared" si="0"/>
        <v>300000</v>
      </c>
      <c r="L48" s="305">
        <f t="shared" si="1"/>
        <v>300000</v>
      </c>
      <c r="M48" s="310"/>
      <c r="N48" s="305"/>
      <c r="O48" s="306"/>
      <c r="P48" s="306"/>
      <c r="Q48" s="306"/>
      <c r="R48" s="306"/>
    </row>
    <row r="49" spans="2:18" ht="15">
      <c r="B49" s="36"/>
      <c r="C49" s="37"/>
      <c r="D49" s="37"/>
      <c r="E49" s="38"/>
      <c r="F49" s="38">
        <v>22</v>
      </c>
      <c r="G49" s="1452" t="s">
        <v>240</v>
      </c>
      <c r="H49" s="1457">
        <v>20</v>
      </c>
      <c r="I49" s="1466" t="s">
        <v>107</v>
      </c>
      <c r="J49" s="1459">
        <v>28000</v>
      </c>
      <c r="K49" s="55">
        <f t="shared" si="0"/>
        <v>560000</v>
      </c>
      <c r="L49" s="305">
        <f t="shared" si="1"/>
        <v>560000</v>
      </c>
      <c r="M49" s="310"/>
      <c r="N49" s="305"/>
      <c r="O49" s="306"/>
      <c r="P49" s="306"/>
      <c r="Q49" s="306"/>
      <c r="R49" s="306"/>
    </row>
    <row r="50" spans="2:18" ht="15">
      <c r="B50" s="36"/>
      <c r="C50" s="37"/>
      <c r="D50" s="37"/>
      <c r="E50" s="38"/>
      <c r="F50" s="38">
        <v>23</v>
      </c>
      <c r="G50" s="1455" t="s">
        <v>241</v>
      </c>
      <c r="H50" s="1457">
        <v>20</v>
      </c>
      <c r="I50" s="1457" t="s">
        <v>51</v>
      </c>
      <c r="J50" s="1459">
        <v>30000</v>
      </c>
      <c r="K50" s="55">
        <f t="shared" si="0"/>
        <v>600000</v>
      </c>
      <c r="L50" s="305">
        <f t="shared" si="1"/>
        <v>600000</v>
      </c>
      <c r="M50" s="310"/>
      <c r="N50" s="305"/>
      <c r="O50" s="306"/>
      <c r="P50" s="306"/>
      <c r="Q50" s="306"/>
      <c r="R50" s="306"/>
    </row>
    <row r="51" spans="2:18" ht="15">
      <c r="B51" s="36"/>
      <c r="C51" s="37"/>
      <c r="D51" s="37"/>
      <c r="E51" s="38"/>
      <c r="F51" s="38">
        <v>24</v>
      </c>
      <c r="G51" s="1453" t="s">
        <v>242</v>
      </c>
      <c r="H51" s="1457">
        <v>20</v>
      </c>
      <c r="I51" s="1457" t="s">
        <v>51</v>
      </c>
      <c r="J51" s="1459">
        <v>26000</v>
      </c>
      <c r="K51" s="55">
        <f t="shared" si="0"/>
        <v>520000</v>
      </c>
      <c r="L51" s="305">
        <f t="shared" si="1"/>
        <v>520000</v>
      </c>
      <c r="M51" s="310"/>
      <c r="N51" s="305"/>
      <c r="O51" s="306"/>
      <c r="P51" s="306"/>
      <c r="Q51" s="306"/>
      <c r="R51" s="306"/>
    </row>
    <row r="52" spans="2:18" ht="15">
      <c r="B52" s="36"/>
      <c r="C52" s="37"/>
      <c r="D52" s="37"/>
      <c r="E52" s="38"/>
      <c r="F52" s="38">
        <v>25</v>
      </c>
      <c r="G52" s="1453" t="s">
        <v>243</v>
      </c>
      <c r="H52" s="1457">
        <v>20</v>
      </c>
      <c r="I52" s="1457" t="s">
        <v>51</v>
      </c>
      <c r="J52" s="1459">
        <v>14000</v>
      </c>
      <c r="K52" s="55">
        <f t="shared" si="0"/>
        <v>280000</v>
      </c>
      <c r="L52" s="305">
        <f t="shared" si="1"/>
        <v>280000</v>
      </c>
      <c r="M52" s="310"/>
      <c r="N52" s="305"/>
      <c r="O52" s="306"/>
      <c r="P52" s="306"/>
      <c r="Q52" s="306"/>
      <c r="R52" s="306"/>
    </row>
    <row r="53" spans="2:18" ht="15">
      <c r="B53" s="36"/>
      <c r="C53" s="37"/>
      <c r="D53" s="37"/>
      <c r="E53" s="38"/>
      <c r="F53" s="38">
        <v>26</v>
      </c>
      <c r="G53" s="1453" t="s">
        <v>244</v>
      </c>
      <c r="H53" s="1457">
        <v>10</v>
      </c>
      <c r="I53" s="1466" t="s">
        <v>245</v>
      </c>
      <c r="J53" s="1459">
        <v>28000</v>
      </c>
      <c r="K53" s="55">
        <f t="shared" si="0"/>
        <v>280000</v>
      </c>
      <c r="L53" s="305">
        <f t="shared" si="1"/>
        <v>280000</v>
      </c>
      <c r="M53" s="310"/>
      <c r="N53" s="305"/>
      <c r="O53" s="306"/>
      <c r="P53" s="306"/>
      <c r="Q53" s="306"/>
      <c r="R53" s="306"/>
    </row>
    <row r="54" spans="2:18" ht="15">
      <c r="B54" s="36"/>
      <c r="C54" s="37"/>
      <c r="D54" s="37"/>
      <c r="E54" s="38"/>
      <c r="F54" s="38">
        <v>27</v>
      </c>
      <c r="G54" s="1453" t="s">
        <v>477</v>
      </c>
      <c r="H54" s="1457">
        <v>3</v>
      </c>
      <c r="I54" s="1466" t="s">
        <v>107</v>
      </c>
      <c r="J54" s="1459">
        <v>50000</v>
      </c>
      <c r="K54" s="55">
        <f t="shared" si="0"/>
        <v>150000</v>
      </c>
      <c r="L54" s="305">
        <f t="shared" si="1"/>
        <v>150000</v>
      </c>
      <c r="M54" s="310"/>
      <c r="N54" s="305"/>
      <c r="O54" s="306"/>
      <c r="P54" s="306"/>
      <c r="Q54" s="306"/>
      <c r="R54" s="306"/>
    </row>
    <row r="55" spans="2:18" ht="15">
      <c r="B55" s="36"/>
      <c r="C55" s="37"/>
      <c r="D55" s="37"/>
      <c r="E55" s="38"/>
      <c r="F55" s="38">
        <v>28</v>
      </c>
      <c r="G55" s="1453" t="s">
        <v>246</v>
      </c>
      <c r="H55" s="1457">
        <v>5</v>
      </c>
      <c r="I55" s="1457" t="s">
        <v>51</v>
      </c>
      <c r="J55" s="1459">
        <v>95000</v>
      </c>
      <c r="K55" s="55">
        <f t="shared" si="0"/>
        <v>475000</v>
      </c>
      <c r="L55" s="305">
        <f t="shared" si="1"/>
        <v>475000</v>
      </c>
      <c r="M55" s="310"/>
      <c r="N55" s="305"/>
      <c r="O55" s="306"/>
      <c r="P55" s="306"/>
      <c r="Q55" s="306"/>
      <c r="R55" s="306"/>
    </row>
    <row r="56" spans="2:18" ht="15">
      <c r="B56" s="36"/>
      <c r="C56" s="37"/>
      <c r="D56" s="37"/>
      <c r="E56" s="38"/>
      <c r="F56" s="38">
        <v>29</v>
      </c>
      <c r="G56" s="1452" t="s">
        <v>247</v>
      </c>
      <c r="H56" s="1457">
        <v>10</v>
      </c>
      <c r="I56" s="1457" t="s">
        <v>51</v>
      </c>
      <c r="J56" s="1459">
        <v>7000</v>
      </c>
      <c r="K56" s="55">
        <f t="shared" si="0"/>
        <v>70000</v>
      </c>
      <c r="L56" s="305">
        <f t="shared" si="1"/>
        <v>70000</v>
      </c>
      <c r="M56" s="310"/>
      <c r="N56" s="305"/>
      <c r="O56" s="306"/>
      <c r="P56" s="306"/>
      <c r="Q56" s="306"/>
      <c r="R56" s="306"/>
    </row>
    <row r="57" spans="2:18" ht="15">
      <c r="B57" s="36"/>
      <c r="C57" s="37"/>
      <c r="D57" s="37"/>
      <c r="E57" s="38"/>
      <c r="F57" s="38">
        <v>30</v>
      </c>
      <c r="G57" s="1452" t="s">
        <v>248</v>
      </c>
      <c r="H57" s="1457">
        <v>5</v>
      </c>
      <c r="I57" s="1466" t="s">
        <v>245</v>
      </c>
      <c r="J57" s="1459">
        <v>28000</v>
      </c>
      <c r="K57" s="55">
        <f t="shared" si="0"/>
        <v>140000</v>
      </c>
      <c r="L57" s="305">
        <f t="shared" si="1"/>
        <v>140000</v>
      </c>
      <c r="M57" s="310"/>
      <c r="N57" s="305"/>
      <c r="O57" s="306"/>
      <c r="P57" s="306"/>
      <c r="Q57" s="306"/>
      <c r="R57" s="306"/>
    </row>
    <row r="58" spans="2:18" ht="15">
      <c r="B58" s="36"/>
      <c r="C58" s="37"/>
      <c r="D58" s="37"/>
      <c r="E58" s="38"/>
      <c r="F58" s="38">
        <v>31</v>
      </c>
      <c r="G58" s="1452" t="s">
        <v>947</v>
      </c>
      <c r="H58" s="1457">
        <v>4</v>
      </c>
      <c r="I58" s="1466" t="s">
        <v>107</v>
      </c>
      <c r="J58" s="1459">
        <v>65000</v>
      </c>
      <c r="K58" s="55">
        <f t="shared" si="0"/>
        <v>260000</v>
      </c>
      <c r="L58" s="305">
        <f t="shared" si="1"/>
        <v>260000</v>
      </c>
      <c r="M58" s="310"/>
      <c r="N58" s="305"/>
      <c r="O58" s="306"/>
      <c r="P58" s="306"/>
      <c r="Q58" s="306"/>
      <c r="R58" s="306"/>
    </row>
    <row r="59" spans="2:18" ht="15">
      <c r="B59" s="36"/>
      <c r="C59" s="37"/>
      <c r="D59" s="37"/>
      <c r="E59" s="38"/>
      <c r="F59" s="38">
        <v>32</v>
      </c>
      <c r="G59" s="1452" t="s">
        <v>948</v>
      </c>
      <c r="H59" s="1457">
        <v>10</v>
      </c>
      <c r="I59" s="1466" t="s">
        <v>107</v>
      </c>
      <c r="J59" s="1459">
        <v>4200</v>
      </c>
      <c r="K59" s="55">
        <f t="shared" si="0"/>
        <v>42000</v>
      </c>
      <c r="L59" s="305">
        <f t="shared" si="1"/>
        <v>42000</v>
      </c>
      <c r="M59" s="310"/>
      <c r="N59" s="305"/>
      <c r="O59" s="306"/>
      <c r="P59" s="306"/>
      <c r="Q59" s="306"/>
      <c r="R59" s="306"/>
    </row>
    <row r="60" spans="2:18" ht="15">
      <c r="B60" s="36"/>
      <c r="C60" s="37"/>
      <c r="D60" s="37"/>
      <c r="E60" s="38"/>
      <c r="F60" s="38">
        <v>33</v>
      </c>
      <c r="G60" s="1452" t="s">
        <v>249</v>
      </c>
      <c r="H60" s="1466">
        <v>50</v>
      </c>
      <c r="I60" s="1466" t="s">
        <v>51</v>
      </c>
      <c r="J60" s="1459">
        <v>5500</v>
      </c>
      <c r="K60" s="55">
        <f t="shared" si="0"/>
        <v>275000</v>
      </c>
      <c r="L60" s="305">
        <f t="shared" si="1"/>
        <v>275000</v>
      </c>
      <c r="M60" s="310"/>
      <c r="N60" s="305"/>
      <c r="O60" s="306"/>
      <c r="P60" s="306"/>
      <c r="Q60" s="306"/>
      <c r="R60" s="306"/>
    </row>
    <row r="61" spans="2:18" ht="15">
      <c r="B61" s="36"/>
      <c r="C61" s="37"/>
      <c r="D61" s="37"/>
      <c r="E61" s="38"/>
      <c r="F61" s="38">
        <v>34</v>
      </c>
      <c r="G61" s="1452" t="s">
        <v>250</v>
      </c>
      <c r="H61" s="1466">
        <v>50</v>
      </c>
      <c r="I61" s="1466" t="s">
        <v>51</v>
      </c>
      <c r="J61" s="1459">
        <v>4500</v>
      </c>
      <c r="K61" s="55">
        <f t="shared" si="0"/>
        <v>225000</v>
      </c>
      <c r="L61" s="305">
        <f t="shared" si="1"/>
        <v>225000</v>
      </c>
      <c r="M61" s="310"/>
      <c r="N61" s="305"/>
      <c r="O61" s="306"/>
      <c r="P61" s="306"/>
      <c r="Q61" s="306"/>
      <c r="R61" s="306"/>
    </row>
    <row r="62" spans="2:18" ht="15">
      <c r="B62" s="36"/>
      <c r="C62" s="37"/>
      <c r="D62" s="37"/>
      <c r="E62" s="38"/>
      <c r="F62" s="38">
        <v>35</v>
      </c>
      <c r="G62" s="1452" t="s">
        <v>251</v>
      </c>
      <c r="H62" s="1466">
        <v>250</v>
      </c>
      <c r="I62" s="1466" t="s">
        <v>51</v>
      </c>
      <c r="J62" s="1468">
        <v>3500</v>
      </c>
      <c r="K62" s="55">
        <f t="shared" si="0"/>
        <v>875000</v>
      </c>
      <c r="L62" s="305">
        <f t="shared" si="1"/>
        <v>875000</v>
      </c>
      <c r="M62" s="310"/>
      <c r="N62" s="305"/>
      <c r="O62" s="306"/>
      <c r="P62" s="306"/>
      <c r="Q62" s="306"/>
      <c r="R62" s="306"/>
    </row>
    <row r="63" spans="2:18" ht="15">
      <c r="B63" s="346"/>
      <c r="C63" s="371"/>
      <c r="D63" s="371"/>
      <c r="E63" s="372"/>
      <c r="F63" s="38">
        <v>36</v>
      </c>
      <c r="G63" s="1452" t="s">
        <v>252</v>
      </c>
      <c r="H63" s="1466">
        <v>250</v>
      </c>
      <c r="I63" s="1466" t="s">
        <v>51</v>
      </c>
      <c r="J63" s="1468">
        <v>3500</v>
      </c>
      <c r="K63" s="416">
        <f t="shared" si="0"/>
        <v>875000</v>
      </c>
      <c r="L63" s="305">
        <f t="shared" si="1"/>
        <v>875000</v>
      </c>
      <c r="M63" s="569"/>
      <c r="N63" s="305"/>
      <c r="O63" s="378"/>
      <c r="P63" s="378"/>
      <c r="Q63" s="378"/>
      <c r="R63" s="378"/>
    </row>
    <row r="64" spans="2:18" ht="15">
      <c r="B64" s="346"/>
      <c r="C64" s="371"/>
      <c r="D64" s="371"/>
      <c r="E64" s="372"/>
      <c r="F64" s="38">
        <v>37</v>
      </c>
      <c r="G64" s="1452" t="s">
        <v>253</v>
      </c>
      <c r="H64" s="1466">
        <v>100</v>
      </c>
      <c r="I64" s="1466" t="s">
        <v>51</v>
      </c>
      <c r="J64" s="1459">
        <v>15000</v>
      </c>
      <c r="K64" s="416">
        <f t="shared" si="0"/>
        <v>1500000</v>
      </c>
      <c r="L64" s="305">
        <f t="shared" si="1"/>
        <v>1500000</v>
      </c>
      <c r="M64" s="569"/>
      <c r="N64" s="305"/>
      <c r="O64" s="378"/>
      <c r="P64" s="378"/>
      <c r="Q64" s="378"/>
      <c r="R64" s="378"/>
    </row>
    <row r="65" spans="2:18" ht="15">
      <c r="B65" s="346"/>
      <c r="C65" s="371"/>
      <c r="D65" s="371"/>
      <c r="E65" s="372"/>
      <c r="F65" s="38">
        <v>37</v>
      </c>
      <c r="G65" s="2228" t="s">
        <v>1458</v>
      </c>
      <c r="H65" s="379">
        <v>1</v>
      </c>
      <c r="I65" s="380" t="s">
        <v>105</v>
      </c>
      <c r="J65" s="952">
        <v>1500000</v>
      </c>
      <c r="K65" s="416">
        <f t="shared" si="0"/>
        <v>1500000</v>
      </c>
      <c r="L65" s="305">
        <f t="shared" si="1"/>
        <v>1500000</v>
      </c>
      <c r="M65" s="569"/>
      <c r="N65" s="305"/>
      <c r="O65" s="378"/>
      <c r="P65" s="378"/>
      <c r="Q65" s="378"/>
      <c r="R65" s="378"/>
    </row>
    <row r="66" spans="2:18" ht="15">
      <c r="B66" s="346"/>
      <c r="C66" s="371"/>
      <c r="D66" s="371"/>
      <c r="E66" s="372"/>
      <c r="F66" s="38">
        <v>38</v>
      </c>
      <c r="G66" s="2228" t="s">
        <v>1459</v>
      </c>
      <c r="H66" s="379">
        <v>5</v>
      </c>
      <c r="I66" s="380" t="s">
        <v>229</v>
      </c>
      <c r="J66" s="952">
        <v>200000</v>
      </c>
      <c r="K66" s="416">
        <f t="shared" si="0"/>
        <v>1000000</v>
      </c>
      <c r="L66" s="305">
        <f t="shared" si="1"/>
        <v>1000000</v>
      </c>
      <c r="M66" s="569"/>
      <c r="N66" s="305"/>
      <c r="O66" s="378"/>
      <c r="P66" s="378"/>
      <c r="Q66" s="378"/>
      <c r="R66" s="378"/>
    </row>
    <row r="67" spans="2:18" ht="25.5">
      <c r="B67" s="346"/>
      <c r="C67" s="371"/>
      <c r="D67" s="371"/>
      <c r="E67" s="372"/>
      <c r="F67" s="38">
        <v>39</v>
      </c>
      <c r="G67" s="1874" t="s">
        <v>1460</v>
      </c>
      <c r="H67" s="379">
        <v>5</v>
      </c>
      <c r="I67" s="380" t="s">
        <v>245</v>
      </c>
      <c r="J67" s="952">
        <v>100000</v>
      </c>
      <c r="K67" s="416">
        <f t="shared" si="0"/>
        <v>500000</v>
      </c>
      <c r="L67" s="305">
        <f t="shared" si="1"/>
        <v>500000</v>
      </c>
      <c r="M67" s="569"/>
      <c r="N67" s="305"/>
      <c r="O67" s="378"/>
      <c r="P67" s="378"/>
      <c r="Q67" s="378"/>
      <c r="R67" s="378"/>
    </row>
    <row r="68" spans="2:18" ht="25.5">
      <c r="B68" s="346"/>
      <c r="C68" s="371"/>
      <c r="D68" s="371"/>
      <c r="E68" s="372"/>
      <c r="F68" s="38">
        <v>40</v>
      </c>
      <c r="G68" s="1874" t="s">
        <v>1461</v>
      </c>
      <c r="H68" s="379">
        <v>1</v>
      </c>
      <c r="I68" s="380" t="s">
        <v>114</v>
      </c>
      <c r="J68" s="952">
        <v>2600000</v>
      </c>
      <c r="K68" s="416">
        <f t="shared" si="0"/>
        <v>2600000</v>
      </c>
      <c r="L68" s="305">
        <f t="shared" si="1"/>
        <v>2600000</v>
      </c>
      <c r="M68" s="569"/>
      <c r="N68" s="305"/>
      <c r="O68" s="378"/>
      <c r="P68" s="378"/>
      <c r="Q68" s="378"/>
      <c r="R68" s="378"/>
    </row>
    <row r="69" spans="2:18" ht="15">
      <c r="B69" s="346"/>
      <c r="C69" s="371"/>
      <c r="D69" s="371"/>
      <c r="E69" s="372"/>
      <c r="F69" s="38">
        <v>41</v>
      </c>
      <c r="G69" s="1874" t="s">
        <v>1462</v>
      </c>
      <c r="H69" s="379">
        <v>1</v>
      </c>
      <c r="I69" s="380" t="s">
        <v>114</v>
      </c>
      <c r="J69" s="952">
        <v>750000</v>
      </c>
      <c r="K69" s="416">
        <f t="shared" si="0"/>
        <v>750000</v>
      </c>
      <c r="L69" s="305">
        <f t="shared" si="1"/>
        <v>750000</v>
      </c>
      <c r="M69" s="569"/>
      <c r="N69" s="305"/>
      <c r="O69" s="378"/>
      <c r="P69" s="378"/>
      <c r="Q69" s="378"/>
      <c r="R69" s="378"/>
    </row>
    <row r="70" spans="2:18" ht="15">
      <c r="B70" s="346"/>
      <c r="C70" s="371"/>
      <c r="D70" s="371"/>
      <c r="E70" s="372"/>
      <c r="F70" s="38">
        <v>42</v>
      </c>
      <c r="G70" s="1874" t="s">
        <v>1463</v>
      </c>
      <c r="H70" s="379">
        <v>6</v>
      </c>
      <c r="I70" s="380" t="s">
        <v>312</v>
      </c>
      <c r="J70" s="952">
        <v>100000</v>
      </c>
      <c r="K70" s="416">
        <f t="shared" si="0"/>
        <v>600000</v>
      </c>
      <c r="L70" s="305">
        <f t="shared" si="1"/>
        <v>600000</v>
      </c>
      <c r="M70" s="569"/>
      <c r="N70" s="305"/>
      <c r="O70" s="378"/>
      <c r="P70" s="378"/>
      <c r="Q70" s="378"/>
      <c r="R70" s="378"/>
    </row>
    <row r="71" spans="2:18" ht="15">
      <c r="B71" s="346"/>
      <c r="C71" s="371"/>
      <c r="D71" s="371"/>
      <c r="E71" s="372"/>
      <c r="F71" s="38">
        <v>43</v>
      </c>
      <c r="G71" s="2228" t="s">
        <v>1464</v>
      </c>
      <c r="H71" s="379">
        <v>6</v>
      </c>
      <c r="I71" s="380" t="s">
        <v>312</v>
      </c>
      <c r="J71" s="952">
        <v>100000</v>
      </c>
      <c r="K71" s="416">
        <f t="shared" si="0"/>
        <v>600000</v>
      </c>
      <c r="L71" s="305">
        <f t="shared" si="1"/>
        <v>600000</v>
      </c>
      <c r="M71" s="569"/>
      <c r="N71" s="305"/>
      <c r="O71" s="378"/>
      <c r="P71" s="378"/>
      <c r="Q71" s="378"/>
      <c r="R71" s="378"/>
    </row>
    <row r="72" spans="2:18" ht="15">
      <c r="B72" s="346"/>
      <c r="C72" s="371"/>
      <c r="D72" s="371"/>
      <c r="E72" s="372"/>
      <c r="F72" s="38">
        <v>44</v>
      </c>
      <c r="G72" s="2228" t="s">
        <v>1465</v>
      </c>
      <c r="H72" s="379">
        <v>2</v>
      </c>
      <c r="I72" s="380" t="s">
        <v>107</v>
      </c>
      <c r="J72" s="952">
        <v>1900000</v>
      </c>
      <c r="K72" s="416">
        <f t="shared" si="0"/>
        <v>3800000</v>
      </c>
      <c r="L72" s="305">
        <f t="shared" si="1"/>
        <v>3800000</v>
      </c>
      <c r="M72" s="569"/>
      <c r="N72" s="305"/>
      <c r="O72" s="378"/>
      <c r="P72" s="378"/>
      <c r="Q72" s="378"/>
      <c r="R72" s="378"/>
    </row>
    <row r="73" spans="2:18" ht="15">
      <c r="B73" s="346"/>
      <c r="C73" s="371"/>
      <c r="D73" s="371"/>
      <c r="E73" s="372"/>
      <c r="F73" s="38">
        <v>45</v>
      </c>
      <c r="G73" s="2228" t="s">
        <v>1466</v>
      </c>
      <c r="H73" s="379">
        <v>1</v>
      </c>
      <c r="I73" s="380" t="s">
        <v>107</v>
      </c>
      <c r="J73" s="952">
        <v>3000000</v>
      </c>
      <c r="K73" s="416">
        <f t="shared" ref="K73:K75" si="2">H73*J73</f>
        <v>3000000</v>
      </c>
      <c r="L73" s="305">
        <f t="shared" ref="L73:L75" si="3">K73</f>
        <v>3000000</v>
      </c>
      <c r="M73" s="569"/>
      <c r="N73" s="377"/>
      <c r="O73" s="378"/>
      <c r="P73" s="378"/>
      <c r="Q73" s="378"/>
      <c r="R73" s="378"/>
    </row>
    <row r="74" spans="2:18" ht="15">
      <c r="B74" s="346"/>
      <c r="C74" s="371"/>
      <c r="D74" s="371"/>
      <c r="E74" s="372"/>
      <c r="F74" s="38">
        <v>46</v>
      </c>
      <c r="G74" s="2228" t="s">
        <v>1467</v>
      </c>
      <c r="H74" s="379">
        <v>4</v>
      </c>
      <c r="I74" s="380" t="s">
        <v>312</v>
      </c>
      <c r="J74" s="952">
        <v>450000</v>
      </c>
      <c r="K74" s="416">
        <f t="shared" si="2"/>
        <v>1800000</v>
      </c>
      <c r="L74" s="305">
        <f t="shared" si="3"/>
        <v>1800000</v>
      </c>
      <c r="M74" s="569"/>
      <c r="N74" s="377"/>
      <c r="O74" s="378"/>
      <c r="P74" s="378"/>
      <c r="Q74" s="378"/>
      <c r="R74" s="378"/>
    </row>
    <row r="75" spans="2:18" s="2242" customFormat="1" ht="15">
      <c r="B75" s="2229"/>
      <c r="C75" s="2230"/>
      <c r="D75" s="2230"/>
      <c r="E75" s="2231"/>
      <c r="F75" s="2232">
        <v>47</v>
      </c>
      <c r="G75" s="2233" t="s">
        <v>1468</v>
      </c>
      <c r="H75" s="2234">
        <v>4</v>
      </c>
      <c r="I75" s="2235" t="s">
        <v>85</v>
      </c>
      <c r="J75" s="2236"/>
      <c r="K75" s="2237">
        <f t="shared" si="2"/>
        <v>0</v>
      </c>
      <c r="L75" s="2238">
        <f t="shared" si="3"/>
        <v>0</v>
      </c>
      <c r="M75" s="2239"/>
      <c r="N75" s="2240"/>
      <c r="O75" s="2241"/>
      <c r="P75" s="2241"/>
      <c r="Q75" s="2241"/>
      <c r="R75" s="2241"/>
    </row>
    <row r="76" spans="2:18" ht="15">
      <c r="B76" s="346"/>
      <c r="C76" s="371"/>
      <c r="D76" s="371"/>
      <c r="E76" s="372"/>
      <c r="F76" s="38">
        <v>47</v>
      </c>
      <c r="G76" s="2228" t="s">
        <v>1469</v>
      </c>
      <c r="H76" s="379">
        <v>15</v>
      </c>
      <c r="I76" s="380" t="s">
        <v>85</v>
      </c>
      <c r="J76" s="952">
        <v>300000</v>
      </c>
      <c r="K76" s="416">
        <f t="shared" ref="K76:K85" si="4">H76*J76</f>
        <v>4500000</v>
      </c>
      <c r="L76" s="305">
        <f t="shared" ref="L76:L85" si="5">K76</f>
        <v>4500000</v>
      </c>
      <c r="M76" s="569"/>
      <c r="N76" s="377"/>
      <c r="O76" s="378"/>
      <c r="P76" s="378"/>
      <c r="Q76" s="378"/>
      <c r="R76" s="378"/>
    </row>
    <row r="77" spans="2:18" ht="15">
      <c r="B77" s="346"/>
      <c r="C77" s="371"/>
      <c r="D77" s="371"/>
      <c r="E77" s="372"/>
      <c r="F77" s="38">
        <v>48</v>
      </c>
      <c r="G77" s="2228" t="s">
        <v>1470</v>
      </c>
      <c r="H77" s="379">
        <v>10</v>
      </c>
      <c r="I77" s="380" t="s">
        <v>85</v>
      </c>
      <c r="J77" s="952">
        <v>260000</v>
      </c>
      <c r="K77" s="416">
        <f t="shared" ref="K77:K81" si="6">H77*J77</f>
        <v>2600000</v>
      </c>
      <c r="L77" s="305">
        <f t="shared" si="5"/>
        <v>2600000</v>
      </c>
      <c r="M77" s="569"/>
      <c r="N77" s="377"/>
      <c r="O77" s="378"/>
      <c r="P77" s="378"/>
      <c r="Q77" s="378"/>
      <c r="R77" s="378"/>
    </row>
    <row r="78" spans="2:18" ht="15">
      <c r="B78" s="346"/>
      <c r="C78" s="371"/>
      <c r="D78" s="371"/>
      <c r="E78" s="372"/>
      <c r="F78" s="38">
        <v>49</v>
      </c>
      <c r="G78" s="2228" t="s">
        <v>1472</v>
      </c>
      <c r="H78" s="379">
        <v>2</v>
      </c>
      <c r="I78" s="380" t="s">
        <v>85</v>
      </c>
      <c r="J78" s="952">
        <v>1600000</v>
      </c>
      <c r="K78" s="416">
        <f t="shared" si="6"/>
        <v>3200000</v>
      </c>
      <c r="L78" s="377">
        <f t="shared" si="5"/>
        <v>3200000</v>
      </c>
      <c r="M78" s="569"/>
      <c r="N78" s="377"/>
      <c r="O78" s="378"/>
      <c r="P78" s="378"/>
      <c r="Q78" s="378"/>
      <c r="R78" s="378"/>
    </row>
    <row r="79" spans="2:18" ht="15">
      <c r="B79" s="346"/>
      <c r="C79" s="371"/>
      <c r="D79" s="371"/>
      <c r="E79" s="372"/>
      <c r="F79" s="38">
        <v>50</v>
      </c>
      <c r="G79" s="2228" t="s">
        <v>1473</v>
      </c>
      <c r="H79" s="379">
        <v>2</v>
      </c>
      <c r="I79" s="380" t="s">
        <v>85</v>
      </c>
      <c r="J79" s="952">
        <v>1900000</v>
      </c>
      <c r="K79" s="416">
        <f t="shared" si="6"/>
        <v>3800000</v>
      </c>
      <c r="L79" s="377">
        <f t="shared" si="5"/>
        <v>3800000</v>
      </c>
      <c r="M79" s="569"/>
      <c r="N79" s="377"/>
      <c r="O79" s="378"/>
      <c r="P79" s="378"/>
      <c r="Q79" s="378"/>
      <c r="R79" s="378"/>
    </row>
    <row r="80" spans="2:18" ht="15">
      <c r="B80" s="346"/>
      <c r="C80" s="371"/>
      <c r="D80" s="371"/>
      <c r="E80" s="372"/>
      <c r="F80" s="38">
        <v>51</v>
      </c>
      <c r="G80" s="2228" t="s">
        <v>1474</v>
      </c>
      <c r="H80" s="379">
        <v>2</v>
      </c>
      <c r="I80" s="380" t="s">
        <v>85</v>
      </c>
      <c r="J80" s="952">
        <v>3000000</v>
      </c>
      <c r="K80" s="416">
        <f t="shared" si="6"/>
        <v>6000000</v>
      </c>
      <c r="L80" s="377">
        <f t="shared" si="5"/>
        <v>6000000</v>
      </c>
      <c r="M80" s="569"/>
      <c r="N80" s="377"/>
      <c r="O80" s="378"/>
      <c r="P80" s="378"/>
      <c r="Q80" s="378"/>
      <c r="R80" s="378"/>
    </row>
    <row r="81" spans="2:20" ht="15">
      <c r="B81" s="346"/>
      <c r="C81" s="371"/>
      <c r="D81" s="371"/>
      <c r="E81" s="372"/>
      <c r="F81" s="38">
        <v>52</v>
      </c>
      <c r="G81" s="2228" t="s">
        <v>1475</v>
      </c>
      <c r="H81" s="379">
        <v>1</v>
      </c>
      <c r="I81" s="380" t="s">
        <v>85</v>
      </c>
      <c r="J81" s="952">
        <v>7000000</v>
      </c>
      <c r="K81" s="416">
        <f t="shared" si="6"/>
        <v>7000000</v>
      </c>
      <c r="L81" s="377">
        <f t="shared" si="5"/>
        <v>7000000</v>
      </c>
      <c r="M81" s="569"/>
      <c r="N81" s="377"/>
      <c r="O81" s="378"/>
      <c r="P81" s="378"/>
      <c r="Q81" s="378"/>
      <c r="R81" s="378"/>
    </row>
    <row r="82" spans="2:20" ht="15">
      <c r="B82" s="346"/>
      <c r="C82" s="371"/>
      <c r="D82" s="371"/>
      <c r="E82" s="372"/>
      <c r="F82" s="38">
        <v>53</v>
      </c>
      <c r="G82" s="2228" t="s">
        <v>1471</v>
      </c>
      <c r="H82" s="379">
        <v>5</v>
      </c>
      <c r="I82" s="380" t="s">
        <v>85</v>
      </c>
      <c r="J82" s="952">
        <v>500000</v>
      </c>
      <c r="K82" s="416">
        <f t="shared" si="4"/>
        <v>2500000</v>
      </c>
      <c r="L82" s="305">
        <f t="shared" si="5"/>
        <v>2500000</v>
      </c>
      <c r="M82" s="569"/>
      <c r="N82" s="377"/>
      <c r="O82" s="378"/>
      <c r="P82" s="378"/>
      <c r="Q82" s="378"/>
      <c r="R82" s="378"/>
    </row>
    <row r="83" spans="2:20" ht="15">
      <c r="B83" s="346"/>
      <c r="C83" s="371"/>
      <c r="D83" s="371"/>
      <c r="E83" s="372"/>
      <c r="F83" s="38">
        <v>54</v>
      </c>
      <c r="G83" s="2228" t="s">
        <v>1476</v>
      </c>
      <c r="H83" s="379">
        <v>1</v>
      </c>
      <c r="I83" s="380" t="s">
        <v>85</v>
      </c>
      <c r="J83" s="952">
        <v>7500000</v>
      </c>
      <c r="K83" s="416">
        <f t="shared" si="4"/>
        <v>7500000</v>
      </c>
      <c r="L83" s="305">
        <f t="shared" si="5"/>
        <v>7500000</v>
      </c>
      <c r="M83" s="569"/>
      <c r="N83" s="377"/>
      <c r="O83" s="378"/>
      <c r="P83" s="378"/>
      <c r="Q83" s="378"/>
      <c r="R83" s="378"/>
    </row>
    <row r="84" spans="2:20" ht="15">
      <c r="B84" s="346"/>
      <c r="C84" s="371"/>
      <c r="D84" s="371"/>
      <c r="E84" s="372"/>
      <c r="F84" s="372"/>
      <c r="G84" s="572"/>
      <c r="H84" s="379"/>
      <c r="I84" s="380"/>
      <c r="J84" s="952"/>
      <c r="K84" s="416">
        <f t="shared" si="4"/>
        <v>0</v>
      </c>
      <c r="L84" s="305">
        <f t="shared" si="5"/>
        <v>0</v>
      </c>
      <c r="M84" s="569"/>
      <c r="N84" s="377"/>
      <c r="O84" s="378"/>
      <c r="P84" s="378"/>
      <c r="Q84" s="378"/>
      <c r="R84" s="378"/>
    </row>
    <row r="85" spans="2:20" ht="15">
      <c r="B85" s="346"/>
      <c r="C85" s="371"/>
      <c r="D85" s="371"/>
      <c r="E85" s="372"/>
      <c r="F85" s="372"/>
      <c r="G85" s="572"/>
      <c r="H85" s="379"/>
      <c r="I85" s="380"/>
      <c r="J85" s="952"/>
      <c r="K85" s="416">
        <f t="shared" si="4"/>
        <v>0</v>
      </c>
      <c r="L85" s="305">
        <f t="shared" si="5"/>
        <v>0</v>
      </c>
      <c r="M85" s="569"/>
      <c r="N85" s="377"/>
      <c r="O85" s="378"/>
      <c r="P85" s="378"/>
      <c r="Q85" s="378"/>
      <c r="R85" s="378"/>
    </row>
    <row r="86" spans="2:20" ht="15">
      <c r="B86" s="346"/>
      <c r="C86" s="371"/>
      <c r="D86" s="371"/>
      <c r="E86" s="372"/>
      <c r="F86" s="372"/>
      <c r="G86" s="572"/>
      <c r="H86" s="379"/>
      <c r="I86" s="380"/>
      <c r="J86" s="952"/>
      <c r="K86" s="416"/>
      <c r="L86" s="377"/>
      <c r="M86" s="569"/>
      <c r="N86" s="378"/>
      <c r="O86" s="378"/>
      <c r="P86" s="378"/>
      <c r="Q86" s="378"/>
      <c r="R86" s="378"/>
    </row>
    <row r="87" spans="2:20" ht="15" customHeight="1" thickBot="1">
      <c r="B87" s="3289" t="s">
        <v>30</v>
      </c>
      <c r="C87" s="3290"/>
      <c r="D87" s="3290"/>
      <c r="E87" s="3290"/>
      <c r="F87" s="3290"/>
      <c r="G87" s="3290"/>
      <c r="H87" s="3290"/>
      <c r="I87" s="3290"/>
      <c r="J87" s="3291"/>
      <c r="K87" s="63">
        <f>K24</f>
        <v>98624000</v>
      </c>
      <c r="L87" s="305">
        <f t="shared" ref="L87:Q87" si="7">SUM(L28:L86)</f>
        <v>98624000</v>
      </c>
      <c r="M87" s="305">
        <f t="shared" si="7"/>
        <v>0</v>
      </c>
      <c r="N87" s="305">
        <f t="shared" si="7"/>
        <v>0</v>
      </c>
      <c r="O87" s="305">
        <f t="shared" si="7"/>
        <v>0</v>
      </c>
      <c r="P87" s="305">
        <f t="shared" si="7"/>
        <v>0</v>
      </c>
      <c r="Q87" s="305">
        <f t="shared" si="7"/>
        <v>0</v>
      </c>
      <c r="R87" s="314">
        <f>SUM(L87:Q87)</f>
        <v>98624000</v>
      </c>
      <c r="T87" s="57"/>
    </row>
    <row r="88" spans="2:20" ht="15.75" thickTop="1">
      <c r="K88" s="41"/>
      <c r="L88" s="305"/>
      <c r="M88" s="310"/>
      <c r="N88" s="306"/>
      <c r="O88" s="306"/>
      <c r="P88" s="306"/>
      <c r="Q88" s="306"/>
      <c r="R88" s="306"/>
    </row>
    <row r="89" spans="2:20" ht="15">
      <c r="K89" s="57"/>
      <c r="L89" s="377"/>
      <c r="M89" s="569"/>
      <c r="N89" s="378"/>
      <c r="O89" s="378"/>
      <c r="P89" s="378"/>
      <c r="Q89" s="378"/>
      <c r="R89" s="378"/>
    </row>
    <row r="90" spans="2:20" ht="15">
      <c r="H90" s="3336" t="s">
        <v>1534</v>
      </c>
      <c r="I90" s="3336"/>
      <c r="J90" s="3336"/>
      <c r="K90" s="7"/>
      <c r="L90" s="564"/>
      <c r="M90" s="310"/>
      <c r="N90" s="306"/>
      <c r="O90" s="306"/>
      <c r="P90" s="306"/>
      <c r="Q90" s="306"/>
      <c r="R90" s="306"/>
    </row>
    <row r="91" spans="2:20" ht="15">
      <c r="H91" s="3337" t="s">
        <v>272</v>
      </c>
      <c r="I91" s="3337"/>
      <c r="J91" s="3337"/>
      <c r="K91" s="72"/>
      <c r="L91" s="564"/>
      <c r="M91" s="310"/>
      <c r="N91" s="306"/>
      <c r="O91" s="306"/>
      <c r="P91" s="306"/>
      <c r="Q91" s="306"/>
      <c r="R91" s="306"/>
    </row>
    <row r="92" spans="2:20" ht="15">
      <c r="H92" s="1190"/>
      <c r="I92" s="127"/>
      <c r="J92" s="127"/>
      <c r="K92" s="935"/>
      <c r="L92" s="564"/>
      <c r="M92" s="310"/>
      <c r="N92" s="306"/>
      <c r="O92" s="306"/>
      <c r="P92" s="306"/>
      <c r="Q92" s="306"/>
      <c r="R92" s="306"/>
    </row>
    <row r="93" spans="2:20" ht="15">
      <c r="H93" s="1190"/>
      <c r="I93" s="127"/>
      <c r="J93" s="127"/>
      <c r="K93" s="935"/>
      <c r="L93" s="564"/>
      <c r="M93" s="310"/>
      <c r="N93" s="306"/>
      <c r="O93" s="306"/>
      <c r="P93" s="306"/>
      <c r="Q93" s="306"/>
      <c r="R93" s="306"/>
    </row>
    <row r="94" spans="2:20" ht="15">
      <c r="H94" s="3434" t="s">
        <v>904</v>
      </c>
      <c r="I94" s="3434"/>
      <c r="J94" s="3434"/>
      <c r="K94" s="908"/>
      <c r="L94" s="564"/>
      <c r="M94" s="310"/>
      <c r="N94" s="306"/>
      <c r="O94" s="306"/>
      <c r="P94" s="306"/>
      <c r="Q94" s="306"/>
      <c r="R94" s="306"/>
    </row>
    <row r="95" spans="2:20" ht="15">
      <c r="H95" s="3434" t="s">
        <v>906</v>
      </c>
      <c r="I95" s="3434"/>
      <c r="J95" s="3434"/>
      <c r="K95" s="908"/>
      <c r="L95" s="564"/>
      <c r="M95" s="310"/>
      <c r="N95" s="306"/>
      <c r="O95" s="306"/>
      <c r="P95" s="306"/>
      <c r="Q95" s="306"/>
      <c r="R95" s="306"/>
    </row>
    <row r="96" spans="2:20">
      <c r="H96" s="1190"/>
      <c r="I96" s="1190"/>
      <c r="J96" s="1190"/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21:F22"/>
    <mergeCell ref="G21:G22"/>
    <mergeCell ref="H21:J21"/>
    <mergeCell ref="B15:F15"/>
    <mergeCell ref="G15:H15"/>
    <mergeCell ref="I15:K15"/>
    <mergeCell ref="B16:F16"/>
    <mergeCell ref="G16:H16"/>
    <mergeCell ref="I16:K16"/>
    <mergeCell ref="B17:F17"/>
    <mergeCell ref="G17:H17"/>
    <mergeCell ref="I17:K17"/>
    <mergeCell ref="B18:K18"/>
    <mergeCell ref="B19:K20"/>
    <mergeCell ref="H95:J95"/>
    <mergeCell ref="B23:F23"/>
    <mergeCell ref="B87:J87"/>
    <mergeCell ref="H90:J90"/>
    <mergeCell ref="H91:J91"/>
    <mergeCell ref="H94:J94"/>
  </mergeCells>
  <pageMargins left="0.11811023622047245" right="0.23622047244094491" top="0.35433070866141736" bottom="1.9291338582677167" header="0.23622047244094491" footer="0.15748031496062992"/>
  <pageSetup paperSize="5" scale="98" orientation="portrait" horizontalDpi="4294967293" verticalDpi="4294967293" r:id="rId1"/>
  <colBreaks count="1" manualBreakCount="1">
    <brk id="11" max="72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4">
    <tabColor rgb="FFFFFF00"/>
  </sheetPr>
  <dimension ref="B1:W89"/>
  <sheetViews>
    <sheetView view="pageBreakPreview" topLeftCell="A7" zoomScaleSheetLayoutView="100" workbookViewId="0">
      <selection activeCell="B26" sqref="B26:K29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4" width="3.140625" style="9" customWidth="1"/>
    <col min="5" max="6" width="3.28515625" style="9" customWidth="1"/>
    <col min="7" max="7" width="48" style="9" customWidth="1"/>
    <col min="8" max="8" width="7.28515625" style="9" customWidth="1"/>
    <col min="9" max="9" width="8.85546875" style="9" bestFit="1" customWidth="1"/>
    <col min="10" max="10" width="13.5703125" style="9" customWidth="1"/>
    <col min="11" max="11" width="15" style="9" bestFit="1" customWidth="1"/>
    <col min="12" max="12" width="16.7109375" style="10" bestFit="1" customWidth="1"/>
    <col min="13" max="13" width="7.42578125" style="9" bestFit="1" customWidth="1"/>
    <col min="14" max="14" width="15.7109375" style="9" bestFit="1" customWidth="1"/>
    <col min="15" max="17" width="7.42578125" style="9" bestFit="1" customWidth="1"/>
    <col min="18" max="18" width="18.42578125" style="9" bestFit="1" customWidth="1"/>
    <col min="19" max="20" width="16.5703125" style="41" bestFit="1" customWidth="1"/>
    <col min="21" max="21" width="14.28515625" style="41" bestFit="1" customWidth="1"/>
    <col min="22" max="23" width="14" style="9" bestFit="1" customWidth="1"/>
    <col min="24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55"/>
      <c r="J3" s="3356"/>
      <c r="K3" s="12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60" t="s">
        <v>31</v>
      </c>
      <c r="C5" s="3361"/>
      <c r="D5" s="3361"/>
      <c r="E5" s="3361"/>
      <c r="F5" s="3361"/>
      <c r="G5" s="3362" t="s">
        <v>38</v>
      </c>
      <c r="H5" s="3362"/>
      <c r="I5" s="3362"/>
      <c r="J5" s="3362"/>
      <c r="K5" s="336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70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110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42</v>
      </c>
      <c r="H11" s="3315"/>
      <c r="I11" s="3315"/>
      <c r="J11" s="3315"/>
      <c r="K11" s="3316"/>
    </row>
    <row r="12" spans="2:13">
      <c r="B12" s="3364" t="s">
        <v>4</v>
      </c>
      <c r="C12" s="3358"/>
      <c r="D12" s="3358"/>
      <c r="E12" s="3358"/>
      <c r="F12" s="3358"/>
      <c r="G12" s="3358"/>
      <c r="H12" s="3358"/>
      <c r="I12" s="3358"/>
      <c r="J12" s="3358"/>
      <c r="K12" s="3359"/>
    </row>
    <row r="13" spans="2:13">
      <c r="B13" s="3380" t="s">
        <v>5</v>
      </c>
      <c r="C13" s="3381"/>
      <c r="D13" s="3381"/>
      <c r="E13" s="3381"/>
      <c r="F13" s="3382"/>
      <c r="G13" s="3383" t="s">
        <v>6</v>
      </c>
      <c r="H13" s="3384"/>
      <c r="I13" s="3383" t="s">
        <v>7</v>
      </c>
      <c r="J13" s="3385"/>
      <c r="K13" s="3386"/>
    </row>
    <row r="14" spans="2:13" ht="15" customHeight="1">
      <c r="B14" s="3387" t="s">
        <v>8</v>
      </c>
      <c r="C14" s="3388"/>
      <c r="D14" s="3388"/>
      <c r="E14" s="3388"/>
      <c r="F14" s="3389"/>
      <c r="G14" s="3350" t="s">
        <v>111</v>
      </c>
      <c r="H14" s="3351"/>
      <c r="I14" s="3390">
        <v>1</v>
      </c>
      <c r="J14" s="3348"/>
      <c r="K14" s="3391"/>
    </row>
    <row r="15" spans="2:13">
      <c r="B15" s="3397" t="s">
        <v>9</v>
      </c>
      <c r="C15" s="3348"/>
      <c r="D15" s="3348"/>
      <c r="E15" s="3348"/>
      <c r="F15" s="3349"/>
      <c r="G15" s="3398" t="s">
        <v>47</v>
      </c>
      <c r="H15" s="3353"/>
      <c r="I15" s="3344">
        <f>K24</f>
        <v>633805706</v>
      </c>
      <c r="J15" s="3345"/>
      <c r="K15" s="3346"/>
    </row>
    <row r="16" spans="2:13" ht="16.5" customHeight="1">
      <c r="B16" s="3347" t="s">
        <v>10</v>
      </c>
      <c r="C16" s="3348"/>
      <c r="D16" s="3348"/>
      <c r="E16" s="3348"/>
      <c r="F16" s="3349"/>
      <c r="G16" s="3350" t="s">
        <v>112</v>
      </c>
      <c r="H16" s="3351"/>
      <c r="I16" s="3352">
        <v>1</v>
      </c>
      <c r="J16" s="3353"/>
      <c r="K16" s="3354"/>
    </row>
    <row r="17" spans="2:21">
      <c r="B17" s="3347" t="s">
        <v>11</v>
      </c>
      <c r="C17" s="3348"/>
      <c r="D17" s="3348"/>
      <c r="E17" s="3348"/>
      <c r="F17" s="3349"/>
      <c r="G17" s="3350" t="s">
        <v>389</v>
      </c>
      <c r="H17" s="3351"/>
      <c r="I17" s="3352">
        <v>1</v>
      </c>
      <c r="J17" s="3353"/>
      <c r="K17" s="3354"/>
      <c r="L17" s="10">
        <v>1049771</v>
      </c>
    </row>
    <row r="18" spans="2:21">
      <c r="B18" s="3486" t="s">
        <v>94</v>
      </c>
      <c r="C18" s="3487"/>
      <c r="D18" s="3487"/>
      <c r="E18" s="3487"/>
      <c r="F18" s="3487"/>
      <c r="G18" s="3487"/>
      <c r="H18" s="3487"/>
      <c r="I18" s="3487"/>
      <c r="J18" s="3487"/>
      <c r="K18" s="3488"/>
    </row>
    <row r="19" spans="2:21" ht="15" customHeight="1">
      <c r="B19" s="3373" t="s">
        <v>72</v>
      </c>
      <c r="C19" s="3374"/>
      <c r="D19" s="3374"/>
      <c r="E19" s="3374"/>
      <c r="F19" s="3374"/>
      <c r="G19" s="3374"/>
      <c r="H19" s="3374"/>
      <c r="I19" s="3374"/>
      <c r="J19" s="3374"/>
      <c r="K19" s="3375"/>
      <c r="L19" s="842"/>
      <c r="M19" s="822"/>
      <c r="N19" s="822"/>
      <c r="O19" s="822"/>
      <c r="P19" s="822"/>
      <c r="Q19" s="823"/>
      <c r="R19" s="823"/>
    </row>
    <row r="20" spans="2:21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465" t="s">
        <v>158</v>
      </c>
      <c r="M20" s="3466"/>
      <c r="N20" s="3466"/>
      <c r="O20" s="3466"/>
      <c r="P20" s="3466"/>
      <c r="Q20" s="3466"/>
      <c r="R20" s="3466" t="s">
        <v>17</v>
      </c>
    </row>
    <row r="21" spans="2:21" ht="15" customHeight="1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608" t="s">
        <v>17</v>
      </c>
      <c r="L21" s="1529"/>
      <c r="M21" s="1530"/>
      <c r="N21" s="1530"/>
      <c r="O21" s="1530"/>
      <c r="P21" s="1530"/>
      <c r="Q21" s="1530"/>
      <c r="R21" s="3466"/>
    </row>
    <row r="22" spans="2:21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1529" t="s">
        <v>177</v>
      </c>
      <c r="M22" s="1530" t="s">
        <v>594</v>
      </c>
      <c r="N22" s="1530" t="s">
        <v>651</v>
      </c>
      <c r="O22" s="1530" t="s">
        <v>595</v>
      </c>
      <c r="P22" s="1530" t="s">
        <v>652</v>
      </c>
      <c r="Q22" s="1530" t="s">
        <v>593</v>
      </c>
      <c r="R22" s="3466"/>
    </row>
    <row r="23" spans="2:21">
      <c r="B23" s="3364">
        <v>1</v>
      </c>
      <c r="C23" s="3358"/>
      <c r="D23" s="3358"/>
      <c r="E23" s="3358"/>
      <c r="F23" s="3365"/>
      <c r="G23" s="425">
        <v>2</v>
      </c>
      <c r="H23" s="368">
        <v>3</v>
      </c>
      <c r="I23" s="368">
        <v>4</v>
      </c>
      <c r="J23" s="368">
        <v>5</v>
      </c>
      <c r="K23" s="426" t="s">
        <v>22</v>
      </c>
      <c r="L23" s="1529">
        <v>6</v>
      </c>
      <c r="M23" s="1530">
        <v>7</v>
      </c>
      <c r="N23" s="1530">
        <v>8</v>
      </c>
      <c r="O23" s="1530">
        <v>9</v>
      </c>
      <c r="P23" s="1530">
        <v>10</v>
      </c>
      <c r="Q23" s="1530">
        <v>11</v>
      </c>
      <c r="R23" s="1530">
        <v>12</v>
      </c>
    </row>
    <row r="24" spans="2:21" ht="15.75" customHeight="1">
      <c r="B24" s="427">
        <v>5</v>
      </c>
      <c r="C24" s="368">
        <v>2</v>
      </c>
      <c r="D24" s="368"/>
      <c r="E24" s="368"/>
      <c r="F24" s="368"/>
      <c r="G24" s="366" t="s">
        <v>23</v>
      </c>
      <c r="H24" s="956"/>
      <c r="I24" s="368"/>
      <c r="J24" s="369"/>
      <c r="K24" s="610">
        <f>K25+K43</f>
        <v>633805706</v>
      </c>
      <c r="L24" s="842"/>
      <c r="M24" s="822"/>
      <c r="N24" s="822"/>
      <c r="O24" s="822"/>
      <c r="P24" s="822"/>
      <c r="Q24" s="823"/>
      <c r="R24" s="823"/>
    </row>
    <row r="25" spans="2:21" ht="15.75" customHeight="1">
      <c r="B25" s="427">
        <v>5</v>
      </c>
      <c r="C25" s="368">
        <v>2</v>
      </c>
      <c r="D25" s="368">
        <v>2</v>
      </c>
      <c r="E25" s="368"/>
      <c r="F25" s="368"/>
      <c r="G25" s="366" t="s">
        <v>43</v>
      </c>
      <c r="H25" s="956"/>
      <c r="I25" s="368"/>
      <c r="J25" s="820"/>
      <c r="K25" s="610">
        <f>K26+K38</f>
        <v>143775206</v>
      </c>
      <c r="L25" s="842"/>
      <c r="M25" s="822"/>
      <c r="N25" s="822"/>
      <c r="O25" s="822"/>
      <c r="P25" s="822"/>
      <c r="Q25" s="823"/>
      <c r="R25" s="823"/>
    </row>
    <row r="26" spans="2:21" ht="15.75" customHeight="1">
      <c r="B26" s="427">
        <v>5</v>
      </c>
      <c r="C26" s="368">
        <v>2</v>
      </c>
      <c r="D26" s="368">
        <v>2</v>
      </c>
      <c r="E26" s="428" t="s">
        <v>25</v>
      </c>
      <c r="F26" s="368"/>
      <c r="G26" s="366" t="s">
        <v>119</v>
      </c>
      <c r="H26" s="956"/>
      <c r="I26" s="368"/>
      <c r="J26" s="820"/>
      <c r="K26" s="610">
        <f>K27+K31</f>
        <v>108775206</v>
      </c>
      <c r="L26" s="843"/>
      <c r="M26" s="823"/>
      <c r="N26" s="823"/>
      <c r="O26" s="823"/>
      <c r="P26" s="823"/>
      <c r="Q26" s="823"/>
      <c r="R26" s="823"/>
    </row>
    <row r="27" spans="2:21" s="27" customFormat="1">
      <c r="B27" s="429">
        <v>5</v>
      </c>
      <c r="C27" s="424">
        <v>2</v>
      </c>
      <c r="D27" s="424">
        <v>2</v>
      </c>
      <c r="E27" s="430" t="s">
        <v>25</v>
      </c>
      <c r="F27" s="430">
        <v>10</v>
      </c>
      <c r="G27" s="396" t="s">
        <v>639</v>
      </c>
      <c r="H27" s="599"/>
      <c r="I27" s="635"/>
      <c r="J27" s="157"/>
      <c r="K27" s="545">
        <f>SUM(K28:K29)</f>
        <v>12150000</v>
      </c>
      <c r="L27" s="634"/>
      <c r="M27" s="245"/>
      <c r="N27" s="245"/>
      <c r="O27" s="32"/>
      <c r="P27" s="32"/>
      <c r="Q27" s="844"/>
      <c r="R27" s="32"/>
      <c r="S27" s="298"/>
      <c r="T27" s="298"/>
      <c r="U27" s="298"/>
    </row>
    <row r="28" spans="2:21" s="2033" customFormat="1">
      <c r="B28" s="2546"/>
      <c r="C28" s="2547"/>
      <c r="D28" s="2547"/>
      <c r="E28" s="2547"/>
      <c r="F28" s="2547"/>
      <c r="G28" s="2548" t="s">
        <v>966</v>
      </c>
      <c r="H28" s="2499">
        <v>1</v>
      </c>
      <c r="I28" s="2515" t="s">
        <v>29</v>
      </c>
      <c r="J28" s="2549">
        <v>9150000</v>
      </c>
      <c r="K28" s="2550">
        <f>H28*J28</f>
        <v>9150000</v>
      </c>
      <c r="L28" s="2551"/>
      <c r="M28" s="2552"/>
      <c r="N28" s="2552">
        <f>K28</f>
        <v>9150000</v>
      </c>
      <c r="O28" s="2553"/>
      <c r="P28" s="2553"/>
      <c r="Q28" s="2554"/>
      <c r="R28" s="2555"/>
      <c r="S28" s="2040"/>
      <c r="T28" s="2040"/>
      <c r="U28" s="2040"/>
    </row>
    <row r="29" spans="2:21" s="2033" customFormat="1">
      <c r="B29" s="2546"/>
      <c r="C29" s="2547"/>
      <c r="D29" s="2547"/>
      <c r="E29" s="2547"/>
      <c r="F29" s="2547"/>
      <c r="G29" s="2548" t="s">
        <v>1393</v>
      </c>
      <c r="H29" s="2556">
        <v>1</v>
      </c>
      <c r="I29" s="2515" t="s">
        <v>29</v>
      </c>
      <c r="J29" s="2549">
        <v>3000000</v>
      </c>
      <c r="K29" s="2550">
        <f>H29*J29</f>
        <v>3000000</v>
      </c>
      <c r="L29" s="2551"/>
      <c r="M29" s="2557"/>
      <c r="N29" s="2552">
        <f>K29</f>
        <v>3000000</v>
      </c>
      <c r="O29" s="2558"/>
      <c r="P29" s="2558"/>
      <c r="Q29" s="2559"/>
      <c r="R29" s="2560"/>
      <c r="S29" s="2040"/>
      <c r="T29" s="2040"/>
      <c r="U29" s="2040"/>
    </row>
    <row r="30" spans="2:21">
      <c r="B30" s="427"/>
      <c r="C30" s="368"/>
      <c r="D30" s="368"/>
      <c r="E30" s="368"/>
      <c r="F30" s="368"/>
      <c r="G30" s="391"/>
      <c r="H30" s="599"/>
      <c r="I30" s="375"/>
      <c r="J30" s="1169"/>
      <c r="K30" s="595"/>
      <c r="L30" s="596"/>
      <c r="M30" s="471"/>
      <c r="N30" s="471"/>
      <c r="O30" s="472"/>
      <c r="P30" s="472"/>
      <c r="Q30" s="845"/>
      <c r="R30" s="474"/>
    </row>
    <row r="31" spans="2:21" ht="15.75" customHeight="1">
      <c r="B31" s="427">
        <v>5</v>
      </c>
      <c r="C31" s="368">
        <v>2</v>
      </c>
      <c r="D31" s="368">
        <v>2</v>
      </c>
      <c r="E31" s="428" t="s">
        <v>25</v>
      </c>
      <c r="F31" s="428" t="s">
        <v>607</v>
      </c>
      <c r="G31" s="366" t="s">
        <v>831</v>
      </c>
      <c r="H31" s="956"/>
      <c r="I31" s="368"/>
      <c r="J31" s="820"/>
      <c r="K31" s="636">
        <f>SUM(K32:K37)</f>
        <v>96625206</v>
      </c>
      <c r="L31" s="842"/>
      <c r="M31" s="822"/>
      <c r="N31" s="822"/>
      <c r="O31" s="822"/>
      <c r="P31" s="822"/>
      <c r="Q31" s="823"/>
      <c r="R31" s="823"/>
    </row>
    <row r="32" spans="2:21">
      <c r="B32" s="427"/>
      <c r="C32" s="368"/>
      <c r="D32" s="368"/>
      <c r="E32" s="428"/>
      <c r="F32" s="428"/>
      <c r="G32" s="373" t="s">
        <v>457</v>
      </c>
      <c r="H32" s="616">
        <v>35</v>
      </c>
      <c r="I32" s="380" t="s">
        <v>361</v>
      </c>
      <c r="J32" s="1099">
        <v>200000</v>
      </c>
      <c r="K32" s="637">
        <f>J32*H32</f>
        <v>7000000</v>
      </c>
      <c r="L32" s="842">
        <f>K32</f>
        <v>7000000</v>
      </c>
      <c r="M32" s="823"/>
      <c r="N32" s="895"/>
      <c r="O32" s="823"/>
      <c r="P32" s="823"/>
      <c r="Q32" s="823"/>
      <c r="R32" s="823"/>
    </row>
    <row r="33" spans="2:23">
      <c r="B33" s="427"/>
      <c r="C33" s="368"/>
      <c r="D33" s="368"/>
      <c r="E33" s="428"/>
      <c r="F33" s="428"/>
      <c r="G33" s="373" t="s">
        <v>373</v>
      </c>
      <c r="H33" s="616">
        <v>1</v>
      </c>
      <c r="I33" s="380" t="s">
        <v>147</v>
      </c>
      <c r="J33" s="1099">
        <v>6300000</v>
      </c>
      <c r="K33" s="637">
        <f>J33*H33</f>
        <v>6300000</v>
      </c>
      <c r="L33" s="842">
        <f>K33</f>
        <v>6300000</v>
      </c>
      <c r="M33" s="822"/>
      <c r="N33" s="895"/>
      <c r="O33" s="822"/>
      <c r="P33" s="822"/>
      <c r="Q33" s="823"/>
      <c r="R33" s="823"/>
    </row>
    <row r="34" spans="2:23">
      <c r="B34" s="427"/>
      <c r="C34" s="368"/>
      <c r="D34" s="368"/>
      <c r="E34" s="428"/>
      <c r="F34" s="428"/>
      <c r="G34" s="373" t="s">
        <v>384</v>
      </c>
      <c r="H34" s="616">
        <v>2</v>
      </c>
      <c r="I34" s="380" t="s">
        <v>34</v>
      </c>
      <c r="J34" s="1099">
        <v>7000000</v>
      </c>
      <c r="K34" s="637">
        <f>J34*H34</f>
        <v>14000000</v>
      </c>
      <c r="L34" s="842">
        <f>K34</f>
        <v>14000000</v>
      </c>
      <c r="M34" s="823"/>
      <c r="N34" s="895"/>
      <c r="O34" s="823"/>
      <c r="P34" s="823"/>
      <c r="Q34" s="823"/>
      <c r="R34" s="823"/>
    </row>
    <row r="35" spans="2:23" s="2033" customFormat="1">
      <c r="B35" s="2546"/>
      <c r="C35" s="2547"/>
      <c r="D35" s="2547"/>
      <c r="E35" s="2561"/>
      <c r="F35" s="2561"/>
      <c r="G35" s="2562" t="s">
        <v>1386</v>
      </c>
      <c r="H35" s="2563">
        <v>1</v>
      </c>
      <c r="I35" s="2497" t="s">
        <v>147</v>
      </c>
      <c r="J35" s="2564">
        <v>64325206</v>
      </c>
      <c r="K35" s="2565">
        <f>J35*H35</f>
        <v>64325206</v>
      </c>
      <c r="L35" s="2566">
        <f>K35</f>
        <v>64325206</v>
      </c>
      <c r="M35" s="2567"/>
      <c r="N35" s="2568"/>
      <c r="O35" s="2520"/>
      <c r="P35" s="2520"/>
      <c r="Q35" s="2520"/>
      <c r="R35" s="2520"/>
      <c r="S35" s="2040"/>
      <c r="T35" s="2040"/>
      <c r="U35" s="2040"/>
      <c r="V35" s="2569"/>
      <c r="W35" s="2570"/>
    </row>
    <row r="36" spans="2:23">
      <c r="B36" s="1694"/>
      <c r="C36" s="1682"/>
      <c r="D36" s="1682"/>
      <c r="E36" s="1695"/>
      <c r="F36" s="1695"/>
      <c r="G36" s="1683" t="s">
        <v>1578</v>
      </c>
      <c r="H36" s="1696">
        <v>20</v>
      </c>
      <c r="I36" s="1660" t="s">
        <v>293</v>
      </c>
      <c r="J36" s="1697">
        <v>250000</v>
      </c>
      <c r="K36" s="1698">
        <f>J36*H36</f>
        <v>5000000</v>
      </c>
      <c r="L36" s="1699">
        <f>K36</f>
        <v>5000000</v>
      </c>
      <c r="M36" s="1700"/>
      <c r="N36" s="1701"/>
      <c r="O36" s="1687"/>
      <c r="P36" s="1687"/>
      <c r="Q36" s="1687"/>
      <c r="R36" s="1687"/>
      <c r="V36" s="158"/>
      <c r="W36" s="42"/>
    </row>
    <row r="37" spans="2:23" ht="15.75" customHeight="1">
      <c r="B37" s="427"/>
      <c r="C37" s="368"/>
      <c r="D37" s="368"/>
      <c r="E37" s="368"/>
      <c r="F37" s="368"/>
      <c r="G37" s="366"/>
      <c r="H37" s="956"/>
      <c r="I37" s="368"/>
      <c r="J37" s="820"/>
      <c r="K37" s="636"/>
      <c r="L37" s="842"/>
      <c r="M37" s="822"/>
      <c r="N37" s="822"/>
      <c r="O37" s="822"/>
      <c r="P37" s="822"/>
      <c r="Q37" s="823"/>
      <c r="R37" s="823"/>
    </row>
    <row r="38" spans="2:23" ht="15.75" customHeight="1">
      <c r="B38" s="427">
        <v>5</v>
      </c>
      <c r="C38" s="17">
        <v>2</v>
      </c>
      <c r="D38" s="17">
        <v>2</v>
      </c>
      <c r="E38" s="65" t="s">
        <v>66</v>
      </c>
      <c r="F38" s="17"/>
      <c r="G38" s="44" t="s">
        <v>101</v>
      </c>
      <c r="H38" s="956"/>
      <c r="I38" s="368"/>
      <c r="J38" s="820"/>
      <c r="K38" s="636">
        <f>K39</f>
        <v>35000000</v>
      </c>
      <c r="L38" s="842"/>
      <c r="M38" s="837"/>
      <c r="N38" s="837"/>
      <c r="O38" s="837"/>
      <c r="P38" s="837"/>
      <c r="Q38" s="846"/>
      <c r="R38" s="846"/>
    </row>
    <row r="39" spans="2:23" ht="15.75" customHeight="1">
      <c r="B39" s="427">
        <v>5</v>
      </c>
      <c r="C39" s="15">
        <v>2</v>
      </c>
      <c r="D39" s="15">
        <v>2</v>
      </c>
      <c r="E39" s="28" t="s">
        <v>66</v>
      </c>
      <c r="F39" s="28" t="s">
        <v>24</v>
      </c>
      <c r="G39" s="48" t="s">
        <v>102</v>
      </c>
      <c r="H39" s="956"/>
      <c r="I39" s="368"/>
      <c r="J39" s="820"/>
      <c r="K39" s="636">
        <f>SUM(K40:K41)</f>
        <v>35000000</v>
      </c>
      <c r="L39" s="842"/>
      <c r="M39" s="837"/>
      <c r="N39" s="837"/>
      <c r="O39" s="837"/>
      <c r="P39" s="837"/>
      <c r="Q39" s="846"/>
      <c r="R39" s="846"/>
    </row>
    <row r="40" spans="2:23" ht="15.75" customHeight="1">
      <c r="B40" s="1079"/>
      <c r="C40" s="375"/>
      <c r="D40" s="375"/>
      <c r="E40" s="375"/>
      <c r="F40" s="375"/>
      <c r="G40" s="558" t="s">
        <v>1392</v>
      </c>
      <c r="H40" s="933">
        <v>1</v>
      </c>
      <c r="I40" s="375" t="s">
        <v>29</v>
      </c>
      <c r="J40" s="456">
        <v>15000000</v>
      </c>
      <c r="K40" s="637">
        <f t="shared" ref="K40:K41" si="0">J40*H40</f>
        <v>15000000</v>
      </c>
      <c r="L40" s="842">
        <f t="shared" ref="L40:L41" si="1">K40</f>
        <v>15000000</v>
      </c>
      <c r="M40" s="837"/>
      <c r="N40" s="837"/>
      <c r="O40" s="837"/>
      <c r="P40" s="837"/>
      <c r="Q40" s="846"/>
      <c r="R40" s="846"/>
    </row>
    <row r="41" spans="2:23" ht="15.75" customHeight="1">
      <c r="B41" s="1079"/>
      <c r="C41" s="375"/>
      <c r="D41" s="375"/>
      <c r="E41" s="375"/>
      <c r="F41" s="375"/>
      <c r="G41" s="558" t="s">
        <v>1394</v>
      </c>
      <c r="H41" s="933">
        <v>1</v>
      </c>
      <c r="I41" s="375" t="s">
        <v>29</v>
      </c>
      <c r="J41" s="456">
        <v>20000000</v>
      </c>
      <c r="K41" s="637">
        <f t="shared" si="0"/>
        <v>20000000</v>
      </c>
      <c r="L41" s="842">
        <f t="shared" si="1"/>
        <v>20000000</v>
      </c>
      <c r="M41" s="837"/>
      <c r="N41" s="837"/>
      <c r="O41" s="837"/>
      <c r="P41" s="837"/>
      <c r="Q41" s="846"/>
      <c r="R41" s="846"/>
    </row>
    <row r="42" spans="2:23">
      <c r="B42" s="1079"/>
      <c r="C42" s="375"/>
      <c r="D42" s="375"/>
      <c r="E42" s="375"/>
      <c r="F42" s="375"/>
      <c r="G42" s="558"/>
      <c r="H42" s="933"/>
      <c r="I42" s="375"/>
      <c r="J42" s="456"/>
      <c r="K42" s="975"/>
      <c r="L42" s="842"/>
      <c r="M42" s="837"/>
      <c r="N42" s="837"/>
      <c r="O42" s="837"/>
      <c r="P42" s="837"/>
      <c r="Q42" s="846"/>
      <c r="R42" s="846"/>
    </row>
    <row r="43" spans="2:23" ht="14.25" customHeight="1">
      <c r="B43" s="427">
        <v>5</v>
      </c>
      <c r="C43" s="368">
        <v>2</v>
      </c>
      <c r="D43" s="368">
        <v>3</v>
      </c>
      <c r="E43" s="368"/>
      <c r="F43" s="368"/>
      <c r="G43" s="366" t="s">
        <v>78</v>
      </c>
      <c r="H43" s="956"/>
      <c r="I43" s="368"/>
      <c r="J43" s="820"/>
      <c r="K43" s="636">
        <f>K44+K50+K57+K72</f>
        <v>490030500</v>
      </c>
      <c r="L43" s="842"/>
      <c r="M43" s="837"/>
      <c r="N43" s="837"/>
      <c r="O43" s="837"/>
      <c r="P43" s="837"/>
      <c r="Q43" s="838"/>
      <c r="R43" s="838"/>
    </row>
    <row r="44" spans="2:23" ht="14.25" customHeight="1">
      <c r="B44" s="346">
        <v>5</v>
      </c>
      <c r="C44" s="371">
        <v>2</v>
      </c>
      <c r="D44" s="371">
        <v>3</v>
      </c>
      <c r="E44" s="372">
        <v>27</v>
      </c>
      <c r="F44" s="368"/>
      <c r="G44" s="477" t="s">
        <v>1725</v>
      </c>
      <c r="H44" s="956"/>
      <c r="I44" s="368"/>
      <c r="J44" s="820"/>
      <c r="K44" s="636">
        <f>K45</f>
        <v>27700000</v>
      </c>
      <c r="L44" s="842"/>
      <c r="M44" s="842"/>
      <c r="N44" s="837"/>
      <c r="O44" s="837"/>
      <c r="P44" s="837"/>
      <c r="Q44" s="838"/>
      <c r="R44" s="838"/>
    </row>
    <row r="45" spans="2:23" ht="25.5">
      <c r="B45" s="346">
        <v>5</v>
      </c>
      <c r="C45" s="371">
        <v>2</v>
      </c>
      <c r="D45" s="371">
        <v>3</v>
      </c>
      <c r="E45" s="372">
        <v>27</v>
      </c>
      <c r="F45" s="372" t="s">
        <v>80</v>
      </c>
      <c r="G45" s="381" t="s">
        <v>1821</v>
      </c>
      <c r="H45" s="956"/>
      <c r="I45" s="368"/>
      <c r="J45" s="820"/>
      <c r="K45" s="636">
        <f>SUM(K46:K49)</f>
        <v>27700000</v>
      </c>
      <c r="L45" s="842"/>
      <c r="M45" s="842"/>
      <c r="N45" s="837"/>
      <c r="O45" s="837"/>
      <c r="P45" s="837"/>
      <c r="Q45" s="838"/>
      <c r="R45" s="838"/>
    </row>
    <row r="46" spans="2:23" ht="14.25" customHeight="1">
      <c r="B46" s="1079"/>
      <c r="C46" s="375"/>
      <c r="D46" s="375"/>
      <c r="E46" s="375"/>
      <c r="F46" s="375"/>
      <c r="G46" s="558" t="s">
        <v>1726</v>
      </c>
      <c r="H46" s="933">
        <v>2</v>
      </c>
      <c r="I46" s="375" t="s">
        <v>85</v>
      </c>
      <c r="J46" s="456">
        <v>4500000</v>
      </c>
      <c r="K46" s="476">
        <f>H46*J46</f>
        <v>9000000</v>
      </c>
      <c r="L46" s="842">
        <f>K46</f>
        <v>9000000</v>
      </c>
      <c r="M46" s="847"/>
      <c r="N46" s="837"/>
      <c r="O46" s="837"/>
      <c r="P46" s="837"/>
      <c r="Q46" s="838"/>
      <c r="R46" s="838"/>
    </row>
    <row r="47" spans="2:23" s="1793" customFormat="1" ht="14.25" customHeight="1">
      <c r="B47" s="1837"/>
      <c r="C47" s="1838"/>
      <c r="D47" s="1838"/>
      <c r="E47" s="1838"/>
      <c r="F47" s="1838"/>
      <c r="G47" s="1839" t="s">
        <v>1727</v>
      </c>
      <c r="H47" s="1840">
        <v>1</v>
      </c>
      <c r="I47" s="1838" t="s">
        <v>107</v>
      </c>
      <c r="J47" s="1841">
        <f>18000000+700000</f>
        <v>18700000</v>
      </c>
      <c r="K47" s="1842">
        <f t="shared" ref="K47:K48" si="2">H47*J47</f>
        <v>18700000</v>
      </c>
      <c r="L47" s="842">
        <f t="shared" ref="L47:L48" si="3">K47</f>
        <v>18700000</v>
      </c>
      <c r="M47" s="1843"/>
      <c r="N47" s="1844"/>
      <c r="O47" s="1844"/>
      <c r="P47" s="1844"/>
      <c r="Q47" s="1845"/>
      <c r="R47" s="1845"/>
      <c r="S47" s="1846"/>
      <c r="T47" s="1846"/>
      <c r="U47" s="1846"/>
    </row>
    <row r="48" spans="2:23" s="1793" customFormat="1" ht="14.25" customHeight="1">
      <c r="B48" s="1837"/>
      <c r="C48" s="1838"/>
      <c r="D48" s="1838"/>
      <c r="E48" s="1838"/>
      <c r="F48" s="1838"/>
      <c r="G48" s="1839" t="s">
        <v>1728</v>
      </c>
      <c r="H48" s="1840"/>
      <c r="I48" s="1838" t="s">
        <v>314</v>
      </c>
      <c r="J48" s="1841">
        <v>350000</v>
      </c>
      <c r="K48" s="1842">
        <f t="shared" si="2"/>
        <v>0</v>
      </c>
      <c r="L48" s="842">
        <f t="shared" si="3"/>
        <v>0</v>
      </c>
      <c r="M48" s="1843"/>
      <c r="N48" s="1844"/>
      <c r="O48" s="1844"/>
      <c r="P48" s="1844"/>
      <c r="Q48" s="1845"/>
      <c r="R48" s="1845"/>
      <c r="S48" s="1846"/>
      <c r="T48" s="1846"/>
      <c r="U48" s="1846"/>
    </row>
    <row r="49" spans="2:21" ht="14.25" customHeight="1">
      <c r="B49" s="1079"/>
      <c r="C49" s="375"/>
      <c r="D49" s="375"/>
      <c r="E49" s="375"/>
      <c r="F49" s="375"/>
      <c r="G49" s="558"/>
      <c r="H49" s="933"/>
      <c r="I49" s="375"/>
      <c r="J49" s="456"/>
      <c r="K49" s="975"/>
      <c r="L49" s="842"/>
      <c r="M49" s="842"/>
      <c r="N49" s="837"/>
      <c r="O49" s="837"/>
      <c r="P49" s="837"/>
      <c r="Q49" s="838"/>
      <c r="R49" s="838"/>
    </row>
    <row r="50" spans="2:21">
      <c r="B50" s="346">
        <v>5</v>
      </c>
      <c r="C50" s="371">
        <v>2</v>
      </c>
      <c r="D50" s="371">
        <v>3</v>
      </c>
      <c r="E50" s="372">
        <v>28</v>
      </c>
      <c r="F50" s="368"/>
      <c r="G50" s="477" t="s">
        <v>506</v>
      </c>
      <c r="H50" s="962"/>
      <c r="I50" s="478"/>
      <c r="J50" s="1828"/>
      <c r="K50" s="1829">
        <f>K51+K54</f>
        <v>125000000</v>
      </c>
      <c r="L50" s="842"/>
      <c r="M50" s="839"/>
      <c r="N50" s="838"/>
      <c r="O50" s="838"/>
      <c r="P50" s="838"/>
      <c r="Q50" s="838"/>
      <c r="R50" s="838"/>
    </row>
    <row r="51" spans="2:21">
      <c r="B51" s="346">
        <v>5</v>
      </c>
      <c r="C51" s="371">
        <v>2</v>
      </c>
      <c r="D51" s="371">
        <v>3</v>
      </c>
      <c r="E51" s="372">
        <v>28</v>
      </c>
      <c r="F51" s="372" t="s">
        <v>25</v>
      </c>
      <c r="G51" s="381" t="s">
        <v>1729</v>
      </c>
      <c r="H51" s="962"/>
      <c r="I51" s="478"/>
      <c r="J51" s="1828"/>
      <c r="K51" s="1829">
        <f>SUM(K52:K53)</f>
        <v>21000000</v>
      </c>
      <c r="L51" s="842"/>
      <c r="M51" s="839"/>
      <c r="N51" s="838"/>
      <c r="O51" s="838"/>
      <c r="P51" s="838"/>
      <c r="Q51" s="838"/>
      <c r="R51" s="838"/>
    </row>
    <row r="52" spans="2:21">
      <c r="B52" s="970"/>
      <c r="C52" s="383"/>
      <c r="D52" s="383"/>
      <c r="E52" s="968"/>
      <c r="F52" s="375"/>
      <c r="G52" s="1830" t="s">
        <v>1730</v>
      </c>
      <c r="H52" s="962">
        <v>70</v>
      </c>
      <c r="I52" s="478" t="s">
        <v>293</v>
      </c>
      <c r="J52" s="1828">
        <v>300000</v>
      </c>
      <c r="K52" s="476">
        <f>H52*J52</f>
        <v>21000000</v>
      </c>
      <c r="L52" s="842">
        <f>K52</f>
        <v>21000000</v>
      </c>
      <c r="M52" s="1403"/>
      <c r="N52" s="1836"/>
      <c r="O52" s="838"/>
      <c r="P52" s="838"/>
      <c r="Q52" s="838"/>
      <c r="R52" s="838"/>
    </row>
    <row r="53" spans="2:21">
      <c r="B53" s="970"/>
      <c r="C53" s="383"/>
      <c r="D53" s="383"/>
      <c r="E53" s="968"/>
      <c r="F53" s="375"/>
      <c r="G53" s="1830"/>
      <c r="H53" s="962"/>
      <c r="I53" s="478"/>
      <c r="J53" s="1828"/>
      <c r="K53" s="1831"/>
      <c r="L53" s="842"/>
      <c r="M53" s="839"/>
      <c r="N53" s="838"/>
      <c r="O53" s="838"/>
      <c r="P53" s="838"/>
      <c r="Q53" s="838"/>
      <c r="R53" s="838"/>
    </row>
    <row r="54" spans="2:21">
      <c r="B54" s="346">
        <v>5</v>
      </c>
      <c r="C54" s="371">
        <v>2</v>
      </c>
      <c r="D54" s="371">
        <v>3</v>
      </c>
      <c r="E54" s="372">
        <v>28</v>
      </c>
      <c r="F54" s="372" t="s">
        <v>65</v>
      </c>
      <c r="G54" s="381" t="s">
        <v>1731</v>
      </c>
      <c r="H54" s="956"/>
      <c r="I54" s="368"/>
      <c r="J54" s="820"/>
      <c r="K54" s="1832">
        <f>SUM(K55:K55)</f>
        <v>104000000</v>
      </c>
      <c r="L54" s="842"/>
      <c r="M54" s="839"/>
      <c r="N54" s="838"/>
      <c r="O54" s="838"/>
      <c r="P54" s="838"/>
      <c r="Q54" s="838"/>
      <c r="R54" s="838"/>
    </row>
    <row r="55" spans="2:21" s="2242" customFormat="1">
      <c r="B55" s="2229"/>
      <c r="C55" s="2230"/>
      <c r="D55" s="2230"/>
      <c r="E55" s="2231"/>
      <c r="F55" s="2868"/>
      <c r="G55" s="2869" t="s">
        <v>1732</v>
      </c>
      <c r="H55" s="2870">
        <v>4</v>
      </c>
      <c r="I55" s="2235" t="s">
        <v>85</v>
      </c>
      <c r="J55" s="2871">
        <v>26000000</v>
      </c>
      <c r="K55" s="2872">
        <f>H55*J55</f>
        <v>104000000</v>
      </c>
      <c r="L55" s="2873">
        <f>K55</f>
        <v>104000000</v>
      </c>
      <c r="M55" s="2874"/>
      <c r="N55" s="2875"/>
      <c r="O55" s="2875"/>
      <c r="P55" s="2875"/>
      <c r="Q55" s="2875"/>
      <c r="R55" s="2875"/>
      <c r="S55" s="2876">
        <v>14850000</v>
      </c>
      <c r="T55" s="2876">
        <f>S55*35%</f>
        <v>5197500</v>
      </c>
      <c r="U55" s="2876">
        <f>SUM(S55:T55)</f>
        <v>20047500</v>
      </c>
    </row>
    <row r="56" spans="2:21">
      <c r="B56" s="346"/>
      <c r="C56" s="371"/>
      <c r="D56" s="371"/>
      <c r="E56" s="372"/>
      <c r="F56" s="368"/>
      <c r="G56" s="373"/>
      <c r="H56" s="645"/>
      <c r="I56" s="380"/>
      <c r="J56" s="1199"/>
      <c r="K56" s="476"/>
      <c r="L56" s="842"/>
      <c r="M56" s="839"/>
      <c r="N56" s="838"/>
      <c r="O56" s="838"/>
      <c r="P56" s="838"/>
      <c r="Q56" s="838"/>
      <c r="R56" s="838"/>
    </row>
    <row r="57" spans="2:21">
      <c r="B57" s="346">
        <v>5</v>
      </c>
      <c r="C57" s="371">
        <v>2</v>
      </c>
      <c r="D57" s="371">
        <v>3</v>
      </c>
      <c r="E57" s="372">
        <v>29</v>
      </c>
      <c r="F57" s="368"/>
      <c r="G57" s="381" t="s">
        <v>113</v>
      </c>
      <c r="H57" s="933"/>
      <c r="I57" s="393"/>
      <c r="J57" s="579"/>
      <c r="K57" s="1833">
        <f>+K63+K58+K66</f>
        <v>248530500</v>
      </c>
      <c r="L57" s="842"/>
      <c r="M57" s="839"/>
      <c r="N57" s="838"/>
      <c r="O57" s="838"/>
      <c r="P57" s="838"/>
      <c r="Q57" s="838"/>
      <c r="R57" s="838"/>
    </row>
    <row r="58" spans="2:21" ht="25.5">
      <c r="B58" s="346">
        <v>5</v>
      </c>
      <c r="C58" s="371">
        <v>2</v>
      </c>
      <c r="D58" s="371">
        <v>3</v>
      </c>
      <c r="E58" s="372">
        <v>29</v>
      </c>
      <c r="F58" s="372" t="s">
        <v>65</v>
      </c>
      <c r="G58" s="381" t="s">
        <v>1733</v>
      </c>
      <c r="H58" s="645"/>
      <c r="I58" s="380"/>
      <c r="J58" s="1199"/>
      <c r="K58" s="640">
        <f>SUM(K59:K61)</f>
        <v>129000000</v>
      </c>
      <c r="L58" s="842"/>
      <c r="M58" s="839"/>
      <c r="N58" s="838"/>
      <c r="O58" s="838"/>
      <c r="P58" s="838"/>
      <c r="Q58" s="838"/>
      <c r="R58" s="838"/>
    </row>
    <row r="59" spans="2:21" s="1793" customFormat="1">
      <c r="B59" s="1847"/>
      <c r="C59" s="1848"/>
      <c r="D59" s="1848"/>
      <c r="E59" s="1849"/>
      <c r="F59" s="1849"/>
      <c r="G59" s="1850" t="s">
        <v>1734</v>
      </c>
      <c r="H59" s="1851">
        <v>1</v>
      </c>
      <c r="I59" s="1852" t="s">
        <v>85</v>
      </c>
      <c r="J59" s="1853">
        <v>20000000</v>
      </c>
      <c r="K59" s="1842">
        <f>H59*J59</f>
        <v>20000000</v>
      </c>
      <c r="L59" s="1843">
        <f>K59</f>
        <v>20000000</v>
      </c>
      <c r="M59" s="1843"/>
      <c r="N59" s="1845"/>
      <c r="O59" s="1845"/>
      <c r="P59" s="1845"/>
      <c r="Q59" s="1845"/>
      <c r="R59" s="1845"/>
      <c r="S59" s="1846"/>
      <c r="T59" s="1846"/>
      <c r="U59" s="1846"/>
    </row>
    <row r="60" spans="2:21" s="1793" customFormat="1">
      <c r="B60" s="1847"/>
      <c r="C60" s="1848"/>
      <c r="D60" s="1848"/>
      <c r="E60" s="1849"/>
      <c r="F60" s="1849"/>
      <c r="G60" s="1854" t="s">
        <v>1735</v>
      </c>
      <c r="H60" s="1851">
        <v>1</v>
      </c>
      <c r="I60" s="1852" t="s">
        <v>85</v>
      </c>
      <c r="J60" s="1853">
        <v>19000000</v>
      </c>
      <c r="K60" s="1842">
        <f>H60*J60</f>
        <v>19000000</v>
      </c>
      <c r="L60" s="1843">
        <f t="shared" ref="L60:L61" si="4">K60</f>
        <v>19000000</v>
      </c>
      <c r="M60" s="1843"/>
      <c r="N60" s="1845"/>
      <c r="O60" s="1845"/>
      <c r="P60" s="1845"/>
      <c r="Q60" s="1845"/>
      <c r="R60" s="1845"/>
      <c r="S60" s="1846"/>
      <c r="T60" s="1846"/>
      <c r="U60" s="1846"/>
    </row>
    <row r="61" spans="2:21">
      <c r="B61" s="346"/>
      <c r="C61" s="371"/>
      <c r="D61" s="371"/>
      <c r="E61" s="372"/>
      <c r="F61" s="368"/>
      <c r="G61" s="1834" t="s">
        <v>1735</v>
      </c>
      <c r="H61" s="602">
        <v>9</v>
      </c>
      <c r="I61" s="1835" t="s">
        <v>85</v>
      </c>
      <c r="J61" s="1247">
        <v>10000000</v>
      </c>
      <c r="K61" s="476">
        <f>H61*J61</f>
        <v>90000000</v>
      </c>
      <c r="L61" s="1843">
        <f t="shared" si="4"/>
        <v>90000000</v>
      </c>
      <c r="M61" s="847"/>
      <c r="N61" s="1836"/>
      <c r="O61" s="838"/>
      <c r="P61" s="838"/>
      <c r="Q61" s="838"/>
      <c r="R61" s="838"/>
      <c r="S61" s="41">
        <v>13199000</v>
      </c>
      <c r="T61" s="41">
        <f>S61*35%</f>
        <v>4619650</v>
      </c>
      <c r="U61" s="41">
        <f>SUM(S61:T61)</f>
        <v>17818650</v>
      </c>
    </row>
    <row r="62" spans="2:21">
      <c r="B62" s="458"/>
      <c r="C62" s="380"/>
      <c r="D62" s="380"/>
      <c r="E62" s="459"/>
      <c r="F62" s="459"/>
      <c r="G62" s="391"/>
      <c r="H62" s="645"/>
      <c r="I62" s="393"/>
      <c r="J62" s="1199"/>
      <c r="K62" s="476"/>
      <c r="L62" s="842"/>
      <c r="M62" s="839"/>
      <c r="N62" s="838"/>
      <c r="O62" s="838"/>
      <c r="P62" s="838"/>
      <c r="Q62" s="838"/>
      <c r="R62" s="838"/>
    </row>
    <row r="63" spans="2:21">
      <c r="B63" s="346">
        <v>5</v>
      </c>
      <c r="C63" s="371">
        <v>2</v>
      </c>
      <c r="D63" s="371">
        <v>3</v>
      </c>
      <c r="E63" s="372">
        <v>29</v>
      </c>
      <c r="F63" s="372" t="s">
        <v>66</v>
      </c>
      <c r="G63" s="638" t="s">
        <v>1736</v>
      </c>
      <c r="H63" s="933"/>
      <c r="I63" s="393"/>
      <c r="J63" s="579"/>
      <c r="K63" s="601">
        <f>K64</f>
        <v>22442500</v>
      </c>
      <c r="L63" s="842"/>
      <c r="M63" s="839"/>
      <c r="N63" s="838"/>
      <c r="O63" s="838"/>
      <c r="P63" s="838"/>
      <c r="Q63" s="838"/>
      <c r="R63" s="838"/>
    </row>
    <row r="64" spans="2:21">
      <c r="B64" s="346"/>
      <c r="C64" s="371"/>
      <c r="D64" s="371"/>
      <c r="E64" s="372"/>
      <c r="F64" s="368"/>
      <c r="G64" s="373" t="s">
        <v>1737</v>
      </c>
      <c r="H64" s="933">
        <v>5</v>
      </c>
      <c r="I64" s="393" t="s">
        <v>85</v>
      </c>
      <c r="J64" s="579">
        <f>4132000+356500</f>
        <v>4488500</v>
      </c>
      <c r="K64" s="476">
        <f>H64*J64</f>
        <v>22442500</v>
      </c>
      <c r="L64" s="842">
        <f>K64</f>
        <v>22442500</v>
      </c>
      <c r="M64" s="847"/>
      <c r="N64" s="1836"/>
      <c r="O64" s="838"/>
      <c r="P64" s="838"/>
      <c r="Q64" s="838"/>
      <c r="R64" s="838"/>
      <c r="S64" s="41">
        <v>3060000</v>
      </c>
      <c r="T64" s="41">
        <f>S64*35%</f>
        <v>1071000</v>
      </c>
      <c r="U64" s="41">
        <f>SUM(S64:T64)</f>
        <v>4131000</v>
      </c>
    </row>
    <row r="65" spans="2:21">
      <c r="B65" s="346"/>
      <c r="C65" s="371"/>
      <c r="D65" s="371"/>
      <c r="E65" s="372"/>
      <c r="F65" s="368"/>
      <c r="G65" s="373"/>
      <c r="H65" s="933"/>
      <c r="I65" s="393"/>
      <c r="J65" s="579"/>
      <c r="K65" s="476"/>
      <c r="L65" s="842"/>
      <c r="M65" s="839"/>
      <c r="N65" s="838"/>
      <c r="O65" s="838"/>
      <c r="P65" s="838"/>
      <c r="Q65" s="838"/>
      <c r="R65" s="838"/>
    </row>
    <row r="66" spans="2:21">
      <c r="B66" s="346">
        <v>5</v>
      </c>
      <c r="C66" s="371">
        <v>2</v>
      </c>
      <c r="D66" s="371">
        <v>3</v>
      </c>
      <c r="E66" s="372">
        <v>29</v>
      </c>
      <c r="F66" s="372" t="s">
        <v>81</v>
      </c>
      <c r="G66" s="638" t="s">
        <v>270</v>
      </c>
      <c r="H66" s="645"/>
      <c r="I66" s="380"/>
      <c r="J66" s="1199"/>
      <c r="K66" s="640">
        <f>SUM(K67:K70)</f>
        <v>97088000</v>
      </c>
      <c r="L66" s="842"/>
      <c r="M66" s="839"/>
      <c r="N66" s="838"/>
      <c r="O66" s="838"/>
      <c r="P66" s="838"/>
      <c r="Q66" s="838"/>
      <c r="R66" s="838"/>
    </row>
    <row r="67" spans="2:21">
      <c r="B67" s="429"/>
      <c r="C67" s="424"/>
      <c r="D67" s="424"/>
      <c r="E67" s="430"/>
      <c r="F67" s="430"/>
      <c r="G67" s="903" t="s">
        <v>1741</v>
      </c>
      <c r="H67" s="991">
        <v>12</v>
      </c>
      <c r="I67" s="904" t="s">
        <v>85</v>
      </c>
      <c r="J67" s="1399">
        <v>4049000</v>
      </c>
      <c r="K67" s="906">
        <f>H67*J67</f>
        <v>48588000</v>
      </c>
      <c r="L67" s="842">
        <f>K67</f>
        <v>48588000</v>
      </c>
      <c r="M67" s="847"/>
      <c r="N67" s="1836"/>
      <c r="O67" s="838"/>
      <c r="P67" s="838"/>
      <c r="Q67" s="838"/>
      <c r="R67" s="838"/>
      <c r="S67" s="41">
        <v>2999000</v>
      </c>
      <c r="T67" s="41">
        <f>S67*35%</f>
        <v>1049650</v>
      </c>
      <c r="U67" s="41">
        <f>SUM(S67:T67)</f>
        <v>4048650</v>
      </c>
    </row>
    <row r="68" spans="2:21" s="1793" customFormat="1">
      <c r="B68" s="1855"/>
      <c r="C68" s="1856"/>
      <c r="D68" s="1856"/>
      <c r="E68" s="1857"/>
      <c r="F68" s="1857"/>
      <c r="G68" s="1858" t="s">
        <v>1738</v>
      </c>
      <c r="H68" s="1795">
        <v>15</v>
      </c>
      <c r="I68" s="1859" t="s">
        <v>85</v>
      </c>
      <c r="J68" s="1860">
        <v>1500000</v>
      </c>
      <c r="K68" s="1861">
        <f t="shared" ref="K68:K70" si="5">H68*J68</f>
        <v>22500000</v>
      </c>
      <c r="L68" s="842">
        <f t="shared" ref="L68:L70" si="6">K68</f>
        <v>22500000</v>
      </c>
      <c r="M68" s="1843"/>
      <c r="N68" s="1862"/>
      <c r="O68" s="1845"/>
      <c r="P68" s="1845"/>
      <c r="Q68" s="1845"/>
      <c r="R68" s="1845"/>
      <c r="S68" s="1846">
        <v>2999000</v>
      </c>
      <c r="T68" s="1846">
        <f t="shared" ref="T68:T70" si="7">S68*35%</f>
        <v>1049650</v>
      </c>
      <c r="U68" s="1846">
        <f t="shared" ref="U68:U70" si="8">SUM(S68:T68)</f>
        <v>4048650</v>
      </c>
    </row>
    <row r="69" spans="2:21" s="1793" customFormat="1" ht="25.5">
      <c r="B69" s="1855"/>
      <c r="C69" s="1856"/>
      <c r="D69" s="1856"/>
      <c r="E69" s="1857"/>
      <c r="F69" s="1857"/>
      <c r="G69" s="1858" t="s">
        <v>1739</v>
      </c>
      <c r="H69" s="1795">
        <v>2</v>
      </c>
      <c r="I69" s="1859" t="s">
        <v>85</v>
      </c>
      <c r="J69" s="1860">
        <v>3500000</v>
      </c>
      <c r="K69" s="1861">
        <f t="shared" si="5"/>
        <v>7000000</v>
      </c>
      <c r="L69" s="842">
        <f t="shared" si="6"/>
        <v>7000000</v>
      </c>
      <c r="M69" s="1843"/>
      <c r="N69" s="1862"/>
      <c r="O69" s="1845"/>
      <c r="P69" s="1845"/>
      <c r="Q69" s="1845"/>
      <c r="R69" s="1845"/>
      <c r="S69" s="1846">
        <v>2999000</v>
      </c>
      <c r="T69" s="1846">
        <f t="shared" si="7"/>
        <v>1049650</v>
      </c>
      <c r="U69" s="1846">
        <f t="shared" si="8"/>
        <v>4048650</v>
      </c>
    </row>
    <row r="70" spans="2:21" s="1793" customFormat="1">
      <c r="B70" s="1855"/>
      <c r="C70" s="1856"/>
      <c r="D70" s="1856"/>
      <c r="E70" s="1857"/>
      <c r="F70" s="1857"/>
      <c r="G70" s="1858" t="s">
        <v>1740</v>
      </c>
      <c r="H70" s="1795">
        <v>1</v>
      </c>
      <c r="I70" s="1859" t="s">
        <v>85</v>
      </c>
      <c r="J70" s="1860">
        <v>19000000</v>
      </c>
      <c r="K70" s="1861">
        <f t="shared" si="5"/>
        <v>19000000</v>
      </c>
      <c r="L70" s="842">
        <f t="shared" si="6"/>
        <v>19000000</v>
      </c>
      <c r="M70" s="1843"/>
      <c r="N70" s="1862"/>
      <c r="O70" s="1845"/>
      <c r="P70" s="1845"/>
      <c r="Q70" s="1845"/>
      <c r="R70" s="1845"/>
      <c r="S70" s="1846">
        <v>2999000</v>
      </c>
      <c r="T70" s="1846">
        <f t="shared" si="7"/>
        <v>1049650</v>
      </c>
      <c r="U70" s="1846">
        <f t="shared" si="8"/>
        <v>4048650</v>
      </c>
    </row>
    <row r="71" spans="2:21">
      <c r="B71" s="429"/>
      <c r="C71" s="424"/>
      <c r="D71" s="424"/>
      <c r="E71" s="430"/>
      <c r="F71" s="430"/>
      <c r="G71" s="903"/>
      <c r="H71" s="991"/>
      <c r="I71" s="904"/>
      <c r="J71" s="1399"/>
      <c r="K71" s="906"/>
      <c r="L71" s="842"/>
      <c r="M71" s="847"/>
      <c r="N71" s="838"/>
      <c r="O71" s="838"/>
      <c r="P71" s="838"/>
      <c r="Q71" s="838"/>
      <c r="R71" s="838"/>
    </row>
    <row r="72" spans="2:21">
      <c r="B72" s="346">
        <v>5</v>
      </c>
      <c r="C72" s="371">
        <v>2</v>
      </c>
      <c r="D72" s="371">
        <v>3</v>
      </c>
      <c r="E72" s="372">
        <v>31</v>
      </c>
      <c r="F72" s="368"/>
      <c r="G72" s="638" t="s">
        <v>1742</v>
      </c>
      <c r="H72" s="956"/>
      <c r="I72" s="368"/>
      <c r="J72" s="820"/>
      <c r="K72" s="636">
        <f>K73</f>
        <v>88800000</v>
      </c>
      <c r="L72" s="842"/>
      <c r="M72" s="839"/>
      <c r="N72" s="838"/>
      <c r="O72" s="838"/>
      <c r="P72" s="838"/>
      <c r="Q72" s="838"/>
      <c r="R72" s="838"/>
    </row>
    <row r="73" spans="2:21">
      <c r="B73" s="346">
        <v>5</v>
      </c>
      <c r="C73" s="371">
        <v>2</v>
      </c>
      <c r="D73" s="371">
        <v>3</v>
      </c>
      <c r="E73" s="372">
        <v>31</v>
      </c>
      <c r="F73" s="372" t="s">
        <v>24</v>
      </c>
      <c r="G73" s="638" t="s">
        <v>1743</v>
      </c>
      <c r="H73" s="956"/>
      <c r="I73" s="368"/>
      <c r="J73" s="820"/>
      <c r="K73" s="636">
        <f>SUM(K74:K77)</f>
        <v>88800000</v>
      </c>
      <c r="L73" s="842"/>
      <c r="M73" s="839"/>
      <c r="N73" s="838"/>
      <c r="O73" s="838"/>
      <c r="P73" s="838"/>
      <c r="Q73" s="838"/>
      <c r="R73" s="838"/>
    </row>
    <row r="74" spans="2:21">
      <c r="B74" s="346"/>
      <c r="C74" s="371"/>
      <c r="D74" s="371"/>
      <c r="E74" s="372"/>
      <c r="F74" s="368"/>
      <c r="G74" s="462" t="s">
        <v>1744</v>
      </c>
      <c r="H74" s="646">
        <v>16</v>
      </c>
      <c r="I74" s="463" t="s">
        <v>107</v>
      </c>
      <c r="J74" s="1400">
        <v>2000000</v>
      </c>
      <c r="K74" s="476">
        <f t="shared" ref="K74:K77" si="9">H74*J74</f>
        <v>32000000</v>
      </c>
      <c r="L74" s="842">
        <f>K74</f>
        <v>32000000</v>
      </c>
      <c r="M74" s="847"/>
      <c r="N74" s="1836"/>
      <c r="O74" s="838"/>
      <c r="P74" s="838"/>
      <c r="Q74" s="838"/>
      <c r="R74" s="838"/>
    </row>
    <row r="75" spans="2:21">
      <c r="B75" s="346"/>
      <c r="C75" s="371"/>
      <c r="D75" s="371"/>
      <c r="E75" s="372"/>
      <c r="F75" s="368"/>
      <c r="G75" s="462" t="s">
        <v>1745</v>
      </c>
      <c r="H75" s="646">
        <v>1</v>
      </c>
      <c r="I75" s="463" t="s">
        <v>114</v>
      </c>
      <c r="J75" s="1400">
        <v>27400000</v>
      </c>
      <c r="K75" s="476">
        <f t="shared" si="9"/>
        <v>27400000</v>
      </c>
      <c r="L75" s="842">
        <f t="shared" ref="L75:L77" si="10">K75</f>
        <v>27400000</v>
      </c>
      <c r="M75" s="847"/>
      <c r="N75" s="1836"/>
      <c r="O75" s="838"/>
      <c r="P75" s="838"/>
      <c r="Q75" s="838"/>
      <c r="R75" s="838"/>
    </row>
    <row r="76" spans="2:21">
      <c r="B76" s="1401"/>
      <c r="C76" s="371"/>
      <c r="D76" s="371"/>
      <c r="E76" s="372"/>
      <c r="F76" s="368"/>
      <c r="G76" s="462" t="s">
        <v>1822</v>
      </c>
      <c r="H76" s="646">
        <v>1</v>
      </c>
      <c r="I76" s="463" t="s">
        <v>114</v>
      </c>
      <c r="J76" s="1400">
        <v>13000000</v>
      </c>
      <c r="K76" s="476">
        <f t="shared" si="9"/>
        <v>13000000</v>
      </c>
      <c r="L76" s="842">
        <f t="shared" si="10"/>
        <v>13000000</v>
      </c>
      <c r="M76" s="847"/>
      <c r="N76" s="1403"/>
      <c r="O76" s="839"/>
      <c r="P76" s="839"/>
      <c r="Q76" s="839"/>
      <c r="R76" s="838"/>
    </row>
    <row r="77" spans="2:21" s="1793" customFormat="1">
      <c r="B77" s="1863"/>
      <c r="C77" s="1864"/>
      <c r="D77" s="1864"/>
      <c r="E77" s="1865"/>
      <c r="F77" s="1866"/>
      <c r="G77" s="1867" t="s">
        <v>1746</v>
      </c>
      <c r="H77" s="1868">
        <v>2</v>
      </c>
      <c r="I77" s="1869" t="s">
        <v>85</v>
      </c>
      <c r="J77" s="1870">
        <f>7500000+700000</f>
        <v>8200000</v>
      </c>
      <c r="K77" s="1842">
        <f t="shared" si="9"/>
        <v>16400000</v>
      </c>
      <c r="L77" s="842">
        <f t="shared" si="10"/>
        <v>16400000</v>
      </c>
      <c r="M77" s="1843"/>
      <c r="N77" s="1871"/>
      <c r="O77" s="1872"/>
      <c r="P77" s="1872"/>
      <c r="Q77" s="1872"/>
      <c r="R77" s="1845"/>
      <c r="S77" s="1846"/>
      <c r="T77" s="1846"/>
      <c r="U77" s="1846"/>
    </row>
    <row r="78" spans="2:21">
      <c r="B78" s="1401"/>
      <c r="C78" s="371"/>
      <c r="D78" s="371"/>
      <c r="E78" s="372"/>
      <c r="F78" s="368"/>
      <c r="G78" s="462"/>
      <c r="H78" s="646"/>
      <c r="I78" s="463"/>
      <c r="J78" s="1400"/>
      <c r="K78" s="1402"/>
      <c r="L78" s="842"/>
      <c r="M78" s="847"/>
      <c r="N78" s="1403"/>
      <c r="O78" s="839"/>
      <c r="P78" s="839"/>
      <c r="Q78" s="839"/>
      <c r="R78" s="838"/>
    </row>
    <row r="79" spans="2:21" ht="15" customHeight="1" thickBot="1">
      <c r="B79" s="3366" t="s">
        <v>30</v>
      </c>
      <c r="C79" s="3367"/>
      <c r="D79" s="3367"/>
      <c r="E79" s="3367"/>
      <c r="F79" s="3367"/>
      <c r="G79" s="3367"/>
      <c r="H79" s="3367"/>
      <c r="I79" s="3367"/>
      <c r="J79" s="3368"/>
      <c r="K79" s="641">
        <f>K24</f>
        <v>633805706</v>
      </c>
      <c r="L79" s="842">
        <f t="shared" ref="L79:Q79" si="11">SUM(L25:L78)</f>
        <v>621655706</v>
      </c>
      <c r="M79" s="842">
        <f t="shared" si="11"/>
        <v>0</v>
      </c>
      <c r="N79" s="842">
        <f t="shared" si="11"/>
        <v>12150000</v>
      </c>
      <c r="O79" s="842">
        <f t="shared" si="11"/>
        <v>0</v>
      </c>
      <c r="P79" s="842">
        <f t="shared" si="11"/>
        <v>0</v>
      </c>
      <c r="Q79" s="842">
        <f t="shared" si="11"/>
        <v>0</v>
      </c>
      <c r="R79" s="835">
        <f>SUM(L79:Q79)</f>
        <v>633805706</v>
      </c>
      <c r="S79" s="41">
        <v>1265300000</v>
      </c>
      <c r="T79" s="41">
        <f>S79-K79</f>
        <v>631494294</v>
      </c>
    </row>
    <row r="80" spans="2:21" ht="13.5" thickTop="1">
      <c r="K80" s="41"/>
      <c r="L80" s="822"/>
      <c r="M80" s="831"/>
      <c r="N80" s="824"/>
      <c r="O80" s="824"/>
      <c r="P80" s="824"/>
      <c r="Q80" s="824"/>
      <c r="R80" s="824"/>
    </row>
    <row r="81" spans="8:18">
      <c r="L81" s="837"/>
      <c r="M81" s="839"/>
      <c r="N81" s="838"/>
      <c r="O81" s="838"/>
      <c r="P81" s="838"/>
      <c r="Q81" s="838"/>
      <c r="R81" s="838"/>
    </row>
    <row r="82" spans="8:18">
      <c r="H82" s="3336" t="s">
        <v>1534</v>
      </c>
      <c r="I82" s="3336"/>
      <c r="J82" s="3336"/>
      <c r="K82" s="936"/>
      <c r="L82" s="842"/>
      <c r="M82" s="831"/>
      <c r="N82" s="824"/>
      <c r="O82" s="824"/>
      <c r="P82" s="824"/>
      <c r="Q82" s="824"/>
      <c r="R82" s="824"/>
    </row>
    <row r="83" spans="8:18">
      <c r="H83" s="3337" t="s">
        <v>272</v>
      </c>
      <c r="I83" s="3337"/>
      <c r="J83" s="3485"/>
      <c r="K83" s="1396"/>
      <c r="L83" s="842"/>
      <c r="M83" s="831"/>
      <c r="N83" s="824"/>
      <c r="O83" s="824"/>
      <c r="P83" s="824"/>
      <c r="Q83" s="824"/>
      <c r="R83" s="824"/>
    </row>
    <row r="84" spans="8:18">
      <c r="H84" s="127"/>
      <c r="I84" s="127"/>
      <c r="J84" s="127"/>
      <c r="K84" s="8"/>
      <c r="L84" s="842"/>
      <c r="M84" s="831"/>
      <c r="N84" s="824"/>
      <c r="O84" s="824"/>
      <c r="P84" s="824"/>
      <c r="Q84" s="824"/>
      <c r="R84" s="824"/>
    </row>
    <row r="85" spans="8:18">
      <c r="H85" s="127"/>
      <c r="I85" s="127"/>
      <c r="J85" s="127"/>
      <c r="K85" s="8"/>
      <c r="L85" s="842"/>
      <c r="M85" s="831"/>
      <c r="N85" s="824"/>
      <c r="O85" s="824"/>
      <c r="P85" s="824"/>
      <c r="Q85" s="824"/>
      <c r="R85" s="824"/>
    </row>
    <row r="86" spans="8:18">
      <c r="H86" s="3434" t="s">
        <v>904</v>
      </c>
      <c r="I86" s="3434"/>
      <c r="J86" s="3434"/>
      <c r="K86" s="8"/>
      <c r="L86" s="842"/>
      <c r="M86" s="831"/>
      <c r="N86" s="824"/>
      <c r="O86" s="824"/>
      <c r="P86" s="824"/>
      <c r="Q86" s="824"/>
      <c r="R86" s="824"/>
    </row>
    <row r="87" spans="8:18">
      <c r="H87" s="3434" t="s">
        <v>906</v>
      </c>
      <c r="I87" s="3434"/>
      <c r="J87" s="3434"/>
      <c r="K87" s="8"/>
      <c r="L87" s="842"/>
      <c r="M87" s="831"/>
      <c r="N87" s="824"/>
      <c r="O87" s="824"/>
      <c r="P87" s="824"/>
      <c r="Q87" s="824"/>
      <c r="R87" s="824"/>
    </row>
    <row r="88" spans="8:18">
      <c r="K88" s="41"/>
    </row>
    <row r="89" spans="8:18">
      <c r="K89" s="42"/>
    </row>
  </sheetData>
  <mergeCells count="49">
    <mergeCell ref="H86:J86"/>
    <mergeCell ref="H87:J87"/>
    <mergeCell ref="L20:Q20"/>
    <mergeCell ref="R20:R22"/>
    <mergeCell ref="B4:K4"/>
    <mergeCell ref="B5:F5"/>
    <mergeCell ref="G5:K5"/>
    <mergeCell ref="B8:F8"/>
    <mergeCell ref="G8:K8"/>
    <mergeCell ref="G9:K9"/>
    <mergeCell ref="B6:F6"/>
    <mergeCell ref="G6:K6"/>
    <mergeCell ref="B7:F7"/>
    <mergeCell ref="G7:K7"/>
    <mergeCell ref="B12:K12"/>
    <mergeCell ref="B13:F13"/>
    <mergeCell ref="G13:H13"/>
    <mergeCell ref="I13:K13"/>
    <mergeCell ref="B1:K1"/>
    <mergeCell ref="B2:D3"/>
    <mergeCell ref="E2:H2"/>
    <mergeCell ref="I2:J2"/>
    <mergeCell ref="E3:H3"/>
    <mergeCell ref="I3:J3"/>
    <mergeCell ref="B10:F10"/>
    <mergeCell ref="G10:K10"/>
    <mergeCell ref="B11:F11"/>
    <mergeCell ref="G11:K11"/>
    <mergeCell ref="B15:F15"/>
    <mergeCell ref="G15:H15"/>
    <mergeCell ref="I15:K15"/>
    <mergeCell ref="B14:F14"/>
    <mergeCell ref="G14:H14"/>
    <mergeCell ref="I14:K14"/>
    <mergeCell ref="B17:F17"/>
    <mergeCell ref="G17:H17"/>
    <mergeCell ref="I17:K17"/>
    <mergeCell ref="B16:F16"/>
    <mergeCell ref="G16:H16"/>
    <mergeCell ref="I16:K16"/>
    <mergeCell ref="H82:J82"/>
    <mergeCell ref="H83:J83"/>
    <mergeCell ref="B23:F23"/>
    <mergeCell ref="B79:J79"/>
    <mergeCell ref="B18:K18"/>
    <mergeCell ref="B19:K20"/>
    <mergeCell ref="B21:F22"/>
    <mergeCell ref="G21:G22"/>
    <mergeCell ref="H21:J21"/>
  </mergeCells>
  <pageMargins left="0.11811023622047245" right="0.23622047244094491" top="0.4" bottom="1.55" header="0.23622047244094491" footer="0.15748031496062992"/>
  <pageSetup paperSize="5" scale="91" orientation="portrait" horizontalDpi="4294967293" verticalDpi="4294967293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B1:S55"/>
  <sheetViews>
    <sheetView view="pageBreakPreview" topLeftCell="A17" zoomScaleNormal="115" zoomScaleSheetLayoutView="100" workbookViewId="0">
      <selection activeCell="B24" sqref="B24:K43"/>
    </sheetView>
  </sheetViews>
  <sheetFormatPr defaultRowHeight="12.75"/>
  <cols>
    <col min="1" max="1" width="1.5703125" style="9" customWidth="1"/>
    <col min="2" max="6" width="3.5703125" style="9" customWidth="1"/>
    <col min="7" max="7" width="43.85546875" style="9" customWidth="1"/>
    <col min="8" max="8" width="9.42578125" style="9" bestFit="1" customWidth="1"/>
    <col min="9" max="9" width="8" style="9" customWidth="1"/>
    <col min="10" max="10" width="13.5703125" style="9" bestFit="1" customWidth="1"/>
    <col min="11" max="11" width="15.28515625" style="9" customWidth="1"/>
    <col min="12" max="12" width="14.42578125" style="9" bestFit="1" customWidth="1"/>
    <col min="13" max="17" width="6.42578125" style="9" bestFit="1" customWidth="1"/>
    <col min="18" max="18" width="16.7109375" style="9" bestFit="1" customWidth="1"/>
    <col min="19" max="19" width="12.85546875" style="41" bestFit="1" customWidth="1"/>
    <col min="20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 t="s">
        <v>115</v>
      </c>
      <c r="J3" s="3334"/>
      <c r="K3" s="12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70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116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42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ht="15" customHeight="1">
      <c r="B14" s="3462" t="s">
        <v>8</v>
      </c>
      <c r="C14" s="3463"/>
      <c r="D14" s="3463"/>
      <c r="E14" s="3463"/>
      <c r="F14" s="3464"/>
      <c r="G14" s="3445" t="s">
        <v>390</v>
      </c>
      <c r="H14" s="3448"/>
      <c r="I14" s="3450">
        <v>1</v>
      </c>
      <c r="J14" s="3451"/>
      <c r="K14" s="3452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161890000</v>
      </c>
      <c r="J15" s="3454"/>
      <c r="K15" s="3455"/>
    </row>
    <row r="16" spans="2:13" ht="16.5" customHeight="1">
      <c r="B16" s="3439" t="s">
        <v>10</v>
      </c>
      <c r="C16" s="3451"/>
      <c r="D16" s="3451"/>
      <c r="E16" s="3451"/>
      <c r="F16" s="3460"/>
      <c r="G16" s="3445" t="s">
        <v>391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392</v>
      </c>
      <c r="H17" s="3448"/>
      <c r="I17" s="3456">
        <v>1</v>
      </c>
      <c r="J17" s="3457"/>
      <c r="K17" s="3458"/>
    </row>
    <row r="18" spans="2:18">
      <c r="B18" s="3442" t="s">
        <v>117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526"/>
      <c r="M21" s="1526"/>
      <c r="N21" s="1526"/>
      <c r="O21" s="1526"/>
      <c r="P21" s="1526"/>
      <c r="Q21" s="1526"/>
      <c r="R21" s="3378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525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526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856"/>
      <c r="I24" s="17"/>
      <c r="J24" s="454"/>
      <c r="K24" s="47">
        <f>K25</f>
        <v>161890000</v>
      </c>
      <c r="L24" s="305"/>
      <c r="M24" s="305"/>
      <c r="N24" s="305"/>
      <c r="O24" s="305"/>
      <c r="P24" s="305"/>
      <c r="Q24" s="303"/>
      <c r="R24" s="303"/>
    </row>
    <row r="25" spans="2:18" ht="14.25" customHeight="1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856"/>
      <c r="I25" s="17"/>
      <c r="J25" s="454"/>
      <c r="K25" s="47">
        <f>K26+K38</f>
        <v>161890000</v>
      </c>
      <c r="L25" s="305"/>
      <c r="M25" s="305"/>
      <c r="N25" s="305"/>
      <c r="O25" s="305"/>
      <c r="P25" s="305"/>
      <c r="Q25" s="303"/>
      <c r="R25" s="303"/>
    </row>
    <row r="26" spans="2:18">
      <c r="B26" s="36">
        <v>5</v>
      </c>
      <c r="C26" s="37">
        <v>2</v>
      </c>
      <c r="D26" s="37">
        <v>2</v>
      </c>
      <c r="E26" s="38" t="s">
        <v>24</v>
      </c>
      <c r="F26" s="17"/>
      <c r="G26" s="48" t="s">
        <v>69</v>
      </c>
      <c r="H26" s="856"/>
      <c r="I26" s="17"/>
      <c r="J26" s="454"/>
      <c r="K26" s="47">
        <f>K27+K35</f>
        <v>144130000</v>
      </c>
      <c r="L26" s="304"/>
      <c r="M26" s="303"/>
      <c r="N26" s="303"/>
      <c r="O26" s="303"/>
      <c r="P26" s="303"/>
      <c r="Q26" s="303"/>
      <c r="R26" s="303"/>
    </row>
    <row r="27" spans="2:18">
      <c r="B27" s="36">
        <v>5</v>
      </c>
      <c r="C27" s="37">
        <v>2</v>
      </c>
      <c r="D27" s="37">
        <v>2</v>
      </c>
      <c r="E27" s="38" t="s">
        <v>24</v>
      </c>
      <c r="F27" s="38" t="s">
        <v>66</v>
      </c>
      <c r="G27" s="48" t="s">
        <v>118</v>
      </c>
      <c r="H27" s="856"/>
      <c r="I27" s="17"/>
      <c r="J27" s="454"/>
      <c r="K27" s="50">
        <f>SUM(K28:K33)</f>
        <v>123060000</v>
      </c>
      <c r="L27" s="305"/>
      <c r="M27" s="305"/>
      <c r="N27" s="305"/>
      <c r="O27" s="305"/>
      <c r="P27" s="305"/>
      <c r="Q27" s="303"/>
      <c r="R27" s="303"/>
    </row>
    <row r="28" spans="2:18">
      <c r="B28" s="51"/>
      <c r="C28" s="52"/>
      <c r="D28" s="52"/>
      <c r="E28" s="53"/>
      <c r="F28" s="53"/>
      <c r="G28" s="108" t="s">
        <v>829</v>
      </c>
      <c r="H28" s="1209">
        <v>1</v>
      </c>
      <c r="I28" s="1210" t="s">
        <v>147</v>
      </c>
      <c r="J28" s="1211">
        <f>(10080*8500)</f>
        <v>85680000</v>
      </c>
      <c r="K28" s="111">
        <f t="shared" ref="K28:K33" si="0">H28*J28</f>
        <v>85680000</v>
      </c>
      <c r="L28" s="305">
        <f>K28</f>
        <v>85680000</v>
      </c>
      <c r="M28" s="414"/>
      <c r="N28" s="414"/>
      <c r="O28" s="303"/>
      <c r="P28" s="303"/>
      <c r="Q28" s="303"/>
      <c r="R28" s="303"/>
    </row>
    <row r="29" spans="2:18">
      <c r="B29" s="432"/>
      <c r="C29" s="433"/>
      <c r="D29" s="433"/>
      <c r="E29" s="434"/>
      <c r="F29" s="434"/>
      <c r="G29" s="108" t="s">
        <v>830</v>
      </c>
      <c r="H29" s="1209">
        <v>1</v>
      </c>
      <c r="I29" s="1210" t="s">
        <v>147</v>
      </c>
      <c r="J29" s="1211">
        <f>(3000*8500)</f>
        <v>25500000</v>
      </c>
      <c r="K29" s="111">
        <f t="shared" si="0"/>
        <v>25500000</v>
      </c>
      <c r="L29" s="305">
        <f t="shared" ref="L29:L33" si="1">K29</f>
        <v>25500000</v>
      </c>
      <c r="M29" s="414"/>
      <c r="N29" s="414"/>
      <c r="O29" s="385"/>
      <c r="P29" s="385"/>
      <c r="Q29" s="385"/>
      <c r="R29" s="385"/>
    </row>
    <row r="30" spans="2:18">
      <c r="B30" s="22"/>
      <c r="C30" s="23"/>
      <c r="D30" s="23"/>
      <c r="E30" s="24"/>
      <c r="F30" s="24"/>
      <c r="G30" s="1649" t="s">
        <v>223</v>
      </c>
      <c r="H30" s="992">
        <v>210</v>
      </c>
      <c r="I30" s="168" t="s">
        <v>281</v>
      </c>
      <c r="J30" s="817">
        <v>50000</v>
      </c>
      <c r="K30" s="55">
        <f t="shared" si="0"/>
        <v>10500000</v>
      </c>
      <c r="L30" s="305">
        <f t="shared" si="1"/>
        <v>10500000</v>
      </c>
      <c r="M30" s="414"/>
      <c r="N30" s="414"/>
      <c r="O30" s="305"/>
      <c r="P30" s="305"/>
      <c r="Q30" s="303"/>
      <c r="R30" s="303"/>
    </row>
    <row r="31" spans="2:18">
      <c r="B31" s="22"/>
      <c r="C31" s="23"/>
      <c r="D31" s="23"/>
      <c r="E31" s="24"/>
      <c r="F31" s="24"/>
      <c r="G31" s="1649" t="s">
        <v>123</v>
      </c>
      <c r="H31" s="992">
        <v>12</v>
      </c>
      <c r="I31" s="168" t="s">
        <v>281</v>
      </c>
      <c r="J31" s="817">
        <v>50000</v>
      </c>
      <c r="K31" s="55">
        <f t="shared" si="0"/>
        <v>600000</v>
      </c>
      <c r="L31" s="305">
        <f t="shared" si="1"/>
        <v>600000</v>
      </c>
      <c r="M31" s="414"/>
      <c r="N31" s="414"/>
      <c r="O31" s="303"/>
      <c r="P31" s="303"/>
      <c r="Q31" s="303"/>
      <c r="R31" s="303"/>
    </row>
    <row r="32" spans="2:18">
      <c r="B32" s="22"/>
      <c r="C32" s="23"/>
      <c r="D32" s="23"/>
      <c r="E32" s="24"/>
      <c r="F32" s="24"/>
      <c r="G32" s="1649" t="s">
        <v>769</v>
      </c>
      <c r="H32" s="992">
        <v>12</v>
      </c>
      <c r="I32" s="168" t="s">
        <v>281</v>
      </c>
      <c r="J32" s="817">
        <v>50000</v>
      </c>
      <c r="K32" s="55">
        <f t="shared" si="0"/>
        <v>600000</v>
      </c>
      <c r="L32" s="305">
        <f t="shared" si="1"/>
        <v>600000</v>
      </c>
      <c r="M32" s="414"/>
      <c r="N32" s="414"/>
      <c r="O32" s="305"/>
      <c r="P32" s="305"/>
      <c r="Q32" s="303"/>
      <c r="R32" s="303"/>
    </row>
    <row r="33" spans="2:19" ht="15">
      <c r="B33" s="22"/>
      <c r="C33" s="23"/>
      <c r="D33" s="23"/>
      <c r="E33" s="24"/>
      <c r="F33" s="24"/>
      <c r="G33" s="1649" t="s">
        <v>770</v>
      </c>
      <c r="H33" s="992">
        <v>6</v>
      </c>
      <c r="I33" s="168" t="s">
        <v>51</v>
      </c>
      <c r="J33" s="817">
        <v>30000</v>
      </c>
      <c r="K33" s="55">
        <f t="shared" si="0"/>
        <v>180000</v>
      </c>
      <c r="L33" s="305">
        <f t="shared" si="1"/>
        <v>180000</v>
      </c>
      <c r="M33" s="414"/>
      <c r="N33" s="414"/>
      <c r="O33" s="305"/>
      <c r="P33" s="305"/>
      <c r="Q33" s="306"/>
      <c r="R33" s="306"/>
    </row>
    <row r="34" spans="2:19" ht="15">
      <c r="B34" s="22"/>
      <c r="C34" s="23"/>
      <c r="D34" s="23"/>
      <c r="E34" s="24"/>
      <c r="F34" s="24"/>
      <c r="G34" s="32"/>
      <c r="H34" s="355"/>
      <c r="I34" s="58"/>
      <c r="J34" s="818"/>
      <c r="K34" s="55"/>
      <c r="L34" s="305"/>
      <c r="M34" s="447"/>
      <c r="N34" s="330"/>
      <c r="O34" s="330"/>
      <c r="P34" s="330"/>
      <c r="Q34" s="319"/>
      <c r="R34" s="319"/>
    </row>
    <row r="35" spans="2:19" ht="15">
      <c r="B35" s="36">
        <v>5</v>
      </c>
      <c r="C35" s="37">
        <v>2</v>
      </c>
      <c r="D35" s="37">
        <v>2</v>
      </c>
      <c r="E35" s="38" t="s">
        <v>24</v>
      </c>
      <c r="F35" s="38" t="s">
        <v>77</v>
      </c>
      <c r="G35" s="49" t="s">
        <v>221</v>
      </c>
      <c r="H35" s="992"/>
      <c r="I35" s="168"/>
      <c r="J35" s="817"/>
      <c r="K35" s="56">
        <f>K36</f>
        <v>21070000</v>
      </c>
      <c r="L35" s="305"/>
      <c r="M35" s="308"/>
      <c r="N35" s="309"/>
      <c r="O35" s="309"/>
      <c r="P35" s="309"/>
      <c r="Q35" s="306"/>
      <c r="R35" s="306"/>
    </row>
    <row r="36" spans="2:19" ht="15">
      <c r="B36" s="22"/>
      <c r="C36" s="23"/>
      <c r="D36" s="23"/>
      <c r="E36" s="24"/>
      <c r="F36" s="24"/>
      <c r="G36" s="1649" t="s">
        <v>507</v>
      </c>
      <c r="H36" s="1043">
        <v>43</v>
      </c>
      <c r="I36" s="168" t="s">
        <v>614</v>
      </c>
      <c r="J36" s="817">
        <v>490000</v>
      </c>
      <c r="K36" s="55">
        <f>H36*J36</f>
        <v>21070000</v>
      </c>
      <c r="L36" s="305">
        <f>K36</f>
        <v>21070000</v>
      </c>
      <c r="M36" s="663"/>
      <c r="N36" s="571"/>
      <c r="O36" s="306"/>
      <c r="P36" s="306"/>
      <c r="Q36" s="309"/>
      <c r="R36" s="306"/>
    </row>
    <row r="37" spans="2:19" ht="15">
      <c r="B37" s="66"/>
      <c r="C37" s="20"/>
      <c r="D37" s="20"/>
      <c r="E37" s="67"/>
      <c r="F37" s="67"/>
      <c r="G37" s="32"/>
      <c r="H37" s="597"/>
      <c r="I37" s="58"/>
      <c r="J37" s="818"/>
      <c r="K37" s="55"/>
      <c r="L37" s="305"/>
      <c r="M37" s="310"/>
      <c r="N37" s="306"/>
      <c r="O37" s="306"/>
      <c r="P37" s="306"/>
      <c r="Q37" s="306"/>
      <c r="R37" s="306"/>
    </row>
    <row r="38" spans="2:19" ht="15">
      <c r="B38" s="36">
        <v>5</v>
      </c>
      <c r="C38" s="37">
        <v>2</v>
      </c>
      <c r="D38" s="37">
        <v>2</v>
      </c>
      <c r="E38" s="38" t="s">
        <v>25</v>
      </c>
      <c r="F38" s="17"/>
      <c r="G38" s="48" t="s">
        <v>119</v>
      </c>
      <c r="H38" s="933"/>
      <c r="I38" s="58"/>
      <c r="J38" s="818"/>
      <c r="K38" s="56">
        <f>K39</f>
        <v>17760000</v>
      </c>
      <c r="L38" s="305"/>
      <c r="M38" s="310"/>
      <c r="N38" s="306"/>
      <c r="O38" s="306"/>
      <c r="P38" s="306"/>
      <c r="Q38" s="306"/>
      <c r="R38" s="306"/>
    </row>
    <row r="39" spans="2:19" ht="15">
      <c r="B39" s="36">
        <v>5</v>
      </c>
      <c r="C39" s="37">
        <v>2</v>
      </c>
      <c r="D39" s="37">
        <v>2</v>
      </c>
      <c r="E39" s="38" t="s">
        <v>25</v>
      </c>
      <c r="F39" s="38" t="s">
        <v>81</v>
      </c>
      <c r="G39" s="49" t="s">
        <v>122</v>
      </c>
      <c r="H39" s="645"/>
      <c r="I39" s="58"/>
      <c r="J39" s="818"/>
      <c r="K39" s="56">
        <f>SUM(K40:K44)</f>
        <v>17760000</v>
      </c>
      <c r="L39" s="305"/>
      <c r="M39" s="310"/>
      <c r="N39" s="306"/>
      <c r="O39" s="306"/>
      <c r="P39" s="306"/>
      <c r="Q39" s="306"/>
      <c r="R39" s="306"/>
    </row>
    <row r="40" spans="2:19" ht="15">
      <c r="B40" s="346"/>
      <c r="C40" s="371"/>
      <c r="D40" s="371"/>
      <c r="E40" s="372"/>
      <c r="F40" s="372"/>
      <c r="G40" s="907" t="s">
        <v>776</v>
      </c>
      <c r="H40" s="976">
        <v>2</v>
      </c>
      <c r="I40" s="1212" t="s">
        <v>51</v>
      </c>
      <c r="J40" s="1213">
        <v>2400000</v>
      </c>
      <c r="K40" s="55">
        <f>H40*J40</f>
        <v>4800000</v>
      </c>
      <c r="L40" s="305">
        <f>K40</f>
        <v>4800000</v>
      </c>
      <c r="M40" s="811"/>
      <c r="N40" s="1052"/>
      <c r="O40" s="378"/>
      <c r="P40" s="378"/>
      <c r="Q40" s="378"/>
      <c r="R40" s="378"/>
      <c r="S40" s="41">
        <v>2990000</v>
      </c>
    </row>
    <row r="41" spans="2:19" ht="15">
      <c r="B41" s="29"/>
      <c r="C41" s="4"/>
      <c r="D41" s="4"/>
      <c r="E41" s="30"/>
      <c r="F41" s="30"/>
      <c r="G41" s="907" t="s">
        <v>777</v>
      </c>
      <c r="H41" s="976">
        <v>2</v>
      </c>
      <c r="I41" s="1212" t="s">
        <v>107</v>
      </c>
      <c r="J41" s="1213">
        <v>3600000</v>
      </c>
      <c r="K41" s="55">
        <f>H41*J41</f>
        <v>7200000</v>
      </c>
      <c r="L41" s="305">
        <f t="shared" ref="L41:L43" si="2">K41</f>
        <v>7200000</v>
      </c>
      <c r="M41" s="811"/>
      <c r="N41" s="1052"/>
      <c r="O41" s="306"/>
      <c r="P41" s="306"/>
      <c r="Q41" s="306"/>
      <c r="R41" s="306"/>
      <c r="S41" s="41">
        <v>4000000</v>
      </c>
    </row>
    <row r="42" spans="2:19" ht="15">
      <c r="B42" s="29"/>
      <c r="C42" s="4"/>
      <c r="D42" s="4"/>
      <c r="E42" s="30"/>
      <c r="F42" s="30"/>
      <c r="G42" s="1650" t="s">
        <v>949</v>
      </c>
      <c r="H42" s="927">
        <v>1</v>
      </c>
      <c r="I42" s="1214" t="s">
        <v>107</v>
      </c>
      <c r="J42" s="1213">
        <v>2400000</v>
      </c>
      <c r="K42" s="55">
        <f>H42*J42</f>
        <v>2400000</v>
      </c>
      <c r="L42" s="305">
        <f t="shared" si="2"/>
        <v>2400000</v>
      </c>
      <c r="M42" s="811"/>
      <c r="N42" s="1052"/>
      <c r="O42" s="306"/>
      <c r="P42" s="306"/>
      <c r="Q42" s="306"/>
      <c r="R42" s="306"/>
      <c r="S42" s="41">
        <f>S40</f>
        <v>2990000</v>
      </c>
    </row>
    <row r="43" spans="2:19" s="2033" customFormat="1" ht="15">
      <c r="B43" s="2496"/>
      <c r="C43" s="2497"/>
      <c r="D43" s="2497"/>
      <c r="E43" s="2571"/>
      <c r="F43" s="2571"/>
      <c r="G43" s="2572" t="s">
        <v>124</v>
      </c>
      <c r="H43" s="2573">
        <v>12</v>
      </c>
      <c r="I43" s="2574" t="s">
        <v>51</v>
      </c>
      <c r="J43" s="2575">
        <v>280000</v>
      </c>
      <c r="K43" s="2576">
        <f>H43*J43</f>
        <v>3360000</v>
      </c>
      <c r="L43" s="2577">
        <f t="shared" si="2"/>
        <v>3360000</v>
      </c>
      <c r="M43" s="2578"/>
      <c r="N43" s="2579"/>
      <c r="O43" s="2580"/>
      <c r="P43" s="2580"/>
      <c r="Q43" s="2580"/>
      <c r="R43" s="2580"/>
      <c r="S43" s="2040"/>
    </row>
    <row r="44" spans="2:19" ht="15">
      <c r="B44" s="458"/>
      <c r="C44" s="380"/>
      <c r="D44" s="380"/>
      <c r="E44" s="459"/>
      <c r="F44" s="459"/>
      <c r="G44" s="642"/>
      <c r="H44" s="993"/>
      <c r="I44" s="460"/>
      <c r="J44" s="819"/>
      <c r="K44" s="55">
        <f>H44*J44</f>
        <v>0</v>
      </c>
      <c r="L44" s="305"/>
      <c r="N44" s="378"/>
      <c r="O44" s="378"/>
      <c r="P44" s="378"/>
      <c r="Q44" s="378"/>
      <c r="R44" s="378"/>
    </row>
    <row r="45" spans="2:19" ht="15" customHeight="1" thickBot="1">
      <c r="B45" s="3289" t="s">
        <v>30</v>
      </c>
      <c r="C45" s="3290"/>
      <c r="D45" s="3290"/>
      <c r="E45" s="3290"/>
      <c r="F45" s="3290"/>
      <c r="G45" s="3290"/>
      <c r="H45" s="3290"/>
      <c r="I45" s="3290"/>
      <c r="J45" s="3291"/>
      <c r="K45" s="63">
        <f>K24</f>
        <v>161890000</v>
      </c>
      <c r="L45" s="305">
        <f t="shared" ref="L45:Q45" si="3">SUM(L28:L44)</f>
        <v>161890000</v>
      </c>
      <c r="M45" s="305">
        <f t="shared" si="3"/>
        <v>0</v>
      </c>
      <c r="N45" s="305">
        <f t="shared" si="3"/>
        <v>0</v>
      </c>
      <c r="O45" s="305">
        <f t="shared" si="3"/>
        <v>0</v>
      </c>
      <c r="P45" s="305">
        <f t="shared" si="3"/>
        <v>0</v>
      </c>
      <c r="Q45" s="305">
        <f t="shared" si="3"/>
        <v>0</v>
      </c>
      <c r="R45" s="314">
        <f>SUM(L45:Q45)</f>
        <v>161890000</v>
      </c>
    </row>
    <row r="46" spans="2:19" ht="15" customHeight="1" thickTop="1">
      <c r="B46" s="890"/>
      <c r="C46" s="890"/>
      <c r="D46" s="890"/>
      <c r="E46" s="890"/>
      <c r="F46" s="890"/>
      <c r="G46" s="890"/>
      <c r="H46" s="890"/>
      <c r="I46" s="890"/>
      <c r="J46" s="890"/>
      <c r="K46" s="891"/>
      <c r="L46" s="377"/>
      <c r="M46" s="564"/>
      <c r="N46" s="377"/>
      <c r="O46" s="377"/>
      <c r="P46" s="377"/>
      <c r="Q46" s="377"/>
      <c r="R46" s="561"/>
    </row>
    <row r="47" spans="2:19" ht="15" customHeight="1">
      <c r="B47" s="890"/>
      <c r="C47" s="890"/>
      <c r="D47" s="890"/>
      <c r="E47" s="890"/>
      <c r="F47" s="890"/>
      <c r="G47" s="890"/>
      <c r="H47" s="890"/>
      <c r="I47" s="890"/>
      <c r="J47" s="890"/>
      <c r="K47" s="891"/>
      <c r="L47" s="564"/>
      <c r="M47" s="564"/>
      <c r="N47" s="377"/>
      <c r="O47" s="377"/>
      <c r="P47" s="377"/>
      <c r="Q47" s="377"/>
      <c r="R47" s="561"/>
    </row>
    <row r="48" spans="2:19" ht="15">
      <c r="H48" s="3336" t="s">
        <v>1534</v>
      </c>
      <c r="I48" s="3336"/>
      <c r="J48" s="3336"/>
      <c r="K48" s="8"/>
      <c r="L48" s="564"/>
      <c r="M48" s="310"/>
      <c r="N48" s="306"/>
      <c r="O48" s="306"/>
      <c r="P48" s="306"/>
      <c r="Q48" s="306"/>
      <c r="R48" s="306"/>
    </row>
    <row r="49" spans="8:18" ht="15">
      <c r="H49" s="3337" t="s">
        <v>272</v>
      </c>
      <c r="I49" s="3337"/>
      <c r="J49" s="3485"/>
      <c r="K49" s="937"/>
      <c r="L49" s="564"/>
      <c r="M49" s="310"/>
      <c r="N49" s="306"/>
      <c r="O49" s="306"/>
      <c r="P49" s="306"/>
      <c r="Q49" s="306"/>
      <c r="R49" s="306"/>
    </row>
    <row r="50" spans="8:18" ht="15">
      <c r="H50" s="127"/>
      <c r="I50" s="127"/>
      <c r="J50" s="127"/>
      <c r="K50" s="8"/>
      <c r="L50" s="564"/>
      <c r="M50" s="310"/>
      <c r="N50" s="306"/>
      <c r="O50" s="306"/>
      <c r="P50" s="306"/>
      <c r="Q50" s="306"/>
      <c r="R50" s="306"/>
    </row>
    <row r="51" spans="8:18" ht="15">
      <c r="H51" s="127"/>
      <c r="I51" s="127"/>
      <c r="J51" s="127"/>
      <c r="K51" s="8"/>
      <c r="L51" s="564"/>
      <c r="M51" s="310"/>
      <c r="N51" s="306"/>
      <c r="O51" s="306"/>
      <c r="P51" s="306"/>
      <c r="Q51" s="306"/>
      <c r="R51" s="306"/>
    </row>
    <row r="52" spans="8:18" ht="15">
      <c r="H52" s="3434" t="s">
        <v>904</v>
      </c>
      <c r="I52" s="3434"/>
      <c r="J52" s="3434"/>
      <c r="K52" s="8"/>
      <c r="L52" s="564"/>
      <c r="M52" s="310"/>
      <c r="N52" s="306"/>
      <c r="O52" s="306"/>
      <c r="P52" s="306"/>
      <c r="Q52" s="306"/>
      <c r="R52" s="306"/>
    </row>
    <row r="53" spans="8:18" ht="15">
      <c r="H53" s="3434" t="s">
        <v>906</v>
      </c>
      <c r="I53" s="3434"/>
      <c r="J53" s="3434"/>
      <c r="K53" s="8"/>
      <c r="L53" s="564"/>
      <c r="M53" s="310"/>
      <c r="N53" s="306"/>
      <c r="O53" s="306"/>
      <c r="P53" s="306"/>
      <c r="Q53" s="306"/>
      <c r="R53" s="306"/>
    </row>
    <row r="54" spans="8:18">
      <c r="K54" s="157">
        <v>570000000</v>
      </c>
    </row>
    <row r="55" spans="8:18">
      <c r="K55" s="1161">
        <f>K45-K54</f>
        <v>-408110000</v>
      </c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4:K4"/>
    <mergeCell ref="B5:F5"/>
    <mergeCell ref="G5:K5"/>
    <mergeCell ref="B8:F8"/>
    <mergeCell ref="G8:K8"/>
    <mergeCell ref="G9:K9"/>
    <mergeCell ref="B6:F6"/>
    <mergeCell ref="G6:K6"/>
    <mergeCell ref="B7:F7"/>
    <mergeCell ref="G7:K7"/>
    <mergeCell ref="B12:K12"/>
    <mergeCell ref="B13:F13"/>
    <mergeCell ref="G13:H13"/>
    <mergeCell ref="I13:K13"/>
    <mergeCell ref="B10:F10"/>
    <mergeCell ref="G10:K10"/>
    <mergeCell ref="B11:F11"/>
    <mergeCell ref="G11:K11"/>
    <mergeCell ref="B15:F15"/>
    <mergeCell ref="G15:H15"/>
    <mergeCell ref="I15:K15"/>
    <mergeCell ref="B14:F14"/>
    <mergeCell ref="G14:H14"/>
    <mergeCell ref="I14:K14"/>
    <mergeCell ref="B17:F17"/>
    <mergeCell ref="G17:H17"/>
    <mergeCell ref="I17:K17"/>
    <mergeCell ref="B16:F16"/>
    <mergeCell ref="G16:H16"/>
    <mergeCell ref="I16:K16"/>
    <mergeCell ref="B18:K18"/>
    <mergeCell ref="B19:K20"/>
    <mergeCell ref="B21:F22"/>
    <mergeCell ref="G21:G22"/>
    <mergeCell ref="H21:J21"/>
    <mergeCell ref="H48:J48"/>
    <mergeCell ref="H49:J49"/>
    <mergeCell ref="H52:J52"/>
    <mergeCell ref="H53:J53"/>
    <mergeCell ref="B23:F23"/>
    <mergeCell ref="B45:J45"/>
  </mergeCells>
  <pageMargins left="0.11811023622047245" right="0.23622047244094491" top="0.74803149606299213" bottom="1.4566929133858268" header="0.23622047244094491" footer="0.15748031496062992"/>
  <pageSetup paperSize="5" scale="94" orientation="portrait" horizontalDpi="4294967293" verticalDpi="4294967293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B1:T38"/>
  <sheetViews>
    <sheetView view="pageBreakPreview" topLeftCell="A13" zoomScale="110" zoomScaleNormal="115" zoomScaleSheetLayoutView="110" workbookViewId="0">
      <selection activeCell="B24" sqref="B24:K28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6" width="3.5703125" style="9" customWidth="1"/>
    <col min="7" max="7" width="37.7109375" style="9" bestFit="1" customWidth="1"/>
    <col min="8" max="8" width="9.42578125" style="9" bestFit="1" customWidth="1"/>
    <col min="9" max="9" width="8" style="9" customWidth="1"/>
    <col min="10" max="10" width="13.42578125" style="9" customWidth="1"/>
    <col min="11" max="11" width="13.85546875" style="9" customWidth="1"/>
    <col min="12" max="12" width="13.5703125" style="9" bestFit="1" customWidth="1"/>
    <col min="13" max="13" width="11.5703125" style="9" bestFit="1" customWidth="1"/>
    <col min="14" max="17" width="6.42578125" style="9" bestFit="1" customWidth="1"/>
    <col min="18" max="18" width="16.42578125" style="9" bestFit="1" customWidth="1"/>
    <col min="19" max="19" width="14.28515625" style="9" bestFit="1" customWidth="1"/>
    <col min="20" max="20" width="12.85546875" style="9" bestFit="1" customWidth="1"/>
    <col min="21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19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6.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70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196</v>
      </c>
      <c r="H8" s="3339"/>
      <c r="I8" s="3339"/>
      <c r="J8" s="3339"/>
      <c r="K8" s="3340"/>
      <c r="M8" s="9">
        <v>55</v>
      </c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>
        <v>10000</v>
      </c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>
        <f>M8*M9</f>
        <v>550000</v>
      </c>
    </row>
    <row r="11" spans="2:13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>
      <c r="B14" s="3462" t="s">
        <v>8</v>
      </c>
      <c r="C14" s="3463"/>
      <c r="D14" s="3463"/>
      <c r="E14" s="3463"/>
      <c r="F14" s="3464"/>
      <c r="G14" s="3445" t="s">
        <v>393</v>
      </c>
      <c r="H14" s="3446"/>
      <c r="I14" s="3447">
        <v>1</v>
      </c>
      <c r="J14" s="3448"/>
      <c r="K14" s="3449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10800000</v>
      </c>
      <c r="J15" s="3454"/>
      <c r="K15" s="3455"/>
    </row>
    <row r="16" spans="2:13" ht="16.5" customHeight="1">
      <c r="B16" s="3439" t="s">
        <v>10</v>
      </c>
      <c r="C16" s="3451"/>
      <c r="D16" s="3451"/>
      <c r="E16" s="3451"/>
      <c r="F16" s="3460"/>
      <c r="G16" s="3445" t="s">
        <v>395</v>
      </c>
      <c r="H16" s="3448"/>
      <c r="I16" s="3456">
        <v>1</v>
      </c>
      <c r="J16" s="3457"/>
      <c r="K16" s="3458"/>
    </row>
    <row r="17" spans="2:20">
      <c r="B17" s="3439" t="s">
        <v>11</v>
      </c>
      <c r="C17" s="3451"/>
      <c r="D17" s="3451"/>
      <c r="E17" s="3451"/>
      <c r="F17" s="3460"/>
      <c r="G17" s="3445" t="s">
        <v>394</v>
      </c>
      <c r="H17" s="3446"/>
      <c r="I17" s="3456">
        <v>1</v>
      </c>
      <c r="J17" s="3457"/>
      <c r="K17" s="3458"/>
    </row>
    <row r="18" spans="2:20" ht="16.5" customHeight="1">
      <c r="B18" s="3482" t="s">
        <v>191</v>
      </c>
      <c r="C18" s="3489"/>
      <c r="D18" s="3489"/>
      <c r="E18" s="3489"/>
      <c r="F18" s="3489"/>
      <c r="G18" s="3489"/>
      <c r="H18" s="3489"/>
      <c r="I18" s="3489"/>
      <c r="J18" s="3489"/>
      <c r="K18" s="3483"/>
    </row>
    <row r="19" spans="2:20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20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20" ht="16.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188"/>
      <c r="M21" s="1188"/>
      <c r="N21" s="1188"/>
      <c r="O21" s="1188"/>
      <c r="P21" s="1188"/>
      <c r="Q21" s="1188"/>
      <c r="R21" s="3378"/>
    </row>
    <row r="22" spans="2:20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187" t="s">
        <v>177</v>
      </c>
      <c r="M22" s="1187" t="s">
        <v>594</v>
      </c>
      <c r="N22" s="1187" t="s">
        <v>651</v>
      </c>
      <c r="O22" s="1187" t="s">
        <v>595</v>
      </c>
      <c r="P22" s="1187" t="s">
        <v>652</v>
      </c>
      <c r="Q22" s="1187" t="s">
        <v>593</v>
      </c>
      <c r="R22" s="3379"/>
    </row>
    <row r="23" spans="2:20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188">
        <v>6</v>
      </c>
      <c r="M23" s="1188">
        <v>7</v>
      </c>
      <c r="N23" s="1188">
        <v>8</v>
      </c>
      <c r="O23" s="1188">
        <v>9</v>
      </c>
      <c r="P23" s="1188">
        <v>10</v>
      </c>
      <c r="Q23" s="1188">
        <v>11</v>
      </c>
      <c r="R23" s="1188">
        <v>12</v>
      </c>
    </row>
    <row r="24" spans="2:20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856"/>
      <c r="I24" s="17"/>
      <c r="J24" s="46"/>
      <c r="K24" s="47">
        <f>K25</f>
        <v>10800000</v>
      </c>
      <c r="L24" s="305"/>
      <c r="M24" s="305"/>
      <c r="N24" s="305"/>
      <c r="O24" s="305"/>
      <c r="P24" s="305"/>
      <c r="Q24" s="303"/>
      <c r="R24" s="303"/>
    </row>
    <row r="25" spans="2:20" ht="14.25" customHeight="1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856"/>
      <c r="I25" s="17"/>
      <c r="J25" s="46"/>
      <c r="K25" s="47">
        <f>K26</f>
        <v>10800000</v>
      </c>
      <c r="L25" s="305"/>
      <c r="M25" s="305"/>
      <c r="N25" s="305"/>
      <c r="O25" s="305"/>
      <c r="P25" s="305"/>
      <c r="Q25" s="303"/>
      <c r="R25" s="303"/>
    </row>
    <row r="26" spans="2:20" ht="15" customHeight="1">
      <c r="B26" s="43">
        <v>5</v>
      </c>
      <c r="C26" s="17">
        <v>2</v>
      </c>
      <c r="D26" s="17">
        <v>2</v>
      </c>
      <c r="E26" s="65" t="s">
        <v>44</v>
      </c>
      <c r="F26" s="17"/>
      <c r="G26" s="44" t="s">
        <v>45</v>
      </c>
      <c r="H26" s="856"/>
      <c r="I26" s="17"/>
      <c r="J26" s="46"/>
      <c r="K26" s="47">
        <f>K27</f>
        <v>10800000</v>
      </c>
      <c r="L26" s="304"/>
      <c r="M26" s="303"/>
      <c r="N26" s="303"/>
      <c r="O26" s="303"/>
      <c r="P26" s="303"/>
      <c r="Q26" s="303"/>
      <c r="R26" s="303"/>
    </row>
    <row r="27" spans="2:20">
      <c r="B27" s="19">
        <v>5</v>
      </c>
      <c r="C27" s="15">
        <v>2</v>
      </c>
      <c r="D27" s="15">
        <v>2</v>
      </c>
      <c r="E27" s="28" t="s">
        <v>44</v>
      </c>
      <c r="F27" s="28" t="s">
        <v>80</v>
      </c>
      <c r="G27" s="44" t="s">
        <v>197</v>
      </c>
      <c r="H27" s="856"/>
      <c r="I27" s="17"/>
      <c r="J27" s="46"/>
      <c r="K27" s="50">
        <f>SUM(K28:K29)</f>
        <v>10800000</v>
      </c>
      <c r="L27" s="305"/>
      <c r="M27" s="305"/>
      <c r="N27" s="305"/>
      <c r="O27" s="305"/>
      <c r="P27" s="305"/>
      <c r="Q27" s="303"/>
      <c r="R27" s="303"/>
    </row>
    <row r="28" spans="2:20">
      <c r="B28" s="51"/>
      <c r="C28" s="52"/>
      <c r="D28" s="52"/>
      <c r="E28" s="53"/>
      <c r="F28" s="53"/>
      <c r="G28" s="994" t="s">
        <v>1866</v>
      </c>
      <c r="H28" s="995">
        <f>12*10*30</f>
        <v>3600</v>
      </c>
      <c r="I28" s="40" t="s">
        <v>1274</v>
      </c>
      <c r="J28" s="172">
        <v>3000</v>
      </c>
      <c r="K28" s="111">
        <f>H28*J28</f>
        <v>10800000</v>
      </c>
      <c r="L28" s="305">
        <f>K28</f>
        <v>10800000</v>
      </c>
      <c r="M28" s="303"/>
      <c r="N28" s="414"/>
      <c r="O28" s="303"/>
      <c r="P28" s="303"/>
      <c r="Q28" s="303"/>
      <c r="R28" s="303"/>
    </row>
    <row r="29" spans="2:20">
      <c r="B29" s="441"/>
      <c r="C29" s="396"/>
      <c r="D29" s="396"/>
      <c r="E29" s="442"/>
      <c r="F29" s="442"/>
      <c r="G29" s="391"/>
      <c r="H29" s="444"/>
      <c r="I29" s="380"/>
      <c r="J29" s="445"/>
      <c r="K29" s="583"/>
      <c r="L29" s="377"/>
      <c r="M29" s="377"/>
      <c r="N29" s="377"/>
      <c r="O29" s="377"/>
      <c r="P29" s="377"/>
      <c r="Q29" s="385"/>
      <c r="R29" s="385"/>
    </row>
    <row r="30" spans="2:20" ht="15" customHeight="1" thickBot="1">
      <c r="B30" s="3289" t="s">
        <v>30</v>
      </c>
      <c r="C30" s="3290"/>
      <c r="D30" s="3290"/>
      <c r="E30" s="3290"/>
      <c r="F30" s="3290"/>
      <c r="G30" s="3290"/>
      <c r="H30" s="3290"/>
      <c r="I30" s="3290"/>
      <c r="J30" s="3291"/>
      <c r="K30" s="63">
        <f>K24</f>
        <v>10800000</v>
      </c>
      <c r="L30" s="318">
        <f t="shared" ref="L30:Q30" si="0">SUM(L28:L29)</f>
        <v>10800000</v>
      </c>
      <c r="M30" s="318">
        <f t="shared" si="0"/>
        <v>0</v>
      </c>
      <c r="N30" s="318">
        <f t="shared" si="0"/>
        <v>0</v>
      </c>
      <c r="O30" s="318">
        <f t="shared" si="0"/>
        <v>0</v>
      </c>
      <c r="P30" s="318">
        <f t="shared" si="0"/>
        <v>0</v>
      </c>
      <c r="Q30" s="318">
        <f t="shared" si="0"/>
        <v>0</v>
      </c>
      <c r="R30" s="387">
        <f>SUM(L30:Q30)</f>
        <v>10800000</v>
      </c>
      <c r="S30" s="41">
        <v>35250000</v>
      </c>
      <c r="T30" s="57">
        <f>S30-K30</f>
        <v>24450000</v>
      </c>
    </row>
    <row r="31" spans="2:20" ht="15" customHeight="1" thickTop="1">
      <c r="B31" s="890"/>
      <c r="C31" s="890"/>
      <c r="D31" s="890"/>
      <c r="E31" s="890"/>
      <c r="F31" s="890"/>
      <c r="G31" s="890"/>
      <c r="H31" s="890"/>
      <c r="I31" s="890"/>
      <c r="J31" s="890"/>
      <c r="K31" s="891"/>
      <c r="L31" s="318"/>
      <c r="M31" s="386"/>
      <c r="N31" s="330"/>
      <c r="O31" s="330"/>
      <c r="P31" s="330"/>
      <c r="Q31" s="319"/>
      <c r="R31" s="387"/>
    </row>
    <row r="32" spans="2:20" ht="15">
      <c r="L32" s="305"/>
      <c r="M32" s="308"/>
      <c r="N32" s="309"/>
      <c r="O32" s="309"/>
      <c r="P32" s="309"/>
      <c r="Q32" s="306"/>
      <c r="R32" s="306"/>
    </row>
    <row r="33" spans="8:18" ht="15">
      <c r="H33" s="3336" t="s">
        <v>1534</v>
      </c>
      <c r="I33" s="3336"/>
      <c r="J33" s="3336"/>
      <c r="K33" s="8"/>
      <c r="L33" s="564"/>
      <c r="M33" s="310"/>
      <c r="N33" s="306"/>
      <c r="O33" s="306"/>
      <c r="P33" s="306"/>
      <c r="Q33" s="309"/>
      <c r="R33" s="306"/>
    </row>
    <row r="34" spans="8:18" ht="15">
      <c r="H34" s="3337" t="s">
        <v>272</v>
      </c>
      <c r="I34" s="3337"/>
      <c r="J34" s="3485"/>
      <c r="K34" s="8"/>
      <c r="L34" s="564"/>
      <c r="M34" s="305"/>
      <c r="N34" s="305"/>
      <c r="O34" s="305"/>
      <c r="P34" s="305"/>
      <c r="Q34" s="306"/>
      <c r="R34" s="316"/>
    </row>
    <row r="35" spans="8:18" ht="15">
      <c r="H35" s="127"/>
      <c r="I35" s="127"/>
      <c r="J35" s="127"/>
      <c r="K35" s="8"/>
      <c r="L35" s="564"/>
      <c r="M35" s="308"/>
      <c r="N35" s="309"/>
      <c r="O35" s="309"/>
      <c r="P35" s="309"/>
      <c r="Q35" s="306"/>
      <c r="R35" s="306"/>
    </row>
    <row r="36" spans="8:18" ht="15">
      <c r="H36" s="127"/>
      <c r="I36" s="127"/>
      <c r="J36" s="127"/>
      <c r="K36" s="8"/>
      <c r="L36" s="564"/>
      <c r="M36" s="311"/>
      <c r="N36" s="312"/>
      <c r="O36" s="312"/>
      <c r="P36" s="312"/>
      <c r="Q36" s="306"/>
      <c r="R36" s="306"/>
    </row>
    <row r="37" spans="8:18" ht="15">
      <c r="H37" s="3434" t="s">
        <v>904</v>
      </c>
      <c r="I37" s="3434"/>
      <c r="J37" s="3434"/>
      <c r="K37" s="8"/>
      <c r="L37" s="564"/>
      <c r="M37" s="313"/>
      <c r="N37" s="314"/>
      <c r="O37" s="314"/>
      <c r="P37" s="314"/>
      <c r="Q37" s="306"/>
      <c r="R37" s="306"/>
    </row>
    <row r="38" spans="8:18" ht="15">
      <c r="H38" s="3434" t="s">
        <v>906</v>
      </c>
      <c r="I38" s="3434"/>
      <c r="J38" s="3434"/>
      <c r="K38" s="8"/>
      <c r="L38" s="564"/>
      <c r="M38" s="310"/>
      <c r="N38" s="306"/>
      <c r="O38" s="306"/>
      <c r="P38" s="306"/>
      <c r="Q38" s="306"/>
      <c r="R38" s="306"/>
    </row>
  </sheetData>
  <mergeCells count="49">
    <mergeCell ref="L20:Q20"/>
    <mergeCell ref="R20:R22"/>
    <mergeCell ref="B23:F23"/>
    <mergeCell ref="B30:J30"/>
    <mergeCell ref="B17:F17"/>
    <mergeCell ref="G17:H17"/>
    <mergeCell ref="I17:K17"/>
    <mergeCell ref="B18:K18"/>
    <mergeCell ref="B19:K20"/>
    <mergeCell ref="B16:F16"/>
    <mergeCell ref="G16:H16"/>
    <mergeCell ref="I16:K16"/>
    <mergeCell ref="B21:F22"/>
    <mergeCell ref="G21:G22"/>
    <mergeCell ref="H21:J21"/>
    <mergeCell ref="B14:F14"/>
    <mergeCell ref="G14:H14"/>
    <mergeCell ref="I14:K14"/>
    <mergeCell ref="B15:F15"/>
    <mergeCell ref="G15:H15"/>
    <mergeCell ref="I15:K15"/>
    <mergeCell ref="G9:K9"/>
    <mergeCell ref="B10:F10"/>
    <mergeCell ref="G10:K10"/>
    <mergeCell ref="B12:K12"/>
    <mergeCell ref="B13:F13"/>
    <mergeCell ref="G13:H13"/>
    <mergeCell ref="I13:K13"/>
    <mergeCell ref="G6:K6"/>
    <mergeCell ref="B7:F7"/>
    <mergeCell ref="G7:K7"/>
    <mergeCell ref="B8:F8"/>
    <mergeCell ref="G8:K8"/>
    <mergeCell ref="H33:J33"/>
    <mergeCell ref="H34:J34"/>
    <mergeCell ref="H37:J37"/>
    <mergeCell ref="H38:J38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</mergeCells>
  <pageMargins left="0.12" right="0.22" top="0.54" bottom="0.3" header="0.3" footer="0.13"/>
  <pageSetup paperSize="5" scale="97" orientation="portrait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7030A0"/>
  </sheetPr>
  <dimension ref="B1:T45"/>
  <sheetViews>
    <sheetView view="pageBreakPreview" topLeftCell="A16" zoomScale="110" zoomScaleNormal="115" zoomScaleSheetLayoutView="110" workbookViewId="0">
      <selection activeCell="G8" sqref="G8:K8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4" width="3.140625" style="9" customWidth="1"/>
    <col min="5" max="5" width="2.85546875" style="9" customWidth="1"/>
    <col min="6" max="6" width="3.28515625" style="9" customWidth="1"/>
    <col min="7" max="7" width="37.7109375" style="9" customWidth="1"/>
    <col min="8" max="8" width="9.42578125" style="9" bestFit="1" customWidth="1"/>
    <col min="9" max="9" width="8" style="9" customWidth="1"/>
    <col min="10" max="10" width="13.42578125" style="9" customWidth="1"/>
    <col min="11" max="11" width="15.5703125" style="9" customWidth="1"/>
    <col min="12" max="12" width="13.5703125" style="9" bestFit="1" customWidth="1"/>
    <col min="13" max="17" width="6.42578125" style="9" bestFit="1" customWidth="1"/>
    <col min="18" max="18" width="15.7109375" style="9" bestFit="1" customWidth="1"/>
    <col min="19" max="19" width="14.28515625" style="9" bestFit="1" customWidth="1"/>
    <col min="20" max="20" width="12.85546875" style="9" bestFit="1" customWidth="1"/>
    <col min="21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467" t="s">
        <v>31</v>
      </c>
      <c r="C5" s="3312"/>
      <c r="D5" s="3312"/>
      <c r="E5" s="3312"/>
      <c r="F5" s="3312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70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180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ht="15" customHeight="1">
      <c r="B14" s="3462" t="s">
        <v>8</v>
      </c>
      <c r="C14" s="3463"/>
      <c r="D14" s="3463"/>
      <c r="E14" s="3463"/>
      <c r="F14" s="3464"/>
      <c r="G14" s="3445" t="s">
        <v>181</v>
      </c>
      <c r="H14" s="3448"/>
      <c r="I14" s="3450">
        <v>1</v>
      </c>
      <c r="J14" s="3451"/>
      <c r="K14" s="3452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35800000</v>
      </c>
      <c r="J15" s="3454"/>
      <c r="K15" s="3455"/>
    </row>
    <row r="16" spans="2:13" ht="28.5" customHeight="1">
      <c r="B16" s="3439" t="s">
        <v>10</v>
      </c>
      <c r="C16" s="3451"/>
      <c r="D16" s="3451"/>
      <c r="E16" s="3451"/>
      <c r="F16" s="3460"/>
      <c r="G16" s="3445" t="s">
        <v>396</v>
      </c>
      <c r="H16" s="3446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397</v>
      </c>
      <c r="H17" s="3448"/>
      <c r="I17" s="3456">
        <v>1</v>
      </c>
      <c r="J17" s="3457"/>
      <c r="K17" s="3458"/>
    </row>
    <row r="18" spans="2:18">
      <c r="B18" s="3442" t="s">
        <v>332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990"/>
      <c r="M21" s="990"/>
      <c r="N21" s="990"/>
      <c r="O21" s="990"/>
      <c r="P21" s="990"/>
      <c r="Q21" s="990"/>
      <c r="R21" s="3378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989" t="s">
        <v>177</v>
      </c>
      <c r="M22" s="989" t="s">
        <v>594</v>
      </c>
      <c r="N22" s="989" t="s">
        <v>651</v>
      </c>
      <c r="O22" s="989" t="s">
        <v>595</v>
      </c>
      <c r="P22" s="989" t="s">
        <v>652</v>
      </c>
      <c r="Q22" s="989" t="s">
        <v>593</v>
      </c>
      <c r="R22" s="3379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990">
        <v>6</v>
      </c>
      <c r="M23" s="990">
        <v>7</v>
      </c>
      <c r="N23" s="990">
        <v>8</v>
      </c>
      <c r="O23" s="990">
        <v>9</v>
      </c>
      <c r="P23" s="990">
        <v>10</v>
      </c>
      <c r="Q23" s="990">
        <v>11</v>
      </c>
      <c r="R23" s="990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K25</f>
        <v>35800000</v>
      </c>
      <c r="L24" s="305"/>
      <c r="M24" s="305"/>
      <c r="N24" s="305"/>
      <c r="O24" s="305"/>
      <c r="P24" s="305"/>
      <c r="Q24" s="303"/>
      <c r="R24" s="303"/>
    </row>
    <row r="25" spans="2:18" ht="14.25" customHeight="1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856"/>
      <c r="I25" s="17"/>
      <c r="J25" s="46"/>
      <c r="K25" s="47">
        <f>K26</f>
        <v>35800000</v>
      </c>
      <c r="L25" s="305"/>
      <c r="M25" s="305"/>
      <c r="N25" s="305"/>
      <c r="O25" s="305"/>
      <c r="P25" s="305"/>
      <c r="Q25" s="303"/>
      <c r="R25" s="303"/>
    </row>
    <row r="26" spans="2:18">
      <c r="B26" s="36">
        <v>5</v>
      </c>
      <c r="C26" s="37">
        <v>2</v>
      </c>
      <c r="D26" s="37">
        <v>2</v>
      </c>
      <c r="E26" s="38">
        <v>11</v>
      </c>
      <c r="F26" s="65"/>
      <c r="G26" s="48" t="s">
        <v>182</v>
      </c>
      <c r="H26" s="856"/>
      <c r="I26" s="17"/>
      <c r="J26" s="46"/>
      <c r="K26" s="47">
        <f>K27+K32</f>
        <v>35800000</v>
      </c>
      <c r="L26" s="304"/>
      <c r="M26" s="303"/>
      <c r="N26" s="303"/>
      <c r="O26" s="303"/>
      <c r="P26" s="303"/>
      <c r="Q26" s="303"/>
      <c r="R26" s="303"/>
    </row>
    <row r="27" spans="2:18">
      <c r="B27" s="36">
        <v>5</v>
      </c>
      <c r="C27" s="37">
        <v>2</v>
      </c>
      <c r="D27" s="37">
        <v>2</v>
      </c>
      <c r="E27" s="38">
        <v>11</v>
      </c>
      <c r="F27" s="38" t="s">
        <v>25</v>
      </c>
      <c r="G27" s="49" t="s">
        <v>183</v>
      </c>
      <c r="H27" s="857"/>
      <c r="I27" s="4"/>
      <c r="J27" s="61"/>
      <c r="K27" s="56">
        <f>SUM(K28:K30)</f>
        <v>34430000</v>
      </c>
      <c r="L27" s="305"/>
      <c r="M27" s="305"/>
      <c r="N27" s="305"/>
      <c r="O27" s="305"/>
      <c r="P27" s="305"/>
      <c r="Q27" s="303"/>
      <c r="R27" s="303"/>
    </row>
    <row r="28" spans="2:18">
      <c r="B28" s="29"/>
      <c r="C28" s="59"/>
      <c r="D28" s="59"/>
      <c r="E28" s="60"/>
      <c r="F28" s="60"/>
      <c r="G28" s="32" t="s">
        <v>609</v>
      </c>
      <c r="H28" s="857"/>
      <c r="I28" s="4"/>
      <c r="J28" s="61"/>
      <c r="K28" s="55">
        <f>H28*J28</f>
        <v>0</v>
      </c>
      <c r="L28" s="305"/>
      <c r="M28" s="303"/>
      <c r="N28" s="303"/>
      <c r="O28" s="303"/>
      <c r="P28" s="303"/>
      <c r="Q28" s="303"/>
      <c r="R28" s="303"/>
    </row>
    <row r="29" spans="2:18">
      <c r="B29" s="29"/>
      <c r="C29" s="59"/>
      <c r="D29" s="59"/>
      <c r="E29" s="60"/>
      <c r="F29" s="60"/>
      <c r="G29" s="32" t="s">
        <v>1192</v>
      </c>
      <c r="H29" s="857">
        <f>17*11*3</f>
        <v>561</v>
      </c>
      <c r="I29" s="4" t="s">
        <v>375</v>
      </c>
      <c r="J29" s="61">
        <v>30000</v>
      </c>
      <c r="K29" s="55">
        <f>H29*J29</f>
        <v>16830000</v>
      </c>
      <c r="L29" s="305">
        <f>K29</f>
        <v>16830000</v>
      </c>
      <c r="M29" s="305"/>
      <c r="N29" s="305"/>
      <c r="O29" s="305"/>
      <c r="P29" s="305"/>
      <c r="Q29" s="303"/>
      <c r="R29" s="303"/>
    </row>
    <row r="30" spans="2:18" ht="25.5">
      <c r="B30" s="29"/>
      <c r="C30" s="59"/>
      <c r="D30" s="59"/>
      <c r="E30" s="60"/>
      <c r="F30" s="60"/>
      <c r="G30" s="32" t="s">
        <v>1191</v>
      </c>
      <c r="H30" s="995">
        <f>16*11*4</f>
        <v>704</v>
      </c>
      <c r="I30" s="40" t="s">
        <v>50</v>
      </c>
      <c r="J30" s="241">
        <v>25000</v>
      </c>
      <c r="K30" s="111">
        <f>(H30*J30)</f>
        <v>17600000</v>
      </c>
      <c r="L30" s="305">
        <f>K30</f>
        <v>17600000</v>
      </c>
      <c r="M30" s="303"/>
      <c r="N30" s="305"/>
      <c r="O30" s="303"/>
      <c r="P30" s="303"/>
      <c r="Q30" s="303"/>
      <c r="R30" s="303"/>
    </row>
    <row r="31" spans="2:18" ht="15">
      <c r="B31" s="29"/>
      <c r="C31" s="59"/>
      <c r="D31" s="59"/>
      <c r="E31" s="60"/>
      <c r="F31" s="60"/>
      <c r="G31" s="39"/>
      <c r="H31" s="857"/>
      <c r="I31" s="4"/>
      <c r="J31" s="61"/>
      <c r="K31" s="55"/>
      <c r="L31" s="305"/>
      <c r="M31" s="305"/>
      <c r="N31" s="305"/>
      <c r="O31" s="305"/>
      <c r="P31" s="305"/>
      <c r="Q31" s="306"/>
      <c r="R31" s="306"/>
    </row>
    <row r="32" spans="2:18" ht="15">
      <c r="B32" s="36">
        <v>5</v>
      </c>
      <c r="C32" s="37">
        <v>2</v>
      </c>
      <c r="D32" s="37">
        <v>2</v>
      </c>
      <c r="E32" s="38">
        <v>11</v>
      </c>
      <c r="F32" s="38" t="s">
        <v>44</v>
      </c>
      <c r="G32" s="49" t="s">
        <v>184</v>
      </c>
      <c r="H32" s="857"/>
      <c r="I32" s="4"/>
      <c r="J32" s="61"/>
      <c r="K32" s="56">
        <f>SUM(K33:K35)</f>
        <v>1370000</v>
      </c>
      <c r="L32" s="305"/>
      <c r="M32" s="329"/>
      <c r="N32" s="330"/>
      <c r="O32" s="330"/>
      <c r="P32" s="330"/>
      <c r="Q32" s="319"/>
      <c r="R32" s="319"/>
    </row>
    <row r="33" spans="2:20" ht="15">
      <c r="B33" s="29"/>
      <c r="C33" s="59"/>
      <c r="D33" s="59"/>
      <c r="E33" s="60"/>
      <c r="F33" s="60"/>
      <c r="G33" s="32" t="s">
        <v>184</v>
      </c>
      <c r="H33" s="857"/>
      <c r="I33" s="4"/>
      <c r="J33" s="61"/>
      <c r="K33" s="55">
        <f>H33*J33</f>
        <v>0</v>
      </c>
      <c r="L33" s="305"/>
      <c r="M33" s="308"/>
      <c r="N33" s="309"/>
      <c r="O33" s="309"/>
      <c r="P33" s="309"/>
      <c r="Q33" s="306"/>
      <c r="R33" s="306"/>
    </row>
    <row r="34" spans="2:20" ht="15">
      <c r="B34" s="29"/>
      <c r="C34" s="59"/>
      <c r="D34" s="59"/>
      <c r="E34" s="60"/>
      <c r="F34" s="60"/>
      <c r="G34" s="32" t="s">
        <v>845</v>
      </c>
      <c r="H34" s="857">
        <v>23</v>
      </c>
      <c r="I34" s="4" t="s">
        <v>229</v>
      </c>
      <c r="J34" s="61">
        <v>40000</v>
      </c>
      <c r="K34" s="55">
        <f>H34*J34</f>
        <v>920000</v>
      </c>
      <c r="L34" s="305">
        <f>K34</f>
        <v>920000</v>
      </c>
      <c r="M34" s="310"/>
      <c r="N34" s="571"/>
      <c r="O34" s="306"/>
      <c r="P34" s="306"/>
      <c r="Q34" s="309"/>
      <c r="R34" s="306"/>
    </row>
    <row r="35" spans="2:20" ht="15">
      <c r="B35" s="29"/>
      <c r="C35" s="59"/>
      <c r="D35" s="59"/>
      <c r="E35" s="60"/>
      <c r="F35" s="60"/>
      <c r="G35" s="32" t="s">
        <v>843</v>
      </c>
      <c r="H35" s="857">
        <v>18</v>
      </c>
      <c r="I35" s="4" t="s">
        <v>50</v>
      </c>
      <c r="J35" s="61">
        <v>25000</v>
      </c>
      <c r="K35" s="55">
        <f>H35*J35</f>
        <v>450000</v>
      </c>
      <c r="L35" s="305">
        <f>K35</f>
        <v>450000</v>
      </c>
      <c r="M35" s="305"/>
      <c r="N35" s="571"/>
      <c r="O35" s="305"/>
      <c r="P35" s="305"/>
      <c r="Q35" s="306"/>
      <c r="R35" s="316"/>
    </row>
    <row r="36" spans="2:20" ht="15">
      <c r="B36" s="29"/>
      <c r="C36" s="59"/>
      <c r="D36" s="59"/>
      <c r="E36" s="60"/>
      <c r="F36" s="60"/>
      <c r="G36" s="39"/>
      <c r="H36" s="54"/>
      <c r="I36" s="4"/>
      <c r="J36" s="61"/>
      <c r="K36" s="62"/>
      <c r="L36" s="305"/>
      <c r="M36" s="311"/>
      <c r="N36" s="571"/>
      <c r="O36" s="312"/>
      <c r="P36" s="312"/>
      <c r="Q36" s="306"/>
      <c r="R36" s="306"/>
    </row>
    <row r="37" spans="2:20" ht="15" customHeight="1" thickBot="1">
      <c r="B37" s="3289" t="s">
        <v>30</v>
      </c>
      <c r="C37" s="3290"/>
      <c r="D37" s="3290"/>
      <c r="E37" s="3290"/>
      <c r="F37" s="3290"/>
      <c r="G37" s="3290"/>
      <c r="H37" s="3290"/>
      <c r="I37" s="3290"/>
      <c r="J37" s="3291"/>
      <c r="K37" s="63">
        <f>K25</f>
        <v>35800000</v>
      </c>
      <c r="L37" s="305">
        <f t="shared" ref="L37:Q37" si="0">SUM(L29:L36)</f>
        <v>35800000</v>
      </c>
      <c r="M37" s="305">
        <f t="shared" si="0"/>
        <v>0</v>
      </c>
      <c r="N37" s="305">
        <f t="shared" si="0"/>
        <v>0</v>
      </c>
      <c r="O37" s="305">
        <f t="shared" si="0"/>
        <v>0</v>
      </c>
      <c r="P37" s="305">
        <f t="shared" si="0"/>
        <v>0</v>
      </c>
      <c r="Q37" s="305">
        <f t="shared" si="0"/>
        <v>0</v>
      </c>
      <c r="R37" s="314">
        <f>SUM(L37:Q37)</f>
        <v>35800000</v>
      </c>
      <c r="S37" s="41">
        <v>62500000</v>
      </c>
      <c r="T37" s="57">
        <f>S37-K37</f>
        <v>26700000</v>
      </c>
    </row>
    <row r="38" spans="2:20" ht="15.75" thickTop="1">
      <c r="L38" s="305"/>
      <c r="M38" s="310"/>
      <c r="N38" s="306"/>
      <c r="O38" s="306"/>
      <c r="P38" s="306"/>
      <c r="Q38" s="306"/>
      <c r="R38" s="306"/>
    </row>
    <row r="39" spans="2:20" ht="15">
      <c r="L39" s="564"/>
      <c r="M39" s="569"/>
      <c r="N39" s="378"/>
      <c r="O39" s="378"/>
      <c r="P39" s="378"/>
      <c r="Q39" s="378"/>
      <c r="R39" s="378"/>
    </row>
    <row r="40" spans="2:20" ht="15">
      <c r="H40" s="3336" t="s">
        <v>1534</v>
      </c>
      <c r="I40" s="3336"/>
      <c r="J40" s="3336"/>
      <c r="K40" s="8"/>
      <c r="L40" s="564"/>
      <c r="M40" s="310"/>
      <c r="N40" s="306"/>
      <c r="O40" s="306"/>
      <c r="P40" s="306"/>
      <c r="Q40" s="306"/>
      <c r="R40" s="306"/>
    </row>
    <row r="41" spans="2:20" ht="15">
      <c r="H41" s="3337" t="s">
        <v>272</v>
      </c>
      <c r="I41" s="3337"/>
      <c r="J41" s="3485"/>
      <c r="K41" s="8"/>
      <c r="L41" s="564"/>
      <c r="M41" s="310"/>
      <c r="N41" s="306"/>
      <c r="O41" s="306"/>
      <c r="P41" s="306"/>
      <c r="Q41" s="306"/>
      <c r="R41" s="306"/>
    </row>
    <row r="42" spans="2:20" ht="15">
      <c r="H42" s="127"/>
      <c r="I42" s="127"/>
      <c r="J42" s="127"/>
      <c r="K42" s="8"/>
      <c r="L42" s="564"/>
      <c r="M42" s="310"/>
      <c r="N42" s="306"/>
      <c r="O42" s="306"/>
      <c r="P42" s="306"/>
      <c r="Q42" s="306"/>
      <c r="R42" s="306"/>
    </row>
    <row r="43" spans="2:20" ht="15">
      <c r="H43" s="127"/>
      <c r="I43" s="127"/>
      <c r="J43" s="127"/>
      <c r="K43" s="8"/>
      <c r="L43" s="564"/>
      <c r="M43" s="310"/>
      <c r="N43" s="306"/>
      <c r="O43" s="306"/>
      <c r="P43" s="306"/>
      <c r="Q43" s="306"/>
      <c r="R43" s="306"/>
    </row>
    <row r="44" spans="2:20" ht="15">
      <c r="H44" s="3434" t="s">
        <v>904</v>
      </c>
      <c r="I44" s="3434"/>
      <c r="J44" s="3434"/>
      <c r="K44" s="8"/>
      <c r="L44" s="564"/>
      <c r="M44" s="310"/>
      <c r="N44" s="306"/>
      <c r="O44" s="306"/>
      <c r="P44" s="306"/>
      <c r="Q44" s="306"/>
      <c r="R44" s="306"/>
    </row>
    <row r="45" spans="2:20" ht="15">
      <c r="H45" s="3434" t="s">
        <v>906</v>
      </c>
      <c r="I45" s="3434"/>
      <c r="J45" s="3434"/>
      <c r="K45" s="8"/>
      <c r="L45" s="564"/>
      <c r="M45" s="310"/>
      <c r="N45" s="306"/>
      <c r="O45" s="306"/>
      <c r="P45" s="306"/>
      <c r="Q45" s="306"/>
      <c r="R45" s="306"/>
    </row>
  </sheetData>
  <mergeCells count="49">
    <mergeCell ref="L20:Q20"/>
    <mergeCell ref="R20:R22"/>
    <mergeCell ref="B23:F23"/>
    <mergeCell ref="B37:J37"/>
    <mergeCell ref="B18:K18"/>
    <mergeCell ref="B19:K20"/>
    <mergeCell ref="B21:F22"/>
    <mergeCell ref="G21:G22"/>
    <mergeCell ref="H21:J21"/>
    <mergeCell ref="B17:F17"/>
    <mergeCell ref="G17:H17"/>
    <mergeCell ref="I17:K17"/>
    <mergeCell ref="B16:F16"/>
    <mergeCell ref="G16:H16"/>
    <mergeCell ref="I16:K16"/>
    <mergeCell ref="B15:F15"/>
    <mergeCell ref="G15:H15"/>
    <mergeCell ref="I15:K15"/>
    <mergeCell ref="B14:F14"/>
    <mergeCell ref="G14:H14"/>
    <mergeCell ref="I14:K14"/>
    <mergeCell ref="G13:H13"/>
    <mergeCell ref="I13:K13"/>
    <mergeCell ref="B10:F10"/>
    <mergeCell ref="G10:K10"/>
    <mergeCell ref="B11:F11"/>
    <mergeCell ref="G11:K11"/>
    <mergeCell ref="B1:K1"/>
    <mergeCell ref="B2:D3"/>
    <mergeCell ref="E2:H2"/>
    <mergeCell ref="I2:J2"/>
    <mergeCell ref="E3:H3"/>
    <mergeCell ref="I3:J3"/>
    <mergeCell ref="H40:J40"/>
    <mergeCell ref="H41:J41"/>
    <mergeCell ref="H44:J44"/>
    <mergeCell ref="H45:J45"/>
    <mergeCell ref="B4:K4"/>
    <mergeCell ref="B5:F5"/>
    <mergeCell ref="G5:K5"/>
    <mergeCell ref="B8:F8"/>
    <mergeCell ref="G8:K8"/>
    <mergeCell ref="G9:K9"/>
    <mergeCell ref="B6:F6"/>
    <mergeCell ref="G6:K6"/>
    <mergeCell ref="B7:F7"/>
    <mergeCell ref="G7:K7"/>
    <mergeCell ref="B12:K12"/>
    <mergeCell ref="B13:F13"/>
  </mergeCells>
  <pageMargins left="0.11811023622047245" right="0.23622047244094491" top="0.74803149606299213" bottom="0.6692913385826772" header="0.23622047244094491" footer="0.15748031496062992"/>
  <pageSetup paperSize="5" orientation="portrait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B1:T60"/>
  <sheetViews>
    <sheetView view="pageBreakPreview" topLeftCell="A29" zoomScaleNormal="115" zoomScaleSheetLayoutView="100" workbookViewId="0">
      <selection activeCell="B24" sqref="B24:K47"/>
    </sheetView>
  </sheetViews>
  <sheetFormatPr defaultRowHeight="12.75"/>
  <cols>
    <col min="1" max="1" width="1" style="9" customWidth="1"/>
    <col min="2" max="2" width="3.85546875" style="9" customWidth="1"/>
    <col min="3" max="3" width="3.42578125" style="9" customWidth="1"/>
    <col min="4" max="4" width="3.28515625" style="9" customWidth="1"/>
    <col min="5" max="6" width="3.5703125" style="9" customWidth="1"/>
    <col min="7" max="7" width="38.28515625" style="9" customWidth="1"/>
    <col min="8" max="8" width="8" style="9" customWidth="1"/>
    <col min="9" max="9" width="9.28515625" style="9" customWidth="1"/>
    <col min="10" max="10" width="13" style="9" customWidth="1"/>
    <col min="11" max="11" width="14" style="9" bestFit="1" customWidth="1"/>
    <col min="12" max="12" width="16.140625" style="9" bestFit="1" customWidth="1"/>
    <col min="13" max="13" width="7.140625" style="10" bestFit="1" customWidth="1"/>
    <col min="14" max="17" width="7.140625" style="9" bestFit="1" customWidth="1"/>
    <col min="18" max="18" width="18.85546875" style="9" bestFit="1" customWidth="1"/>
    <col min="19" max="19" width="15" style="9" bestFit="1" customWidth="1"/>
    <col min="20" max="20" width="12.7109375" style="9" bestFit="1" customWidth="1"/>
    <col min="21" max="16384" width="9.140625" style="9"/>
  </cols>
  <sheetData>
    <row r="1" spans="2:1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1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1">
      <c r="B5" s="3490" t="s">
        <v>31</v>
      </c>
      <c r="C5" s="3362"/>
      <c r="D5" s="3362"/>
      <c r="E5" s="3362"/>
      <c r="F5" s="3362"/>
      <c r="G5" s="3312" t="s">
        <v>38</v>
      </c>
      <c r="H5" s="3312"/>
      <c r="I5" s="3312"/>
      <c r="J5" s="3312"/>
      <c r="K5" s="3313"/>
    </row>
    <row r="6" spans="2:1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1">
      <c r="B7" s="3341" t="s">
        <v>33</v>
      </c>
      <c r="C7" s="3339"/>
      <c r="D7" s="3339"/>
      <c r="E7" s="3339"/>
      <c r="F7" s="3339"/>
      <c r="G7" s="3342" t="s">
        <v>70</v>
      </c>
      <c r="H7" s="3342"/>
      <c r="I7" s="3342"/>
      <c r="J7" s="3342"/>
      <c r="K7" s="3343"/>
    </row>
    <row r="8" spans="2:11">
      <c r="B8" s="3341" t="s">
        <v>34</v>
      </c>
      <c r="C8" s="3339"/>
      <c r="D8" s="3339"/>
      <c r="E8" s="3339"/>
      <c r="F8" s="3339"/>
      <c r="G8" s="3339" t="s">
        <v>316</v>
      </c>
      <c r="H8" s="3339"/>
      <c r="I8" s="3339"/>
      <c r="J8" s="3339"/>
      <c r="K8" s="3340"/>
    </row>
    <row r="9" spans="2:1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1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11">
      <c r="B11" s="3314" t="s">
        <v>37</v>
      </c>
      <c r="C11" s="3315"/>
      <c r="D11" s="3315"/>
      <c r="E11" s="3315"/>
      <c r="F11" s="3315"/>
      <c r="G11" s="3315" t="s">
        <v>42</v>
      </c>
      <c r="H11" s="3315"/>
      <c r="I11" s="3315"/>
      <c r="J11" s="3315"/>
      <c r="K11" s="3316"/>
    </row>
    <row r="12" spans="2:11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1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1" ht="15" customHeight="1">
      <c r="B14" s="3462" t="s">
        <v>8</v>
      </c>
      <c r="C14" s="3463"/>
      <c r="D14" s="3463"/>
      <c r="E14" s="3463"/>
      <c r="F14" s="3464"/>
      <c r="G14" s="3445" t="s">
        <v>131</v>
      </c>
      <c r="H14" s="3448"/>
      <c r="I14" s="3450">
        <v>1</v>
      </c>
      <c r="J14" s="3451"/>
      <c r="K14" s="3452"/>
    </row>
    <row r="15" spans="2:11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260777000</v>
      </c>
      <c r="J15" s="3454"/>
      <c r="K15" s="3455"/>
    </row>
    <row r="16" spans="2:11" ht="16.5" customHeight="1">
      <c r="B16" s="3439" t="s">
        <v>10</v>
      </c>
      <c r="C16" s="3451"/>
      <c r="D16" s="3451"/>
      <c r="E16" s="3451"/>
      <c r="F16" s="3460"/>
      <c r="G16" s="3445" t="s">
        <v>132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398</v>
      </c>
      <c r="H17" s="3448"/>
      <c r="I17" s="3456">
        <v>1</v>
      </c>
      <c r="J17" s="3457"/>
      <c r="K17" s="3458"/>
    </row>
    <row r="18" spans="2:18">
      <c r="B18" s="3442" t="s">
        <v>399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870"/>
      <c r="M19" s="870"/>
      <c r="N19" s="870"/>
      <c r="O19" s="870"/>
      <c r="P19" s="870"/>
      <c r="Q19" s="880"/>
      <c r="R19" s="880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491" t="s">
        <v>158</v>
      </c>
      <c r="M20" s="3491"/>
      <c r="N20" s="3491"/>
      <c r="O20" s="3491"/>
      <c r="P20" s="3491"/>
      <c r="Q20" s="3491"/>
      <c r="R20" s="3491" t="s">
        <v>17</v>
      </c>
    </row>
    <row r="21" spans="2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156"/>
      <c r="M21" s="1156"/>
      <c r="N21" s="1156"/>
      <c r="O21" s="1156"/>
      <c r="P21" s="1156"/>
      <c r="Q21" s="1156"/>
      <c r="R21" s="3491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156" t="s">
        <v>177</v>
      </c>
      <c r="M22" s="1156" t="s">
        <v>594</v>
      </c>
      <c r="N22" s="1156" t="s">
        <v>651</v>
      </c>
      <c r="O22" s="1156" t="s">
        <v>595</v>
      </c>
      <c r="P22" s="1156" t="s">
        <v>652</v>
      </c>
      <c r="Q22" s="1156" t="s">
        <v>593</v>
      </c>
      <c r="R22" s="3491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156">
        <v>6</v>
      </c>
      <c r="M23" s="1156">
        <v>7</v>
      </c>
      <c r="N23" s="1156">
        <v>8</v>
      </c>
      <c r="O23" s="1156">
        <v>9</v>
      </c>
      <c r="P23" s="1156">
        <v>10</v>
      </c>
      <c r="Q23" s="1156">
        <v>11</v>
      </c>
      <c r="R23" s="1156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856"/>
      <c r="I24" s="17"/>
      <c r="J24" s="46"/>
      <c r="K24" s="159">
        <f>K25</f>
        <v>260777000</v>
      </c>
      <c r="L24" s="870"/>
      <c r="M24" s="870"/>
      <c r="N24" s="870"/>
      <c r="O24" s="870"/>
      <c r="P24" s="870"/>
      <c r="Q24" s="880"/>
      <c r="R24" s="880"/>
    </row>
    <row r="25" spans="2:18" ht="14.25" customHeight="1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856"/>
      <c r="I25" s="17"/>
      <c r="J25" s="46"/>
      <c r="K25" s="159">
        <f>+K26+K45</f>
        <v>260777000</v>
      </c>
      <c r="L25" s="870"/>
      <c r="M25" s="870"/>
      <c r="N25" s="870"/>
      <c r="O25" s="870"/>
      <c r="P25" s="870"/>
      <c r="Q25" s="880"/>
      <c r="R25" s="880"/>
    </row>
    <row r="26" spans="2:18">
      <c r="B26" s="36">
        <v>5</v>
      </c>
      <c r="C26" s="37">
        <v>2</v>
      </c>
      <c r="D26" s="37">
        <v>2</v>
      </c>
      <c r="E26" s="38">
        <v>15</v>
      </c>
      <c r="F26" s="17"/>
      <c r="G26" s="48" t="s">
        <v>134</v>
      </c>
      <c r="H26" s="856"/>
      <c r="I26" s="17"/>
      <c r="J26" s="46"/>
      <c r="K26" s="159">
        <f>K27+K33</f>
        <v>246770000</v>
      </c>
      <c r="L26" s="879"/>
      <c r="M26" s="880"/>
      <c r="N26" s="880"/>
      <c r="O26" s="880"/>
      <c r="P26" s="880"/>
      <c r="Q26" s="880"/>
      <c r="R26" s="880"/>
    </row>
    <row r="27" spans="2:18" s="2033" customFormat="1">
      <c r="B27" s="2533">
        <v>5</v>
      </c>
      <c r="C27" s="2534">
        <v>2</v>
      </c>
      <c r="D27" s="2534">
        <v>2</v>
      </c>
      <c r="E27" s="2535">
        <v>15</v>
      </c>
      <c r="F27" s="2535" t="s">
        <v>24</v>
      </c>
      <c r="G27" s="2581" t="s">
        <v>73</v>
      </c>
      <c r="H27" s="2582"/>
      <c r="I27" s="2583"/>
      <c r="J27" s="2584"/>
      <c r="K27" s="2585">
        <f>SUM(K28:K32)</f>
        <v>41020000</v>
      </c>
      <c r="L27" s="2586"/>
      <c r="M27" s="2586"/>
      <c r="N27" s="2586"/>
      <c r="O27" s="2586"/>
      <c r="P27" s="2586"/>
      <c r="Q27" s="2587"/>
      <c r="R27" s="2587"/>
    </row>
    <row r="28" spans="2:18" s="2033" customFormat="1">
      <c r="B28" s="2533"/>
      <c r="C28" s="2534"/>
      <c r="D28" s="2534"/>
      <c r="E28" s="2535"/>
      <c r="F28" s="2535"/>
      <c r="G28" s="2588" t="s">
        <v>364</v>
      </c>
      <c r="H28" s="2589">
        <v>7</v>
      </c>
      <c r="I28" s="2590" t="s">
        <v>26</v>
      </c>
      <c r="J28" s="2591">
        <v>500000</v>
      </c>
      <c r="K28" s="2592">
        <f>H28*J28</f>
        <v>3500000</v>
      </c>
      <c r="L28" s="2586">
        <f>K28</f>
        <v>3500000</v>
      </c>
      <c r="M28" s="2587"/>
      <c r="N28" s="2593"/>
      <c r="O28" s="2587"/>
      <c r="P28" s="2587"/>
      <c r="Q28" s="2587"/>
      <c r="R28" s="2587"/>
    </row>
    <row r="29" spans="2:18" s="2033" customFormat="1">
      <c r="B29" s="2533"/>
      <c r="C29" s="2534"/>
      <c r="D29" s="2534"/>
      <c r="E29" s="2535"/>
      <c r="F29" s="2535"/>
      <c r="G29" s="2594" t="s">
        <v>376</v>
      </c>
      <c r="H29" s="2589"/>
      <c r="I29" s="2590"/>
      <c r="J29" s="2591"/>
      <c r="K29" s="2592">
        <f>H29*J29</f>
        <v>0</v>
      </c>
      <c r="L29" s="2586">
        <f>K29</f>
        <v>0</v>
      </c>
      <c r="M29" s="2586"/>
      <c r="N29" s="2593"/>
      <c r="O29" s="2586"/>
      <c r="P29" s="2586"/>
      <c r="Q29" s="2587"/>
      <c r="R29" s="2587"/>
    </row>
    <row r="30" spans="2:18" s="2033" customFormat="1">
      <c r="B30" s="2533"/>
      <c r="C30" s="2534"/>
      <c r="D30" s="2534"/>
      <c r="E30" s="2535"/>
      <c r="F30" s="2535"/>
      <c r="G30" s="2588" t="s">
        <v>2050</v>
      </c>
      <c r="H30" s="2589">
        <f>7*4</f>
        <v>28</v>
      </c>
      <c r="I30" s="2590" t="s">
        <v>28</v>
      </c>
      <c r="J30" s="2595">
        <v>530000</v>
      </c>
      <c r="K30" s="2592">
        <f>H30*J30</f>
        <v>14840000</v>
      </c>
      <c r="L30" s="2586">
        <f>K30</f>
        <v>14840000</v>
      </c>
      <c r="M30" s="2587"/>
      <c r="N30" s="2593"/>
      <c r="O30" s="2587"/>
      <c r="P30" s="2587"/>
      <c r="Q30" s="2587"/>
      <c r="R30" s="2587"/>
    </row>
    <row r="31" spans="2:18" s="2033" customFormat="1">
      <c r="B31" s="2533"/>
      <c r="C31" s="2534"/>
      <c r="D31" s="2534"/>
      <c r="E31" s="2535"/>
      <c r="F31" s="2535"/>
      <c r="G31" s="2588" t="s">
        <v>2051</v>
      </c>
      <c r="H31" s="2589">
        <f>7*3</f>
        <v>21</v>
      </c>
      <c r="I31" s="2590" t="s">
        <v>27</v>
      </c>
      <c r="J31" s="2595">
        <v>1080000</v>
      </c>
      <c r="K31" s="2592">
        <f>H31*J31</f>
        <v>22680000</v>
      </c>
      <c r="L31" s="2586">
        <f>K31</f>
        <v>22680000</v>
      </c>
      <c r="M31" s="2586"/>
      <c r="N31" s="2593"/>
      <c r="O31" s="2586"/>
      <c r="P31" s="2586"/>
      <c r="Q31" s="2587"/>
      <c r="R31" s="2587"/>
    </row>
    <row r="32" spans="2:18" s="2033" customFormat="1" ht="14.25">
      <c r="B32" s="2596"/>
      <c r="C32" s="2597"/>
      <c r="D32" s="2597"/>
      <c r="E32" s="2598"/>
      <c r="F32" s="2583"/>
      <c r="G32" s="2599"/>
      <c r="H32" s="2582"/>
      <c r="I32" s="2583"/>
      <c r="J32" s="2584"/>
      <c r="K32" s="2585"/>
      <c r="L32" s="2586"/>
      <c r="M32" s="2586"/>
      <c r="N32" s="2593"/>
      <c r="O32" s="2586"/>
      <c r="P32" s="2586"/>
      <c r="Q32" s="2600"/>
      <c r="R32" s="2600"/>
    </row>
    <row r="33" spans="2:20" s="2033" customFormat="1" ht="14.25">
      <c r="B33" s="2596">
        <v>5</v>
      </c>
      <c r="C33" s="2597">
        <v>2</v>
      </c>
      <c r="D33" s="2597">
        <v>2</v>
      </c>
      <c r="E33" s="2598">
        <v>15</v>
      </c>
      <c r="F33" s="2598" t="s">
        <v>25</v>
      </c>
      <c r="G33" s="2601" t="s">
        <v>133</v>
      </c>
      <c r="H33" s="2582"/>
      <c r="I33" s="2583"/>
      <c r="J33" s="2584"/>
      <c r="K33" s="2602">
        <f>SUM(K34:K44)</f>
        <v>205750000</v>
      </c>
      <c r="L33" s="2586"/>
      <c r="M33" s="2603"/>
      <c r="N33" s="2604"/>
      <c r="O33" s="2604"/>
      <c r="P33" s="2604"/>
      <c r="Q33" s="2605"/>
      <c r="R33" s="2605"/>
    </row>
    <row r="34" spans="2:20" s="2033" customFormat="1" ht="14.25">
      <c r="B34" s="2606"/>
      <c r="C34" s="2485"/>
      <c r="D34" s="2485"/>
      <c r="E34" s="2486"/>
      <c r="F34" s="2486"/>
      <c r="G34" s="2607" t="s">
        <v>905</v>
      </c>
      <c r="H34" s="2608"/>
      <c r="I34" s="2609"/>
      <c r="J34" s="2610"/>
      <c r="K34" s="1985"/>
      <c r="L34" s="2611"/>
      <c r="M34" s="2612"/>
      <c r="N34" s="2613"/>
      <c r="O34" s="2613"/>
      <c r="P34" s="2613"/>
      <c r="Q34" s="2613"/>
      <c r="R34" s="2613"/>
      <c r="S34" s="2569">
        <f>280850000-K33</f>
        <v>75100000</v>
      </c>
    </row>
    <row r="35" spans="2:20" s="2033" customFormat="1" ht="14.25">
      <c r="B35" s="2503"/>
      <c r="C35" s="2504"/>
      <c r="D35" s="2504"/>
      <c r="E35" s="2614"/>
      <c r="F35" s="2614"/>
      <c r="G35" s="2607" t="s">
        <v>364</v>
      </c>
      <c r="H35" s="2608">
        <v>19</v>
      </c>
      <c r="I35" s="2609" t="s">
        <v>26</v>
      </c>
      <c r="J35" s="2615">
        <v>5500000</v>
      </c>
      <c r="K35" s="1985">
        <f t="shared" ref="K35:K41" si="0">H35*J35</f>
        <v>104500000</v>
      </c>
      <c r="L35" s="2611">
        <f>K35</f>
        <v>104500000</v>
      </c>
      <c r="M35" s="2612"/>
      <c r="N35" s="2616"/>
      <c r="O35" s="2613"/>
      <c r="P35" s="2613"/>
      <c r="Q35" s="2617"/>
      <c r="R35" s="2613"/>
    </row>
    <row r="36" spans="2:20" s="2033" customFormat="1" ht="14.25">
      <c r="B36" s="2503"/>
      <c r="C36" s="2504"/>
      <c r="D36" s="2504"/>
      <c r="E36" s="2614"/>
      <c r="F36" s="2614"/>
      <c r="G36" s="2607" t="s">
        <v>376</v>
      </c>
      <c r="H36" s="2608"/>
      <c r="I36" s="2609"/>
      <c r="J36" s="2615"/>
      <c r="K36" s="1985">
        <f t="shared" si="0"/>
        <v>0</v>
      </c>
      <c r="L36" s="2611">
        <f t="shared" ref="L36:L43" si="1">K36</f>
        <v>0</v>
      </c>
      <c r="M36" s="2611"/>
      <c r="N36" s="2616"/>
      <c r="O36" s="2611"/>
      <c r="P36" s="2611"/>
      <c r="Q36" s="2613"/>
      <c r="R36" s="2618"/>
    </row>
    <row r="37" spans="2:20" s="2033" customFormat="1" ht="14.25">
      <c r="B37" s="2503"/>
      <c r="C37" s="2504"/>
      <c r="D37" s="2504"/>
      <c r="E37" s="2614"/>
      <c r="F37" s="2614"/>
      <c r="G37" s="2619" t="s">
        <v>2101</v>
      </c>
      <c r="H37" s="2608">
        <f>9*4</f>
        <v>36</v>
      </c>
      <c r="I37" s="2609" t="s">
        <v>28</v>
      </c>
      <c r="J37" s="2610">
        <v>600000</v>
      </c>
      <c r="K37" s="1985">
        <f t="shared" si="0"/>
        <v>21600000</v>
      </c>
      <c r="L37" s="2611">
        <f t="shared" si="1"/>
        <v>21600000</v>
      </c>
      <c r="M37" s="2620"/>
      <c r="N37" s="2616"/>
      <c r="O37" s="2617"/>
      <c r="P37" s="2617"/>
      <c r="Q37" s="2613"/>
      <c r="R37" s="2613"/>
    </row>
    <row r="38" spans="2:20" s="2033" customFormat="1" ht="14.25">
      <c r="B38" s="2503"/>
      <c r="C38" s="2504"/>
      <c r="D38" s="2504"/>
      <c r="E38" s="2614"/>
      <c r="F38" s="2614"/>
      <c r="G38" s="2619" t="s">
        <v>2102</v>
      </c>
      <c r="H38" s="2608">
        <f>9*3</f>
        <v>27</v>
      </c>
      <c r="I38" s="2609" t="s">
        <v>27</v>
      </c>
      <c r="J38" s="2610">
        <v>750000</v>
      </c>
      <c r="K38" s="1985">
        <f t="shared" si="0"/>
        <v>20250000</v>
      </c>
      <c r="L38" s="2611">
        <f t="shared" si="1"/>
        <v>20250000</v>
      </c>
      <c r="M38" s="2621"/>
      <c r="N38" s="2616"/>
      <c r="O38" s="2622"/>
      <c r="P38" s="2622"/>
      <c r="Q38" s="2613"/>
      <c r="R38" s="2613"/>
    </row>
    <row r="39" spans="2:20" s="2033" customFormat="1" ht="14.25">
      <c r="B39" s="2503"/>
      <c r="C39" s="2504"/>
      <c r="D39" s="2504"/>
      <c r="E39" s="2614"/>
      <c r="F39" s="2614"/>
      <c r="G39" s="2619" t="s">
        <v>1815</v>
      </c>
      <c r="H39" s="2608">
        <f>8*4</f>
        <v>32</v>
      </c>
      <c r="I39" s="2609" t="s">
        <v>28</v>
      </c>
      <c r="J39" s="2610">
        <v>700000</v>
      </c>
      <c r="K39" s="1985">
        <f t="shared" si="0"/>
        <v>22400000</v>
      </c>
      <c r="L39" s="2611">
        <f t="shared" si="1"/>
        <v>22400000</v>
      </c>
      <c r="M39" s="2620"/>
      <c r="N39" s="2616"/>
      <c r="O39" s="2617"/>
      <c r="P39" s="2617"/>
      <c r="Q39" s="2613"/>
      <c r="R39" s="2613"/>
    </row>
    <row r="40" spans="2:20" s="2033" customFormat="1" ht="14.25">
      <c r="B40" s="2503"/>
      <c r="C40" s="2504"/>
      <c r="D40" s="2504"/>
      <c r="E40" s="2614"/>
      <c r="F40" s="2614"/>
      <c r="G40" s="2619" t="s">
        <v>1816</v>
      </c>
      <c r="H40" s="2608">
        <f>8*3</f>
        <v>24</v>
      </c>
      <c r="I40" s="2609" t="s">
        <v>27</v>
      </c>
      <c r="J40" s="2610">
        <v>850000</v>
      </c>
      <c r="K40" s="1985">
        <f t="shared" si="0"/>
        <v>20400000</v>
      </c>
      <c r="L40" s="2611">
        <f t="shared" si="1"/>
        <v>20400000</v>
      </c>
      <c r="M40" s="2623"/>
      <c r="N40" s="2616"/>
      <c r="O40" s="2624"/>
      <c r="P40" s="2624"/>
      <c r="Q40" s="2613"/>
      <c r="R40" s="2613"/>
    </row>
    <row r="41" spans="2:20" s="2033" customFormat="1" ht="14.25">
      <c r="B41" s="2503"/>
      <c r="C41" s="2504"/>
      <c r="D41" s="2504"/>
      <c r="E41" s="2614"/>
      <c r="F41" s="2614"/>
      <c r="G41" s="2619" t="s">
        <v>2103</v>
      </c>
      <c r="H41" s="2608">
        <f>1*4*2</f>
        <v>8</v>
      </c>
      <c r="I41" s="2609" t="s">
        <v>28</v>
      </c>
      <c r="J41" s="2610">
        <v>800000</v>
      </c>
      <c r="K41" s="1985">
        <f t="shared" si="0"/>
        <v>6400000</v>
      </c>
      <c r="L41" s="2611">
        <f t="shared" si="1"/>
        <v>6400000</v>
      </c>
      <c r="M41" s="2620"/>
      <c r="N41" s="2616"/>
      <c r="O41" s="2617"/>
      <c r="P41" s="2617"/>
      <c r="Q41" s="2613"/>
      <c r="R41" s="2613"/>
    </row>
    <row r="42" spans="2:20" s="2033" customFormat="1" ht="14.25">
      <c r="B42" s="2503"/>
      <c r="C42" s="2504"/>
      <c r="D42" s="2504"/>
      <c r="E42" s="2614"/>
      <c r="F42" s="2614"/>
      <c r="G42" s="2619" t="s">
        <v>2104</v>
      </c>
      <c r="H42" s="2608">
        <f>1*3*2</f>
        <v>6</v>
      </c>
      <c r="I42" s="2609" t="s">
        <v>27</v>
      </c>
      <c r="J42" s="2610">
        <v>1300000</v>
      </c>
      <c r="K42" s="1985">
        <f>H42*J42</f>
        <v>7800000</v>
      </c>
      <c r="L42" s="2611">
        <f t="shared" si="1"/>
        <v>7800000</v>
      </c>
      <c r="M42" s="2612"/>
      <c r="N42" s="2616"/>
      <c r="O42" s="2613"/>
      <c r="P42" s="2613"/>
      <c r="Q42" s="2613"/>
      <c r="R42" s="2613"/>
    </row>
    <row r="43" spans="2:20" s="2033" customFormat="1" ht="14.25">
      <c r="B43" s="2606"/>
      <c r="C43" s="2485"/>
      <c r="D43" s="2485"/>
      <c r="E43" s="2486"/>
      <c r="F43" s="2486"/>
      <c r="G43" s="2619" t="s">
        <v>2105</v>
      </c>
      <c r="H43" s="2608">
        <f>1*4*2</f>
        <v>8</v>
      </c>
      <c r="I43" s="2609" t="s">
        <v>27</v>
      </c>
      <c r="J43" s="2610">
        <v>300000</v>
      </c>
      <c r="K43" s="2625">
        <f>H43*J43</f>
        <v>2400000</v>
      </c>
      <c r="L43" s="2611">
        <f t="shared" si="1"/>
        <v>2400000</v>
      </c>
      <c r="M43" s="2612"/>
      <c r="N43" s="2616"/>
      <c r="O43" s="2613"/>
      <c r="P43" s="2613"/>
      <c r="Q43" s="2613"/>
      <c r="R43" s="2613"/>
    </row>
    <row r="44" spans="2:20" s="2033" customFormat="1" ht="14.25">
      <c r="B44" s="2626"/>
      <c r="C44" s="2523"/>
      <c r="D44" s="2523"/>
      <c r="E44" s="2524"/>
      <c r="F44" s="2524"/>
      <c r="G44" s="1981"/>
      <c r="H44" s="1982"/>
      <c r="I44" s="1983"/>
      <c r="J44" s="1986"/>
      <c r="K44" s="2627"/>
      <c r="L44" s="2628"/>
      <c r="M44" s="2612"/>
      <c r="N44" s="2629"/>
      <c r="O44" s="2630"/>
      <c r="P44" s="2630"/>
      <c r="Q44" s="2630"/>
      <c r="R44" s="2630"/>
    </row>
    <row r="45" spans="2:20" s="2033" customFormat="1" ht="25.5">
      <c r="B45" s="2503">
        <v>5</v>
      </c>
      <c r="C45" s="2504">
        <v>2</v>
      </c>
      <c r="D45" s="2504">
        <v>2</v>
      </c>
      <c r="E45" s="2614">
        <v>24</v>
      </c>
      <c r="F45" s="2504"/>
      <c r="G45" s="2631" t="s">
        <v>518</v>
      </c>
      <c r="H45" s="2632"/>
      <c r="I45" s="2547"/>
      <c r="J45" s="2633"/>
      <c r="K45" s="2634">
        <f>K46</f>
        <v>14007000</v>
      </c>
      <c r="L45" s="2492"/>
      <c r="M45" s="2492"/>
      <c r="N45" s="2635"/>
      <c r="O45" s="2492"/>
      <c r="P45" s="2492"/>
      <c r="Q45" s="2493"/>
      <c r="R45" s="2493"/>
    </row>
    <row r="46" spans="2:20" s="2033" customFormat="1" ht="15">
      <c r="B46" s="2503">
        <v>5</v>
      </c>
      <c r="C46" s="2504">
        <v>2</v>
      </c>
      <c r="D46" s="2504">
        <v>2</v>
      </c>
      <c r="E46" s="2614">
        <v>24</v>
      </c>
      <c r="F46" s="2614" t="s">
        <v>24</v>
      </c>
      <c r="G46" s="2631" t="s">
        <v>519</v>
      </c>
      <c r="H46" s="2632"/>
      <c r="I46" s="2547"/>
      <c r="J46" s="2633"/>
      <c r="K46" s="2634">
        <f>K47</f>
        <v>14007000</v>
      </c>
      <c r="L46" s="2492"/>
      <c r="M46" s="2492"/>
      <c r="N46" s="2635"/>
      <c r="O46" s="2492"/>
      <c r="P46" s="2492"/>
      <c r="Q46" s="2580"/>
      <c r="R46" s="2580"/>
    </row>
    <row r="47" spans="2:20" s="2033" customFormat="1">
      <c r="B47" s="2546"/>
      <c r="C47" s="2636"/>
      <c r="D47" s="2636"/>
      <c r="E47" s="2637"/>
      <c r="F47" s="2636"/>
      <c r="G47" s="2638" t="s">
        <v>1867</v>
      </c>
      <c r="H47" s="2639">
        <v>1</v>
      </c>
      <c r="I47" s="2640" t="s">
        <v>147</v>
      </c>
      <c r="J47" s="2641">
        <v>14007000</v>
      </c>
      <c r="K47" s="2642">
        <f>H47*J47</f>
        <v>14007000</v>
      </c>
      <c r="L47" s="2643">
        <f>K47</f>
        <v>14007000</v>
      </c>
      <c r="M47" s="2552"/>
      <c r="N47" s="2552"/>
      <c r="O47" s="2553"/>
      <c r="P47" s="2553"/>
      <c r="Q47" s="2593"/>
      <c r="R47" s="2555"/>
      <c r="S47" s="2040"/>
      <c r="T47" s="2040"/>
    </row>
    <row r="48" spans="2:20" ht="14.25">
      <c r="B48" s="1679"/>
      <c r="C48" s="1680"/>
      <c r="D48" s="1680"/>
      <c r="E48" s="1681"/>
      <c r="F48" s="1681"/>
      <c r="G48" s="1971"/>
      <c r="H48" s="2000"/>
      <c r="I48" s="2001"/>
      <c r="J48" s="2003"/>
      <c r="K48" s="2312"/>
      <c r="L48" s="2313"/>
      <c r="M48" s="887"/>
      <c r="N48" s="1972"/>
      <c r="O48" s="1974"/>
      <c r="P48" s="1974"/>
      <c r="Q48" s="1974"/>
      <c r="R48" s="1974"/>
    </row>
    <row r="49" spans="2:20" ht="14.25">
      <c r="B49" s="29"/>
      <c r="C49" s="59"/>
      <c r="D49" s="59"/>
      <c r="E49" s="60"/>
      <c r="F49" s="60"/>
      <c r="G49" s="39"/>
      <c r="H49" s="35"/>
      <c r="I49" s="4"/>
      <c r="J49" s="61"/>
      <c r="K49" s="161"/>
      <c r="L49" s="870"/>
      <c r="M49" s="871"/>
      <c r="N49" s="1162"/>
      <c r="O49" s="872"/>
      <c r="P49" s="872"/>
      <c r="Q49" s="872"/>
      <c r="R49" s="872"/>
    </row>
    <row r="50" spans="2:20" ht="15" customHeight="1" thickBot="1">
      <c r="B50" s="3289" t="s">
        <v>30</v>
      </c>
      <c r="C50" s="3290"/>
      <c r="D50" s="3290"/>
      <c r="E50" s="3290"/>
      <c r="F50" s="3290"/>
      <c r="G50" s="3290"/>
      <c r="H50" s="3290"/>
      <c r="I50" s="3290"/>
      <c r="J50" s="3291"/>
      <c r="K50" s="162">
        <f>K25</f>
        <v>260777000</v>
      </c>
      <c r="L50" s="870">
        <f>SUM(L24:L49)</f>
        <v>260777000</v>
      </c>
      <c r="M50" s="870">
        <f t="shared" ref="M50:Q50" si="2">SUM(M24:M43)</f>
        <v>0</v>
      </c>
      <c r="N50" s="870">
        <f t="shared" si="2"/>
        <v>0</v>
      </c>
      <c r="O50" s="870">
        <f t="shared" si="2"/>
        <v>0</v>
      </c>
      <c r="P50" s="870">
        <f t="shared" si="2"/>
        <v>0</v>
      </c>
      <c r="Q50" s="870">
        <f t="shared" si="2"/>
        <v>0</v>
      </c>
      <c r="R50" s="1049">
        <f>SUM(L50:Q50)</f>
        <v>260777000</v>
      </c>
      <c r="S50" s="41">
        <v>375000000</v>
      </c>
      <c r="T50" s="57">
        <f>S50-K50</f>
        <v>114223000</v>
      </c>
    </row>
    <row r="51" spans="2:20" ht="15" thickTop="1">
      <c r="B51" s="70"/>
      <c r="C51" s="70"/>
      <c r="D51" s="70"/>
      <c r="E51" s="70"/>
      <c r="F51" s="70"/>
      <c r="G51" s="70"/>
      <c r="H51" s="70"/>
      <c r="I51" s="70"/>
      <c r="J51" s="70"/>
      <c r="K51" s="131"/>
      <c r="L51" s="870"/>
      <c r="M51" s="871"/>
      <c r="N51" s="872"/>
      <c r="O51" s="872"/>
      <c r="P51" s="872"/>
      <c r="Q51" s="872"/>
      <c r="R51" s="872"/>
    </row>
    <row r="52" spans="2:20" ht="14.25">
      <c r="B52" s="70"/>
      <c r="C52" s="70"/>
      <c r="D52" s="70"/>
      <c r="E52" s="70"/>
      <c r="F52" s="70"/>
      <c r="G52" s="70"/>
      <c r="H52" s="70"/>
      <c r="I52" s="70"/>
      <c r="J52" s="70"/>
      <c r="K52" s="1216"/>
      <c r="L52" s="1035"/>
      <c r="M52" s="887"/>
      <c r="N52" s="886"/>
      <c r="O52" s="886"/>
      <c r="P52" s="886"/>
      <c r="Q52" s="886"/>
      <c r="R52" s="886"/>
    </row>
    <row r="53" spans="2:20" ht="14.25">
      <c r="B53" s="8"/>
      <c r="C53" s="8"/>
      <c r="D53" s="8"/>
      <c r="E53" s="8"/>
      <c r="F53" s="8"/>
      <c r="G53" s="8"/>
      <c r="H53" s="3336" t="s">
        <v>1534</v>
      </c>
      <c r="I53" s="3336"/>
      <c r="J53" s="3336"/>
      <c r="K53" s="937"/>
      <c r="L53" s="1035"/>
      <c r="M53" s="871"/>
      <c r="N53" s="872"/>
      <c r="O53" s="872"/>
      <c r="P53" s="872"/>
      <c r="Q53" s="872"/>
      <c r="R53" s="872"/>
    </row>
    <row r="54" spans="2:20" ht="12.75" customHeight="1">
      <c r="H54" s="3337" t="s">
        <v>272</v>
      </c>
      <c r="I54" s="3337"/>
      <c r="J54" s="3485"/>
      <c r="K54" s="937"/>
      <c r="L54" s="1035"/>
      <c r="M54" s="871"/>
      <c r="N54" s="872"/>
      <c r="O54" s="872"/>
      <c r="P54" s="872"/>
      <c r="Q54" s="872"/>
      <c r="R54" s="872"/>
    </row>
    <row r="55" spans="2:20" ht="14.25">
      <c r="H55" s="127"/>
      <c r="I55" s="127"/>
      <c r="J55" s="127"/>
      <c r="K55" s="8"/>
      <c r="L55" s="1035"/>
      <c r="M55" s="871"/>
      <c r="N55" s="872"/>
      <c r="O55" s="872"/>
      <c r="P55" s="872"/>
      <c r="Q55" s="872"/>
      <c r="R55" s="872"/>
    </row>
    <row r="56" spans="2:20" ht="14.25">
      <c r="H56" s="127"/>
      <c r="I56" s="127"/>
      <c r="J56" s="127"/>
      <c r="K56" s="8"/>
      <c r="L56" s="843"/>
      <c r="M56" s="871"/>
      <c r="N56" s="872"/>
      <c r="O56" s="872"/>
      <c r="P56" s="872"/>
      <c r="Q56" s="872"/>
      <c r="R56" s="872"/>
    </row>
    <row r="57" spans="2:20" ht="14.25">
      <c r="H57" s="3434" t="s">
        <v>904</v>
      </c>
      <c r="I57" s="3434"/>
      <c r="J57" s="3434"/>
      <c r="K57" s="8"/>
      <c r="L57" s="1035"/>
      <c r="M57" s="871"/>
      <c r="N57" s="872"/>
      <c r="O57" s="872"/>
      <c r="P57" s="872"/>
      <c r="Q57" s="872"/>
      <c r="R57" s="872"/>
    </row>
    <row r="58" spans="2:20" ht="14.25">
      <c r="H58" s="3434" t="s">
        <v>906</v>
      </c>
      <c r="I58" s="3434"/>
      <c r="J58" s="3434"/>
      <c r="K58" s="8"/>
      <c r="L58" s="1035"/>
      <c r="M58" s="871"/>
      <c r="N58" s="872"/>
      <c r="O58" s="872"/>
      <c r="P58" s="872"/>
      <c r="Q58" s="872"/>
      <c r="R58" s="872"/>
    </row>
    <row r="59" spans="2:20">
      <c r="K59" s="9">
        <v>300000000</v>
      </c>
    </row>
    <row r="60" spans="2:20">
      <c r="K60" s="21">
        <f>K50-K59</f>
        <v>-39223000</v>
      </c>
    </row>
  </sheetData>
  <mergeCells count="49">
    <mergeCell ref="L20:Q20"/>
    <mergeCell ref="R20:R22"/>
    <mergeCell ref="H54:J54"/>
    <mergeCell ref="H57:J57"/>
    <mergeCell ref="H58:J58"/>
    <mergeCell ref="B23:F23"/>
    <mergeCell ref="B50:J50"/>
    <mergeCell ref="H53:J53"/>
    <mergeCell ref="B18:K18"/>
    <mergeCell ref="B19:K20"/>
    <mergeCell ref="B21:F22"/>
    <mergeCell ref="G21:G22"/>
    <mergeCell ref="H21:J21"/>
    <mergeCell ref="B17:F17"/>
    <mergeCell ref="G17:H17"/>
    <mergeCell ref="I17:K17"/>
    <mergeCell ref="B16:F16"/>
    <mergeCell ref="G16:H16"/>
    <mergeCell ref="I16:K16"/>
    <mergeCell ref="B15:F15"/>
    <mergeCell ref="G15:H15"/>
    <mergeCell ref="I15:K15"/>
    <mergeCell ref="B14:F14"/>
    <mergeCell ref="G14:H14"/>
    <mergeCell ref="I14:K14"/>
    <mergeCell ref="B12:K12"/>
    <mergeCell ref="B13:F13"/>
    <mergeCell ref="G13:H13"/>
    <mergeCell ref="I13:K13"/>
    <mergeCell ref="B10:F10"/>
    <mergeCell ref="G10:K10"/>
    <mergeCell ref="B11:F11"/>
    <mergeCell ref="G11:K11"/>
    <mergeCell ref="G9:K9"/>
    <mergeCell ref="B6:F6"/>
    <mergeCell ref="G6:K6"/>
    <mergeCell ref="B7:F7"/>
    <mergeCell ref="G7:K7"/>
    <mergeCell ref="B1:K1"/>
    <mergeCell ref="B2:D3"/>
    <mergeCell ref="E2:H2"/>
    <mergeCell ref="I2:J2"/>
    <mergeCell ref="B8:F8"/>
    <mergeCell ref="G8:K8"/>
    <mergeCell ref="E3:H3"/>
    <mergeCell ref="I3:J3"/>
    <mergeCell ref="B4:K4"/>
    <mergeCell ref="B5:F5"/>
    <mergeCell ref="G5:K5"/>
  </mergeCells>
  <pageMargins left="0.11811023622047245" right="0.23622047244094491" top="0.74803149606299213" bottom="1.299212598425197" header="0.23622047244094491" footer="0.15748031496062992"/>
  <pageSetup paperSize="5" scale="102" orientation="portrait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B1:T104"/>
  <sheetViews>
    <sheetView view="pageBreakPreview" topLeftCell="A10" zoomScaleNormal="110" zoomScaleSheetLayoutView="100" workbookViewId="0">
      <selection activeCell="B24" sqref="B24:K88"/>
    </sheetView>
  </sheetViews>
  <sheetFormatPr defaultColWidth="8.85546875" defaultRowHeight="12.75"/>
  <cols>
    <col min="1" max="1" width="1.5703125" style="76" customWidth="1"/>
    <col min="2" max="6" width="3.7109375" style="76" customWidth="1"/>
    <col min="7" max="7" width="47.7109375" style="76" customWidth="1"/>
    <col min="8" max="8" width="9.28515625" style="76" bestFit="1" customWidth="1"/>
    <col min="9" max="9" width="8.28515625" style="76" bestFit="1" customWidth="1"/>
    <col min="10" max="10" width="13.5703125" style="76" bestFit="1" customWidth="1"/>
    <col min="11" max="11" width="16.5703125" style="76" bestFit="1" customWidth="1"/>
    <col min="12" max="12" width="15.5703125" style="76" bestFit="1" customWidth="1"/>
    <col min="13" max="13" width="6.42578125" style="76" bestFit="1" customWidth="1"/>
    <col min="14" max="14" width="11.28515625" style="76" bestFit="1" customWidth="1"/>
    <col min="15" max="17" width="6.42578125" style="76" bestFit="1" customWidth="1"/>
    <col min="18" max="18" width="18.28515625" style="76" bestFit="1" customWidth="1"/>
    <col min="19" max="19" width="16.5703125" style="76" bestFit="1" customWidth="1"/>
    <col min="20" max="20" width="13.85546875" style="76" bestFit="1" customWidth="1"/>
    <col min="21" max="246" width="8.85546875" style="76"/>
    <col min="247" max="247" width="1.5703125" style="76" customWidth="1"/>
    <col min="248" max="248" width="3.140625" style="76" customWidth="1"/>
    <col min="249" max="249" width="3.28515625" style="76" customWidth="1"/>
    <col min="250" max="250" width="3.140625" style="76" customWidth="1"/>
    <col min="251" max="251" width="2.85546875" style="76" customWidth="1"/>
    <col min="252" max="252" width="3.28515625" style="76" customWidth="1"/>
    <col min="253" max="253" width="26.7109375" style="76" customWidth="1"/>
    <col min="254" max="254" width="6.28515625" style="76" customWidth="1"/>
    <col min="255" max="255" width="6.7109375" style="76" customWidth="1"/>
    <col min="256" max="256" width="11.7109375" style="76" bestFit="1" customWidth="1"/>
    <col min="257" max="257" width="14" style="76" bestFit="1" customWidth="1"/>
    <col min="258" max="258" width="3.85546875" style="76" customWidth="1"/>
    <col min="259" max="259" width="3.42578125" style="76" customWidth="1"/>
    <col min="260" max="260" width="3.28515625" style="76" customWidth="1"/>
    <col min="261" max="261" width="3.140625" style="76" customWidth="1"/>
    <col min="262" max="262" width="3" style="76" customWidth="1"/>
    <col min="263" max="263" width="26.7109375" style="76" customWidth="1"/>
    <col min="264" max="264" width="6.28515625" style="76" customWidth="1"/>
    <col min="265" max="265" width="6.140625" style="76" customWidth="1"/>
    <col min="266" max="266" width="11.7109375" style="76" customWidth="1"/>
    <col min="267" max="267" width="14.7109375" style="76" customWidth="1"/>
    <col min="268" max="268" width="8.85546875" style="76"/>
    <col min="269" max="269" width="21" style="76" customWidth="1"/>
    <col min="270" max="502" width="8.85546875" style="76"/>
    <col min="503" max="503" width="1.5703125" style="76" customWidth="1"/>
    <col min="504" max="504" width="3.140625" style="76" customWidth="1"/>
    <col min="505" max="505" width="3.28515625" style="76" customWidth="1"/>
    <col min="506" max="506" width="3.140625" style="76" customWidth="1"/>
    <col min="507" max="507" width="2.85546875" style="76" customWidth="1"/>
    <col min="508" max="508" width="3.28515625" style="76" customWidth="1"/>
    <col min="509" max="509" width="26.7109375" style="76" customWidth="1"/>
    <col min="510" max="510" width="6.28515625" style="76" customWidth="1"/>
    <col min="511" max="511" width="6.7109375" style="76" customWidth="1"/>
    <col min="512" max="512" width="11.7109375" style="76" bestFit="1" customWidth="1"/>
    <col min="513" max="513" width="14" style="76" bestFit="1" customWidth="1"/>
    <col min="514" max="514" width="3.85546875" style="76" customWidth="1"/>
    <col min="515" max="515" width="3.42578125" style="76" customWidth="1"/>
    <col min="516" max="516" width="3.28515625" style="76" customWidth="1"/>
    <col min="517" max="517" width="3.140625" style="76" customWidth="1"/>
    <col min="518" max="518" width="3" style="76" customWidth="1"/>
    <col min="519" max="519" width="26.7109375" style="76" customWidth="1"/>
    <col min="520" max="520" width="6.28515625" style="76" customWidth="1"/>
    <col min="521" max="521" width="6.140625" style="76" customWidth="1"/>
    <col min="522" max="522" width="11.7109375" style="76" customWidth="1"/>
    <col min="523" max="523" width="14.7109375" style="76" customWidth="1"/>
    <col min="524" max="524" width="8.85546875" style="76"/>
    <col min="525" max="525" width="21" style="76" customWidth="1"/>
    <col min="526" max="758" width="8.85546875" style="76"/>
    <col min="759" max="759" width="1.5703125" style="76" customWidth="1"/>
    <col min="760" max="760" width="3.140625" style="76" customWidth="1"/>
    <col min="761" max="761" width="3.28515625" style="76" customWidth="1"/>
    <col min="762" max="762" width="3.140625" style="76" customWidth="1"/>
    <col min="763" max="763" width="2.85546875" style="76" customWidth="1"/>
    <col min="764" max="764" width="3.28515625" style="76" customWidth="1"/>
    <col min="765" max="765" width="26.7109375" style="76" customWidth="1"/>
    <col min="766" max="766" width="6.28515625" style="76" customWidth="1"/>
    <col min="767" max="767" width="6.7109375" style="76" customWidth="1"/>
    <col min="768" max="768" width="11.7109375" style="76" bestFit="1" customWidth="1"/>
    <col min="769" max="769" width="14" style="76" bestFit="1" customWidth="1"/>
    <col min="770" max="770" width="3.85546875" style="76" customWidth="1"/>
    <col min="771" max="771" width="3.42578125" style="76" customWidth="1"/>
    <col min="772" max="772" width="3.28515625" style="76" customWidth="1"/>
    <col min="773" max="773" width="3.140625" style="76" customWidth="1"/>
    <col min="774" max="774" width="3" style="76" customWidth="1"/>
    <col min="775" max="775" width="26.7109375" style="76" customWidth="1"/>
    <col min="776" max="776" width="6.28515625" style="76" customWidth="1"/>
    <col min="777" max="777" width="6.140625" style="76" customWidth="1"/>
    <col min="778" max="778" width="11.7109375" style="76" customWidth="1"/>
    <col min="779" max="779" width="14.7109375" style="76" customWidth="1"/>
    <col min="780" max="780" width="8.85546875" style="76"/>
    <col min="781" max="781" width="21" style="76" customWidth="1"/>
    <col min="782" max="1014" width="8.85546875" style="76"/>
    <col min="1015" max="1015" width="1.5703125" style="76" customWidth="1"/>
    <col min="1016" max="1016" width="3.140625" style="76" customWidth="1"/>
    <col min="1017" max="1017" width="3.28515625" style="76" customWidth="1"/>
    <col min="1018" max="1018" width="3.140625" style="76" customWidth="1"/>
    <col min="1019" max="1019" width="2.85546875" style="76" customWidth="1"/>
    <col min="1020" max="1020" width="3.28515625" style="76" customWidth="1"/>
    <col min="1021" max="1021" width="26.7109375" style="76" customWidth="1"/>
    <col min="1022" max="1022" width="6.28515625" style="76" customWidth="1"/>
    <col min="1023" max="1023" width="6.7109375" style="76" customWidth="1"/>
    <col min="1024" max="1024" width="11.7109375" style="76" bestFit="1" customWidth="1"/>
    <col min="1025" max="1025" width="14" style="76" bestFit="1" customWidth="1"/>
    <col min="1026" max="1026" width="3.85546875" style="76" customWidth="1"/>
    <col min="1027" max="1027" width="3.42578125" style="76" customWidth="1"/>
    <col min="1028" max="1028" width="3.28515625" style="76" customWidth="1"/>
    <col min="1029" max="1029" width="3.140625" style="76" customWidth="1"/>
    <col min="1030" max="1030" width="3" style="76" customWidth="1"/>
    <col min="1031" max="1031" width="26.7109375" style="76" customWidth="1"/>
    <col min="1032" max="1032" width="6.28515625" style="76" customWidth="1"/>
    <col min="1033" max="1033" width="6.140625" style="76" customWidth="1"/>
    <col min="1034" max="1034" width="11.7109375" style="76" customWidth="1"/>
    <col min="1035" max="1035" width="14.7109375" style="76" customWidth="1"/>
    <col min="1036" max="1036" width="8.85546875" style="76"/>
    <col min="1037" max="1037" width="21" style="76" customWidth="1"/>
    <col min="1038" max="1270" width="8.85546875" style="76"/>
    <col min="1271" max="1271" width="1.5703125" style="76" customWidth="1"/>
    <col min="1272" max="1272" width="3.140625" style="76" customWidth="1"/>
    <col min="1273" max="1273" width="3.28515625" style="76" customWidth="1"/>
    <col min="1274" max="1274" width="3.140625" style="76" customWidth="1"/>
    <col min="1275" max="1275" width="2.85546875" style="76" customWidth="1"/>
    <col min="1276" max="1276" width="3.28515625" style="76" customWidth="1"/>
    <col min="1277" max="1277" width="26.7109375" style="76" customWidth="1"/>
    <col min="1278" max="1278" width="6.28515625" style="76" customWidth="1"/>
    <col min="1279" max="1279" width="6.7109375" style="76" customWidth="1"/>
    <col min="1280" max="1280" width="11.7109375" style="76" bestFit="1" customWidth="1"/>
    <col min="1281" max="1281" width="14" style="76" bestFit="1" customWidth="1"/>
    <col min="1282" max="1282" width="3.85546875" style="76" customWidth="1"/>
    <col min="1283" max="1283" width="3.42578125" style="76" customWidth="1"/>
    <col min="1284" max="1284" width="3.28515625" style="76" customWidth="1"/>
    <col min="1285" max="1285" width="3.140625" style="76" customWidth="1"/>
    <col min="1286" max="1286" width="3" style="76" customWidth="1"/>
    <col min="1287" max="1287" width="26.7109375" style="76" customWidth="1"/>
    <col min="1288" max="1288" width="6.28515625" style="76" customWidth="1"/>
    <col min="1289" max="1289" width="6.140625" style="76" customWidth="1"/>
    <col min="1290" max="1290" width="11.7109375" style="76" customWidth="1"/>
    <col min="1291" max="1291" width="14.7109375" style="76" customWidth="1"/>
    <col min="1292" max="1292" width="8.85546875" style="76"/>
    <col min="1293" max="1293" width="21" style="76" customWidth="1"/>
    <col min="1294" max="1526" width="8.85546875" style="76"/>
    <col min="1527" max="1527" width="1.5703125" style="76" customWidth="1"/>
    <col min="1528" max="1528" width="3.140625" style="76" customWidth="1"/>
    <col min="1529" max="1529" width="3.28515625" style="76" customWidth="1"/>
    <col min="1530" max="1530" width="3.140625" style="76" customWidth="1"/>
    <col min="1531" max="1531" width="2.85546875" style="76" customWidth="1"/>
    <col min="1532" max="1532" width="3.28515625" style="76" customWidth="1"/>
    <col min="1533" max="1533" width="26.7109375" style="76" customWidth="1"/>
    <col min="1534" max="1534" width="6.28515625" style="76" customWidth="1"/>
    <col min="1535" max="1535" width="6.7109375" style="76" customWidth="1"/>
    <col min="1536" max="1536" width="11.7109375" style="76" bestFit="1" customWidth="1"/>
    <col min="1537" max="1537" width="14" style="76" bestFit="1" customWidth="1"/>
    <col min="1538" max="1538" width="3.85546875" style="76" customWidth="1"/>
    <col min="1539" max="1539" width="3.42578125" style="76" customWidth="1"/>
    <col min="1540" max="1540" width="3.28515625" style="76" customWidth="1"/>
    <col min="1541" max="1541" width="3.140625" style="76" customWidth="1"/>
    <col min="1542" max="1542" width="3" style="76" customWidth="1"/>
    <col min="1543" max="1543" width="26.7109375" style="76" customWidth="1"/>
    <col min="1544" max="1544" width="6.28515625" style="76" customWidth="1"/>
    <col min="1545" max="1545" width="6.140625" style="76" customWidth="1"/>
    <col min="1546" max="1546" width="11.7109375" style="76" customWidth="1"/>
    <col min="1547" max="1547" width="14.7109375" style="76" customWidth="1"/>
    <col min="1548" max="1548" width="8.85546875" style="76"/>
    <col min="1549" max="1549" width="21" style="76" customWidth="1"/>
    <col min="1550" max="1782" width="8.85546875" style="76"/>
    <col min="1783" max="1783" width="1.5703125" style="76" customWidth="1"/>
    <col min="1784" max="1784" width="3.140625" style="76" customWidth="1"/>
    <col min="1785" max="1785" width="3.28515625" style="76" customWidth="1"/>
    <col min="1786" max="1786" width="3.140625" style="76" customWidth="1"/>
    <col min="1787" max="1787" width="2.85546875" style="76" customWidth="1"/>
    <col min="1788" max="1788" width="3.28515625" style="76" customWidth="1"/>
    <col min="1789" max="1789" width="26.7109375" style="76" customWidth="1"/>
    <col min="1790" max="1790" width="6.28515625" style="76" customWidth="1"/>
    <col min="1791" max="1791" width="6.7109375" style="76" customWidth="1"/>
    <col min="1792" max="1792" width="11.7109375" style="76" bestFit="1" customWidth="1"/>
    <col min="1793" max="1793" width="14" style="76" bestFit="1" customWidth="1"/>
    <col min="1794" max="1794" width="3.85546875" style="76" customWidth="1"/>
    <col min="1795" max="1795" width="3.42578125" style="76" customWidth="1"/>
    <col min="1796" max="1796" width="3.28515625" style="76" customWidth="1"/>
    <col min="1797" max="1797" width="3.140625" style="76" customWidth="1"/>
    <col min="1798" max="1798" width="3" style="76" customWidth="1"/>
    <col min="1799" max="1799" width="26.7109375" style="76" customWidth="1"/>
    <col min="1800" max="1800" width="6.28515625" style="76" customWidth="1"/>
    <col min="1801" max="1801" width="6.140625" style="76" customWidth="1"/>
    <col min="1802" max="1802" width="11.7109375" style="76" customWidth="1"/>
    <col min="1803" max="1803" width="14.7109375" style="76" customWidth="1"/>
    <col min="1804" max="1804" width="8.85546875" style="76"/>
    <col min="1805" max="1805" width="21" style="76" customWidth="1"/>
    <col min="1806" max="2038" width="8.85546875" style="76"/>
    <col min="2039" max="2039" width="1.5703125" style="76" customWidth="1"/>
    <col min="2040" max="2040" width="3.140625" style="76" customWidth="1"/>
    <col min="2041" max="2041" width="3.28515625" style="76" customWidth="1"/>
    <col min="2042" max="2042" width="3.140625" style="76" customWidth="1"/>
    <col min="2043" max="2043" width="2.85546875" style="76" customWidth="1"/>
    <col min="2044" max="2044" width="3.28515625" style="76" customWidth="1"/>
    <col min="2045" max="2045" width="26.7109375" style="76" customWidth="1"/>
    <col min="2046" max="2046" width="6.28515625" style="76" customWidth="1"/>
    <col min="2047" max="2047" width="6.7109375" style="76" customWidth="1"/>
    <col min="2048" max="2048" width="11.7109375" style="76" bestFit="1" customWidth="1"/>
    <col min="2049" max="2049" width="14" style="76" bestFit="1" customWidth="1"/>
    <col min="2050" max="2050" width="3.85546875" style="76" customWidth="1"/>
    <col min="2051" max="2051" width="3.42578125" style="76" customWidth="1"/>
    <col min="2052" max="2052" width="3.28515625" style="76" customWidth="1"/>
    <col min="2053" max="2053" width="3.140625" style="76" customWidth="1"/>
    <col min="2054" max="2054" width="3" style="76" customWidth="1"/>
    <col min="2055" max="2055" width="26.7109375" style="76" customWidth="1"/>
    <col min="2056" max="2056" width="6.28515625" style="76" customWidth="1"/>
    <col min="2057" max="2057" width="6.140625" style="76" customWidth="1"/>
    <col min="2058" max="2058" width="11.7109375" style="76" customWidth="1"/>
    <col min="2059" max="2059" width="14.7109375" style="76" customWidth="1"/>
    <col min="2060" max="2060" width="8.85546875" style="76"/>
    <col min="2061" max="2061" width="21" style="76" customWidth="1"/>
    <col min="2062" max="2294" width="8.85546875" style="76"/>
    <col min="2295" max="2295" width="1.5703125" style="76" customWidth="1"/>
    <col min="2296" max="2296" width="3.140625" style="76" customWidth="1"/>
    <col min="2297" max="2297" width="3.28515625" style="76" customWidth="1"/>
    <col min="2298" max="2298" width="3.140625" style="76" customWidth="1"/>
    <col min="2299" max="2299" width="2.85546875" style="76" customWidth="1"/>
    <col min="2300" max="2300" width="3.28515625" style="76" customWidth="1"/>
    <col min="2301" max="2301" width="26.7109375" style="76" customWidth="1"/>
    <col min="2302" max="2302" width="6.28515625" style="76" customWidth="1"/>
    <col min="2303" max="2303" width="6.7109375" style="76" customWidth="1"/>
    <col min="2304" max="2304" width="11.7109375" style="76" bestFit="1" customWidth="1"/>
    <col min="2305" max="2305" width="14" style="76" bestFit="1" customWidth="1"/>
    <col min="2306" max="2306" width="3.85546875" style="76" customWidth="1"/>
    <col min="2307" max="2307" width="3.42578125" style="76" customWidth="1"/>
    <col min="2308" max="2308" width="3.28515625" style="76" customWidth="1"/>
    <col min="2309" max="2309" width="3.140625" style="76" customWidth="1"/>
    <col min="2310" max="2310" width="3" style="76" customWidth="1"/>
    <col min="2311" max="2311" width="26.7109375" style="76" customWidth="1"/>
    <col min="2312" max="2312" width="6.28515625" style="76" customWidth="1"/>
    <col min="2313" max="2313" width="6.140625" style="76" customWidth="1"/>
    <col min="2314" max="2314" width="11.7109375" style="76" customWidth="1"/>
    <col min="2315" max="2315" width="14.7109375" style="76" customWidth="1"/>
    <col min="2316" max="2316" width="8.85546875" style="76"/>
    <col min="2317" max="2317" width="21" style="76" customWidth="1"/>
    <col min="2318" max="2550" width="8.85546875" style="76"/>
    <col min="2551" max="2551" width="1.5703125" style="76" customWidth="1"/>
    <col min="2552" max="2552" width="3.140625" style="76" customWidth="1"/>
    <col min="2553" max="2553" width="3.28515625" style="76" customWidth="1"/>
    <col min="2554" max="2554" width="3.140625" style="76" customWidth="1"/>
    <col min="2555" max="2555" width="2.85546875" style="76" customWidth="1"/>
    <col min="2556" max="2556" width="3.28515625" style="76" customWidth="1"/>
    <col min="2557" max="2557" width="26.7109375" style="76" customWidth="1"/>
    <col min="2558" max="2558" width="6.28515625" style="76" customWidth="1"/>
    <col min="2559" max="2559" width="6.7109375" style="76" customWidth="1"/>
    <col min="2560" max="2560" width="11.7109375" style="76" bestFit="1" customWidth="1"/>
    <col min="2561" max="2561" width="14" style="76" bestFit="1" customWidth="1"/>
    <col min="2562" max="2562" width="3.85546875" style="76" customWidth="1"/>
    <col min="2563" max="2563" width="3.42578125" style="76" customWidth="1"/>
    <col min="2564" max="2564" width="3.28515625" style="76" customWidth="1"/>
    <col min="2565" max="2565" width="3.140625" style="76" customWidth="1"/>
    <col min="2566" max="2566" width="3" style="76" customWidth="1"/>
    <col min="2567" max="2567" width="26.7109375" style="76" customWidth="1"/>
    <col min="2568" max="2568" width="6.28515625" style="76" customWidth="1"/>
    <col min="2569" max="2569" width="6.140625" style="76" customWidth="1"/>
    <col min="2570" max="2570" width="11.7109375" style="76" customWidth="1"/>
    <col min="2571" max="2571" width="14.7109375" style="76" customWidth="1"/>
    <col min="2572" max="2572" width="8.85546875" style="76"/>
    <col min="2573" max="2573" width="21" style="76" customWidth="1"/>
    <col min="2574" max="2806" width="8.85546875" style="76"/>
    <col min="2807" max="2807" width="1.5703125" style="76" customWidth="1"/>
    <col min="2808" max="2808" width="3.140625" style="76" customWidth="1"/>
    <col min="2809" max="2809" width="3.28515625" style="76" customWidth="1"/>
    <col min="2810" max="2810" width="3.140625" style="76" customWidth="1"/>
    <col min="2811" max="2811" width="2.85546875" style="76" customWidth="1"/>
    <col min="2812" max="2812" width="3.28515625" style="76" customWidth="1"/>
    <col min="2813" max="2813" width="26.7109375" style="76" customWidth="1"/>
    <col min="2814" max="2814" width="6.28515625" style="76" customWidth="1"/>
    <col min="2815" max="2815" width="6.7109375" style="76" customWidth="1"/>
    <col min="2816" max="2816" width="11.7109375" style="76" bestFit="1" customWidth="1"/>
    <col min="2817" max="2817" width="14" style="76" bestFit="1" customWidth="1"/>
    <col min="2818" max="2818" width="3.85546875" style="76" customWidth="1"/>
    <col min="2819" max="2819" width="3.42578125" style="76" customWidth="1"/>
    <col min="2820" max="2820" width="3.28515625" style="76" customWidth="1"/>
    <col min="2821" max="2821" width="3.140625" style="76" customWidth="1"/>
    <col min="2822" max="2822" width="3" style="76" customWidth="1"/>
    <col min="2823" max="2823" width="26.7109375" style="76" customWidth="1"/>
    <col min="2824" max="2824" width="6.28515625" style="76" customWidth="1"/>
    <col min="2825" max="2825" width="6.140625" style="76" customWidth="1"/>
    <col min="2826" max="2826" width="11.7109375" style="76" customWidth="1"/>
    <col min="2827" max="2827" width="14.7109375" style="76" customWidth="1"/>
    <col min="2828" max="2828" width="8.85546875" style="76"/>
    <col min="2829" max="2829" width="21" style="76" customWidth="1"/>
    <col min="2830" max="3062" width="8.85546875" style="76"/>
    <col min="3063" max="3063" width="1.5703125" style="76" customWidth="1"/>
    <col min="3064" max="3064" width="3.140625" style="76" customWidth="1"/>
    <col min="3065" max="3065" width="3.28515625" style="76" customWidth="1"/>
    <col min="3066" max="3066" width="3.140625" style="76" customWidth="1"/>
    <col min="3067" max="3067" width="2.85546875" style="76" customWidth="1"/>
    <col min="3068" max="3068" width="3.28515625" style="76" customWidth="1"/>
    <col min="3069" max="3069" width="26.7109375" style="76" customWidth="1"/>
    <col min="3070" max="3070" width="6.28515625" style="76" customWidth="1"/>
    <col min="3071" max="3071" width="6.7109375" style="76" customWidth="1"/>
    <col min="3072" max="3072" width="11.7109375" style="76" bestFit="1" customWidth="1"/>
    <col min="3073" max="3073" width="14" style="76" bestFit="1" customWidth="1"/>
    <col min="3074" max="3074" width="3.85546875" style="76" customWidth="1"/>
    <col min="3075" max="3075" width="3.42578125" style="76" customWidth="1"/>
    <col min="3076" max="3076" width="3.28515625" style="76" customWidth="1"/>
    <col min="3077" max="3077" width="3.140625" style="76" customWidth="1"/>
    <col min="3078" max="3078" width="3" style="76" customWidth="1"/>
    <col min="3079" max="3079" width="26.7109375" style="76" customWidth="1"/>
    <col min="3080" max="3080" width="6.28515625" style="76" customWidth="1"/>
    <col min="3081" max="3081" width="6.140625" style="76" customWidth="1"/>
    <col min="3082" max="3082" width="11.7109375" style="76" customWidth="1"/>
    <col min="3083" max="3083" width="14.7109375" style="76" customWidth="1"/>
    <col min="3084" max="3084" width="8.85546875" style="76"/>
    <col min="3085" max="3085" width="21" style="76" customWidth="1"/>
    <col min="3086" max="3318" width="8.85546875" style="76"/>
    <col min="3319" max="3319" width="1.5703125" style="76" customWidth="1"/>
    <col min="3320" max="3320" width="3.140625" style="76" customWidth="1"/>
    <col min="3321" max="3321" width="3.28515625" style="76" customWidth="1"/>
    <col min="3322" max="3322" width="3.140625" style="76" customWidth="1"/>
    <col min="3323" max="3323" width="2.85546875" style="76" customWidth="1"/>
    <col min="3324" max="3324" width="3.28515625" style="76" customWidth="1"/>
    <col min="3325" max="3325" width="26.7109375" style="76" customWidth="1"/>
    <col min="3326" max="3326" width="6.28515625" style="76" customWidth="1"/>
    <col min="3327" max="3327" width="6.7109375" style="76" customWidth="1"/>
    <col min="3328" max="3328" width="11.7109375" style="76" bestFit="1" customWidth="1"/>
    <col min="3329" max="3329" width="14" style="76" bestFit="1" customWidth="1"/>
    <col min="3330" max="3330" width="3.85546875" style="76" customWidth="1"/>
    <col min="3331" max="3331" width="3.42578125" style="76" customWidth="1"/>
    <col min="3332" max="3332" width="3.28515625" style="76" customWidth="1"/>
    <col min="3333" max="3333" width="3.140625" style="76" customWidth="1"/>
    <col min="3334" max="3334" width="3" style="76" customWidth="1"/>
    <col min="3335" max="3335" width="26.7109375" style="76" customWidth="1"/>
    <col min="3336" max="3336" width="6.28515625" style="76" customWidth="1"/>
    <col min="3337" max="3337" width="6.140625" style="76" customWidth="1"/>
    <col min="3338" max="3338" width="11.7109375" style="76" customWidth="1"/>
    <col min="3339" max="3339" width="14.7109375" style="76" customWidth="1"/>
    <col min="3340" max="3340" width="8.85546875" style="76"/>
    <col min="3341" max="3341" width="21" style="76" customWidth="1"/>
    <col min="3342" max="3574" width="8.85546875" style="76"/>
    <col min="3575" max="3575" width="1.5703125" style="76" customWidth="1"/>
    <col min="3576" max="3576" width="3.140625" style="76" customWidth="1"/>
    <col min="3577" max="3577" width="3.28515625" style="76" customWidth="1"/>
    <col min="3578" max="3578" width="3.140625" style="76" customWidth="1"/>
    <col min="3579" max="3579" width="2.85546875" style="76" customWidth="1"/>
    <col min="3580" max="3580" width="3.28515625" style="76" customWidth="1"/>
    <col min="3581" max="3581" width="26.7109375" style="76" customWidth="1"/>
    <col min="3582" max="3582" width="6.28515625" style="76" customWidth="1"/>
    <col min="3583" max="3583" width="6.7109375" style="76" customWidth="1"/>
    <col min="3584" max="3584" width="11.7109375" style="76" bestFit="1" customWidth="1"/>
    <col min="3585" max="3585" width="14" style="76" bestFit="1" customWidth="1"/>
    <col min="3586" max="3586" width="3.85546875" style="76" customWidth="1"/>
    <col min="3587" max="3587" width="3.42578125" style="76" customWidth="1"/>
    <col min="3588" max="3588" width="3.28515625" style="76" customWidth="1"/>
    <col min="3589" max="3589" width="3.140625" style="76" customWidth="1"/>
    <col min="3590" max="3590" width="3" style="76" customWidth="1"/>
    <col min="3591" max="3591" width="26.7109375" style="76" customWidth="1"/>
    <col min="3592" max="3592" width="6.28515625" style="76" customWidth="1"/>
    <col min="3593" max="3593" width="6.140625" style="76" customWidth="1"/>
    <col min="3594" max="3594" width="11.7109375" style="76" customWidth="1"/>
    <col min="3595" max="3595" width="14.7109375" style="76" customWidth="1"/>
    <col min="3596" max="3596" width="8.85546875" style="76"/>
    <col min="3597" max="3597" width="21" style="76" customWidth="1"/>
    <col min="3598" max="3830" width="8.85546875" style="76"/>
    <col min="3831" max="3831" width="1.5703125" style="76" customWidth="1"/>
    <col min="3832" max="3832" width="3.140625" style="76" customWidth="1"/>
    <col min="3833" max="3833" width="3.28515625" style="76" customWidth="1"/>
    <col min="3834" max="3834" width="3.140625" style="76" customWidth="1"/>
    <col min="3835" max="3835" width="2.85546875" style="76" customWidth="1"/>
    <col min="3836" max="3836" width="3.28515625" style="76" customWidth="1"/>
    <col min="3837" max="3837" width="26.7109375" style="76" customWidth="1"/>
    <col min="3838" max="3838" width="6.28515625" style="76" customWidth="1"/>
    <col min="3839" max="3839" width="6.7109375" style="76" customWidth="1"/>
    <col min="3840" max="3840" width="11.7109375" style="76" bestFit="1" customWidth="1"/>
    <col min="3841" max="3841" width="14" style="76" bestFit="1" customWidth="1"/>
    <col min="3842" max="3842" width="3.85546875" style="76" customWidth="1"/>
    <col min="3843" max="3843" width="3.42578125" style="76" customWidth="1"/>
    <col min="3844" max="3844" width="3.28515625" style="76" customWidth="1"/>
    <col min="3845" max="3845" width="3.140625" style="76" customWidth="1"/>
    <col min="3846" max="3846" width="3" style="76" customWidth="1"/>
    <col min="3847" max="3847" width="26.7109375" style="76" customWidth="1"/>
    <col min="3848" max="3848" width="6.28515625" style="76" customWidth="1"/>
    <col min="3849" max="3849" width="6.140625" style="76" customWidth="1"/>
    <col min="3850" max="3850" width="11.7109375" style="76" customWidth="1"/>
    <col min="3851" max="3851" width="14.7109375" style="76" customWidth="1"/>
    <col min="3852" max="3852" width="8.85546875" style="76"/>
    <col min="3853" max="3853" width="21" style="76" customWidth="1"/>
    <col min="3854" max="4086" width="8.85546875" style="76"/>
    <col min="4087" max="4087" width="1.5703125" style="76" customWidth="1"/>
    <col min="4088" max="4088" width="3.140625" style="76" customWidth="1"/>
    <col min="4089" max="4089" width="3.28515625" style="76" customWidth="1"/>
    <col min="4090" max="4090" width="3.140625" style="76" customWidth="1"/>
    <col min="4091" max="4091" width="2.85546875" style="76" customWidth="1"/>
    <col min="4092" max="4092" width="3.28515625" style="76" customWidth="1"/>
    <col min="4093" max="4093" width="26.7109375" style="76" customWidth="1"/>
    <col min="4094" max="4094" width="6.28515625" style="76" customWidth="1"/>
    <col min="4095" max="4095" width="6.7109375" style="76" customWidth="1"/>
    <col min="4096" max="4096" width="11.7109375" style="76" bestFit="1" customWidth="1"/>
    <col min="4097" max="4097" width="14" style="76" bestFit="1" customWidth="1"/>
    <col min="4098" max="4098" width="3.85546875" style="76" customWidth="1"/>
    <col min="4099" max="4099" width="3.42578125" style="76" customWidth="1"/>
    <col min="4100" max="4100" width="3.28515625" style="76" customWidth="1"/>
    <col min="4101" max="4101" width="3.140625" style="76" customWidth="1"/>
    <col min="4102" max="4102" width="3" style="76" customWidth="1"/>
    <col min="4103" max="4103" width="26.7109375" style="76" customWidth="1"/>
    <col min="4104" max="4104" width="6.28515625" style="76" customWidth="1"/>
    <col min="4105" max="4105" width="6.140625" style="76" customWidth="1"/>
    <col min="4106" max="4106" width="11.7109375" style="76" customWidth="1"/>
    <col min="4107" max="4107" width="14.7109375" style="76" customWidth="1"/>
    <col min="4108" max="4108" width="8.85546875" style="76"/>
    <col min="4109" max="4109" width="21" style="76" customWidth="1"/>
    <col min="4110" max="4342" width="8.85546875" style="76"/>
    <col min="4343" max="4343" width="1.5703125" style="76" customWidth="1"/>
    <col min="4344" max="4344" width="3.140625" style="76" customWidth="1"/>
    <col min="4345" max="4345" width="3.28515625" style="76" customWidth="1"/>
    <col min="4346" max="4346" width="3.140625" style="76" customWidth="1"/>
    <col min="4347" max="4347" width="2.85546875" style="76" customWidth="1"/>
    <col min="4348" max="4348" width="3.28515625" style="76" customWidth="1"/>
    <col min="4349" max="4349" width="26.7109375" style="76" customWidth="1"/>
    <col min="4350" max="4350" width="6.28515625" style="76" customWidth="1"/>
    <col min="4351" max="4351" width="6.7109375" style="76" customWidth="1"/>
    <col min="4352" max="4352" width="11.7109375" style="76" bestFit="1" customWidth="1"/>
    <col min="4353" max="4353" width="14" style="76" bestFit="1" customWidth="1"/>
    <col min="4354" max="4354" width="3.85546875" style="76" customWidth="1"/>
    <col min="4355" max="4355" width="3.42578125" style="76" customWidth="1"/>
    <col min="4356" max="4356" width="3.28515625" style="76" customWidth="1"/>
    <col min="4357" max="4357" width="3.140625" style="76" customWidth="1"/>
    <col min="4358" max="4358" width="3" style="76" customWidth="1"/>
    <col min="4359" max="4359" width="26.7109375" style="76" customWidth="1"/>
    <col min="4360" max="4360" width="6.28515625" style="76" customWidth="1"/>
    <col min="4361" max="4361" width="6.140625" style="76" customWidth="1"/>
    <col min="4362" max="4362" width="11.7109375" style="76" customWidth="1"/>
    <col min="4363" max="4363" width="14.7109375" style="76" customWidth="1"/>
    <col min="4364" max="4364" width="8.85546875" style="76"/>
    <col min="4365" max="4365" width="21" style="76" customWidth="1"/>
    <col min="4366" max="4598" width="8.85546875" style="76"/>
    <col min="4599" max="4599" width="1.5703125" style="76" customWidth="1"/>
    <col min="4600" max="4600" width="3.140625" style="76" customWidth="1"/>
    <col min="4601" max="4601" width="3.28515625" style="76" customWidth="1"/>
    <col min="4602" max="4602" width="3.140625" style="76" customWidth="1"/>
    <col min="4603" max="4603" width="2.85546875" style="76" customWidth="1"/>
    <col min="4604" max="4604" width="3.28515625" style="76" customWidth="1"/>
    <col min="4605" max="4605" width="26.7109375" style="76" customWidth="1"/>
    <col min="4606" max="4606" width="6.28515625" style="76" customWidth="1"/>
    <col min="4607" max="4607" width="6.7109375" style="76" customWidth="1"/>
    <col min="4608" max="4608" width="11.7109375" style="76" bestFit="1" customWidth="1"/>
    <col min="4609" max="4609" width="14" style="76" bestFit="1" customWidth="1"/>
    <col min="4610" max="4610" width="3.85546875" style="76" customWidth="1"/>
    <col min="4611" max="4611" width="3.42578125" style="76" customWidth="1"/>
    <col min="4612" max="4612" width="3.28515625" style="76" customWidth="1"/>
    <col min="4613" max="4613" width="3.140625" style="76" customWidth="1"/>
    <col min="4614" max="4614" width="3" style="76" customWidth="1"/>
    <col min="4615" max="4615" width="26.7109375" style="76" customWidth="1"/>
    <col min="4616" max="4616" width="6.28515625" style="76" customWidth="1"/>
    <col min="4617" max="4617" width="6.140625" style="76" customWidth="1"/>
    <col min="4618" max="4618" width="11.7109375" style="76" customWidth="1"/>
    <col min="4619" max="4619" width="14.7109375" style="76" customWidth="1"/>
    <col min="4620" max="4620" width="8.85546875" style="76"/>
    <col min="4621" max="4621" width="21" style="76" customWidth="1"/>
    <col min="4622" max="4854" width="8.85546875" style="76"/>
    <col min="4855" max="4855" width="1.5703125" style="76" customWidth="1"/>
    <col min="4856" max="4856" width="3.140625" style="76" customWidth="1"/>
    <col min="4857" max="4857" width="3.28515625" style="76" customWidth="1"/>
    <col min="4858" max="4858" width="3.140625" style="76" customWidth="1"/>
    <col min="4859" max="4859" width="2.85546875" style="76" customWidth="1"/>
    <col min="4860" max="4860" width="3.28515625" style="76" customWidth="1"/>
    <col min="4861" max="4861" width="26.7109375" style="76" customWidth="1"/>
    <col min="4862" max="4862" width="6.28515625" style="76" customWidth="1"/>
    <col min="4863" max="4863" width="6.7109375" style="76" customWidth="1"/>
    <col min="4864" max="4864" width="11.7109375" style="76" bestFit="1" customWidth="1"/>
    <col min="4865" max="4865" width="14" style="76" bestFit="1" customWidth="1"/>
    <col min="4866" max="4866" width="3.85546875" style="76" customWidth="1"/>
    <col min="4867" max="4867" width="3.42578125" style="76" customWidth="1"/>
    <col min="4868" max="4868" width="3.28515625" style="76" customWidth="1"/>
    <col min="4869" max="4869" width="3.140625" style="76" customWidth="1"/>
    <col min="4870" max="4870" width="3" style="76" customWidth="1"/>
    <col min="4871" max="4871" width="26.7109375" style="76" customWidth="1"/>
    <col min="4872" max="4872" width="6.28515625" style="76" customWidth="1"/>
    <col min="4873" max="4873" width="6.140625" style="76" customWidth="1"/>
    <col min="4874" max="4874" width="11.7109375" style="76" customWidth="1"/>
    <col min="4875" max="4875" width="14.7109375" style="76" customWidth="1"/>
    <col min="4876" max="4876" width="8.85546875" style="76"/>
    <col min="4877" max="4877" width="21" style="76" customWidth="1"/>
    <col min="4878" max="5110" width="8.85546875" style="76"/>
    <col min="5111" max="5111" width="1.5703125" style="76" customWidth="1"/>
    <col min="5112" max="5112" width="3.140625" style="76" customWidth="1"/>
    <col min="5113" max="5113" width="3.28515625" style="76" customWidth="1"/>
    <col min="5114" max="5114" width="3.140625" style="76" customWidth="1"/>
    <col min="5115" max="5115" width="2.85546875" style="76" customWidth="1"/>
    <col min="5116" max="5116" width="3.28515625" style="76" customWidth="1"/>
    <col min="5117" max="5117" width="26.7109375" style="76" customWidth="1"/>
    <col min="5118" max="5118" width="6.28515625" style="76" customWidth="1"/>
    <col min="5119" max="5119" width="6.7109375" style="76" customWidth="1"/>
    <col min="5120" max="5120" width="11.7109375" style="76" bestFit="1" customWidth="1"/>
    <col min="5121" max="5121" width="14" style="76" bestFit="1" customWidth="1"/>
    <col min="5122" max="5122" width="3.85546875" style="76" customWidth="1"/>
    <col min="5123" max="5123" width="3.42578125" style="76" customWidth="1"/>
    <col min="5124" max="5124" width="3.28515625" style="76" customWidth="1"/>
    <col min="5125" max="5125" width="3.140625" style="76" customWidth="1"/>
    <col min="5126" max="5126" width="3" style="76" customWidth="1"/>
    <col min="5127" max="5127" width="26.7109375" style="76" customWidth="1"/>
    <col min="5128" max="5128" width="6.28515625" style="76" customWidth="1"/>
    <col min="5129" max="5129" width="6.140625" style="76" customWidth="1"/>
    <col min="5130" max="5130" width="11.7109375" style="76" customWidth="1"/>
    <col min="5131" max="5131" width="14.7109375" style="76" customWidth="1"/>
    <col min="5132" max="5132" width="8.85546875" style="76"/>
    <col min="5133" max="5133" width="21" style="76" customWidth="1"/>
    <col min="5134" max="5366" width="8.85546875" style="76"/>
    <col min="5367" max="5367" width="1.5703125" style="76" customWidth="1"/>
    <col min="5368" max="5368" width="3.140625" style="76" customWidth="1"/>
    <col min="5369" max="5369" width="3.28515625" style="76" customWidth="1"/>
    <col min="5370" max="5370" width="3.140625" style="76" customWidth="1"/>
    <col min="5371" max="5371" width="2.85546875" style="76" customWidth="1"/>
    <col min="5372" max="5372" width="3.28515625" style="76" customWidth="1"/>
    <col min="5373" max="5373" width="26.7109375" style="76" customWidth="1"/>
    <col min="5374" max="5374" width="6.28515625" style="76" customWidth="1"/>
    <col min="5375" max="5375" width="6.7109375" style="76" customWidth="1"/>
    <col min="5376" max="5376" width="11.7109375" style="76" bestFit="1" customWidth="1"/>
    <col min="5377" max="5377" width="14" style="76" bestFit="1" customWidth="1"/>
    <col min="5378" max="5378" width="3.85546875" style="76" customWidth="1"/>
    <col min="5379" max="5379" width="3.42578125" style="76" customWidth="1"/>
    <col min="5380" max="5380" width="3.28515625" style="76" customWidth="1"/>
    <col min="5381" max="5381" width="3.140625" style="76" customWidth="1"/>
    <col min="5382" max="5382" width="3" style="76" customWidth="1"/>
    <col min="5383" max="5383" width="26.7109375" style="76" customWidth="1"/>
    <col min="5384" max="5384" width="6.28515625" style="76" customWidth="1"/>
    <col min="5385" max="5385" width="6.140625" style="76" customWidth="1"/>
    <col min="5386" max="5386" width="11.7109375" style="76" customWidth="1"/>
    <col min="5387" max="5387" width="14.7109375" style="76" customWidth="1"/>
    <col min="5388" max="5388" width="8.85546875" style="76"/>
    <col min="5389" max="5389" width="21" style="76" customWidth="1"/>
    <col min="5390" max="5622" width="8.85546875" style="76"/>
    <col min="5623" max="5623" width="1.5703125" style="76" customWidth="1"/>
    <col min="5624" max="5624" width="3.140625" style="76" customWidth="1"/>
    <col min="5625" max="5625" width="3.28515625" style="76" customWidth="1"/>
    <col min="5626" max="5626" width="3.140625" style="76" customWidth="1"/>
    <col min="5627" max="5627" width="2.85546875" style="76" customWidth="1"/>
    <col min="5628" max="5628" width="3.28515625" style="76" customWidth="1"/>
    <col min="5629" max="5629" width="26.7109375" style="76" customWidth="1"/>
    <col min="5630" max="5630" width="6.28515625" style="76" customWidth="1"/>
    <col min="5631" max="5631" width="6.7109375" style="76" customWidth="1"/>
    <col min="5632" max="5632" width="11.7109375" style="76" bestFit="1" customWidth="1"/>
    <col min="5633" max="5633" width="14" style="76" bestFit="1" customWidth="1"/>
    <col min="5634" max="5634" width="3.85546875" style="76" customWidth="1"/>
    <col min="5635" max="5635" width="3.42578125" style="76" customWidth="1"/>
    <col min="5636" max="5636" width="3.28515625" style="76" customWidth="1"/>
    <col min="5637" max="5637" width="3.140625" style="76" customWidth="1"/>
    <col min="5638" max="5638" width="3" style="76" customWidth="1"/>
    <col min="5639" max="5639" width="26.7109375" style="76" customWidth="1"/>
    <col min="5640" max="5640" width="6.28515625" style="76" customWidth="1"/>
    <col min="5641" max="5641" width="6.140625" style="76" customWidth="1"/>
    <col min="5642" max="5642" width="11.7109375" style="76" customWidth="1"/>
    <col min="5643" max="5643" width="14.7109375" style="76" customWidth="1"/>
    <col min="5644" max="5644" width="8.85546875" style="76"/>
    <col min="5645" max="5645" width="21" style="76" customWidth="1"/>
    <col min="5646" max="5878" width="8.85546875" style="76"/>
    <col min="5879" max="5879" width="1.5703125" style="76" customWidth="1"/>
    <col min="5880" max="5880" width="3.140625" style="76" customWidth="1"/>
    <col min="5881" max="5881" width="3.28515625" style="76" customWidth="1"/>
    <col min="5882" max="5882" width="3.140625" style="76" customWidth="1"/>
    <col min="5883" max="5883" width="2.85546875" style="76" customWidth="1"/>
    <col min="5884" max="5884" width="3.28515625" style="76" customWidth="1"/>
    <col min="5885" max="5885" width="26.7109375" style="76" customWidth="1"/>
    <col min="5886" max="5886" width="6.28515625" style="76" customWidth="1"/>
    <col min="5887" max="5887" width="6.7109375" style="76" customWidth="1"/>
    <col min="5888" max="5888" width="11.7109375" style="76" bestFit="1" customWidth="1"/>
    <col min="5889" max="5889" width="14" style="76" bestFit="1" customWidth="1"/>
    <col min="5890" max="5890" width="3.85546875" style="76" customWidth="1"/>
    <col min="5891" max="5891" width="3.42578125" style="76" customWidth="1"/>
    <col min="5892" max="5892" width="3.28515625" style="76" customWidth="1"/>
    <col min="5893" max="5893" width="3.140625" style="76" customWidth="1"/>
    <col min="5894" max="5894" width="3" style="76" customWidth="1"/>
    <col min="5895" max="5895" width="26.7109375" style="76" customWidth="1"/>
    <col min="5896" max="5896" width="6.28515625" style="76" customWidth="1"/>
    <col min="5897" max="5897" width="6.140625" style="76" customWidth="1"/>
    <col min="5898" max="5898" width="11.7109375" style="76" customWidth="1"/>
    <col min="5899" max="5899" width="14.7109375" style="76" customWidth="1"/>
    <col min="5900" max="5900" width="8.85546875" style="76"/>
    <col min="5901" max="5901" width="21" style="76" customWidth="1"/>
    <col min="5902" max="6134" width="8.85546875" style="76"/>
    <col min="6135" max="6135" width="1.5703125" style="76" customWidth="1"/>
    <col min="6136" max="6136" width="3.140625" style="76" customWidth="1"/>
    <col min="6137" max="6137" width="3.28515625" style="76" customWidth="1"/>
    <col min="6138" max="6138" width="3.140625" style="76" customWidth="1"/>
    <col min="6139" max="6139" width="2.85546875" style="76" customWidth="1"/>
    <col min="6140" max="6140" width="3.28515625" style="76" customWidth="1"/>
    <col min="6141" max="6141" width="26.7109375" style="76" customWidth="1"/>
    <col min="6142" max="6142" width="6.28515625" style="76" customWidth="1"/>
    <col min="6143" max="6143" width="6.7109375" style="76" customWidth="1"/>
    <col min="6144" max="6144" width="11.7109375" style="76" bestFit="1" customWidth="1"/>
    <col min="6145" max="6145" width="14" style="76" bestFit="1" customWidth="1"/>
    <col min="6146" max="6146" width="3.85546875" style="76" customWidth="1"/>
    <col min="6147" max="6147" width="3.42578125" style="76" customWidth="1"/>
    <col min="6148" max="6148" width="3.28515625" style="76" customWidth="1"/>
    <col min="6149" max="6149" width="3.140625" style="76" customWidth="1"/>
    <col min="6150" max="6150" width="3" style="76" customWidth="1"/>
    <col min="6151" max="6151" width="26.7109375" style="76" customWidth="1"/>
    <col min="6152" max="6152" width="6.28515625" style="76" customWidth="1"/>
    <col min="6153" max="6153" width="6.140625" style="76" customWidth="1"/>
    <col min="6154" max="6154" width="11.7109375" style="76" customWidth="1"/>
    <col min="6155" max="6155" width="14.7109375" style="76" customWidth="1"/>
    <col min="6156" max="6156" width="8.85546875" style="76"/>
    <col min="6157" max="6157" width="21" style="76" customWidth="1"/>
    <col min="6158" max="6390" width="8.85546875" style="76"/>
    <col min="6391" max="6391" width="1.5703125" style="76" customWidth="1"/>
    <col min="6392" max="6392" width="3.140625" style="76" customWidth="1"/>
    <col min="6393" max="6393" width="3.28515625" style="76" customWidth="1"/>
    <col min="6394" max="6394" width="3.140625" style="76" customWidth="1"/>
    <col min="6395" max="6395" width="2.85546875" style="76" customWidth="1"/>
    <col min="6396" max="6396" width="3.28515625" style="76" customWidth="1"/>
    <col min="6397" max="6397" width="26.7109375" style="76" customWidth="1"/>
    <col min="6398" max="6398" width="6.28515625" style="76" customWidth="1"/>
    <col min="6399" max="6399" width="6.7109375" style="76" customWidth="1"/>
    <col min="6400" max="6400" width="11.7109375" style="76" bestFit="1" customWidth="1"/>
    <col min="6401" max="6401" width="14" style="76" bestFit="1" customWidth="1"/>
    <col min="6402" max="6402" width="3.85546875" style="76" customWidth="1"/>
    <col min="6403" max="6403" width="3.42578125" style="76" customWidth="1"/>
    <col min="6404" max="6404" width="3.28515625" style="76" customWidth="1"/>
    <col min="6405" max="6405" width="3.140625" style="76" customWidth="1"/>
    <col min="6406" max="6406" width="3" style="76" customWidth="1"/>
    <col min="6407" max="6407" width="26.7109375" style="76" customWidth="1"/>
    <col min="6408" max="6408" width="6.28515625" style="76" customWidth="1"/>
    <col min="6409" max="6409" width="6.140625" style="76" customWidth="1"/>
    <col min="6410" max="6410" width="11.7109375" style="76" customWidth="1"/>
    <col min="6411" max="6411" width="14.7109375" style="76" customWidth="1"/>
    <col min="6412" max="6412" width="8.85546875" style="76"/>
    <col min="6413" max="6413" width="21" style="76" customWidth="1"/>
    <col min="6414" max="6646" width="8.85546875" style="76"/>
    <col min="6647" max="6647" width="1.5703125" style="76" customWidth="1"/>
    <col min="6648" max="6648" width="3.140625" style="76" customWidth="1"/>
    <col min="6649" max="6649" width="3.28515625" style="76" customWidth="1"/>
    <col min="6650" max="6650" width="3.140625" style="76" customWidth="1"/>
    <col min="6651" max="6651" width="2.85546875" style="76" customWidth="1"/>
    <col min="6652" max="6652" width="3.28515625" style="76" customWidth="1"/>
    <col min="6653" max="6653" width="26.7109375" style="76" customWidth="1"/>
    <col min="6654" max="6654" width="6.28515625" style="76" customWidth="1"/>
    <col min="6655" max="6655" width="6.7109375" style="76" customWidth="1"/>
    <col min="6656" max="6656" width="11.7109375" style="76" bestFit="1" customWidth="1"/>
    <col min="6657" max="6657" width="14" style="76" bestFit="1" customWidth="1"/>
    <col min="6658" max="6658" width="3.85546875" style="76" customWidth="1"/>
    <col min="6659" max="6659" width="3.42578125" style="76" customWidth="1"/>
    <col min="6660" max="6660" width="3.28515625" style="76" customWidth="1"/>
    <col min="6661" max="6661" width="3.140625" style="76" customWidth="1"/>
    <col min="6662" max="6662" width="3" style="76" customWidth="1"/>
    <col min="6663" max="6663" width="26.7109375" style="76" customWidth="1"/>
    <col min="6664" max="6664" width="6.28515625" style="76" customWidth="1"/>
    <col min="6665" max="6665" width="6.140625" style="76" customWidth="1"/>
    <col min="6666" max="6666" width="11.7109375" style="76" customWidth="1"/>
    <col min="6667" max="6667" width="14.7109375" style="76" customWidth="1"/>
    <col min="6668" max="6668" width="8.85546875" style="76"/>
    <col min="6669" max="6669" width="21" style="76" customWidth="1"/>
    <col min="6670" max="6902" width="8.85546875" style="76"/>
    <col min="6903" max="6903" width="1.5703125" style="76" customWidth="1"/>
    <col min="6904" max="6904" width="3.140625" style="76" customWidth="1"/>
    <col min="6905" max="6905" width="3.28515625" style="76" customWidth="1"/>
    <col min="6906" max="6906" width="3.140625" style="76" customWidth="1"/>
    <col min="6907" max="6907" width="2.85546875" style="76" customWidth="1"/>
    <col min="6908" max="6908" width="3.28515625" style="76" customWidth="1"/>
    <col min="6909" max="6909" width="26.7109375" style="76" customWidth="1"/>
    <col min="6910" max="6910" width="6.28515625" style="76" customWidth="1"/>
    <col min="6911" max="6911" width="6.7109375" style="76" customWidth="1"/>
    <col min="6912" max="6912" width="11.7109375" style="76" bestFit="1" customWidth="1"/>
    <col min="6913" max="6913" width="14" style="76" bestFit="1" customWidth="1"/>
    <col min="6914" max="6914" width="3.85546875" style="76" customWidth="1"/>
    <col min="6915" max="6915" width="3.42578125" style="76" customWidth="1"/>
    <col min="6916" max="6916" width="3.28515625" style="76" customWidth="1"/>
    <col min="6917" max="6917" width="3.140625" style="76" customWidth="1"/>
    <col min="6918" max="6918" width="3" style="76" customWidth="1"/>
    <col min="6919" max="6919" width="26.7109375" style="76" customWidth="1"/>
    <col min="6920" max="6920" width="6.28515625" style="76" customWidth="1"/>
    <col min="6921" max="6921" width="6.140625" style="76" customWidth="1"/>
    <col min="6922" max="6922" width="11.7109375" style="76" customWidth="1"/>
    <col min="6923" max="6923" width="14.7109375" style="76" customWidth="1"/>
    <col min="6924" max="6924" width="8.85546875" style="76"/>
    <col min="6925" max="6925" width="21" style="76" customWidth="1"/>
    <col min="6926" max="7158" width="8.85546875" style="76"/>
    <col min="7159" max="7159" width="1.5703125" style="76" customWidth="1"/>
    <col min="7160" max="7160" width="3.140625" style="76" customWidth="1"/>
    <col min="7161" max="7161" width="3.28515625" style="76" customWidth="1"/>
    <col min="7162" max="7162" width="3.140625" style="76" customWidth="1"/>
    <col min="7163" max="7163" width="2.85546875" style="76" customWidth="1"/>
    <col min="7164" max="7164" width="3.28515625" style="76" customWidth="1"/>
    <col min="7165" max="7165" width="26.7109375" style="76" customWidth="1"/>
    <col min="7166" max="7166" width="6.28515625" style="76" customWidth="1"/>
    <col min="7167" max="7167" width="6.7109375" style="76" customWidth="1"/>
    <col min="7168" max="7168" width="11.7109375" style="76" bestFit="1" customWidth="1"/>
    <col min="7169" max="7169" width="14" style="76" bestFit="1" customWidth="1"/>
    <col min="7170" max="7170" width="3.85546875" style="76" customWidth="1"/>
    <col min="7171" max="7171" width="3.42578125" style="76" customWidth="1"/>
    <col min="7172" max="7172" width="3.28515625" style="76" customWidth="1"/>
    <col min="7173" max="7173" width="3.140625" style="76" customWidth="1"/>
    <col min="7174" max="7174" width="3" style="76" customWidth="1"/>
    <col min="7175" max="7175" width="26.7109375" style="76" customWidth="1"/>
    <col min="7176" max="7176" width="6.28515625" style="76" customWidth="1"/>
    <col min="7177" max="7177" width="6.140625" style="76" customWidth="1"/>
    <col min="7178" max="7178" width="11.7109375" style="76" customWidth="1"/>
    <col min="7179" max="7179" width="14.7109375" style="76" customWidth="1"/>
    <col min="7180" max="7180" width="8.85546875" style="76"/>
    <col min="7181" max="7181" width="21" style="76" customWidth="1"/>
    <col min="7182" max="7414" width="8.85546875" style="76"/>
    <col min="7415" max="7415" width="1.5703125" style="76" customWidth="1"/>
    <col min="7416" max="7416" width="3.140625" style="76" customWidth="1"/>
    <col min="7417" max="7417" width="3.28515625" style="76" customWidth="1"/>
    <col min="7418" max="7418" width="3.140625" style="76" customWidth="1"/>
    <col min="7419" max="7419" width="2.85546875" style="76" customWidth="1"/>
    <col min="7420" max="7420" width="3.28515625" style="76" customWidth="1"/>
    <col min="7421" max="7421" width="26.7109375" style="76" customWidth="1"/>
    <col min="7422" max="7422" width="6.28515625" style="76" customWidth="1"/>
    <col min="7423" max="7423" width="6.7109375" style="76" customWidth="1"/>
    <col min="7424" max="7424" width="11.7109375" style="76" bestFit="1" customWidth="1"/>
    <col min="7425" max="7425" width="14" style="76" bestFit="1" customWidth="1"/>
    <col min="7426" max="7426" width="3.85546875" style="76" customWidth="1"/>
    <col min="7427" max="7427" width="3.42578125" style="76" customWidth="1"/>
    <col min="7428" max="7428" width="3.28515625" style="76" customWidth="1"/>
    <col min="7429" max="7429" width="3.140625" style="76" customWidth="1"/>
    <col min="7430" max="7430" width="3" style="76" customWidth="1"/>
    <col min="7431" max="7431" width="26.7109375" style="76" customWidth="1"/>
    <col min="7432" max="7432" width="6.28515625" style="76" customWidth="1"/>
    <col min="7433" max="7433" width="6.140625" style="76" customWidth="1"/>
    <col min="7434" max="7434" width="11.7109375" style="76" customWidth="1"/>
    <col min="7435" max="7435" width="14.7109375" style="76" customWidth="1"/>
    <col min="7436" max="7436" width="8.85546875" style="76"/>
    <col min="7437" max="7437" width="21" style="76" customWidth="1"/>
    <col min="7438" max="7670" width="8.85546875" style="76"/>
    <col min="7671" max="7671" width="1.5703125" style="76" customWidth="1"/>
    <col min="7672" max="7672" width="3.140625" style="76" customWidth="1"/>
    <col min="7673" max="7673" width="3.28515625" style="76" customWidth="1"/>
    <col min="7674" max="7674" width="3.140625" style="76" customWidth="1"/>
    <col min="7675" max="7675" width="2.85546875" style="76" customWidth="1"/>
    <col min="7676" max="7676" width="3.28515625" style="76" customWidth="1"/>
    <col min="7677" max="7677" width="26.7109375" style="76" customWidth="1"/>
    <col min="7678" max="7678" width="6.28515625" style="76" customWidth="1"/>
    <col min="7679" max="7679" width="6.7109375" style="76" customWidth="1"/>
    <col min="7680" max="7680" width="11.7109375" style="76" bestFit="1" customWidth="1"/>
    <col min="7681" max="7681" width="14" style="76" bestFit="1" customWidth="1"/>
    <col min="7682" max="7682" width="3.85546875" style="76" customWidth="1"/>
    <col min="7683" max="7683" width="3.42578125" style="76" customWidth="1"/>
    <col min="7684" max="7684" width="3.28515625" style="76" customWidth="1"/>
    <col min="7685" max="7685" width="3.140625" style="76" customWidth="1"/>
    <col min="7686" max="7686" width="3" style="76" customWidth="1"/>
    <col min="7687" max="7687" width="26.7109375" style="76" customWidth="1"/>
    <col min="7688" max="7688" width="6.28515625" style="76" customWidth="1"/>
    <col min="7689" max="7689" width="6.140625" style="76" customWidth="1"/>
    <col min="7690" max="7690" width="11.7109375" style="76" customWidth="1"/>
    <col min="7691" max="7691" width="14.7109375" style="76" customWidth="1"/>
    <col min="7692" max="7692" width="8.85546875" style="76"/>
    <col min="7693" max="7693" width="21" style="76" customWidth="1"/>
    <col min="7694" max="7926" width="8.85546875" style="76"/>
    <col min="7927" max="7927" width="1.5703125" style="76" customWidth="1"/>
    <col min="7928" max="7928" width="3.140625" style="76" customWidth="1"/>
    <col min="7929" max="7929" width="3.28515625" style="76" customWidth="1"/>
    <col min="7930" max="7930" width="3.140625" style="76" customWidth="1"/>
    <col min="7931" max="7931" width="2.85546875" style="76" customWidth="1"/>
    <col min="7932" max="7932" width="3.28515625" style="76" customWidth="1"/>
    <col min="7933" max="7933" width="26.7109375" style="76" customWidth="1"/>
    <col min="7934" max="7934" width="6.28515625" style="76" customWidth="1"/>
    <col min="7935" max="7935" width="6.7109375" style="76" customWidth="1"/>
    <col min="7936" max="7936" width="11.7109375" style="76" bestFit="1" customWidth="1"/>
    <col min="7937" max="7937" width="14" style="76" bestFit="1" customWidth="1"/>
    <col min="7938" max="7938" width="3.85546875" style="76" customWidth="1"/>
    <col min="7939" max="7939" width="3.42578125" style="76" customWidth="1"/>
    <col min="7940" max="7940" width="3.28515625" style="76" customWidth="1"/>
    <col min="7941" max="7941" width="3.140625" style="76" customWidth="1"/>
    <col min="7942" max="7942" width="3" style="76" customWidth="1"/>
    <col min="7943" max="7943" width="26.7109375" style="76" customWidth="1"/>
    <col min="7944" max="7944" width="6.28515625" style="76" customWidth="1"/>
    <col min="7945" max="7945" width="6.140625" style="76" customWidth="1"/>
    <col min="7946" max="7946" width="11.7109375" style="76" customWidth="1"/>
    <col min="7947" max="7947" width="14.7109375" style="76" customWidth="1"/>
    <col min="7948" max="7948" width="8.85546875" style="76"/>
    <col min="7949" max="7949" width="21" style="76" customWidth="1"/>
    <col min="7950" max="8182" width="8.85546875" style="76"/>
    <col min="8183" max="8183" width="1.5703125" style="76" customWidth="1"/>
    <col min="8184" max="8184" width="3.140625" style="76" customWidth="1"/>
    <col min="8185" max="8185" width="3.28515625" style="76" customWidth="1"/>
    <col min="8186" max="8186" width="3.140625" style="76" customWidth="1"/>
    <col min="8187" max="8187" width="2.85546875" style="76" customWidth="1"/>
    <col min="8188" max="8188" width="3.28515625" style="76" customWidth="1"/>
    <col min="8189" max="8189" width="26.7109375" style="76" customWidth="1"/>
    <col min="8190" max="8190" width="6.28515625" style="76" customWidth="1"/>
    <col min="8191" max="8191" width="6.7109375" style="76" customWidth="1"/>
    <col min="8192" max="8192" width="11.7109375" style="76" bestFit="1" customWidth="1"/>
    <col min="8193" max="8193" width="14" style="76" bestFit="1" customWidth="1"/>
    <col min="8194" max="8194" width="3.85546875" style="76" customWidth="1"/>
    <col min="8195" max="8195" width="3.42578125" style="76" customWidth="1"/>
    <col min="8196" max="8196" width="3.28515625" style="76" customWidth="1"/>
    <col min="8197" max="8197" width="3.140625" style="76" customWidth="1"/>
    <col min="8198" max="8198" width="3" style="76" customWidth="1"/>
    <col min="8199" max="8199" width="26.7109375" style="76" customWidth="1"/>
    <col min="8200" max="8200" width="6.28515625" style="76" customWidth="1"/>
    <col min="8201" max="8201" width="6.140625" style="76" customWidth="1"/>
    <col min="8202" max="8202" width="11.7109375" style="76" customWidth="1"/>
    <col min="8203" max="8203" width="14.7109375" style="76" customWidth="1"/>
    <col min="8204" max="8204" width="8.85546875" style="76"/>
    <col min="8205" max="8205" width="21" style="76" customWidth="1"/>
    <col min="8206" max="8438" width="8.85546875" style="76"/>
    <col min="8439" max="8439" width="1.5703125" style="76" customWidth="1"/>
    <col min="8440" max="8440" width="3.140625" style="76" customWidth="1"/>
    <col min="8441" max="8441" width="3.28515625" style="76" customWidth="1"/>
    <col min="8442" max="8442" width="3.140625" style="76" customWidth="1"/>
    <col min="8443" max="8443" width="2.85546875" style="76" customWidth="1"/>
    <col min="8444" max="8444" width="3.28515625" style="76" customWidth="1"/>
    <col min="8445" max="8445" width="26.7109375" style="76" customWidth="1"/>
    <col min="8446" max="8446" width="6.28515625" style="76" customWidth="1"/>
    <col min="8447" max="8447" width="6.7109375" style="76" customWidth="1"/>
    <col min="8448" max="8448" width="11.7109375" style="76" bestFit="1" customWidth="1"/>
    <col min="8449" max="8449" width="14" style="76" bestFit="1" customWidth="1"/>
    <col min="8450" max="8450" width="3.85546875" style="76" customWidth="1"/>
    <col min="8451" max="8451" width="3.42578125" style="76" customWidth="1"/>
    <col min="8452" max="8452" width="3.28515625" style="76" customWidth="1"/>
    <col min="8453" max="8453" width="3.140625" style="76" customWidth="1"/>
    <col min="8454" max="8454" width="3" style="76" customWidth="1"/>
    <col min="8455" max="8455" width="26.7109375" style="76" customWidth="1"/>
    <col min="8456" max="8456" width="6.28515625" style="76" customWidth="1"/>
    <col min="8457" max="8457" width="6.140625" style="76" customWidth="1"/>
    <col min="8458" max="8458" width="11.7109375" style="76" customWidth="1"/>
    <col min="8459" max="8459" width="14.7109375" style="76" customWidth="1"/>
    <col min="8460" max="8460" width="8.85546875" style="76"/>
    <col min="8461" max="8461" width="21" style="76" customWidth="1"/>
    <col min="8462" max="8694" width="8.85546875" style="76"/>
    <col min="8695" max="8695" width="1.5703125" style="76" customWidth="1"/>
    <col min="8696" max="8696" width="3.140625" style="76" customWidth="1"/>
    <col min="8697" max="8697" width="3.28515625" style="76" customWidth="1"/>
    <col min="8698" max="8698" width="3.140625" style="76" customWidth="1"/>
    <col min="8699" max="8699" width="2.85546875" style="76" customWidth="1"/>
    <col min="8700" max="8700" width="3.28515625" style="76" customWidth="1"/>
    <col min="8701" max="8701" width="26.7109375" style="76" customWidth="1"/>
    <col min="8702" max="8702" width="6.28515625" style="76" customWidth="1"/>
    <col min="8703" max="8703" width="6.7109375" style="76" customWidth="1"/>
    <col min="8704" max="8704" width="11.7109375" style="76" bestFit="1" customWidth="1"/>
    <col min="8705" max="8705" width="14" style="76" bestFit="1" customWidth="1"/>
    <col min="8706" max="8706" width="3.85546875" style="76" customWidth="1"/>
    <col min="8707" max="8707" width="3.42578125" style="76" customWidth="1"/>
    <col min="8708" max="8708" width="3.28515625" style="76" customWidth="1"/>
    <col min="8709" max="8709" width="3.140625" style="76" customWidth="1"/>
    <col min="8710" max="8710" width="3" style="76" customWidth="1"/>
    <col min="8711" max="8711" width="26.7109375" style="76" customWidth="1"/>
    <col min="8712" max="8712" width="6.28515625" style="76" customWidth="1"/>
    <col min="8713" max="8713" width="6.140625" style="76" customWidth="1"/>
    <col min="8714" max="8714" width="11.7109375" style="76" customWidth="1"/>
    <col min="8715" max="8715" width="14.7109375" style="76" customWidth="1"/>
    <col min="8716" max="8716" width="8.85546875" style="76"/>
    <col min="8717" max="8717" width="21" style="76" customWidth="1"/>
    <col min="8718" max="8950" width="8.85546875" style="76"/>
    <col min="8951" max="8951" width="1.5703125" style="76" customWidth="1"/>
    <col min="8952" max="8952" width="3.140625" style="76" customWidth="1"/>
    <col min="8953" max="8953" width="3.28515625" style="76" customWidth="1"/>
    <col min="8954" max="8954" width="3.140625" style="76" customWidth="1"/>
    <col min="8955" max="8955" width="2.85546875" style="76" customWidth="1"/>
    <col min="8956" max="8956" width="3.28515625" style="76" customWidth="1"/>
    <col min="8957" max="8957" width="26.7109375" style="76" customWidth="1"/>
    <col min="8958" max="8958" width="6.28515625" style="76" customWidth="1"/>
    <col min="8959" max="8959" width="6.7109375" style="76" customWidth="1"/>
    <col min="8960" max="8960" width="11.7109375" style="76" bestFit="1" customWidth="1"/>
    <col min="8961" max="8961" width="14" style="76" bestFit="1" customWidth="1"/>
    <col min="8962" max="8962" width="3.85546875" style="76" customWidth="1"/>
    <col min="8963" max="8963" width="3.42578125" style="76" customWidth="1"/>
    <col min="8964" max="8964" width="3.28515625" style="76" customWidth="1"/>
    <col min="8965" max="8965" width="3.140625" style="76" customWidth="1"/>
    <col min="8966" max="8966" width="3" style="76" customWidth="1"/>
    <col min="8967" max="8967" width="26.7109375" style="76" customWidth="1"/>
    <col min="8968" max="8968" width="6.28515625" style="76" customWidth="1"/>
    <col min="8969" max="8969" width="6.140625" style="76" customWidth="1"/>
    <col min="8970" max="8970" width="11.7109375" style="76" customWidth="1"/>
    <col min="8971" max="8971" width="14.7109375" style="76" customWidth="1"/>
    <col min="8972" max="8972" width="8.85546875" style="76"/>
    <col min="8973" max="8973" width="21" style="76" customWidth="1"/>
    <col min="8974" max="9206" width="8.85546875" style="76"/>
    <col min="9207" max="9207" width="1.5703125" style="76" customWidth="1"/>
    <col min="9208" max="9208" width="3.140625" style="76" customWidth="1"/>
    <col min="9209" max="9209" width="3.28515625" style="76" customWidth="1"/>
    <col min="9210" max="9210" width="3.140625" style="76" customWidth="1"/>
    <col min="9211" max="9211" width="2.85546875" style="76" customWidth="1"/>
    <col min="9212" max="9212" width="3.28515625" style="76" customWidth="1"/>
    <col min="9213" max="9213" width="26.7109375" style="76" customWidth="1"/>
    <col min="9214" max="9214" width="6.28515625" style="76" customWidth="1"/>
    <col min="9215" max="9215" width="6.7109375" style="76" customWidth="1"/>
    <col min="9216" max="9216" width="11.7109375" style="76" bestFit="1" customWidth="1"/>
    <col min="9217" max="9217" width="14" style="76" bestFit="1" customWidth="1"/>
    <col min="9218" max="9218" width="3.85546875" style="76" customWidth="1"/>
    <col min="9219" max="9219" width="3.42578125" style="76" customWidth="1"/>
    <col min="9220" max="9220" width="3.28515625" style="76" customWidth="1"/>
    <col min="9221" max="9221" width="3.140625" style="76" customWidth="1"/>
    <col min="9222" max="9222" width="3" style="76" customWidth="1"/>
    <col min="9223" max="9223" width="26.7109375" style="76" customWidth="1"/>
    <col min="9224" max="9224" width="6.28515625" style="76" customWidth="1"/>
    <col min="9225" max="9225" width="6.140625" style="76" customWidth="1"/>
    <col min="9226" max="9226" width="11.7109375" style="76" customWidth="1"/>
    <col min="9227" max="9227" width="14.7109375" style="76" customWidth="1"/>
    <col min="9228" max="9228" width="8.85546875" style="76"/>
    <col min="9229" max="9229" width="21" style="76" customWidth="1"/>
    <col min="9230" max="9462" width="8.85546875" style="76"/>
    <col min="9463" max="9463" width="1.5703125" style="76" customWidth="1"/>
    <col min="9464" max="9464" width="3.140625" style="76" customWidth="1"/>
    <col min="9465" max="9465" width="3.28515625" style="76" customWidth="1"/>
    <col min="9466" max="9466" width="3.140625" style="76" customWidth="1"/>
    <col min="9467" max="9467" width="2.85546875" style="76" customWidth="1"/>
    <col min="9468" max="9468" width="3.28515625" style="76" customWidth="1"/>
    <col min="9469" max="9469" width="26.7109375" style="76" customWidth="1"/>
    <col min="9470" max="9470" width="6.28515625" style="76" customWidth="1"/>
    <col min="9471" max="9471" width="6.7109375" style="76" customWidth="1"/>
    <col min="9472" max="9472" width="11.7109375" style="76" bestFit="1" customWidth="1"/>
    <col min="9473" max="9473" width="14" style="76" bestFit="1" customWidth="1"/>
    <col min="9474" max="9474" width="3.85546875" style="76" customWidth="1"/>
    <col min="9475" max="9475" width="3.42578125" style="76" customWidth="1"/>
    <col min="9476" max="9476" width="3.28515625" style="76" customWidth="1"/>
    <col min="9477" max="9477" width="3.140625" style="76" customWidth="1"/>
    <col min="9478" max="9478" width="3" style="76" customWidth="1"/>
    <col min="9479" max="9479" width="26.7109375" style="76" customWidth="1"/>
    <col min="9480" max="9480" width="6.28515625" style="76" customWidth="1"/>
    <col min="9481" max="9481" width="6.140625" style="76" customWidth="1"/>
    <col min="9482" max="9482" width="11.7109375" style="76" customWidth="1"/>
    <col min="9483" max="9483" width="14.7109375" style="76" customWidth="1"/>
    <col min="9484" max="9484" width="8.85546875" style="76"/>
    <col min="9485" max="9485" width="21" style="76" customWidth="1"/>
    <col min="9486" max="9718" width="8.85546875" style="76"/>
    <col min="9719" max="9719" width="1.5703125" style="76" customWidth="1"/>
    <col min="9720" max="9720" width="3.140625" style="76" customWidth="1"/>
    <col min="9721" max="9721" width="3.28515625" style="76" customWidth="1"/>
    <col min="9722" max="9722" width="3.140625" style="76" customWidth="1"/>
    <col min="9723" max="9723" width="2.85546875" style="76" customWidth="1"/>
    <col min="9724" max="9724" width="3.28515625" style="76" customWidth="1"/>
    <col min="9725" max="9725" width="26.7109375" style="76" customWidth="1"/>
    <col min="9726" max="9726" width="6.28515625" style="76" customWidth="1"/>
    <col min="9727" max="9727" width="6.7109375" style="76" customWidth="1"/>
    <col min="9728" max="9728" width="11.7109375" style="76" bestFit="1" customWidth="1"/>
    <col min="9729" max="9729" width="14" style="76" bestFit="1" customWidth="1"/>
    <col min="9730" max="9730" width="3.85546875" style="76" customWidth="1"/>
    <col min="9731" max="9731" width="3.42578125" style="76" customWidth="1"/>
    <col min="9732" max="9732" width="3.28515625" style="76" customWidth="1"/>
    <col min="9733" max="9733" width="3.140625" style="76" customWidth="1"/>
    <col min="9734" max="9734" width="3" style="76" customWidth="1"/>
    <col min="9735" max="9735" width="26.7109375" style="76" customWidth="1"/>
    <col min="9736" max="9736" width="6.28515625" style="76" customWidth="1"/>
    <col min="9737" max="9737" width="6.140625" style="76" customWidth="1"/>
    <col min="9738" max="9738" width="11.7109375" style="76" customWidth="1"/>
    <col min="9739" max="9739" width="14.7109375" style="76" customWidth="1"/>
    <col min="9740" max="9740" width="8.85546875" style="76"/>
    <col min="9741" max="9741" width="21" style="76" customWidth="1"/>
    <col min="9742" max="9974" width="8.85546875" style="76"/>
    <col min="9975" max="9975" width="1.5703125" style="76" customWidth="1"/>
    <col min="9976" max="9976" width="3.140625" style="76" customWidth="1"/>
    <col min="9977" max="9977" width="3.28515625" style="76" customWidth="1"/>
    <col min="9978" max="9978" width="3.140625" style="76" customWidth="1"/>
    <col min="9979" max="9979" width="2.85546875" style="76" customWidth="1"/>
    <col min="9980" max="9980" width="3.28515625" style="76" customWidth="1"/>
    <col min="9981" max="9981" width="26.7109375" style="76" customWidth="1"/>
    <col min="9982" max="9982" width="6.28515625" style="76" customWidth="1"/>
    <col min="9983" max="9983" width="6.7109375" style="76" customWidth="1"/>
    <col min="9984" max="9984" width="11.7109375" style="76" bestFit="1" customWidth="1"/>
    <col min="9985" max="9985" width="14" style="76" bestFit="1" customWidth="1"/>
    <col min="9986" max="9986" width="3.85546875" style="76" customWidth="1"/>
    <col min="9987" max="9987" width="3.42578125" style="76" customWidth="1"/>
    <col min="9988" max="9988" width="3.28515625" style="76" customWidth="1"/>
    <col min="9989" max="9989" width="3.140625" style="76" customWidth="1"/>
    <col min="9990" max="9990" width="3" style="76" customWidth="1"/>
    <col min="9991" max="9991" width="26.7109375" style="76" customWidth="1"/>
    <col min="9992" max="9992" width="6.28515625" style="76" customWidth="1"/>
    <col min="9993" max="9993" width="6.140625" style="76" customWidth="1"/>
    <col min="9994" max="9994" width="11.7109375" style="76" customWidth="1"/>
    <col min="9995" max="9995" width="14.7109375" style="76" customWidth="1"/>
    <col min="9996" max="9996" width="8.85546875" style="76"/>
    <col min="9997" max="9997" width="21" style="76" customWidth="1"/>
    <col min="9998" max="10230" width="8.85546875" style="76"/>
    <col min="10231" max="10231" width="1.5703125" style="76" customWidth="1"/>
    <col min="10232" max="10232" width="3.140625" style="76" customWidth="1"/>
    <col min="10233" max="10233" width="3.28515625" style="76" customWidth="1"/>
    <col min="10234" max="10234" width="3.140625" style="76" customWidth="1"/>
    <col min="10235" max="10235" width="2.85546875" style="76" customWidth="1"/>
    <col min="10236" max="10236" width="3.28515625" style="76" customWidth="1"/>
    <col min="10237" max="10237" width="26.7109375" style="76" customWidth="1"/>
    <col min="10238" max="10238" width="6.28515625" style="76" customWidth="1"/>
    <col min="10239" max="10239" width="6.7109375" style="76" customWidth="1"/>
    <col min="10240" max="10240" width="11.7109375" style="76" bestFit="1" customWidth="1"/>
    <col min="10241" max="10241" width="14" style="76" bestFit="1" customWidth="1"/>
    <col min="10242" max="10242" width="3.85546875" style="76" customWidth="1"/>
    <col min="10243" max="10243" width="3.42578125" style="76" customWidth="1"/>
    <col min="10244" max="10244" width="3.28515625" style="76" customWidth="1"/>
    <col min="10245" max="10245" width="3.140625" style="76" customWidth="1"/>
    <col min="10246" max="10246" width="3" style="76" customWidth="1"/>
    <col min="10247" max="10247" width="26.7109375" style="76" customWidth="1"/>
    <col min="10248" max="10248" width="6.28515625" style="76" customWidth="1"/>
    <col min="10249" max="10249" width="6.140625" style="76" customWidth="1"/>
    <col min="10250" max="10250" width="11.7109375" style="76" customWidth="1"/>
    <col min="10251" max="10251" width="14.7109375" style="76" customWidth="1"/>
    <col min="10252" max="10252" width="8.85546875" style="76"/>
    <col min="10253" max="10253" width="21" style="76" customWidth="1"/>
    <col min="10254" max="10486" width="8.85546875" style="76"/>
    <col min="10487" max="10487" width="1.5703125" style="76" customWidth="1"/>
    <col min="10488" max="10488" width="3.140625" style="76" customWidth="1"/>
    <col min="10489" max="10489" width="3.28515625" style="76" customWidth="1"/>
    <col min="10490" max="10490" width="3.140625" style="76" customWidth="1"/>
    <col min="10491" max="10491" width="2.85546875" style="76" customWidth="1"/>
    <col min="10492" max="10492" width="3.28515625" style="76" customWidth="1"/>
    <col min="10493" max="10493" width="26.7109375" style="76" customWidth="1"/>
    <col min="10494" max="10494" width="6.28515625" style="76" customWidth="1"/>
    <col min="10495" max="10495" width="6.7109375" style="76" customWidth="1"/>
    <col min="10496" max="10496" width="11.7109375" style="76" bestFit="1" customWidth="1"/>
    <col min="10497" max="10497" width="14" style="76" bestFit="1" customWidth="1"/>
    <col min="10498" max="10498" width="3.85546875" style="76" customWidth="1"/>
    <col min="10499" max="10499" width="3.42578125" style="76" customWidth="1"/>
    <col min="10500" max="10500" width="3.28515625" style="76" customWidth="1"/>
    <col min="10501" max="10501" width="3.140625" style="76" customWidth="1"/>
    <col min="10502" max="10502" width="3" style="76" customWidth="1"/>
    <col min="10503" max="10503" width="26.7109375" style="76" customWidth="1"/>
    <col min="10504" max="10504" width="6.28515625" style="76" customWidth="1"/>
    <col min="10505" max="10505" width="6.140625" style="76" customWidth="1"/>
    <col min="10506" max="10506" width="11.7109375" style="76" customWidth="1"/>
    <col min="10507" max="10507" width="14.7109375" style="76" customWidth="1"/>
    <col min="10508" max="10508" width="8.85546875" style="76"/>
    <col min="10509" max="10509" width="21" style="76" customWidth="1"/>
    <col min="10510" max="10742" width="8.85546875" style="76"/>
    <col min="10743" max="10743" width="1.5703125" style="76" customWidth="1"/>
    <col min="10744" max="10744" width="3.140625" style="76" customWidth="1"/>
    <col min="10745" max="10745" width="3.28515625" style="76" customWidth="1"/>
    <col min="10746" max="10746" width="3.140625" style="76" customWidth="1"/>
    <col min="10747" max="10747" width="2.85546875" style="76" customWidth="1"/>
    <col min="10748" max="10748" width="3.28515625" style="76" customWidth="1"/>
    <col min="10749" max="10749" width="26.7109375" style="76" customWidth="1"/>
    <col min="10750" max="10750" width="6.28515625" style="76" customWidth="1"/>
    <col min="10751" max="10751" width="6.7109375" style="76" customWidth="1"/>
    <col min="10752" max="10752" width="11.7109375" style="76" bestFit="1" customWidth="1"/>
    <col min="10753" max="10753" width="14" style="76" bestFit="1" customWidth="1"/>
    <col min="10754" max="10754" width="3.85546875" style="76" customWidth="1"/>
    <col min="10755" max="10755" width="3.42578125" style="76" customWidth="1"/>
    <col min="10756" max="10756" width="3.28515625" style="76" customWidth="1"/>
    <col min="10757" max="10757" width="3.140625" style="76" customWidth="1"/>
    <col min="10758" max="10758" width="3" style="76" customWidth="1"/>
    <col min="10759" max="10759" width="26.7109375" style="76" customWidth="1"/>
    <col min="10760" max="10760" width="6.28515625" style="76" customWidth="1"/>
    <col min="10761" max="10761" width="6.140625" style="76" customWidth="1"/>
    <col min="10762" max="10762" width="11.7109375" style="76" customWidth="1"/>
    <col min="10763" max="10763" width="14.7109375" style="76" customWidth="1"/>
    <col min="10764" max="10764" width="8.85546875" style="76"/>
    <col min="10765" max="10765" width="21" style="76" customWidth="1"/>
    <col min="10766" max="10998" width="8.85546875" style="76"/>
    <col min="10999" max="10999" width="1.5703125" style="76" customWidth="1"/>
    <col min="11000" max="11000" width="3.140625" style="76" customWidth="1"/>
    <col min="11001" max="11001" width="3.28515625" style="76" customWidth="1"/>
    <col min="11002" max="11002" width="3.140625" style="76" customWidth="1"/>
    <col min="11003" max="11003" width="2.85546875" style="76" customWidth="1"/>
    <col min="11004" max="11004" width="3.28515625" style="76" customWidth="1"/>
    <col min="11005" max="11005" width="26.7109375" style="76" customWidth="1"/>
    <col min="11006" max="11006" width="6.28515625" style="76" customWidth="1"/>
    <col min="11007" max="11007" width="6.7109375" style="76" customWidth="1"/>
    <col min="11008" max="11008" width="11.7109375" style="76" bestFit="1" customWidth="1"/>
    <col min="11009" max="11009" width="14" style="76" bestFit="1" customWidth="1"/>
    <col min="11010" max="11010" width="3.85546875" style="76" customWidth="1"/>
    <col min="11011" max="11011" width="3.42578125" style="76" customWidth="1"/>
    <col min="11012" max="11012" width="3.28515625" style="76" customWidth="1"/>
    <col min="11013" max="11013" width="3.140625" style="76" customWidth="1"/>
    <col min="11014" max="11014" width="3" style="76" customWidth="1"/>
    <col min="11015" max="11015" width="26.7109375" style="76" customWidth="1"/>
    <col min="11016" max="11016" width="6.28515625" style="76" customWidth="1"/>
    <col min="11017" max="11017" width="6.140625" style="76" customWidth="1"/>
    <col min="11018" max="11018" width="11.7109375" style="76" customWidth="1"/>
    <col min="11019" max="11019" width="14.7109375" style="76" customWidth="1"/>
    <col min="11020" max="11020" width="8.85546875" style="76"/>
    <col min="11021" max="11021" width="21" style="76" customWidth="1"/>
    <col min="11022" max="11254" width="8.85546875" style="76"/>
    <col min="11255" max="11255" width="1.5703125" style="76" customWidth="1"/>
    <col min="11256" max="11256" width="3.140625" style="76" customWidth="1"/>
    <col min="11257" max="11257" width="3.28515625" style="76" customWidth="1"/>
    <col min="11258" max="11258" width="3.140625" style="76" customWidth="1"/>
    <col min="11259" max="11259" width="2.85546875" style="76" customWidth="1"/>
    <col min="11260" max="11260" width="3.28515625" style="76" customWidth="1"/>
    <col min="11261" max="11261" width="26.7109375" style="76" customWidth="1"/>
    <col min="11262" max="11262" width="6.28515625" style="76" customWidth="1"/>
    <col min="11263" max="11263" width="6.7109375" style="76" customWidth="1"/>
    <col min="11264" max="11264" width="11.7109375" style="76" bestFit="1" customWidth="1"/>
    <col min="11265" max="11265" width="14" style="76" bestFit="1" customWidth="1"/>
    <col min="11266" max="11266" width="3.85546875" style="76" customWidth="1"/>
    <col min="11267" max="11267" width="3.42578125" style="76" customWidth="1"/>
    <col min="11268" max="11268" width="3.28515625" style="76" customWidth="1"/>
    <col min="11269" max="11269" width="3.140625" style="76" customWidth="1"/>
    <col min="11270" max="11270" width="3" style="76" customWidth="1"/>
    <col min="11271" max="11271" width="26.7109375" style="76" customWidth="1"/>
    <col min="11272" max="11272" width="6.28515625" style="76" customWidth="1"/>
    <col min="11273" max="11273" width="6.140625" style="76" customWidth="1"/>
    <col min="11274" max="11274" width="11.7109375" style="76" customWidth="1"/>
    <col min="11275" max="11275" width="14.7109375" style="76" customWidth="1"/>
    <col min="11276" max="11276" width="8.85546875" style="76"/>
    <col min="11277" max="11277" width="21" style="76" customWidth="1"/>
    <col min="11278" max="11510" width="8.85546875" style="76"/>
    <col min="11511" max="11511" width="1.5703125" style="76" customWidth="1"/>
    <col min="11512" max="11512" width="3.140625" style="76" customWidth="1"/>
    <col min="11513" max="11513" width="3.28515625" style="76" customWidth="1"/>
    <col min="11514" max="11514" width="3.140625" style="76" customWidth="1"/>
    <col min="11515" max="11515" width="2.85546875" style="76" customWidth="1"/>
    <col min="11516" max="11516" width="3.28515625" style="76" customWidth="1"/>
    <col min="11517" max="11517" width="26.7109375" style="76" customWidth="1"/>
    <col min="11518" max="11518" width="6.28515625" style="76" customWidth="1"/>
    <col min="11519" max="11519" width="6.7109375" style="76" customWidth="1"/>
    <col min="11520" max="11520" width="11.7109375" style="76" bestFit="1" customWidth="1"/>
    <col min="11521" max="11521" width="14" style="76" bestFit="1" customWidth="1"/>
    <col min="11522" max="11522" width="3.85546875" style="76" customWidth="1"/>
    <col min="11523" max="11523" width="3.42578125" style="76" customWidth="1"/>
    <col min="11524" max="11524" width="3.28515625" style="76" customWidth="1"/>
    <col min="11525" max="11525" width="3.140625" style="76" customWidth="1"/>
    <col min="11526" max="11526" width="3" style="76" customWidth="1"/>
    <col min="11527" max="11527" width="26.7109375" style="76" customWidth="1"/>
    <col min="11528" max="11528" width="6.28515625" style="76" customWidth="1"/>
    <col min="11529" max="11529" width="6.140625" style="76" customWidth="1"/>
    <col min="11530" max="11530" width="11.7109375" style="76" customWidth="1"/>
    <col min="11531" max="11531" width="14.7109375" style="76" customWidth="1"/>
    <col min="11532" max="11532" width="8.85546875" style="76"/>
    <col min="11533" max="11533" width="21" style="76" customWidth="1"/>
    <col min="11534" max="11766" width="8.85546875" style="76"/>
    <col min="11767" max="11767" width="1.5703125" style="76" customWidth="1"/>
    <col min="11768" max="11768" width="3.140625" style="76" customWidth="1"/>
    <col min="11769" max="11769" width="3.28515625" style="76" customWidth="1"/>
    <col min="11770" max="11770" width="3.140625" style="76" customWidth="1"/>
    <col min="11771" max="11771" width="2.85546875" style="76" customWidth="1"/>
    <col min="11772" max="11772" width="3.28515625" style="76" customWidth="1"/>
    <col min="11773" max="11773" width="26.7109375" style="76" customWidth="1"/>
    <col min="11774" max="11774" width="6.28515625" style="76" customWidth="1"/>
    <col min="11775" max="11775" width="6.7109375" style="76" customWidth="1"/>
    <col min="11776" max="11776" width="11.7109375" style="76" bestFit="1" customWidth="1"/>
    <col min="11777" max="11777" width="14" style="76" bestFit="1" customWidth="1"/>
    <col min="11778" max="11778" width="3.85546875" style="76" customWidth="1"/>
    <col min="11779" max="11779" width="3.42578125" style="76" customWidth="1"/>
    <col min="11780" max="11780" width="3.28515625" style="76" customWidth="1"/>
    <col min="11781" max="11781" width="3.140625" style="76" customWidth="1"/>
    <col min="11782" max="11782" width="3" style="76" customWidth="1"/>
    <col min="11783" max="11783" width="26.7109375" style="76" customWidth="1"/>
    <col min="11784" max="11784" width="6.28515625" style="76" customWidth="1"/>
    <col min="11785" max="11785" width="6.140625" style="76" customWidth="1"/>
    <col min="11786" max="11786" width="11.7109375" style="76" customWidth="1"/>
    <col min="11787" max="11787" width="14.7109375" style="76" customWidth="1"/>
    <col min="11788" max="11788" width="8.85546875" style="76"/>
    <col min="11789" max="11789" width="21" style="76" customWidth="1"/>
    <col min="11790" max="12022" width="8.85546875" style="76"/>
    <col min="12023" max="12023" width="1.5703125" style="76" customWidth="1"/>
    <col min="12024" max="12024" width="3.140625" style="76" customWidth="1"/>
    <col min="12025" max="12025" width="3.28515625" style="76" customWidth="1"/>
    <col min="12026" max="12026" width="3.140625" style="76" customWidth="1"/>
    <col min="12027" max="12027" width="2.85546875" style="76" customWidth="1"/>
    <col min="12028" max="12028" width="3.28515625" style="76" customWidth="1"/>
    <col min="12029" max="12029" width="26.7109375" style="76" customWidth="1"/>
    <col min="12030" max="12030" width="6.28515625" style="76" customWidth="1"/>
    <col min="12031" max="12031" width="6.7109375" style="76" customWidth="1"/>
    <col min="12032" max="12032" width="11.7109375" style="76" bestFit="1" customWidth="1"/>
    <col min="12033" max="12033" width="14" style="76" bestFit="1" customWidth="1"/>
    <col min="12034" max="12034" width="3.85546875" style="76" customWidth="1"/>
    <col min="12035" max="12035" width="3.42578125" style="76" customWidth="1"/>
    <col min="12036" max="12036" width="3.28515625" style="76" customWidth="1"/>
    <col min="12037" max="12037" width="3.140625" style="76" customWidth="1"/>
    <col min="12038" max="12038" width="3" style="76" customWidth="1"/>
    <col min="12039" max="12039" width="26.7109375" style="76" customWidth="1"/>
    <col min="12040" max="12040" width="6.28515625" style="76" customWidth="1"/>
    <col min="12041" max="12041" width="6.140625" style="76" customWidth="1"/>
    <col min="12042" max="12042" width="11.7109375" style="76" customWidth="1"/>
    <col min="12043" max="12043" width="14.7109375" style="76" customWidth="1"/>
    <col min="12044" max="12044" width="8.85546875" style="76"/>
    <col min="12045" max="12045" width="21" style="76" customWidth="1"/>
    <col min="12046" max="12278" width="8.85546875" style="76"/>
    <col min="12279" max="12279" width="1.5703125" style="76" customWidth="1"/>
    <col min="12280" max="12280" width="3.140625" style="76" customWidth="1"/>
    <col min="12281" max="12281" width="3.28515625" style="76" customWidth="1"/>
    <col min="12282" max="12282" width="3.140625" style="76" customWidth="1"/>
    <col min="12283" max="12283" width="2.85546875" style="76" customWidth="1"/>
    <col min="12284" max="12284" width="3.28515625" style="76" customWidth="1"/>
    <col min="12285" max="12285" width="26.7109375" style="76" customWidth="1"/>
    <col min="12286" max="12286" width="6.28515625" style="76" customWidth="1"/>
    <col min="12287" max="12287" width="6.7109375" style="76" customWidth="1"/>
    <col min="12288" max="12288" width="11.7109375" style="76" bestFit="1" customWidth="1"/>
    <col min="12289" max="12289" width="14" style="76" bestFit="1" customWidth="1"/>
    <col min="12290" max="12290" width="3.85546875" style="76" customWidth="1"/>
    <col min="12291" max="12291" width="3.42578125" style="76" customWidth="1"/>
    <col min="12292" max="12292" width="3.28515625" style="76" customWidth="1"/>
    <col min="12293" max="12293" width="3.140625" style="76" customWidth="1"/>
    <col min="12294" max="12294" width="3" style="76" customWidth="1"/>
    <col min="12295" max="12295" width="26.7109375" style="76" customWidth="1"/>
    <col min="12296" max="12296" width="6.28515625" style="76" customWidth="1"/>
    <col min="12297" max="12297" width="6.140625" style="76" customWidth="1"/>
    <col min="12298" max="12298" width="11.7109375" style="76" customWidth="1"/>
    <col min="12299" max="12299" width="14.7109375" style="76" customWidth="1"/>
    <col min="12300" max="12300" width="8.85546875" style="76"/>
    <col min="12301" max="12301" width="21" style="76" customWidth="1"/>
    <col min="12302" max="12534" width="8.85546875" style="76"/>
    <col min="12535" max="12535" width="1.5703125" style="76" customWidth="1"/>
    <col min="12536" max="12536" width="3.140625" style="76" customWidth="1"/>
    <col min="12537" max="12537" width="3.28515625" style="76" customWidth="1"/>
    <col min="12538" max="12538" width="3.140625" style="76" customWidth="1"/>
    <col min="12539" max="12539" width="2.85546875" style="76" customWidth="1"/>
    <col min="12540" max="12540" width="3.28515625" style="76" customWidth="1"/>
    <col min="12541" max="12541" width="26.7109375" style="76" customWidth="1"/>
    <col min="12542" max="12542" width="6.28515625" style="76" customWidth="1"/>
    <col min="12543" max="12543" width="6.7109375" style="76" customWidth="1"/>
    <col min="12544" max="12544" width="11.7109375" style="76" bestFit="1" customWidth="1"/>
    <col min="12545" max="12545" width="14" style="76" bestFit="1" customWidth="1"/>
    <col min="12546" max="12546" width="3.85546875" style="76" customWidth="1"/>
    <col min="12547" max="12547" width="3.42578125" style="76" customWidth="1"/>
    <col min="12548" max="12548" width="3.28515625" style="76" customWidth="1"/>
    <col min="12549" max="12549" width="3.140625" style="76" customWidth="1"/>
    <col min="12550" max="12550" width="3" style="76" customWidth="1"/>
    <col min="12551" max="12551" width="26.7109375" style="76" customWidth="1"/>
    <col min="12552" max="12552" width="6.28515625" style="76" customWidth="1"/>
    <col min="12553" max="12553" width="6.140625" style="76" customWidth="1"/>
    <col min="12554" max="12554" width="11.7109375" style="76" customWidth="1"/>
    <col min="12555" max="12555" width="14.7109375" style="76" customWidth="1"/>
    <col min="12556" max="12556" width="8.85546875" style="76"/>
    <col min="12557" max="12557" width="21" style="76" customWidth="1"/>
    <col min="12558" max="12790" width="8.85546875" style="76"/>
    <col min="12791" max="12791" width="1.5703125" style="76" customWidth="1"/>
    <col min="12792" max="12792" width="3.140625" style="76" customWidth="1"/>
    <col min="12793" max="12793" width="3.28515625" style="76" customWidth="1"/>
    <col min="12794" max="12794" width="3.140625" style="76" customWidth="1"/>
    <col min="12795" max="12795" width="2.85546875" style="76" customWidth="1"/>
    <col min="12796" max="12796" width="3.28515625" style="76" customWidth="1"/>
    <col min="12797" max="12797" width="26.7109375" style="76" customWidth="1"/>
    <col min="12798" max="12798" width="6.28515625" style="76" customWidth="1"/>
    <col min="12799" max="12799" width="6.7109375" style="76" customWidth="1"/>
    <col min="12800" max="12800" width="11.7109375" style="76" bestFit="1" customWidth="1"/>
    <col min="12801" max="12801" width="14" style="76" bestFit="1" customWidth="1"/>
    <col min="12802" max="12802" width="3.85546875" style="76" customWidth="1"/>
    <col min="12803" max="12803" width="3.42578125" style="76" customWidth="1"/>
    <col min="12804" max="12804" width="3.28515625" style="76" customWidth="1"/>
    <col min="12805" max="12805" width="3.140625" style="76" customWidth="1"/>
    <col min="12806" max="12806" width="3" style="76" customWidth="1"/>
    <col min="12807" max="12807" width="26.7109375" style="76" customWidth="1"/>
    <col min="12808" max="12808" width="6.28515625" style="76" customWidth="1"/>
    <col min="12809" max="12809" width="6.140625" style="76" customWidth="1"/>
    <col min="12810" max="12810" width="11.7109375" style="76" customWidth="1"/>
    <col min="12811" max="12811" width="14.7109375" style="76" customWidth="1"/>
    <col min="12812" max="12812" width="8.85546875" style="76"/>
    <col min="12813" max="12813" width="21" style="76" customWidth="1"/>
    <col min="12814" max="13046" width="8.85546875" style="76"/>
    <col min="13047" max="13047" width="1.5703125" style="76" customWidth="1"/>
    <col min="13048" max="13048" width="3.140625" style="76" customWidth="1"/>
    <col min="13049" max="13049" width="3.28515625" style="76" customWidth="1"/>
    <col min="13050" max="13050" width="3.140625" style="76" customWidth="1"/>
    <col min="13051" max="13051" width="2.85546875" style="76" customWidth="1"/>
    <col min="13052" max="13052" width="3.28515625" style="76" customWidth="1"/>
    <col min="13053" max="13053" width="26.7109375" style="76" customWidth="1"/>
    <col min="13054" max="13054" width="6.28515625" style="76" customWidth="1"/>
    <col min="13055" max="13055" width="6.7109375" style="76" customWidth="1"/>
    <col min="13056" max="13056" width="11.7109375" style="76" bestFit="1" customWidth="1"/>
    <col min="13057" max="13057" width="14" style="76" bestFit="1" customWidth="1"/>
    <col min="13058" max="13058" width="3.85546875" style="76" customWidth="1"/>
    <col min="13059" max="13059" width="3.42578125" style="76" customWidth="1"/>
    <col min="13060" max="13060" width="3.28515625" style="76" customWidth="1"/>
    <col min="13061" max="13061" width="3.140625" style="76" customWidth="1"/>
    <col min="13062" max="13062" width="3" style="76" customWidth="1"/>
    <col min="13063" max="13063" width="26.7109375" style="76" customWidth="1"/>
    <col min="13064" max="13064" width="6.28515625" style="76" customWidth="1"/>
    <col min="13065" max="13065" width="6.140625" style="76" customWidth="1"/>
    <col min="13066" max="13066" width="11.7109375" style="76" customWidth="1"/>
    <col min="13067" max="13067" width="14.7109375" style="76" customWidth="1"/>
    <col min="13068" max="13068" width="8.85546875" style="76"/>
    <col min="13069" max="13069" width="21" style="76" customWidth="1"/>
    <col min="13070" max="13302" width="8.85546875" style="76"/>
    <col min="13303" max="13303" width="1.5703125" style="76" customWidth="1"/>
    <col min="13304" max="13304" width="3.140625" style="76" customWidth="1"/>
    <col min="13305" max="13305" width="3.28515625" style="76" customWidth="1"/>
    <col min="13306" max="13306" width="3.140625" style="76" customWidth="1"/>
    <col min="13307" max="13307" width="2.85546875" style="76" customWidth="1"/>
    <col min="13308" max="13308" width="3.28515625" style="76" customWidth="1"/>
    <col min="13309" max="13309" width="26.7109375" style="76" customWidth="1"/>
    <col min="13310" max="13310" width="6.28515625" style="76" customWidth="1"/>
    <col min="13311" max="13311" width="6.7109375" style="76" customWidth="1"/>
    <col min="13312" max="13312" width="11.7109375" style="76" bestFit="1" customWidth="1"/>
    <col min="13313" max="13313" width="14" style="76" bestFit="1" customWidth="1"/>
    <col min="13314" max="13314" width="3.85546875" style="76" customWidth="1"/>
    <col min="13315" max="13315" width="3.42578125" style="76" customWidth="1"/>
    <col min="13316" max="13316" width="3.28515625" style="76" customWidth="1"/>
    <col min="13317" max="13317" width="3.140625" style="76" customWidth="1"/>
    <col min="13318" max="13318" width="3" style="76" customWidth="1"/>
    <col min="13319" max="13319" width="26.7109375" style="76" customWidth="1"/>
    <col min="13320" max="13320" width="6.28515625" style="76" customWidth="1"/>
    <col min="13321" max="13321" width="6.140625" style="76" customWidth="1"/>
    <col min="13322" max="13322" width="11.7109375" style="76" customWidth="1"/>
    <col min="13323" max="13323" width="14.7109375" style="76" customWidth="1"/>
    <col min="13324" max="13324" width="8.85546875" style="76"/>
    <col min="13325" max="13325" width="21" style="76" customWidth="1"/>
    <col min="13326" max="13558" width="8.85546875" style="76"/>
    <col min="13559" max="13559" width="1.5703125" style="76" customWidth="1"/>
    <col min="13560" max="13560" width="3.140625" style="76" customWidth="1"/>
    <col min="13561" max="13561" width="3.28515625" style="76" customWidth="1"/>
    <col min="13562" max="13562" width="3.140625" style="76" customWidth="1"/>
    <col min="13563" max="13563" width="2.85546875" style="76" customWidth="1"/>
    <col min="13564" max="13564" width="3.28515625" style="76" customWidth="1"/>
    <col min="13565" max="13565" width="26.7109375" style="76" customWidth="1"/>
    <col min="13566" max="13566" width="6.28515625" style="76" customWidth="1"/>
    <col min="13567" max="13567" width="6.7109375" style="76" customWidth="1"/>
    <col min="13568" max="13568" width="11.7109375" style="76" bestFit="1" customWidth="1"/>
    <col min="13569" max="13569" width="14" style="76" bestFit="1" customWidth="1"/>
    <col min="13570" max="13570" width="3.85546875" style="76" customWidth="1"/>
    <col min="13571" max="13571" width="3.42578125" style="76" customWidth="1"/>
    <col min="13572" max="13572" width="3.28515625" style="76" customWidth="1"/>
    <col min="13573" max="13573" width="3.140625" style="76" customWidth="1"/>
    <col min="13574" max="13574" width="3" style="76" customWidth="1"/>
    <col min="13575" max="13575" width="26.7109375" style="76" customWidth="1"/>
    <col min="13576" max="13576" width="6.28515625" style="76" customWidth="1"/>
    <col min="13577" max="13577" width="6.140625" style="76" customWidth="1"/>
    <col min="13578" max="13578" width="11.7109375" style="76" customWidth="1"/>
    <col min="13579" max="13579" width="14.7109375" style="76" customWidth="1"/>
    <col min="13580" max="13580" width="8.85546875" style="76"/>
    <col min="13581" max="13581" width="21" style="76" customWidth="1"/>
    <col min="13582" max="13814" width="8.85546875" style="76"/>
    <col min="13815" max="13815" width="1.5703125" style="76" customWidth="1"/>
    <col min="13816" max="13816" width="3.140625" style="76" customWidth="1"/>
    <col min="13817" max="13817" width="3.28515625" style="76" customWidth="1"/>
    <col min="13818" max="13818" width="3.140625" style="76" customWidth="1"/>
    <col min="13819" max="13819" width="2.85546875" style="76" customWidth="1"/>
    <col min="13820" max="13820" width="3.28515625" style="76" customWidth="1"/>
    <col min="13821" max="13821" width="26.7109375" style="76" customWidth="1"/>
    <col min="13822" max="13822" width="6.28515625" style="76" customWidth="1"/>
    <col min="13823" max="13823" width="6.7109375" style="76" customWidth="1"/>
    <col min="13824" max="13824" width="11.7109375" style="76" bestFit="1" customWidth="1"/>
    <col min="13825" max="13825" width="14" style="76" bestFit="1" customWidth="1"/>
    <col min="13826" max="13826" width="3.85546875" style="76" customWidth="1"/>
    <col min="13827" max="13827" width="3.42578125" style="76" customWidth="1"/>
    <col min="13828" max="13828" width="3.28515625" style="76" customWidth="1"/>
    <col min="13829" max="13829" width="3.140625" style="76" customWidth="1"/>
    <col min="13830" max="13830" width="3" style="76" customWidth="1"/>
    <col min="13831" max="13831" width="26.7109375" style="76" customWidth="1"/>
    <col min="13832" max="13832" width="6.28515625" style="76" customWidth="1"/>
    <col min="13833" max="13833" width="6.140625" style="76" customWidth="1"/>
    <col min="13834" max="13834" width="11.7109375" style="76" customWidth="1"/>
    <col min="13835" max="13835" width="14.7109375" style="76" customWidth="1"/>
    <col min="13836" max="13836" width="8.85546875" style="76"/>
    <col min="13837" max="13837" width="21" style="76" customWidth="1"/>
    <col min="13838" max="14070" width="8.85546875" style="76"/>
    <col min="14071" max="14071" width="1.5703125" style="76" customWidth="1"/>
    <col min="14072" max="14072" width="3.140625" style="76" customWidth="1"/>
    <col min="14073" max="14073" width="3.28515625" style="76" customWidth="1"/>
    <col min="14074" max="14074" width="3.140625" style="76" customWidth="1"/>
    <col min="14075" max="14075" width="2.85546875" style="76" customWidth="1"/>
    <col min="14076" max="14076" width="3.28515625" style="76" customWidth="1"/>
    <col min="14077" max="14077" width="26.7109375" style="76" customWidth="1"/>
    <col min="14078" max="14078" width="6.28515625" style="76" customWidth="1"/>
    <col min="14079" max="14079" width="6.7109375" style="76" customWidth="1"/>
    <col min="14080" max="14080" width="11.7109375" style="76" bestFit="1" customWidth="1"/>
    <col min="14081" max="14081" width="14" style="76" bestFit="1" customWidth="1"/>
    <col min="14082" max="14082" width="3.85546875" style="76" customWidth="1"/>
    <col min="14083" max="14083" width="3.42578125" style="76" customWidth="1"/>
    <col min="14084" max="14084" width="3.28515625" style="76" customWidth="1"/>
    <col min="14085" max="14085" width="3.140625" style="76" customWidth="1"/>
    <col min="14086" max="14086" width="3" style="76" customWidth="1"/>
    <col min="14087" max="14087" width="26.7109375" style="76" customWidth="1"/>
    <col min="14088" max="14088" width="6.28515625" style="76" customWidth="1"/>
    <col min="14089" max="14089" width="6.140625" style="76" customWidth="1"/>
    <col min="14090" max="14090" width="11.7109375" style="76" customWidth="1"/>
    <col min="14091" max="14091" width="14.7109375" style="76" customWidth="1"/>
    <col min="14092" max="14092" width="8.85546875" style="76"/>
    <col min="14093" max="14093" width="21" style="76" customWidth="1"/>
    <col min="14094" max="14326" width="8.85546875" style="76"/>
    <col min="14327" max="14327" width="1.5703125" style="76" customWidth="1"/>
    <col min="14328" max="14328" width="3.140625" style="76" customWidth="1"/>
    <col min="14329" max="14329" width="3.28515625" style="76" customWidth="1"/>
    <col min="14330" max="14330" width="3.140625" style="76" customWidth="1"/>
    <col min="14331" max="14331" width="2.85546875" style="76" customWidth="1"/>
    <col min="14332" max="14332" width="3.28515625" style="76" customWidth="1"/>
    <col min="14333" max="14333" width="26.7109375" style="76" customWidth="1"/>
    <col min="14334" max="14334" width="6.28515625" style="76" customWidth="1"/>
    <col min="14335" max="14335" width="6.7109375" style="76" customWidth="1"/>
    <col min="14336" max="14336" width="11.7109375" style="76" bestFit="1" customWidth="1"/>
    <col min="14337" max="14337" width="14" style="76" bestFit="1" customWidth="1"/>
    <col min="14338" max="14338" width="3.85546875" style="76" customWidth="1"/>
    <col min="14339" max="14339" width="3.42578125" style="76" customWidth="1"/>
    <col min="14340" max="14340" width="3.28515625" style="76" customWidth="1"/>
    <col min="14341" max="14341" width="3.140625" style="76" customWidth="1"/>
    <col min="14342" max="14342" width="3" style="76" customWidth="1"/>
    <col min="14343" max="14343" width="26.7109375" style="76" customWidth="1"/>
    <col min="14344" max="14344" width="6.28515625" style="76" customWidth="1"/>
    <col min="14345" max="14345" width="6.140625" style="76" customWidth="1"/>
    <col min="14346" max="14346" width="11.7109375" style="76" customWidth="1"/>
    <col min="14347" max="14347" width="14.7109375" style="76" customWidth="1"/>
    <col min="14348" max="14348" width="8.85546875" style="76"/>
    <col min="14349" max="14349" width="21" style="76" customWidth="1"/>
    <col min="14350" max="14582" width="8.85546875" style="76"/>
    <col min="14583" max="14583" width="1.5703125" style="76" customWidth="1"/>
    <col min="14584" max="14584" width="3.140625" style="76" customWidth="1"/>
    <col min="14585" max="14585" width="3.28515625" style="76" customWidth="1"/>
    <col min="14586" max="14586" width="3.140625" style="76" customWidth="1"/>
    <col min="14587" max="14587" width="2.85546875" style="76" customWidth="1"/>
    <col min="14588" max="14588" width="3.28515625" style="76" customWidth="1"/>
    <col min="14589" max="14589" width="26.7109375" style="76" customWidth="1"/>
    <col min="14590" max="14590" width="6.28515625" style="76" customWidth="1"/>
    <col min="14591" max="14591" width="6.7109375" style="76" customWidth="1"/>
    <col min="14592" max="14592" width="11.7109375" style="76" bestFit="1" customWidth="1"/>
    <col min="14593" max="14593" width="14" style="76" bestFit="1" customWidth="1"/>
    <col min="14594" max="14594" width="3.85546875" style="76" customWidth="1"/>
    <col min="14595" max="14595" width="3.42578125" style="76" customWidth="1"/>
    <col min="14596" max="14596" width="3.28515625" style="76" customWidth="1"/>
    <col min="14597" max="14597" width="3.140625" style="76" customWidth="1"/>
    <col min="14598" max="14598" width="3" style="76" customWidth="1"/>
    <col min="14599" max="14599" width="26.7109375" style="76" customWidth="1"/>
    <col min="14600" max="14600" width="6.28515625" style="76" customWidth="1"/>
    <col min="14601" max="14601" width="6.140625" style="76" customWidth="1"/>
    <col min="14602" max="14602" width="11.7109375" style="76" customWidth="1"/>
    <col min="14603" max="14603" width="14.7109375" style="76" customWidth="1"/>
    <col min="14604" max="14604" width="8.85546875" style="76"/>
    <col min="14605" max="14605" width="21" style="76" customWidth="1"/>
    <col min="14606" max="14838" width="8.85546875" style="76"/>
    <col min="14839" max="14839" width="1.5703125" style="76" customWidth="1"/>
    <col min="14840" max="14840" width="3.140625" style="76" customWidth="1"/>
    <col min="14841" max="14841" width="3.28515625" style="76" customWidth="1"/>
    <col min="14842" max="14842" width="3.140625" style="76" customWidth="1"/>
    <col min="14843" max="14843" width="2.85546875" style="76" customWidth="1"/>
    <col min="14844" max="14844" width="3.28515625" style="76" customWidth="1"/>
    <col min="14845" max="14845" width="26.7109375" style="76" customWidth="1"/>
    <col min="14846" max="14846" width="6.28515625" style="76" customWidth="1"/>
    <col min="14847" max="14847" width="6.7109375" style="76" customWidth="1"/>
    <col min="14848" max="14848" width="11.7109375" style="76" bestFit="1" customWidth="1"/>
    <col min="14849" max="14849" width="14" style="76" bestFit="1" customWidth="1"/>
    <col min="14850" max="14850" width="3.85546875" style="76" customWidth="1"/>
    <col min="14851" max="14851" width="3.42578125" style="76" customWidth="1"/>
    <col min="14852" max="14852" width="3.28515625" style="76" customWidth="1"/>
    <col min="14853" max="14853" width="3.140625" style="76" customWidth="1"/>
    <col min="14854" max="14854" width="3" style="76" customWidth="1"/>
    <col min="14855" max="14855" width="26.7109375" style="76" customWidth="1"/>
    <col min="14856" max="14856" width="6.28515625" style="76" customWidth="1"/>
    <col min="14857" max="14857" width="6.140625" style="76" customWidth="1"/>
    <col min="14858" max="14858" width="11.7109375" style="76" customWidth="1"/>
    <col min="14859" max="14859" width="14.7109375" style="76" customWidth="1"/>
    <col min="14860" max="14860" width="8.85546875" style="76"/>
    <col min="14861" max="14861" width="21" style="76" customWidth="1"/>
    <col min="14862" max="15094" width="8.85546875" style="76"/>
    <col min="15095" max="15095" width="1.5703125" style="76" customWidth="1"/>
    <col min="15096" max="15096" width="3.140625" style="76" customWidth="1"/>
    <col min="15097" max="15097" width="3.28515625" style="76" customWidth="1"/>
    <col min="15098" max="15098" width="3.140625" style="76" customWidth="1"/>
    <col min="15099" max="15099" width="2.85546875" style="76" customWidth="1"/>
    <col min="15100" max="15100" width="3.28515625" style="76" customWidth="1"/>
    <col min="15101" max="15101" width="26.7109375" style="76" customWidth="1"/>
    <col min="15102" max="15102" width="6.28515625" style="76" customWidth="1"/>
    <col min="15103" max="15103" width="6.7109375" style="76" customWidth="1"/>
    <col min="15104" max="15104" width="11.7109375" style="76" bestFit="1" customWidth="1"/>
    <col min="15105" max="15105" width="14" style="76" bestFit="1" customWidth="1"/>
    <col min="15106" max="15106" width="3.85546875" style="76" customWidth="1"/>
    <col min="15107" max="15107" width="3.42578125" style="76" customWidth="1"/>
    <col min="15108" max="15108" width="3.28515625" style="76" customWidth="1"/>
    <col min="15109" max="15109" width="3.140625" style="76" customWidth="1"/>
    <col min="15110" max="15110" width="3" style="76" customWidth="1"/>
    <col min="15111" max="15111" width="26.7109375" style="76" customWidth="1"/>
    <col min="15112" max="15112" width="6.28515625" style="76" customWidth="1"/>
    <col min="15113" max="15113" width="6.140625" style="76" customWidth="1"/>
    <col min="15114" max="15114" width="11.7109375" style="76" customWidth="1"/>
    <col min="15115" max="15115" width="14.7109375" style="76" customWidth="1"/>
    <col min="15116" max="15116" width="8.85546875" style="76"/>
    <col min="15117" max="15117" width="21" style="76" customWidth="1"/>
    <col min="15118" max="15350" width="8.85546875" style="76"/>
    <col min="15351" max="15351" width="1.5703125" style="76" customWidth="1"/>
    <col min="15352" max="15352" width="3.140625" style="76" customWidth="1"/>
    <col min="15353" max="15353" width="3.28515625" style="76" customWidth="1"/>
    <col min="15354" max="15354" width="3.140625" style="76" customWidth="1"/>
    <col min="15355" max="15355" width="2.85546875" style="76" customWidth="1"/>
    <col min="15356" max="15356" width="3.28515625" style="76" customWidth="1"/>
    <col min="15357" max="15357" width="26.7109375" style="76" customWidth="1"/>
    <col min="15358" max="15358" width="6.28515625" style="76" customWidth="1"/>
    <col min="15359" max="15359" width="6.7109375" style="76" customWidth="1"/>
    <col min="15360" max="15360" width="11.7109375" style="76" bestFit="1" customWidth="1"/>
    <col min="15361" max="15361" width="14" style="76" bestFit="1" customWidth="1"/>
    <col min="15362" max="15362" width="3.85546875" style="76" customWidth="1"/>
    <col min="15363" max="15363" width="3.42578125" style="76" customWidth="1"/>
    <col min="15364" max="15364" width="3.28515625" style="76" customWidth="1"/>
    <col min="15365" max="15365" width="3.140625" style="76" customWidth="1"/>
    <col min="15366" max="15366" width="3" style="76" customWidth="1"/>
    <col min="15367" max="15367" width="26.7109375" style="76" customWidth="1"/>
    <col min="15368" max="15368" width="6.28515625" style="76" customWidth="1"/>
    <col min="15369" max="15369" width="6.140625" style="76" customWidth="1"/>
    <col min="15370" max="15370" width="11.7109375" style="76" customWidth="1"/>
    <col min="15371" max="15371" width="14.7109375" style="76" customWidth="1"/>
    <col min="15372" max="15372" width="8.85546875" style="76"/>
    <col min="15373" max="15373" width="21" style="76" customWidth="1"/>
    <col min="15374" max="15606" width="8.85546875" style="76"/>
    <col min="15607" max="15607" width="1.5703125" style="76" customWidth="1"/>
    <col min="15608" max="15608" width="3.140625" style="76" customWidth="1"/>
    <col min="15609" max="15609" width="3.28515625" style="76" customWidth="1"/>
    <col min="15610" max="15610" width="3.140625" style="76" customWidth="1"/>
    <col min="15611" max="15611" width="2.85546875" style="76" customWidth="1"/>
    <col min="15612" max="15612" width="3.28515625" style="76" customWidth="1"/>
    <col min="15613" max="15613" width="26.7109375" style="76" customWidth="1"/>
    <col min="15614" max="15614" width="6.28515625" style="76" customWidth="1"/>
    <col min="15615" max="15615" width="6.7109375" style="76" customWidth="1"/>
    <col min="15616" max="15616" width="11.7109375" style="76" bestFit="1" customWidth="1"/>
    <col min="15617" max="15617" width="14" style="76" bestFit="1" customWidth="1"/>
    <col min="15618" max="15618" width="3.85546875" style="76" customWidth="1"/>
    <col min="15619" max="15619" width="3.42578125" style="76" customWidth="1"/>
    <col min="15620" max="15620" width="3.28515625" style="76" customWidth="1"/>
    <col min="15621" max="15621" width="3.140625" style="76" customWidth="1"/>
    <col min="15622" max="15622" width="3" style="76" customWidth="1"/>
    <col min="15623" max="15623" width="26.7109375" style="76" customWidth="1"/>
    <col min="15624" max="15624" width="6.28515625" style="76" customWidth="1"/>
    <col min="15625" max="15625" width="6.140625" style="76" customWidth="1"/>
    <col min="15626" max="15626" width="11.7109375" style="76" customWidth="1"/>
    <col min="15627" max="15627" width="14.7109375" style="76" customWidth="1"/>
    <col min="15628" max="15628" width="8.85546875" style="76"/>
    <col min="15629" max="15629" width="21" style="76" customWidth="1"/>
    <col min="15630" max="15862" width="8.85546875" style="76"/>
    <col min="15863" max="15863" width="1.5703125" style="76" customWidth="1"/>
    <col min="15864" max="15864" width="3.140625" style="76" customWidth="1"/>
    <col min="15865" max="15865" width="3.28515625" style="76" customWidth="1"/>
    <col min="15866" max="15866" width="3.140625" style="76" customWidth="1"/>
    <col min="15867" max="15867" width="2.85546875" style="76" customWidth="1"/>
    <col min="15868" max="15868" width="3.28515625" style="76" customWidth="1"/>
    <col min="15869" max="15869" width="26.7109375" style="76" customWidth="1"/>
    <col min="15870" max="15870" width="6.28515625" style="76" customWidth="1"/>
    <col min="15871" max="15871" width="6.7109375" style="76" customWidth="1"/>
    <col min="15872" max="15872" width="11.7109375" style="76" bestFit="1" customWidth="1"/>
    <col min="15873" max="15873" width="14" style="76" bestFit="1" customWidth="1"/>
    <col min="15874" max="15874" width="3.85546875" style="76" customWidth="1"/>
    <col min="15875" max="15875" width="3.42578125" style="76" customWidth="1"/>
    <col min="15876" max="15876" width="3.28515625" style="76" customWidth="1"/>
    <col min="15877" max="15877" width="3.140625" style="76" customWidth="1"/>
    <col min="15878" max="15878" width="3" style="76" customWidth="1"/>
    <col min="15879" max="15879" width="26.7109375" style="76" customWidth="1"/>
    <col min="15880" max="15880" width="6.28515625" style="76" customWidth="1"/>
    <col min="15881" max="15881" width="6.140625" style="76" customWidth="1"/>
    <col min="15882" max="15882" width="11.7109375" style="76" customWidth="1"/>
    <col min="15883" max="15883" width="14.7109375" style="76" customWidth="1"/>
    <col min="15884" max="15884" width="8.85546875" style="76"/>
    <col min="15885" max="15885" width="21" style="76" customWidth="1"/>
    <col min="15886" max="16118" width="8.85546875" style="76"/>
    <col min="16119" max="16119" width="1.5703125" style="76" customWidth="1"/>
    <col min="16120" max="16120" width="3.140625" style="76" customWidth="1"/>
    <col min="16121" max="16121" width="3.28515625" style="76" customWidth="1"/>
    <col min="16122" max="16122" width="3.140625" style="76" customWidth="1"/>
    <col min="16123" max="16123" width="2.85546875" style="76" customWidth="1"/>
    <col min="16124" max="16124" width="3.28515625" style="76" customWidth="1"/>
    <col min="16125" max="16125" width="26.7109375" style="76" customWidth="1"/>
    <col min="16126" max="16126" width="6.28515625" style="76" customWidth="1"/>
    <col min="16127" max="16127" width="6.7109375" style="76" customWidth="1"/>
    <col min="16128" max="16128" width="11.7109375" style="76" bestFit="1" customWidth="1"/>
    <col min="16129" max="16129" width="14" style="76" bestFit="1" customWidth="1"/>
    <col min="16130" max="16130" width="3.85546875" style="76" customWidth="1"/>
    <col min="16131" max="16131" width="3.42578125" style="76" customWidth="1"/>
    <col min="16132" max="16132" width="3.28515625" style="76" customWidth="1"/>
    <col min="16133" max="16133" width="3.140625" style="76" customWidth="1"/>
    <col min="16134" max="16134" width="3" style="76" customWidth="1"/>
    <col min="16135" max="16135" width="26.7109375" style="76" customWidth="1"/>
    <col min="16136" max="16136" width="6.28515625" style="76" customWidth="1"/>
    <col min="16137" max="16137" width="6.140625" style="76" customWidth="1"/>
    <col min="16138" max="16138" width="11.7109375" style="76" customWidth="1"/>
    <col min="16139" max="16139" width="14.7109375" style="76" customWidth="1"/>
    <col min="16140" max="16140" width="8.85546875" style="76"/>
    <col min="16141" max="16141" width="21" style="76" customWidth="1"/>
    <col min="16142" max="16384" width="8.85546875" style="76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492"/>
      <c r="C2" s="3493"/>
      <c r="D2" s="3493"/>
      <c r="E2" s="3325" t="s">
        <v>274</v>
      </c>
      <c r="F2" s="3326"/>
      <c r="G2" s="3326"/>
      <c r="H2" s="3327"/>
      <c r="I2" s="3496" t="s">
        <v>0</v>
      </c>
      <c r="J2" s="3497"/>
      <c r="K2" s="77" t="s">
        <v>1</v>
      </c>
    </row>
    <row r="3" spans="2:13" ht="16.5" customHeight="1">
      <c r="B3" s="3494"/>
      <c r="C3" s="3495"/>
      <c r="D3" s="3495"/>
      <c r="E3" s="3498" t="s">
        <v>2</v>
      </c>
      <c r="F3" s="3499"/>
      <c r="G3" s="3499"/>
      <c r="H3" s="3500"/>
      <c r="I3" s="3501"/>
      <c r="J3" s="3502"/>
      <c r="K3" s="78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503" t="s">
        <v>52</v>
      </c>
      <c r="C5" s="3504"/>
      <c r="D5" s="3504"/>
      <c r="E5" s="3504"/>
      <c r="F5" s="3504"/>
      <c r="G5" s="3504" t="s">
        <v>71</v>
      </c>
      <c r="H5" s="3504"/>
      <c r="I5" s="3504"/>
      <c r="J5" s="3504"/>
      <c r="K5" s="3505"/>
    </row>
    <row r="6" spans="2:13">
      <c r="B6" s="3506" t="s">
        <v>53</v>
      </c>
      <c r="C6" s="3342"/>
      <c r="D6" s="3342"/>
      <c r="E6" s="3342"/>
      <c r="F6" s="3342"/>
      <c r="G6" s="3342" t="s">
        <v>39</v>
      </c>
      <c r="H6" s="3342"/>
      <c r="I6" s="3342"/>
      <c r="J6" s="3342"/>
      <c r="K6" s="3343"/>
    </row>
    <row r="7" spans="2:13">
      <c r="B7" s="3506" t="s">
        <v>54</v>
      </c>
      <c r="C7" s="3342"/>
      <c r="D7" s="3342"/>
      <c r="E7" s="3342"/>
      <c r="F7" s="3342"/>
      <c r="G7" s="3342" t="s">
        <v>70</v>
      </c>
      <c r="H7" s="3342"/>
      <c r="I7" s="3342"/>
      <c r="J7" s="3342"/>
      <c r="K7" s="3343"/>
    </row>
    <row r="8" spans="2:13">
      <c r="B8" s="3506" t="s">
        <v>55</v>
      </c>
      <c r="C8" s="3342"/>
      <c r="D8" s="3342"/>
      <c r="E8" s="3342"/>
      <c r="F8" s="3342"/>
      <c r="G8" s="3342" t="s">
        <v>322</v>
      </c>
      <c r="H8" s="3342"/>
      <c r="I8" s="3342"/>
      <c r="J8" s="3342"/>
      <c r="K8" s="3343"/>
    </row>
    <row r="9" spans="2:13">
      <c r="B9" s="71" t="s">
        <v>56</v>
      </c>
      <c r="C9" s="72"/>
      <c r="D9" s="72"/>
      <c r="E9" s="72"/>
      <c r="F9" s="72"/>
      <c r="G9" s="3339" t="s">
        <v>1152</v>
      </c>
      <c r="H9" s="3339"/>
      <c r="I9" s="3339"/>
      <c r="J9" s="3339"/>
      <c r="K9" s="3340"/>
      <c r="M9" s="79"/>
    </row>
    <row r="10" spans="2:13">
      <c r="B10" s="3506" t="s">
        <v>36</v>
      </c>
      <c r="C10" s="3342"/>
      <c r="D10" s="3342"/>
      <c r="E10" s="3342"/>
      <c r="F10" s="3342"/>
      <c r="G10" s="72" t="s">
        <v>41</v>
      </c>
      <c r="H10" s="72"/>
      <c r="I10" s="72"/>
      <c r="J10" s="72"/>
      <c r="K10" s="73"/>
      <c r="M10" s="79"/>
    </row>
    <row r="11" spans="2:13">
      <c r="B11" s="3507" t="s">
        <v>57</v>
      </c>
      <c r="C11" s="3508"/>
      <c r="D11" s="3508"/>
      <c r="E11" s="3508"/>
      <c r="F11" s="3508"/>
      <c r="G11" s="74" t="s">
        <v>42</v>
      </c>
      <c r="H11" s="74"/>
      <c r="I11" s="74"/>
      <c r="J11" s="74"/>
      <c r="K11" s="75"/>
    </row>
    <row r="12" spans="2:13">
      <c r="B12" s="3468" t="s">
        <v>89</v>
      </c>
      <c r="C12" s="3469"/>
      <c r="D12" s="3469"/>
      <c r="E12" s="3469"/>
      <c r="F12" s="3469"/>
      <c r="G12" s="3469"/>
      <c r="H12" s="3469"/>
      <c r="I12" s="3469"/>
      <c r="J12" s="3469"/>
      <c r="K12" s="3470"/>
    </row>
    <row r="13" spans="2:13">
      <c r="B13" s="3468" t="s">
        <v>5</v>
      </c>
      <c r="C13" s="3469"/>
      <c r="D13" s="3469"/>
      <c r="E13" s="3469"/>
      <c r="F13" s="3509"/>
      <c r="G13" s="3510" t="s">
        <v>90</v>
      </c>
      <c r="H13" s="3511"/>
      <c r="I13" s="3510" t="s">
        <v>7</v>
      </c>
      <c r="J13" s="3512"/>
      <c r="K13" s="3513"/>
    </row>
    <row r="14" spans="2:13" ht="16.5" customHeight="1">
      <c r="B14" s="3514" t="s">
        <v>8</v>
      </c>
      <c r="C14" s="3515"/>
      <c r="D14" s="3515"/>
      <c r="E14" s="3515"/>
      <c r="F14" s="3516"/>
      <c r="G14" s="3517" t="s">
        <v>400</v>
      </c>
      <c r="H14" s="3518"/>
      <c r="I14" s="3519">
        <v>1</v>
      </c>
      <c r="J14" s="3520"/>
      <c r="K14" s="3521"/>
    </row>
    <row r="15" spans="2:13">
      <c r="B15" s="3531" t="s">
        <v>9</v>
      </c>
      <c r="C15" s="3523"/>
      <c r="D15" s="3523"/>
      <c r="E15" s="3523"/>
      <c r="F15" s="3524"/>
      <c r="G15" s="3532" t="s">
        <v>47</v>
      </c>
      <c r="H15" s="3533"/>
      <c r="I15" s="3534">
        <f>K24</f>
        <v>1512276000</v>
      </c>
      <c r="J15" s="3535"/>
      <c r="K15" s="3536"/>
    </row>
    <row r="16" spans="2:13" ht="16.5" customHeight="1">
      <c r="B16" s="3522" t="s">
        <v>10</v>
      </c>
      <c r="C16" s="3523"/>
      <c r="D16" s="3523"/>
      <c r="E16" s="3523"/>
      <c r="F16" s="3524"/>
      <c r="G16" s="3517" t="s">
        <v>401</v>
      </c>
      <c r="H16" s="3518"/>
      <c r="I16" s="3519">
        <v>1</v>
      </c>
      <c r="J16" s="3520"/>
      <c r="K16" s="3521"/>
    </row>
    <row r="17" spans="2:19">
      <c r="B17" s="3522" t="s">
        <v>11</v>
      </c>
      <c r="C17" s="3523"/>
      <c r="D17" s="3523"/>
      <c r="E17" s="3523"/>
      <c r="F17" s="3524"/>
      <c r="G17" s="3517" t="s">
        <v>402</v>
      </c>
      <c r="H17" s="3518"/>
      <c r="I17" s="3519">
        <v>1</v>
      </c>
      <c r="J17" s="3520"/>
      <c r="K17" s="3521"/>
    </row>
    <row r="18" spans="2:19">
      <c r="B18" s="3525" t="s">
        <v>58</v>
      </c>
      <c r="C18" s="3526"/>
      <c r="D18" s="3526"/>
      <c r="E18" s="3526"/>
      <c r="F18" s="3526"/>
      <c r="G18" s="3526"/>
      <c r="H18" s="3526"/>
      <c r="I18" s="3526"/>
      <c r="J18" s="3526"/>
      <c r="K18" s="3527"/>
    </row>
    <row r="19" spans="2:19" ht="15" customHeight="1">
      <c r="B19" s="3528" t="s">
        <v>87</v>
      </c>
      <c r="C19" s="3529"/>
      <c r="D19" s="3529"/>
      <c r="E19" s="3529"/>
      <c r="F19" s="3529"/>
      <c r="G19" s="3529"/>
      <c r="H19" s="3529"/>
      <c r="I19" s="3529"/>
      <c r="J19" s="3529"/>
      <c r="K19" s="3530"/>
      <c r="L19" s="305"/>
      <c r="M19" s="305"/>
      <c r="N19" s="305"/>
      <c r="O19" s="305"/>
      <c r="P19" s="305"/>
      <c r="Q19" s="303"/>
      <c r="R19" s="303"/>
    </row>
    <row r="20" spans="2:19" ht="16.5" customHeight="1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9" ht="14.45" customHeight="1">
      <c r="B21" s="3528" t="s">
        <v>14</v>
      </c>
      <c r="C21" s="3529"/>
      <c r="D21" s="3529"/>
      <c r="E21" s="3529"/>
      <c r="F21" s="3540"/>
      <c r="G21" s="3542" t="s">
        <v>15</v>
      </c>
      <c r="H21" s="3544" t="s">
        <v>16</v>
      </c>
      <c r="I21" s="3545"/>
      <c r="J21" s="3546"/>
      <c r="K21" s="80" t="s">
        <v>17</v>
      </c>
      <c r="L21" s="1150"/>
      <c r="M21" s="1150"/>
      <c r="N21" s="1150"/>
      <c r="O21" s="1150"/>
      <c r="P21" s="1150"/>
      <c r="Q21" s="1150"/>
      <c r="R21" s="3378"/>
    </row>
    <row r="22" spans="2:19">
      <c r="B22" s="3537"/>
      <c r="C22" s="3538"/>
      <c r="D22" s="3538"/>
      <c r="E22" s="3538"/>
      <c r="F22" s="3541"/>
      <c r="G22" s="3543"/>
      <c r="H22" s="81" t="s">
        <v>18</v>
      </c>
      <c r="I22" s="81" t="s">
        <v>19</v>
      </c>
      <c r="J22" s="81" t="s">
        <v>20</v>
      </c>
      <c r="K22" s="78" t="s">
        <v>21</v>
      </c>
      <c r="L22" s="1149" t="s">
        <v>177</v>
      </c>
      <c r="M22" s="1149" t="s">
        <v>594</v>
      </c>
      <c r="N22" s="1149" t="s">
        <v>651</v>
      </c>
      <c r="O22" s="1149" t="s">
        <v>595</v>
      </c>
      <c r="P22" s="1149" t="s">
        <v>652</v>
      </c>
      <c r="Q22" s="1149" t="s">
        <v>593</v>
      </c>
      <c r="R22" s="3379"/>
    </row>
    <row r="23" spans="2:19">
      <c r="B23" s="3468">
        <v>1</v>
      </c>
      <c r="C23" s="3547"/>
      <c r="D23" s="3547"/>
      <c r="E23" s="3547"/>
      <c r="F23" s="3548"/>
      <c r="G23" s="82">
        <v>2</v>
      </c>
      <c r="H23" s="81">
        <v>3</v>
      </c>
      <c r="I23" s="81">
        <v>4</v>
      </c>
      <c r="J23" s="81">
        <v>5</v>
      </c>
      <c r="K23" s="83" t="s">
        <v>22</v>
      </c>
      <c r="L23" s="1150">
        <v>6</v>
      </c>
      <c r="M23" s="1150">
        <v>7</v>
      </c>
      <c r="N23" s="1150">
        <v>8</v>
      </c>
      <c r="O23" s="1150">
        <v>9</v>
      </c>
      <c r="P23" s="1150">
        <v>10</v>
      </c>
      <c r="Q23" s="1150">
        <v>11</v>
      </c>
      <c r="R23" s="1150">
        <v>12</v>
      </c>
    </row>
    <row r="24" spans="2:19" ht="15.75" customHeight="1">
      <c r="B24" s="84">
        <v>5</v>
      </c>
      <c r="C24" s="85">
        <v>2</v>
      </c>
      <c r="D24" s="85"/>
      <c r="E24" s="85"/>
      <c r="F24" s="85"/>
      <c r="G24" s="86" t="s">
        <v>23</v>
      </c>
      <c r="H24" s="85"/>
      <c r="I24" s="85"/>
      <c r="J24" s="85"/>
      <c r="K24" s="87">
        <f>K25+K70</f>
        <v>1512276000</v>
      </c>
      <c r="L24" s="305"/>
      <c r="M24" s="305"/>
      <c r="N24" s="305"/>
      <c r="O24" s="305"/>
      <c r="P24" s="305"/>
      <c r="Q24" s="303"/>
      <c r="R24" s="303"/>
    </row>
    <row r="25" spans="2:19" ht="14.25" customHeight="1">
      <c r="B25" s="84">
        <v>5</v>
      </c>
      <c r="C25" s="85">
        <v>2</v>
      </c>
      <c r="D25" s="85">
        <v>1</v>
      </c>
      <c r="E25" s="85"/>
      <c r="F25" s="85"/>
      <c r="G25" s="86" t="s">
        <v>59</v>
      </c>
      <c r="H25" s="997"/>
      <c r="I25" s="85"/>
      <c r="J25" s="85"/>
      <c r="K25" s="88">
        <f>K26+K52+K64</f>
        <v>1435036000</v>
      </c>
      <c r="L25" s="305"/>
      <c r="M25" s="305"/>
      <c r="N25" s="305"/>
      <c r="O25" s="305"/>
      <c r="P25" s="305"/>
      <c r="Q25" s="303"/>
      <c r="R25" s="303"/>
    </row>
    <row r="26" spans="2:19" ht="15" customHeight="1">
      <c r="B26" s="84">
        <v>5</v>
      </c>
      <c r="C26" s="85">
        <v>2</v>
      </c>
      <c r="D26" s="85">
        <v>1</v>
      </c>
      <c r="E26" s="89" t="s">
        <v>24</v>
      </c>
      <c r="F26" s="85"/>
      <c r="G26" s="86" t="s">
        <v>60</v>
      </c>
      <c r="H26" s="997"/>
      <c r="I26" s="85"/>
      <c r="J26" s="85"/>
      <c r="K26" s="88">
        <f>K27+K47</f>
        <v>151300000</v>
      </c>
      <c r="L26" s="304"/>
      <c r="M26" s="303"/>
      <c r="N26" s="303"/>
      <c r="O26" s="303"/>
      <c r="P26" s="303"/>
      <c r="Q26" s="303"/>
      <c r="R26" s="303"/>
    </row>
    <row r="27" spans="2:19">
      <c r="B27" s="90">
        <v>5</v>
      </c>
      <c r="C27" s="85">
        <v>2</v>
      </c>
      <c r="D27" s="85">
        <v>1</v>
      </c>
      <c r="E27" s="89" t="s">
        <v>24</v>
      </c>
      <c r="F27" s="89" t="s">
        <v>24</v>
      </c>
      <c r="G27" s="86" t="s">
        <v>61</v>
      </c>
      <c r="H27" s="997"/>
      <c r="I27" s="85"/>
      <c r="J27" s="91"/>
      <c r="K27" s="92">
        <f>SUM(K28:K45)</f>
        <v>107500000</v>
      </c>
      <c r="L27" s="305"/>
      <c r="M27" s="305"/>
      <c r="N27" s="305"/>
      <c r="O27" s="305"/>
      <c r="P27" s="305"/>
      <c r="Q27" s="303"/>
      <c r="R27" s="303"/>
      <c r="S27" s="1089">
        <f>K27/4</f>
        <v>26875000</v>
      </c>
    </row>
    <row r="28" spans="2:19">
      <c r="B28" s="90"/>
      <c r="C28" s="85"/>
      <c r="D28" s="85"/>
      <c r="E28" s="89"/>
      <c r="F28" s="89"/>
      <c r="G28" s="86" t="s">
        <v>1277</v>
      </c>
      <c r="H28" s="931"/>
      <c r="I28" s="31"/>
      <c r="J28" s="121"/>
      <c r="K28" s="93">
        <f>J28*H28</f>
        <v>0</v>
      </c>
      <c r="L28" s="305"/>
      <c r="M28" s="303"/>
      <c r="N28" s="399"/>
      <c r="O28" s="303"/>
      <c r="P28" s="303"/>
      <c r="Q28" s="303"/>
      <c r="R28" s="303"/>
    </row>
    <row r="29" spans="2:19">
      <c r="B29" s="910"/>
      <c r="C29" s="478"/>
      <c r="D29" s="478"/>
      <c r="E29" s="1406"/>
      <c r="F29" s="1406"/>
      <c r="G29" s="639" t="s">
        <v>1278</v>
      </c>
      <c r="H29" s="962">
        <v>5</v>
      </c>
      <c r="I29" s="478" t="s">
        <v>62</v>
      </c>
      <c r="J29" s="1082">
        <v>600000</v>
      </c>
      <c r="K29" s="93">
        <f t="shared" ref="K29:K31" si="0">J29*H29</f>
        <v>3000000</v>
      </c>
      <c r="L29" s="305">
        <f t="shared" ref="L29:L31" si="1">K29</f>
        <v>3000000</v>
      </c>
      <c r="M29" s="385"/>
      <c r="N29" s="473"/>
      <c r="O29" s="385"/>
      <c r="P29" s="385"/>
      <c r="Q29" s="385"/>
      <c r="R29" s="385"/>
    </row>
    <row r="30" spans="2:19">
      <c r="B30" s="910"/>
      <c r="C30" s="478"/>
      <c r="D30" s="478"/>
      <c r="E30" s="1406"/>
      <c r="F30" s="1406"/>
      <c r="G30" s="1044" t="s">
        <v>1279</v>
      </c>
      <c r="H30" s="962">
        <v>5</v>
      </c>
      <c r="I30" s="478" t="s">
        <v>62</v>
      </c>
      <c r="J30" s="1082">
        <v>400000</v>
      </c>
      <c r="K30" s="93">
        <f t="shared" si="0"/>
        <v>2000000</v>
      </c>
      <c r="L30" s="305">
        <f t="shared" si="1"/>
        <v>2000000</v>
      </c>
      <c r="M30" s="385"/>
      <c r="N30" s="473"/>
      <c r="O30" s="385"/>
      <c r="P30" s="385"/>
      <c r="Q30" s="385"/>
      <c r="R30" s="385"/>
    </row>
    <row r="31" spans="2:19">
      <c r="B31" s="910"/>
      <c r="C31" s="478"/>
      <c r="D31" s="478"/>
      <c r="E31" s="1406"/>
      <c r="F31" s="1406"/>
      <c r="G31" s="1044" t="s">
        <v>1280</v>
      </c>
      <c r="H31" s="962">
        <f>3*5</f>
        <v>15</v>
      </c>
      <c r="I31" s="478" t="s">
        <v>62</v>
      </c>
      <c r="J31" s="1082">
        <v>400000</v>
      </c>
      <c r="K31" s="93">
        <f t="shared" si="0"/>
        <v>6000000</v>
      </c>
      <c r="L31" s="305">
        <f t="shared" si="1"/>
        <v>6000000</v>
      </c>
      <c r="M31" s="385"/>
      <c r="N31" s="473"/>
      <c r="O31" s="385"/>
      <c r="P31" s="385"/>
      <c r="Q31" s="385"/>
      <c r="R31" s="385"/>
    </row>
    <row r="32" spans="2:19" ht="15">
      <c r="B32" s="90"/>
      <c r="C32" s="85"/>
      <c r="D32" s="85"/>
      <c r="E32" s="89"/>
      <c r="F32" s="89"/>
      <c r="G32" s="86" t="s">
        <v>333</v>
      </c>
      <c r="H32" s="931"/>
      <c r="I32" s="31"/>
      <c r="J32" s="121"/>
      <c r="K32" s="93"/>
      <c r="L32" s="305">
        <f t="shared" ref="L32:L34" si="2">K32</f>
        <v>0</v>
      </c>
      <c r="M32" s="310"/>
      <c r="N32" s="399"/>
      <c r="O32" s="306"/>
      <c r="P32" s="306"/>
      <c r="Q32" s="306"/>
      <c r="R32" s="306"/>
    </row>
    <row r="33" spans="2:18" ht="15">
      <c r="B33" s="90"/>
      <c r="C33" s="85"/>
      <c r="D33" s="85"/>
      <c r="E33" s="89"/>
      <c r="F33" s="89"/>
      <c r="G33" s="3" t="s">
        <v>962</v>
      </c>
      <c r="H33" s="931">
        <f>6*10</f>
        <v>60</v>
      </c>
      <c r="I33" s="31" t="s">
        <v>62</v>
      </c>
      <c r="J33" s="121">
        <v>900000</v>
      </c>
      <c r="K33" s="93">
        <f>J33*H33</f>
        <v>54000000</v>
      </c>
      <c r="L33" s="305">
        <f t="shared" si="2"/>
        <v>54000000</v>
      </c>
      <c r="M33" s="310"/>
      <c r="N33" s="399"/>
      <c r="O33" s="306"/>
      <c r="P33" s="306"/>
      <c r="Q33" s="306"/>
      <c r="R33" s="306"/>
    </row>
    <row r="34" spans="2:18" ht="15">
      <c r="B34" s="90"/>
      <c r="C34" s="85"/>
      <c r="D34" s="85"/>
      <c r="E34" s="89"/>
      <c r="F34" s="89"/>
      <c r="G34" s="3" t="s">
        <v>846</v>
      </c>
      <c r="H34" s="931">
        <v>8</v>
      </c>
      <c r="I34" s="31" t="s">
        <v>62</v>
      </c>
      <c r="J34" s="121">
        <v>850000</v>
      </c>
      <c r="K34" s="93">
        <f>J34*H34</f>
        <v>6800000</v>
      </c>
      <c r="L34" s="305">
        <f t="shared" si="2"/>
        <v>6800000</v>
      </c>
      <c r="M34" s="310"/>
      <c r="N34" s="399"/>
      <c r="O34" s="306"/>
      <c r="P34" s="306"/>
      <c r="Q34" s="306"/>
      <c r="R34" s="306"/>
    </row>
    <row r="35" spans="2:18" s="2481" customFormat="1" ht="15">
      <c r="B35" s="2644"/>
      <c r="C35" s="2645"/>
      <c r="D35" s="2645"/>
      <c r="E35" s="2646"/>
      <c r="F35" s="2646"/>
      <c r="G35" s="2653" t="s">
        <v>1102</v>
      </c>
      <c r="H35" s="2648"/>
      <c r="I35" s="2649"/>
      <c r="J35" s="2650"/>
      <c r="K35" s="2652"/>
      <c r="L35" s="2492"/>
      <c r="M35" s="2651"/>
      <c r="N35" s="2635"/>
      <c r="O35" s="2580"/>
      <c r="P35" s="2580"/>
      <c r="Q35" s="2580"/>
      <c r="R35" s="2580"/>
    </row>
    <row r="36" spans="2:18" s="2481" customFormat="1" ht="15">
      <c r="B36" s="2644"/>
      <c r="C36" s="2645"/>
      <c r="D36" s="2645"/>
      <c r="E36" s="2646"/>
      <c r="F36" s="2646"/>
      <c r="G36" s="2647" t="s">
        <v>2052</v>
      </c>
      <c r="H36" s="2648">
        <v>6</v>
      </c>
      <c r="I36" s="2649" t="s">
        <v>62</v>
      </c>
      <c r="J36" s="2650">
        <v>650000</v>
      </c>
      <c r="K36" s="2475">
        <f t="shared" ref="K36:K42" si="3">J36*H36</f>
        <v>3900000</v>
      </c>
      <c r="L36" s="2492">
        <f t="shared" ref="L36:L42" si="4">K36</f>
        <v>3900000</v>
      </c>
      <c r="M36" s="2651"/>
      <c r="N36" s="2635"/>
      <c r="O36" s="2580"/>
      <c r="P36" s="2580"/>
      <c r="Q36" s="2580"/>
      <c r="R36" s="2580"/>
    </row>
    <row r="37" spans="2:18" s="2481" customFormat="1" ht="15">
      <c r="B37" s="2644"/>
      <c r="C37" s="2645"/>
      <c r="D37" s="2645"/>
      <c r="E37" s="2646"/>
      <c r="F37" s="2646"/>
      <c r="G37" s="2647" t="s">
        <v>1103</v>
      </c>
      <c r="H37" s="2648">
        <v>6</v>
      </c>
      <c r="I37" s="2649" t="s">
        <v>62</v>
      </c>
      <c r="J37" s="2650">
        <v>600000</v>
      </c>
      <c r="K37" s="2475">
        <f t="shared" si="3"/>
        <v>3600000</v>
      </c>
      <c r="L37" s="2492">
        <f t="shared" si="4"/>
        <v>3600000</v>
      </c>
      <c r="M37" s="2651"/>
      <c r="N37" s="2635"/>
      <c r="O37" s="2580"/>
      <c r="P37" s="2580"/>
      <c r="Q37" s="2580"/>
      <c r="R37" s="2580"/>
    </row>
    <row r="38" spans="2:18" s="2481" customFormat="1" ht="25.5">
      <c r="B38" s="2644"/>
      <c r="C38" s="2645"/>
      <c r="D38" s="2645"/>
      <c r="E38" s="2646"/>
      <c r="F38" s="2646"/>
      <c r="G38" s="2647" t="s">
        <v>2053</v>
      </c>
      <c r="H38" s="2648">
        <v>6</v>
      </c>
      <c r="I38" s="2649" t="s">
        <v>62</v>
      </c>
      <c r="J38" s="2650">
        <v>500000</v>
      </c>
      <c r="K38" s="2652">
        <f t="shared" si="3"/>
        <v>3000000</v>
      </c>
      <c r="L38" s="2492">
        <f t="shared" si="4"/>
        <v>3000000</v>
      </c>
      <c r="M38" s="2651"/>
      <c r="N38" s="2635"/>
      <c r="O38" s="2580"/>
      <c r="P38" s="2580"/>
      <c r="Q38" s="2580"/>
      <c r="R38" s="2580"/>
    </row>
    <row r="39" spans="2:18" s="2481" customFormat="1" ht="15">
      <c r="B39" s="2644"/>
      <c r="C39" s="2645"/>
      <c r="D39" s="2645"/>
      <c r="E39" s="2646"/>
      <c r="F39" s="2646"/>
      <c r="G39" s="2647" t="s">
        <v>2054</v>
      </c>
      <c r="H39" s="2648">
        <v>6</v>
      </c>
      <c r="I39" s="2649" t="s">
        <v>62</v>
      </c>
      <c r="J39" s="2650">
        <v>500000</v>
      </c>
      <c r="K39" s="2652">
        <f t="shared" si="3"/>
        <v>3000000</v>
      </c>
      <c r="L39" s="2492">
        <f t="shared" si="4"/>
        <v>3000000</v>
      </c>
      <c r="M39" s="2651"/>
      <c r="N39" s="2635"/>
      <c r="O39" s="2580"/>
      <c r="P39" s="2580"/>
      <c r="Q39" s="2580"/>
      <c r="R39" s="2580"/>
    </row>
    <row r="40" spans="2:18" s="2481" customFormat="1" ht="15">
      <c r="B40" s="2644"/>
      <c r="C40" s="2645"/>
      <c r="D40" s="2645"/>
      <c r="E40" s="2646"/>
      <c r="F40" s="2646"/>
      <c r="G40" s="2647" t="s">
        <v>2055</v>
      </c>
      <c r="H40" s="2648">
        <v>6</v>
      </c>
      <c r="I40" s="2649" t="s">
        <v>62</v>
      </c>
      <c r="J40" s="2650">
        <v>500000</v>
      </c>
      <c r="K40" s="2652">
        <f t="shared" si="3"/>
        <v>3000000</v>
      </c>
      <c r="L40" s="2492">
        <f t="shared" si="4"/>
        <v>3000000</v>
      </c>
      <c r="M40" s="2651"/>
      <c r="N40" s="2635"/>
      <c r="O40" s="2580"/>
      <c r="P40" s="2580"/>
      <c r="Q40" s="2580"/>
      <c r="R40" s="2580"/>
    </row>
    <row r="41" spans="2:18" s="2481" customFormat="1" ht="15">
      <c r="B41" s="2644"/>
      <c r="C41" s="2645"/>
      <c r="D41" s="2645"/>
      <c r="E41" s="2646"/>
      <c r="F41" s="2646"/>
      <c r="G41" s="2647" t="s">
        <v>2056</v>
      </c>
      <c r="H41" s="2648">
        <v>6</v>
      </c>
      <c r="I41" s="2649" t="s">
        <v>62</v>
      </c>
      <c r="J41" s="2650">
        <v>500000</v>
      </c>
      <c r="K41" s="2652">
        <f t="shared" si="3"/>
        <v>3000000</v>
      </c>
      <c r="L41" s="2492">
        <f t="shared" si="4"/>
        <v>3000000</v>
      </c>
      <c r="M41" s="2651"/>
      <c r="N41" s="2635"/>
      <c r="O41" s="2580"/>
      <c r="P41" s="2580"/>
      <c r="Q41" s="2580"/>
      <c r="R41" s="2580"/>
    </row>
    <row r="42" spans="2:18" s="2481" customFormat="1" ht="15">
      <c r="B42" s="2644"/>
      <c r="C42" s="2645"/>
      <c r="D42" s="2645"/>
      <c r="E42" s="2646"/>
      <c r="F42" s="2646"/>
      <c r="G42" s="2647" t="s">
        <v>2057</v>
      </c>
      <c r="H42" s="2648">
        <v>6</v>
      </c>
      <c r="I42" s="2649" t="s">
        <v>62</v>
      </c>
      <c r="J42" s="2650">
        <v>500000</v>
      </c>
      <c r="K42" s="2652">
        <f t="shared" si="3"/>
        <v>3000000</v>
      </c>
      <c r="L42" s="2492">
        <f t="shared" si="4"/>
        <v>3000000</v>
      </c>
      <c r="M42" s="2651"/>
      <c r="N42" s="2635"/>
      <c r="O42" s="2580"/>
      <c r="P42" s="2580"/>
      <c r="Q42" s="2580"/>
      <c r="R42" s="2580"/>
    </row>
    <row r="43" spans="2:18" ht="15">
      <c r="B43" s="910"/>
      <c r="C43" s="911"/>
      <c r="D43" s="911"/>
      <c r="E43" s="912"/>
      <c r="F43" s="912"/>
      <c r="G43" s="86" t="s">
        <v>1104</v>
      </c>
      <c r="H43" s="962"/>
      <c r="I43" s="478"/>
      <c r="J43" s="1082"/>
      <c r="K43" s="395"/>
      <c r="L43" s="377"/>
      <c r="M43" s="569"/>
      <c r="N43" s="473"/>
      <c r="O43" s="378"/>
      <c r="P43" s="378"/>
      <c r="Q43" s="378"/>
      <c r="R43" s="378"/>
    </row>
    <row r="44" spans="2:18" ht="15">
      <c r="B44" s="910"/>
      <c r="C44" s="911"/>
      <c r="D44" s="911"/>
      <c r="E44" s="912"/>
      <c r="F44" s="912"/>
      <c r="G44" s="639" t="s">
        <v>1103</v>
      </c>
      <c r="H44" s="962">
        <v>6</v>
      </c>
      <c r="I44" s="478" t="s">
        <v>62</v>
      </c>
      <c r="J44" s="1082">
        <v>700000</v>
      </c>
      <c r="K44" s="395">
        <f>J44*H44</f>
        <v>4200000</v>
      </c>
      <c r="L44" s="377">
        <f>K44</f>
        <v>4200000</v>
      </c>
      <c r="M44" s="569"/>
      <c r="N44" s="473"/>
      <c r="O44" s="378"/>
      <c r="P44" s="378"/>
      <c r="Q44" s="378"/>
      <c r="R44" s="378"/>
    </row>
    <row r="45" spans="2:18" ht="15">
      <c r="B45" s="910"/>
      <c r="C45" s="911"/>
      <c r="D45" s="911"/>
      <c r="E45" s="912"/>
      <c r="F45" s="912"/>
      <c r="G45" s="639" t="s">
        <v>1105</v>
      </c>
      <c r="H45" s="962">
        <v>18</v>
      </c>
      <c r="I45" s="478" t="s">
        <v>62</v>
      </c>
      <c r="J45" s="1082">
        <v>500000</v>
      </c>
      <c r="K45" s="395">
        <f>J45*H45</f>
        <v>9000000</v>
      </c>
      <c r="L45" s="377">
        <f>K45</f>
        <v>9000000</v>
      </c>
      <c r="M45" s="569"/>
      <c r="N45" s="473"/>
      <c r="O45" s="378"/>
      <c r="P45" s="378"/>
      <c r="Q45" s="378"/>
      <c r="R45" s="378"/>
    </row>
    <row r="46" spans="2:18" ht="15">
      <c r="B46" s="910"/>
      <c r="C46" s="911"/>
      <c r="D46" s="911"/>
      <c r="E46" s="912"/>
      <c r="F46" s="912"/>
      <c r="G46" s="639"/>
      <c r="H46" s="962"/>
      <c r="I46" s="478"/>
      <c r="J46" s="1082"/>
      <c r="K46" s="395"/>
      <c r="L46" s="377"/>
      <c r="M46" s="569"/>
      <c r="N46" s="473"/>
      <c r="O46" s="378"/>
      <c r="P46" s="378"/>
      <c r="Q46" s="378"/>
      <c r="R46" s="378"/>
    </row>
    <row r="47" spans="2:18" ht="15">
      <c r="B47" s="94">
        <v>5</v>
      </c>
      <c r="C47" s="95">
        <v>2</v>
      </c>
      <c r="D47" s="95">
        <v>1</v>
      </c>
      <c r="E47" s="96" t="s">
        <v>24</v>
      </c>
      <c r="F47" s="96" t="s">
        <v>65</v>
      </c>
      <c r="G47" s="52" t="s">
        <v>74</v>
      </c>
      <c r="H47" s="245"/>
      <c r="I47" s="32"/>
      <c r="J47" s="122"/>
      <c r="K47" s="97">
        <f>SUM(K48:K50)</f>
        <v>43800000</v>
      </c>
      <c r="L47" s="305"/>
      <c r="M47" s="310"/>
      <c r="N47" s="306"/>
      <c r="O47" s="306"/>
      <c r="P47" s="306"/>
      <c r="Q47" s="306"/>
      <c r="R47" s="306"/>
    </row>
    <row r="48" spans="2:18" ht="15.75" customHeight="1">
      <c r="B48" s="94"/>
      <c r="C48" s="95"/>
      <c r="D48" s="95"/>
      <c r="E48" s="95"/>
      <c r="F48" s="96"/>
      <c r="G48" s="32" t="s">
        <v>1865</v>
      </c>
      <c r="H48" s="355">
        <v>12</v>
      </c>
      <c r="I48" s="58" t="s">
        <v>62</v>
      </c>
      <c r="J48" s="122">
        <v>1600000</v>
      </c>
      <c r="K48" s="93">
        <f t="shared" ref="K48:K50" si="5">J48*H48</f>
        <v>19200000</v>
      </c>
      <c r="L48" s="305">
        <f t="shared" ref="L48:L50" si="6">K48</f>
        <v>19200000</v>
      </c>
      <c r="M48" s="310"/>
      <c r="N48" s="1068"/>
      <c r="O48" s="306"/>
      <c r="P48" s="306"/>
      <c r="Q48" s="306"/>
      <c r="R48" s="306"/>
    </row>
    <row r="49" spans="2:18" ht="15.75" customHeight="1">
      <c r="B49" s="94"/>
      <c r="C49" s="95"/>
      <c r="D49" s="95"/>
      <c r="E49" s="96"/>
      <c r="F49" s="96"/>
      <c r="G49" s="32" t="s">
        <v>612</v>
      </c>
      <c r="H49" s="355">
        <v>12</v>
      </c>
      <c r="I49" s="58" t="s">
        <v>62</v>
      </c>
      <c r="J49" s="122">
        <v>1300000</v>
      </c>
      <c r="K49" s="93">
        <f t="shared" si="5"/>
        <v>15600000</v>
      </c>
      <c r="L49" s="305">
        <f t="shared" si="6"/>
        <v>15600000</v>
      </c>
      <c r="M49" s="310"/>
      <c r="N49" s="1068"/>
      <c r="O49" s="306"/>
      <c r="P49" s="306"/>
      <c r="Q49" s="306"/>
      <c r="R49" s="306"/>
    </row>
    <row r="50" spans="2:18" ht="15">
      <c r="B50" s="94"/>
      <c r="C50" s="95"/>
      <c r="D50" s="95"/>
      <c r="E50" s="96"/>
      <c r="F50" s="96"/>
      <c r="G50" s="32" t="s">
        <v>611</v>
      </c>
      <c r="H50" s="998">
        <f>3*6</f>
        <v>18</v>
      </c>
      <c r="I50" s="360" t="s">
        <v>62</v>
      </c>
      <c r="J50" s="361">
        <v>500000</v>
      </c>
      <c r="K50" s="362">
        <f t="shared" si="5"/>
        <v>9000000</v>
      </c>
      <c r="L50" s="305">
        <f t="shared" si="6"/>
        <v>9000000</v>
      </c>
      <c r="M50" s="310"/>
      <c r="N50" s="1068"/>
      <c r="O50" s="306"/>
      <c r="P50" s="306"/>
      <c r="Q50" s="306"/>
      <c r="R50" s="306"/>
    </row>
    <row r="51" spans="2:18" ht="15.75" customHeight="1">
      <c r="B51" s="94"/>
      <c r="C51" s="95"/>
      <c r="D51" s="95"/>
      <c r="E51" s="96"/>
      <c r="F51" s="96"/>
      <c r="G51" s="32"/>
      <c r="H51" s="355"/>
      <c r="I51" s="58"/>
      <c r="J51" s="122"/>
      <c r="K51" s="93"/>
      <c r="L51" s="305"/>
      <c r="M51" s="310"/>
      <c r="N51" s="1068"/>
      <c r="O51" s="306"/>
      <c r="P51" s="306"/>
      <c r="Q51" s="306"/>
      <c r="R51" s="306"/>
    </row>
    <row r="52" spans="2:18" ht="15.75" customHeight="1">
      <c r="B52" s="94">
        <v>5</v>
      </c>
      <c r="C52" s="95">
        <v>2</v>
      </c>
      <c r="D52" s="95">
        <v>1</v>
      </c>
      <c r="E52" s="96" t="s">
        <v>25</v>
      </c>
      <c r="F52" s="96"/>
      <c r="G52" s="20" t="s">
        <v>185</v>
      </c>
      <c r="H52" s="245"/>
      <c r="I52" s="32"/>
      <c r="J52" s="122"/>
      <c r="K52" s="97">
        <f>K53</f>
        <v>1249800000</v>
      </c>
      <c r="L52" s="305"/>
      <c r="M52" s="310"/>
      <c r="N52" s="306"/>
      <c r="O52" s="306"/>
      <c r="P52" s="306"/>
      <c r="Q52" s="306"/>
      <c r="R52" s="306"/>
    </row>
    <row r="53" spans="2:18" ht="15.75" customHeight="1">
      <c r="B53" s="94">
        <v>5</v>
      </c>
      <c r="C53" s="95">
        <v>2</v>
      </c>
      <c r="D53" s="95">
        <v>1</v>
      </c>
      <c r="E53" s="96" t="s">
        <v>25</v>
      </c>
      <c r="F53" s="96" t="s">
        <v>25</v>
      </c>
      <c r="G53" s="20" t="s">
        <v>186</v>
      </c>
      <c r="H53" s="245"/>
      <c r="I53" s="32"/>
      <c r="J53" s="122"/>
      <c r="K53" s="97">
        <f>SUM(K54:K62)</f>
        <v>1249800000</v>
      </c>
      <c r="L53" s="305"/>
      <c r="M53" s="310"/>
      <c r="N53" s="306"/>
      <c r="O53" s="306"/>
      <c r="P53" s="306"/>
      <c r="Q53" s="306"/>
      <c r="R53" s="306"/>
    </row>
    <row r="54" spans="2:18" ht="15.75" customHeight="1">
      <c r="B54" s="94"/>
      <c r="C54" s="95"/>
      <c r="D54" s="95"/>
      <c r="E54" s="96"/>
      <c r="F54" s="96"/>
      <c r="G54" s="32" t="s">
        <v>638</v>
      </c>
      <c r="H54" s="355">
        <f>3*12</f>
        <v>36</v>
      </c>
      <c r="I54" s="58" t="s">
        <v>62</v>
      </c>
      <c r="J54" s="122">
        <v>2200000</v>
      </c>
      <c r="K54" s="93">
        <f>J54*H54</f>
        <v>79200000</v>
      </c>
      <c r="L54" s="305">
        <f>K54</f>
        <v>79200000</v>
      </c>
      <c r="M54" s="310"/>
      <c r="N54" s="1068"/>
      <c r="O54" s="306"/>
      <c r="P54" s="306"/>
      <c r="Q54" s="306"/>
      <c r="R54" s="306"/>
    </row>
    <row r="55" spans="2:18" ht="15.75" customHeight="1">
      <c r="B55" s="94"/>
      <c r="C55" s="95"/>
      <c r="D55" s="95"/>
      <c r="E55" s="96"/>
      <c r="F55" s="96"/>
      <c r="G55" s="32" t="s">
        <v>963</v>
      </c>
      <c r="H55" s="355">
        <f>5*12</f>
        <v>60</v>
      </c>
      <c r="I55" s="58" t="s">
        <v>62</v>
      </c>
      <c r="J55" s="122">
        <v>2150000</v>
      </c>
      <c r="K55" s="93">
        <f>J55*H55</f>
        <v>129000000</v>
      </c>
      <c r="L55" s="305">
        <f t="shared" ref="L55:L62" si="7">K55</f>
        <v>129000000</v>
      </c>
      <c r="M55" s="310"/>
      <c r="N55" s="1068"/>
      <c r="O55" s="306"/>
      <c r="P55" s="306"/>
      <c r="Q55" s="306"/>
      <c r="R55" s="306"/>
    </row>
    <row r="56" spans="2:18" ht="15.75" customHeight="1">
      <c r="B56" s="388"/>
      <c r="C56" s="389"/>
      <c r="D56" s="389"/>
      <c r="E56" s="390"/>
      <c r="F56" s="390"/>
      <c r="G56" s="32" t="s">
        <v>964</v>
      </c>
      <c r="H56" s="355">
        <f>12*12</f>
        <v>144</v>
      </c>
      <c r="I56" s="58" t="s">
        <v>62</v>
      </c>
      <c r="J56" s="122">
        <v>2150000</v>
      </c>
      <c r="K56" s="93">
        <f>J56*H56</f>
        <v>309600000</v>
      </c>
      <c r="L56" s="305">
        <f t="shared" si="7"/>
        <v>309600000</v>
      </c>
      <c r="M56" s="569"/>
      <c r="N56" s="1068"/>
      <c r="O56" s="378"/>
      <c r="P56" s="378"/>
      <c r="Q56" s="378"/>
      <c r="R56" s="378"/>
    </row>
    <row r="57" spans="2:18" ht="15.75" customHeight="1">
      <c r="B57" s="94"/>
      <c r="C57" s="95"/>
      <c r="D57" s="95"/>
      <c r="E57" s="96"/>
      <c r="F57" s="96"/>
      <c r="G57" s="32" t="s">
        <v>591</v>
      </c>
      <c r="H57" s="355">
        <f>13*12</f>
        <v>156</v>
      </c>
      <c r="I57" s="58" t="s">
        <v>62</v>
      </c>
      <c r="J57" s="122">
        <v>2300000</v>
      </c>
      <c r="K57" s="93">
        <f>J57*H57</f>
        <v>358800000</v>
      </c>
      <c r="L57" s="305">
        <f t="shared" si="7"/>
        <v>358800000</v>
      </c>
      <c r="M57" s="310"/>
      <c r="N57" s="1068"/>
      <c r="O57" s="306"/>
      <c r="P57" s="306"/>
      <c r="Q57" s="306"/>
      <c r="R57" s="306"/>
    </row>
    <row r="58" spans="2:18" ht="15.75" customHeight="1">
      <c r="B58" s="94"/>
      <c r="C58" s="95"/>
      <c r="D58" s="95"/>
      <c r="E58" s="96"/>
      <c r="F58" s="96"/>
      <c r="G58" s="32" t="s">
        <v>840</v>
      </c>
      <c r="H58" s="355">
        <f>6*12</f>
        <v>72</v>
      </c>
      <c r="I58" s="58" t="s">
        <v>62</v>
      </c>
      <c r="J58" s="122">
        <v>2400000</v>
      </c>
      <c r="K58" s="93">
        <f>J58*H58</f>
        <v>172800000</v>
      </c>
      <c r="L58" s="305">
        <f t="shared" si="7"/>
        <v>172800000</v>
      </c>
      <c r="M58" s="310"/>
      <c r="N58" s="1068"/>
      <c r="O58" s="306"/>
      <c r="P58" s="306"/>
      <c r="Q58" s="306"/>
      <c r="R58" s="306"/>
    </row>
    <row r="59" spans="2:18" ht="15.75" customHeight="1">
      <c r="B59" s="388"/>
      <c r="C59" s="389"/>
      <c r="D59" s="389"/>
      <c r="E59" s="390"/>
      <c r="F59" s="390"/>
      <c r="G59" s="391" t="s">
        <v>844</v>
      </c>
      <c r="H59" s="597">
        <f>12*1</f>
        <v>12</v>
      </c>
      <c r="I59" s="393" t="s">
        <v>62</v>
      </c>
      <c r="J59" s="394">
        <v>3200000</v>
      </c>
      <c r="K59" s="395">
        <f>H59*J59</f>
        <v>38400000</v>
      </c>
      <c r="L59" s="305">
        <f t="shared" si="7"/>
        <v>38400000</v>
      </c>
      <c r="M59" s="348"/>
      <c r="N59" s="1068"/>
      <c r="O59" s="378"/>
      <c r="P59" s="378"/>
      <c r="Q59" s="378"/>
      <c r="R59" s="378"/>
    </row>
    <row r="60" spans="2:18" ht="25.5">
      <c r="B60" s="388"/>
      <c r="C60" s="389"/>
      <c r="D60" s="389"/>
      <c r="E60" s="390"/>
      <c r="F60" s="390"/>
      <c r="G60" s="391" t="s">
        <v>851</v>
      </c>
      <c r="H60" s="597">
        <v>24</v>
      </c>
      <c r="I60" s="393" t="s">
        <v>62</v>
      </c>
      <c r="J60" s="394">
        <v>2700000</v>
      </c>
      <c r="K60" s="395">
        <f>H60*J60</f>
        <v>64800000</v>
      </c>
      <c r="L60" s="305">
        <f t="shared" si="7"/>
        <v>64800000</v>
      </c>
      <c r="M60" s="569"/>
      <c r="N60" s="1068"/>
      <c r="O60" s="378"/>
      <c r="P60" s="378"/>
      <c r="Q60" s="378"/>
      <c r="R60" s="378"/>
    </row>
    <row r="61" spans="2:18" ht="25.5">
      <c r="B61" s="388"/>
      <c r="C61" s="389"/>
      <c r="D61" s="389"/>
      <c r="E61" s="390"/>
      <c r="F61" s="390"/>
      <c r="G61" s="391" t="s">
        <v>852</v>
      </c>
      <c r="H61" s="597">
        <v>24</v>
      </c>
      <c r="I61" s="393" t="s">
        <v>62</v>
      </c>
      <c r="J61" s="394">
        <v>2700000</v>
      </c>
      <c r="K61" s="395">
        <f>H61*J61</f>
        <v>64800000</v>
      </c>
      <c r="L61" s="305">
        <f t="shared" si="7"/>
        <v>64800000</v>
      </c>
      <c r="M61" s="569"/>
      <c r="N61" s="1068"/>
      <c r="O61" s="378"/>
      <c r="P61" s="378"/>
      <c r="Q61" s="378"/>
      <c r="R61" s="378"/>
    </row>
    <row r="62" spans="2:18" ht="15">
      <c r="B62" s="388"/>
      <c r="C62" s="389"/>
      <c r="D62" s="389"/>
      <c r="E62" s="390"/>
      <c r="F62" s="390"/>
      <c r="G62" s="391" t="s">
        <v>1676</v>
      </c>
      <c r="H62" s="597">
        <v>12</v>
      </c>
      <c r="I62" s="393" t="s">
        <v>62</v>
      </c>
      <c r="J62" s="394">
        <v>2700000</v>
      </c>
      <c r="K62" s="395">
        <f>H62*J62</f>
        <v>32400000</v>
      </c>
      <c r="L62" s="305">
        <f t="shared" si="7"/>
        <v>32400000</v>
      </c>
      <c r="M62" s="569"/>
      <c r="N62" s="1068"/>
      <c r="O62" s="378"/>
      <c r="P62" s="378"/>
      <c r="Q62" s="378"/>
      <c r="R62" s="378"/>
    </row>
    <row r="63" spans="2:18" ht="15">
      <c r="B63" s="388"/>
      <c r="C63" s="389"/>
      <c r="D63" s="389"/>
      <c r="E63" s="390"/>
      <c r="F63" s="390"/>
      <c r="G63" s="391"/>
      <c r="H63" s="597"/>
      <c r="I63" s="393"/>
      <c r="J63" s="394"/>
      <c r="K63" s="395"/>
      <c r="L63" s="377"/>
      <c r="M63" s="569"/>
      <c r="N63" s="1404"/>
      <c r="O63" s="378"/>
      <c r="P63" s="378"/>
      <c r="Q63" s="378"/>
      <c r="R63" s="378"/>
    </row>
    <row r="64" spans="2:18" ht="15.75" customHeight="1">
      <c r="B64" s="94">
        <v>5</v>
      </c>
      <c r="C64" s="95">
        <v>2</v>
      </c>
      <c r="D64" s="95">
        <v>1</v>
      </c>
      <c r="E64" s="96" t="s">
        <v>44</v>
      </c>
      <c r="F64" s="96"/>
      <c r="G64" s="20" t="s">
        <v>67</v>
      </c>
      <c r="H64" s="245"/>
      <c r="I64" s="32"/>
      <c r="J64" s="122"/>
      <c r="K64" s="97">
        <f>K65</f>
        <v>33936000</v>
      </c>
      <c r="L64" s="305"/>
      <c r="M64" s="310"/>
      <c r="N64" s="306"/>
      <c r="O64" s="306"/>
      <c r="P64" s="306"/>
      <c r="Q64" s="306"/>
      <c r="R64" s="306"/>
    </row>
    <row r="65" spans="2:20" ht="15.75" customHeight="1">
      <c r="B65" s="94">
        <v>5</v>
      </c>
      <c r="C65" s="95">
        <v>2</v>
      </c>
      <c r="D65" s="95">
        <v>1</v>
      </c>
      <c r="E65" s="96" t="s">
        <v>44</v>
      </c>
      <c r="F65" s="96" t="s">
        <v>24</v>
      </c>
      <c r="G65" s="20" t="s">
        <v>68</v>
      </c>
      <c r="H65" s="245"/>
      <c r="I65" s="32"/>
      <c r="J65" s="122"/>
      <c r="K65" s="97">
        <f>SUM(K66:K68)</f>
        <v>33936000</v>
      </c>
      <c r="L65" s="305"/>
      <c r="M65" s="310"/>
      <c r="N65" s="306"/>
      <c r="O65" s="306"/>
      <c r="P65" s="306"/>
      <c r="Q65" s="306"/>
      <c r="R65" s="306"/>
      <c r="S65" s="1091">
        <f>44550000-K64</f>
        <v>10614000</v>
      </c>
    </row>
    <row r="66" spans="2:20" s="2481" customFormat="1" ht="15.75" customHeight="1">
      <c r="B66" s="2468"/>
      <c r="C66" s="2469"/>
      <c r="D66" s="2469"/>
      <c r="E66" s="2470"/>
      <c r="F66" s="2470"/>
      <c r="G66" s="2471" t="s">
        <v>2058</v>
      </c>
      <c r="H66" s="2472">
        <f>6*2*7*7</f>
        <v>588</v>
      </c>
      <c r="I66" s="2473" t="s">
        <v>908</v>
      </c>
      <c r="J66" s="2474">
        <v>17000</v>
      </c>
      <c r="K66" s="2475">
        <f>J66*H66</f>
        <v>9996000</v>
      </c>
      <c r="L66" s="2577">
        <f>K66</f>
        <v>9996000</v>
      </c>
      <c r="M66" s="2661"/>
      <c r="N66" s="2478"/>
      <c r="O66" s="2480"/>
      <c r="P66" s="2480"/>
      <c r="Q66" s="2480"/>
      <c r="R66" s="2480"/>
      <c r="S66" s="2481">
        <f>8*20*6*8</f>
        <v>7680</v>
      </c>
    </row>
    <row r="67" spans="2:20" s="2481" customFormat="1" ht="15.75" customHeight="1">
      <c r="B67" s="2662"/>
      <c r="C67" s="2663"/>
      <c r="D67" s="2663"/>
      <c r="E67" s="2664"/>
      <c r="F67" s="2664"/>
      <c r="G67" s="2471" t="s">
        <v>2059</v>
      </c>
      <c r="H67" s="2472">
        <f>6*2*7*8</f>
        <v>672</v>
      </c>
      <c r="I67" s="2473" t="s">
        <v>908</v>
      </c>
      <c r="J67" s="2656">
        <v>20000</v>
      </c>
      <c r="K67" s="2475">
        <f>J67*H67</f>
        <v>13440000</v>
      </c>
      <c r="L67" s="2577">
        <f>K67</f>
        <v>13440000</v>
      </c>
      <c r="M67" s="2651"/>
      <c r="N67" s="2478"/>
      <c r="O67" s="2580"/>
      <c r="P67" s="2580"/>
      <c r="Q67" s="2580"/>
      <c r="R67" s="2580"/>
    </row>
    <row r="68" spans="2:20" s="2481" customFormat="1" ht="15.75" customHeight="1">
      <c r="B68" s="2662"/>
      <c r="C68" s="2663"/>
      <c r="D68" s="2663"/>
      <c r="E68" s="2664"/>
      <c r="F68" s="2664"/>
      <c r="G68" s="2471" t="s">
        <v>2060</v>
      </c>
      <c r="H68" s="2472">
        <f>6*2*7*5</f>
        <v>420</v>
      </c>
      <c r="I68" s="2473" t="s">
        <v>908</v>
      </c>
      <c r="J68" s="2656">
        <v>25000</v>
      </c>
      <c r="K68" s="2475">
        <f>J68*H68</f>
        <v>10500000</v>
      </c>
      <c r="L68" s="2577">
        <f>K68</f>
        <v>10500000</v>
      </c>
      <c r="M68" s="2651"/>
      <c r="N68" s="2478"/>
      <c r="O68" s="2580"/>
      <c r="P68" s="2580"/>
      <c r="Q68" s="2580"/>
      <c r="R68" s="2580"/>
    </row>
    <row r="69" spans="2:20" ht="15.75" customHeight="1">
      <c r="B69" s="388"/>
      <c r="C69" s="389"/>
      <c r="D69" s="389"/>
      <c r="E69" s="390"/>
      <c r="F69" s="390"/>
      <c r="G69" s="391"/>
      <c r="H69" s="597"/>
      <c r="I69" s="393"/>
      <c r="J69" s="394"/>
      <c r="K69" s="395"/>
      <c r="L69" s="377"/>
      <c r="M69" s="569"/>
      <c r="N69" s="378"/>
      <c r="O69" s="378"/>
      <c r="P69" s="378"/>
      <c r="Q69" s="378"/>
      <c r="R69" s="378"/>
    </row>
    <row r="70" spans="2:20" ht="15.75" customHeight="1">
      <c r="B70" s="94">
        <v>5</v>
      </c>
      <c r="C70" s="95">
        <v>2</v>
      </c>
      <c r="D70" s="95">
        <v>2</v>
      </c>
      <c r="E70" s="96"/>
      <c r="F70" s="96"/>
      <c r="G70" s="20" t="s">
        <v>43</v>
      </c>
      <c r="H70" s="245"/>
      <c r="I70" s="32"/>
      <c r="J70" s="122"/>
      <c r="K70" s="97">
        <f>+K71+K77+K84</f>
        <v>77240000</v>
      </c>
      <c r="L70" s="305"/>
      <c r="M70" s="310"/>
      <c r="N70" s="306"/>
      <c r="O70" s="306"/>
      <c r="P70" s="306"/>
      <c r="Q70" s="306"/>
      <c r="R70" s="306"/>
    </row>
    <row r="71" spans="2:20" ht="15.75" customHeight="1">
      <c r="B71" s="94">
        <v>5</v>
      </c>
      <c r="C71" s="95">
        <v>2</v>
      </c>
      <c r="D71" s="95">
        <v>2</v>
      </c>
      <c r="E71" s="96" t="s">
        <v>44</v>
      </c>
      <c r="F71" s="96"/>
      <c r="G71" s="20" t="s">
        <v>45</v>
      </c>
      <c r="H71" s="245"/>
      <c r="I71" s="32"/>
      <c r="J71" s="122"/>
      <c r="K71" s="643">
        <f>+K72</f>
        <v>39000000</v>
      </c>
      <c r="L71" s="564"/>
      <c r="M71" s="310"/>
      <c r="N71" s="306"/>
      <c r="O71" s="306"/>
      <c r="P71" s="306"/>
      <c r="Q71" s="306"/>
      <c r="R71" s="306"/>
    </row>
    <row r="72" spans="2:20" s="9" customFormat="1">
      <c r="B72" s="427">
        <v>5</v>
      </c>
      <c r="C72" s="347">
        <v>2</v>
      </c>
      <c r="D72" s="347">
        <v>2</v>
      </c>
      <c r="E72" s="547" t="s">
        <v>44</v>
      </c>
      <c r="F72" s="347">
        <v>20</v>
      </c>
      <c r="G72" s="548" t="s">
        <v>613</v>
      </c>
      <c r="H72" s="542"/>
      <c r="I72" s="347"/>
      <c r="J72" s="549"/>
      <c r="K72" s="370">
        <f>SUM(K73:K75)</f>
        <v>39000000</v>
      </c>
      <c r="L72" s="540"/>
      <c r="M72" s="331"/>
      <c r="N72" s="331"/>
      <c r="O72" s="332"/>
      <c r="P72" s="332"/>
      <c r="Q72" s="888"/>
      <c r="R72" s="59"/>
      <c r="S72" s="41"/>
      <c r="T72" s="41"/>
    </row>
    <row r="73" spans="2:20" s="9" customFormat="1">
      <c r="B73" s="427"/>
      <c r="C73" s="347"/>
      <c r="D73" s="347"/>
      <c r="E73" s="547"/>
      <c r="F73" s="347"/>
      <c r="G73" s="32" t="s">
        <v>282</v>
      </c>
      <c r="H73" s="355">
        <v>12</v>
      </c>
      <c r="I73" s="58" t="s">
        <v>64</v>
      </c>
      <c r="J73" s="122">
        <v>1000000</v>
      </c>
      <c r="K73" s="296">
        <f>H73*J73</f>
        <v>12000000</v>
      </c>
      <c r="L73" s="540">
        <f>K73</f>
        <v>12000000</v>
      </c>
      <c r="M73" s="331"/>
      <c r="N73" s="1069"/>
      <c r="O73" s="332"/>
      <c r="P73" s="332"/>
      <c r="Q73" s="888"/>
      <c r="R73" s="59"/>
      <c r="S73" s="41"/>
      <c r="T73" s="41"/>
    </row>
    <row r="74" spans="2:20" s="9" customFormat="1">
      <c r="B74" s="427"/>
      <c r="C74" s="368"/>
      <c r="D74" s="368"/>
      <c r="E74" s="428"/>
      <c r="F74" s="368"/>
      <c r="G74" s="391" t="s">
        <v>1053</v>
      </c>
      <c r="H74" s="355">
        <v>12</v>
      </c>
      <c r="I74" s="58" t="s">
        <v>64</v>
      </c>
      <c r="J74" s="122">
        <v>1000000</v>
      </c>
      <c r="K74" s="296">
        <f>H74*J74</f>
        <v>12000000</v>
      </c>
      <c r="L74" s="540">
        <f>K74</f>
        <v>12000000</v>
      </c>
      <c r="M74" s="596"/>
      <c r="N74" s="1069"/>
      <c r="O74" s="472"/>
      <c r="P74" s="472"/>
      <c r="Q74" s="884"/>
      <c r="R74" s="474"/>
      <c r="S74" s="41"/>
      <c r="T74" s="41"/>
    </row>
    <row r="75" spans="2:20" s="1793" customFormat="1">
      <c r="B75" s="1907"/>
      <c r="C75" s="1866"/>
      <c r="D75" s="1866"/>
      <c r="E75" s="1908"/>
      <c r="F75" s="1866"/>
      <c r="G75" s="1874" t="s">
        <v>1559</v>
      </c>
      <c r="H75" s="1909">
        <v>1</v>
      </c>
      <c r="I75" s="1910" t="s">
        <v>147</v>
      </c>
      <c r="J75" s="1911">
        <v>15000000</v>
      </c>
      <c r="K75" s="1912">
        <f>H75*J75</f>
        <v>15000000</v>
      </c>
      <c r="L75" s="1913">
        <f>K75</f>
        <v>15000000</v>
      </c>
      <c r="M75" s="1914"/>
      <c r="N75" s="1915"/>
      <c r="O75" s="1916"/>
      <c r="P75" s="1916"/>
      <c r="Q75" s="1917"/>
      <c r="R75" s="1918"/>
      <c r="S75" s="1846"/>
      <c r="T75" s="1846"/>
    </row>
    <row r="76" spans="2:20" s="9" customFormat="1">
      <c r="B76" s="1675"/>
      <c r="C76" s="368"/>
      <c r="D76" s="368"/>
      <c r="E76" s="428"/>
      <c r="F76" s="368"/>
      <c r="G76" s="391"/>
      <c r="H76" s="597"/>
      <c r="I76" s="393"/>
      <c r="J76" s="394"/>
      <c r="K76" s="595"/>
      <c r="L76" s="596"/>
      <c r="M76" s="596"/>
      <c r="N76" s="1676"/>
      <c r="O76" s="472"/>
      <c r="P76" s="472"/>
      <c r="Q76" s="884"/>
      <c r="R76" s="474"/>
      <c r="S76" s="41"/>
      <c r="T76" s="41"/>
    </row>
    <row r="77" spans="2:20" s="9" customFormat="1">
      <c r="B77" s="43">
        <v>5</v>
      </c>
      <c r="C77" s="17">
        <v>2</v>
      </c>
      <c r="D77" s="17">
        <v>2</v>
      </c>
      <c r="E77" s="65">
        <v>11</v>
      </c>
      <c r="F77" s="17"/>
      <c r="G77" s="44" t="s">
        <v>182</v>
      </c>
      <c r="H77" s="597"/>
      <c r="I77" s="393"/>
      <c r="J77" s="394"/>
      <c r="K77" s="737">
        <f>K78</f>
        <v>28440000</v>
      </c>
      <c r="L77" s="596"/>
      <c r="M77" s="596"/>
      <c r="N77" s="1676"/>
      <c r="O77" s="472"/>
      <c r="P77" s="472"/>
      <c r="Q77" s="884"/>
      <c r="R77" s="474"/>
      <c r="S77" s="41"/>
      <c r="T77" s="41"/>
    </row>
    <row r="78" spans="2:20" s="9" customFormat="1">
      <c r="B78" s="43">
        <v>5</v>
      </c>
      <c r="C78" s="17">
        <v>2</v>
      </c>
      <c r="D78" s="17">
        <v>2</v>
      </c>
      <c r="E78" s="65">
        <v>11</v>
      </c>
      <c r="F78" s="65" t="s">
        <v>65</v>
      </c>
      <c r="G78" s="916" t="s">
        <v>648</v>
      </c>
      <c r="H78" s="597"/>
      <c r="I78" s="393"/>
      <c r="J78" s="394"/>
      <c r="K78" s="737">
        <f>K79</f>
        <v>28440000</v>
      </c>
      <c r="L78" s="596"/>
      <c r="M78" s="596"/>
      <c r="N78" s="1676"/>
      <c r="O78" s="472"/>
      <c r="P78" s="472"/>
      <c r="Q78" s="884"/>
      <c r="R78" s="474"/>
      <c r="S78" s="41"/>
      <c r="T78" s="41"/>
    </row>
    <row r="79" spans="2:20" s="2033" customFormat="1">
      <c r="B79" s="2654"/>
      <c r="C79" s="2547"/>
      <c r="D79" s="2547"/>
      <c r="E79" s="2561"/>
      <c r="F79" s="2547"/>
      <c r="G79" s="2489" t="s">
        <v>1558</v>
      </c>
      <c r="H79" s="2655"/>
      <c r="I79" s="2500"/>
      <c r="J79" s="2656"/>
      <c r="K79" s="2657">
        <f>SUM(K80:K82)</f>
        <v>28440000</v>
      </c>
      <c r="L79" s="2551"/>
      <c r="M79" s="2551"/>
      <c r="N79" s="2658"/>
      <c r="O79" s="2558"/>
      <c r="P79" s="2558"/>
      <c r="Q79" s="2659"/>
      <c r="R79" s="2560"/>
      <c r="S79" s="2040"/>
      <c r="T79" s="2040"/>
    </row>
    <row r="80" spans="2:20" s="2033" customFormat="1">
      <c r="B80" s="2654"/>
      <c r="C80" s="2547"/>
      <c r="D80" s="2547"/>
      <c r="E80" s="2561"/>
      <c r="F80" s="2547"/>
      <c r="G80" s="2498" t="s">
        <v>1749</v>
      </c>
      <c r="H80" s="2655">
        <f>480*1</f>
        <v>480</v>
      </c>
      <c r="I80" s="2500" t="s">
        <v>278</v>
      </c>
      <c r="J80" s="2656">
        <v>28000</v>
      </c>
      <c r="K80" s="2660">
        <f t="shared" ref="K80:K82" si="8">H80*J80</f>
        <v>13440000</v>
      </c>
      <c r="L80" s="2643">
        <f t="shared" ref="L80:L82" si="9">K80</f>
        <v>13440000</v>
      </c>
      <c r="M80" s="2551"/>
      <c r="N80" s="2658"/>
      <c r="O80" s="2558"/>
      <c r="P80" s="2558"/>
      <c r="Q80" s="2659"/>
      <c r="R80" s="2560"/>
      <c r="S80" s="2040"/>
      <c r="T80" s="2040"/>
    </row>
    <row r="81" spans="2:20" s="2033" customFormat="1">
      <c r="B81" s="2654"/>
      <c r="C81" s="2547"/>
      <c r="D81" s="2547"/>
      <c r="E81" s="2561"/>
      <c r="F81" s="2547"/>
      <c r="G81" s="2498" t="s">
        <v>1750</v>
      </c>
      <c r="H81" s="2655">
        <f>480*1*2</f>
        <v>960</v>
      </c>
      <c r="I81" s="2500" t="s">
        <v>278</v>
      </c>
      <c r="J81" s="2656">
        <v>12500</v>
      </c>
      <c r="K81" s="2660">
        <f t="shared" si="8"/>
        <v>12000000</v>
      </c>
      <c r="L81" s="2643">
        <f t="shared" si="9"/>
        <v>12000000</v>
      </c>
      <c r="M81" s="2551"/>
      <c r="N81" s="2658"/>
      <c r="O81" s="2558"/>
      <c r="P81" s="2558"/>
      <c r="Q81" s="2659"/>
      <c r="R81" s="2560"/>
      <c r="S81" s="2040"/>
      <c r="T81" s="2040"/>
    </row>
    <row r="82" spans="2:20" s="2033" customFormat="1">
      <c r="B82" s="2654"/>
      <c r="C82" s="2547"/>
      <c r="D82" s="2547"/>
      <c r="E82" s="2561"/>
      <c r="F82" s="2547"/>
      <c r="G82" s="2498" t="s">
        <v>1751</v>
      </c>
      <c r="H82" s="2655">
        <v>15</v>
      </c>
      <c r="I82" s="2500" t="s">
        <v>27</v>
      </c>
      <c r="J82" s="2656">
        <v>200000</v>
      </c>
      <c r="K82" s="2660">
        <f t="shared" si="8"/>
        <v>3000000</v>
      </c>
      <c r="L82" s="2643">
        <f t="shared" si="9"/>
        <v>3000000</v>
      </c>
      <c r="M82" s="2551"/>
      <c r="N82" s="2658"/>
      <c r="O82" s="2558"/>
      <c r="P82" s="2558"/>
      <c r="Q82" s="2659"/>
      <c r="R82" s="2560"/>
      <c r="S82" s="2040"/>
      <c r="T82" s="2040"/>
    </row>
    <row r="83" spans="2:20" s="9" customFormat="1">
      <c r="B83" s="1675"/>
      <c r="C83" s="368"/>
      <c r="D83" s="368"/>
      <c r="E83" s="428"/>
      <c r="F83" s="368"/>
      <c r="G83" s="391"/>
      <c r="H83" s="597"/>
      <c r="I83" s="393"/>
      <c r="J83" s="394"/>
      <c r="K83" s="595"/>
      <c r="L83" s="596"/>
      <c r="M83" s="596"/>
      <c r="N83" s="1676"/>
      <c r="O83" s="472"/>
      <c r="P83" s="472"/>
      <c r="Q83" s="884"/>
      <c r="R83" s="474"/>
      <c r="S83" s="41"/>
      <c r="T83" s="41"/>
    </row>
    <row r="84" spans="2:20" s="9" customFormat="1">
      <c r="B84" s="36">
        <v>5</v>
      </c>
      <c r="C84" s="37">
        <v>2</v>
      </c>
      <c r="D84" s="37">
        <v>2</v>
      </c>
      <c r="E84" s="38">
        <v>15</v>
      </c>
      <c r="F84" s="17"/>
      <c r="G84" s="48" t="s">
        <v>134</v>
      </c>
      <c r="H84" s="597"/>
      <c r="I84" s="393"/>
      <c r="J84" s="394"/>
      <c r="K84" s="737">
        <f>K85</f>
        <v>9800000</v>
      </c>
      <c r="L84" s="596"/>
      <c r="M84" s="596"/>
      <c r="N84" s="1676"/>
      <c r="O84" s="472"/>
      <c r="P84" s="472"/>
      <c r="Q84" s="884"/>
      <c r="R84" s="474"/>
      <c r="S84" s="41"/>
      <c r="T84" s="41"/>
    </row>
    <row r="85" spans="2:20" s="9" customFormat="1">
      <c r="B85" s="36">
        <v>5</v>
      </c>
      <c r="C85" s="37">
        <v>2</v>
      </c>
      <c r="D85" s="37">
        <v>2</v>
      </c>
      <c r="E85" s="38">
        <v>15</v>
      </c>
      <c r="F85" s="38" t="s">
        <v>25</v>
      </c>
      <c r="G85" s="49" t="s">
        <v>133</v>
      </c>
      <c r="H85" s="597"/>
      <c r="I85" s="393"/>
      <c r="J85" s="394"/>
      <c r="K85" s="737">
        <f>SUM(K86:K88)</f>
        <v>9800000</v>
      </c>
      <c r="L85" s="596"/>
      <c r="M85" s="596"/>
      <c r="N85" s="1676"/>
      <c r="O85" s="472"/>
      <c r="P85" s="472"/>
      <c r="Q85" s="884"/>
      <c r="R85" s="474"/>
      <c r="S85" s="41"/>
      <c r="T85" s="41"/>
    </row>
    <row r="86" spans="2:20" s="1793" customFormat="1" ht="14.25">
      <c r="B86" s="1855"/>
      <c r="C86" s="1856"/>
      <c r="D86" s="1856"/>
      <c r="E86" s="1857"/>
      <c r="F86" s="1857"/>
      <c r="G86" s="1867" t="s">
        <v>364</v>
      </c>
      <c r="H86" s="1868">
        <v>1</v>
      </c>
      <c r="I86" s="1869" t="s">
        <v>26</v>
      </c>
      <c r="J86" s="1920">
        <v>6000000</v>
      </c>
      <c r="K86" s="1921">
        <f t="shared" ref="K86:K88" si="10">H86*J86</f>
        <v>6000000</v>
      </c>
      <c r="L86" s="1913">
        <f t="shared" ref="L86:L88" si="11">K86</f>
        <v>6000000</v>
      </c>
      <c r="M86" s="1883"/>
      <c r="N86" s="1922"/>
      <c r="O86" s="1923"/>
      <c r="P86" s="1923"/>
      <c r="Q86" s="1924"/>
      <c r="R86" s="1924"/>
    </row>
    <row r="87" spans="2:20" s="1793" customFormat="1" ht="14.25">
      <c r="B87" s="1855"/>
      <c r="C87" s="1856"/>
      <c r="D87" s="1856"/>
      <c r="E87" s="1857"/>
      <c r="F87" s="1857"/>
      <c r="G87" s="1867" t="s">
        <v>1752</v>
      </c>
      <c r="H87" s="1868">
        <v>3</v>
      </c>
      <c r="I87" s="1869" t="s">
        <v>27</v>
      </c>
      <c r="J87" s="1925">
        <v>700000</v>
      </c>
      <c r="K87" s="1921">
        <f t="shared" si="10"/>
        <v>2100000</v>
      </c>
      <c r="L87" s="1913">
        <f t="shared" si="11"/>
        <v>2100000</v>
      </c>
      <c r="M87" s="1883"/>
      <c r="N87" s="1922"/>
      <c r="O87" s="1923"/>
      <c r="P87" s="1923"/>
      <c r="Q87" s="1924"/>
      <c r="R87" s="1924"/>
    </row>
    <row r="88" spans="2:20" s="1793" customFormat="1" ht="14.25">
      <c r="B88" s="1855"/>
      <c r="C88" s="1856"/>
      <c r="D88" s="1856"/>
      <c r="E88" s="1857"/>
      <c r="F88" s="1857"/>
      <c r="G88" s="1867" t="s">
        <v>1753</v>
      </c>
      <c r="H88" s="1868">
        <v>2</v>
      </c>
      <c r="I88" s="1869" t="s">
        <v>1823</v>
      </c>
      <c r="J88" s="1925">
        <v>850000</v>
      </c>
      <c r="K88" s="1921">
        <f t="shared" si="10"/>
        <v>1700000</v>
      </c>
      <c r="L88" s="1913">
        <f t="shared" si="11"/>
        <v>1700000</v>
      </c>
      <c r="M88" s="1883"/>
      <c r="N88" s="1922"/>
      <c r="O88" s="1923"/>
      <c r="P88" s="1923"/>
      <c r="Q88" s="1924"/>
      <c r="R88" s="1924"/>
    </row>
    <row r="89" spans="2:20" s="9" customFormat="1">
      <c r="B89" s="1675"/>
      <c r="C89" s="368"/>
      <c r="D89" s="368"/>
      <c r="E89" s="428"/>
      <c r="F89" s="368"/>
      <c r="G89" s="391"/>
      <c r="H89" s="597"/>
      <c r="I89" s="393"/>
      <c r="J89" s="394"/>
      <c r="K89" s="595"/>
      <c r="L89" s="596"/>
      <c r="M89" s="596"/>
      <c r="N89" s="1676"/>
      <c r="O89" s="472"/>
      <c r="P89" s="472"/>
      <c r="Q89" s="884"/>
      <c r="R89" s="474"/>
      <c r="S89" s="41"/>
      <c r="T89" s="41"/>
    </row>
    <row r="90" spans="2:20" ht="15" customHeight="1" thickBot="1">
      <c r="B90" s="3549" t="s">
        <v>30</v>
      </c>
      <c r="C90" s="3550"/>
      <c r="D90" s="3550"/>
      <c r="E90" s="3550"/>
      <c r="F90" s="3550"/>
      <c r="G90" s="3550"/>
      <c r="H90" s="3550"/>
      <c r="I90" s="3550"/>
      <c r="J90" s="3551"/>
      <c r="K90" s="644">
        <f>K24</f>
        <v>1512276000</v>
      </c>
      <c r="L90" s="564">
        <f t="shared" ref="L90:Q90" si="12">SUM(L28:L89)</f>
        <v>1512276000</v>
      </c>
      <c r="M90" s="564">
        <f t="shared" si="12"/>
        <v>0</v>
      </c>
      <c r="N90" s="564">
        <f t="shared" si="12"/>
        <v>0</v>
      </c>
      <c r="O90" s="564">
        <f t="shared" si="12"/>
        <v>0</v>
      </c>
      <c r="P90" s="564">
        <f t="shared" si="12"/>
        <v>0</v>
      </c>
      <c r="Q90" s="564">
        <f t="shared" si="12"/>
        <v>0</v>
      </c>
      <c r="R90" s="314">
        <f>SUM(L90:Q90)</f>
        <v>1512276000</v>
      </c>
      <c r="S90" s="79">
        <v>2645050000</v>
      </c>
      <c r="T90" s="1112">
        <f>S90-K90</f>
        <v>1132774000</v>
      </c>
    </row>
    <row r="91" spans="2:20" ht="15.75" thickTop="1">
      <c r="K91" s="79"/>
      <c r="L91" s="305"/>
      <c r="M91" s="310"/>
      <c r="N91" s="306"/>
      <c r="O91" s="306"/>
      <c r="P91" s="306"/>
      <c r="Q91" s="306"/>
      <c r="R91" s="306"/>
    </row>
    <row r="92" spans="2:20" ht="15">
      <c r="K92" s="79"/>
      <c r="L92" s="564"/>
      <c r="M92" s="569"/>
      <c r="N92" s="378"/>
      <c r="O92" s="378"/>
      <c r="P92" s="378"/>
      <c r="Q92" s="378"/>
      <c r="R92" s="378"/>
    </row>
    <row r="93" spans="2:20" ht="15">
      <c r="H93" s="3336" t="s">
        <v>1534</v>
      </c>
      <c r="I93" s="3336"/>
      <c r="J93" s="3336"/>
      <c r="K93" s="938"/>
      <c r="L93" s="564"/>
      <c r="M93" s="310"/>
      <c r="N93" s="306"/>
      <c r="O93" s="306"/>
      <c r="P93" s="306"/>
      <c r="Q93" s="306"/>
      <c r="R93" s="306"/>
    </row>
    <row r="94" spans="2:20" ht="15">
      <c r="H94" s="3337" t="s">
        <v>272</v>
      </c>
      <c r="I94" s="3337"/>
      <c r="J94" s="3485"/>
      <c r="K94" s="939"/>
      <c r="L94" s="564"/>
      <c r="M94" s="310"/>
      <c r="N94" s="306"/>
      <c r="O94" s="306"/>
      <c r="P94" s="306"/>
      <c r="Q94" s="306"/>
      <c r="R94" s="306"/>
    </row>
    <row r="95" spans="2:20" ht="15">
      <c r="H95" s="127"/>
      <c r="I95" s="127"/>
      <c r="J95" s="127"/>
      <c r="K95" s="940"/>
      <c r="L95" s="564"/>
      <c r="M95" s="310"/>
      <c r="N95" s="306"/>
      <c r="O95" s="306"/>
      <c r="P95" s="306"/>
      <c r="Q95" s="306"/>
      <c r="R95" s="306"/>
    </row>
    <row r="96" spans="2:20" ht="15">
      <c r="H96" s="127"/>
      <c r="I96" s="127"/>
      <c r="J96" s="127"/>
      <c r="K96" s="941"/>
      <c r="L96" s="564"/>
      <c r="M96" s="310"/>
      <c r="N96" s="306"/>
      <c r="O96" s="306"/>
      <c r="P96" s="306"/>
      <c r="Q96" s="306"/>
      <c r="R96" s="306"/>
    </row>
    <row r="97" spans="8:18" ht="15">
      <c r="H97" s="3434" t="s">
        <v>904</v>
      </c>
      <c r="I97" s="3434"/>
      <c r="J97" s="3434"/>
      <c r="K97" s="940"/>
      <c r="L97" s="564"/>
      <c r="M97" s="310"/>
      <c r="N97" s="306"/>
      <c r="O97" s="306"/>
      <c r="P97" s="306"/>
      <c r="Q97" s="306"/>
      <c r="R97" s="306"/>
    </row>
    <row r="98" spans="8:18" ht="15">
      <c r="H98" s="3434" t="s">
        <v>906</v>
      </c>
      <c r="I98" s="3434"/>
      <c r="J98" s="3434"/>
      <c r="K98" s="940"/>
      <c r="L98" s="564"/>
      <c r="M98" s="310"/>
      <c r="N98" s="306"/>
      <c r="O98" s="306"/>
      <c r="P98" s="306"/>
      <c r="Q98" s="306"/>
      <c r="R98" s="306"/>
    </row>
    <row r="100" spans="8:18">
      <c r="N100" s="1081">
        <v>30000000</v>
      </c>
    </row>
    <row r="101" spans="8:18">
      <c r="N101" s="1081">
        <v>11200000</v>
      </c>
    </row>
    <row r="102" spans="8:18">
      <c r="N102" s="1081">
        <v>8200000</v>
      </c>
    </row>
    <row r="103" spans="8:18">
      <c r="N103" s="1081">
        <f>N101+N102</f>
        <v>19400000</v>
      </c>
    </row>
    <row r="104" spans="8:18">
      <c r="N104" s="1081">
        <f>N100-N103</f>
        <v>10600000</v>
      </c>
    </row>
  </sheetData>
  <mergeCells count="48">
    <mergeCell ref="L20:Q20"/>
    <mergeCell ref="R20:R22"/>
    <mergeCell ref="H94:J94"/>
    <mergeCell ref="H97:J97"/>
    <mergeCell ref="H98:J98"/>
    <mergeCell ref="H93:J93"/>
    <mergeCell ref="B20:K20"/>
    <mergeCell ref="B21:F22"/>
    <mergeCell ref="G21:G22"/>
    <mergeCell ref="H21:J21"/>
    <mergeCell ref="B23:F23"/>
    <mergeCell ref="B90:J90"/>
    <mergeCell ref="B15:F15"/>
    <mergeCell ref="G15:H15"/>
    <mergeCell ref="I15:K15"/>
    <mergeCell ref="B16:F16"/>
    <mergeCell ref="G16:H16"/>
    <mergeCell ref="I16:K16"/>
    <mergeCell ref="B17:F17"/>
    <mergeCell ref="G17:H17"/>
    <mergeCell ref="I17:K17"/>
    <mergeCell ref="B18:K18"/>
    <mergeCell ref="B19:K19"/>
    <mergeCell ref="B13:F13"/>
    <mergeCell ref="G13:H13"/>
    <mergeCell ref="I13:K13"/>
    <mergeCell ref="B14:F14"/>
    <mergeCell ref="G14:H14"/>
    <mergeCell ref="I14:K14"/>
    <mergeCell ref="B12:K12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B11:F11"/>
    <mergeCell ref="B1:K1"/>
    <mergeCell ref="B2:D3"/>
    <mergeCell ref="E2:H2"/>
    <mergeCell ref="I2:J2"/>
    <mergeCell ref="E3:H3"/>
    <mergeCell ref="I3:J3"/>
  </mergeCells>
  <pageMargins left="0.11811023622047245" right="0.23622047244094491" top="0.43307086614173229" bottom="1.8503937007874016" header="0.23622047244094491" footer="0.23622047244094491"/>
  <pageSetup paperSize="5" scale="89" orientation="portrait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7030A0"/>
  </sheetPr>
  <dimension ref="B1:R39"/>
  <sheetViews>
    <sheetView view="pageBreakPreview" topLeftCell="A17" zoomScaleNormal="130" zoomScaleSheetLayoutView="100" workbookViewId="0">
      <selection activeCell="H28" sqref="H28:H29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6" width="3.5703125" style="9" customWidth="1"/>
    <col min="7" max="7" width="40.140625" style="9" customWidth="1"/>
    <col min="8" max="8" width="8" style="9" customWidth="1"/>
    <col min="9" max="9" width="8" style="9" bestFit="1" customWidth="1"/>
    <col min="10" max="10" width="13.42578125" style="9" customWidth="1"/>
    <col min="11" max="11" width="18.140625" style="9" customWidth="1"/>
    <col min="12" max="12" width="14.28515625" style="9" bestFit="1" customWidth="1"/>
    <col min="13" max="13" width="5.85546875" style="9" bestFit="1" customWidth="1"/>
    <col min="14" max="14" width="3.85546875" style="9" bestFit="1" customWidth="1"/>
    <col min="15" max="15" width="4.140625" style="9" bestFit="1" customWidth="1"/>
    <col min="16" max="16" width="5.85546875" style="9" bestFit="1" customWidth="1"/>
    <col min="17" max="17" width="5" style="9" bestFit="1" customWidth="1"/>
    <col min="18" max="18" width="14.140625" style="9" bestFit="1" customWidth="1"/>
    <col min="19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6.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287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290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988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>
      <c r="B14" s="3462" t="s">
        <v>8</v>
      </c>
      <c r="C14" s="3463"/>
      <c r="D14" s="3463"/>
      <c r="E14" s="3463"/>
      <c r="F14" s="3464"/>
      <c r="G14" s="3445" t="s">
        <v>1208</v>
      </c>
      <c r="H14" s="3446"/>
      <c r="I14" s="3456">
        <v>1</v>
      </c>
      <c r="J14" s="3457"/>
      <c r="K14" s="3458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0</v>
      </c>
      <c r="J15" s="3454"/>
      <c r="K15" s="3455"/>
    </row>
    <row r="16" spans="2:13" ht="16.5" customHeight="1">
      <c r="B16" s="3439" t="s">
        <v>10</v>
      </c>
      <c r="C16" s="3451"/>
      <c r="D16" s="3451"/>
      <c r="E16" s="3451"/>
      <c r="F16" s="3460"/>
      <c r="G16" s="3445" t="s">
        <v>405</v>
      </c>
      <c r="H16" s="3448"/>
      <c r="I16" s="3447" t="s">
        <v>1205</v>
      </c>
      <c r="J16" s="3448"/>
      <c r="K16" s="3449"/>
    </row>
    <row r="17" spans="2:18">
      <c r="B17" s="3439" t="s">
        <v>11</v>
      </c>
      <c r="C17" s="3451"/>
      <c r="D17" s="3451"/>
      <c r="E17" s="3451"/>
      <c r="F17" s="3460"/>
      <c r="G17" s="3445" t="s">
        <v>406</v>
      </c>
      <c r="H17" s="3446"/>
      <c r="I17" s="3456">
        <v>1</v>
      </c>
      <c r="J17" s="3457"/>
      <c r="K17" s="3458"/>
    </row>
    <row r="18" spans="2:18" ht="16.5" customHeight="1">
      <c r="B18" s="3482" t="s">
        <v>987</v>
      </c>
      <c r="C18" s="3489"/>
      <c r="D18" s="3489"/>
      <c r="E18" s="3489"/>
      <c r="F18" s="3489"/>
      <c r="G18" s="3489"/>
      <c r="H18" s="3489"/>
      <c r="I18" s="3489"/>
      <c r="J18" s="3489"/>
      <c r="K18" s="3483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 ht="16.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901"/>
      <c r="M21" s="901"/>
      <c r="N21" s="901"/>
      <c r="O21" s="901"/>
      <c r="P21" s="901"/>
      <c r="Q21" s="901"/>
      <c r="R21" s="3378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900" t="s">
        <v>177</v>
      </c>
      <c r="M22" s="900" t="s">
        <v>594</v>
      </c>
      <c r="N22" s="900" t="s">
        <v>651</v>
      </c>
      <c r="O22" s="900" t="s">
        <v>595</v>
      </c>
      <c r="P22" s="900" t="s">
        <v>652</v>
      </c>
      <c r="Q22" s="900" t="s">
        <v>593</v>
      </c>
      <c r="R22" s="3379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901">
        <v>6</v>
      </c>
      <c r="M23" s="901">
        <v>7</v>
      </c>
      <c r="N23" s="901">
        <v>8</v>
      </c>
      <c r="O23" s="901">
        <v>9</v>
      </c>
      <c r="P23" s="901">
        <v>10</v>
      </c>
      <c r="Q23" s="901">
        <v>11</v>
      </c>
      <c r="R23" s="901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K25</f>
        <v>0</v>
      </c>
      <c r="L24" s="305"/>
      <c r="M24" s="305"/>
      <c r="N24" s="305"/>
      <c r="O24" s="305"/>
      <c r="P24" s="305"/>
      <c r="Q24" s="303"/>
      <c r="R24" s="303"/>
    </row>
    <row r="25" spans="2:18" ht="15.75" customHeight="1">
      <c r="B25" s="43">
        <v>5</v>
      </c>
      <c r="C25" s="17">
        <v>2</v>
      </c>
      <c r="D25" s="17">
        <v>3</v>
      </c>
      <c r="E25" s="17"/>
      <c r="F25" s="17"/>
      <c r="G25" s="44" t="s">
        <v>345</v>
      </c>
      <c r="H25" s="45"/>
      <c r="I25" s="17"/>
      <c r="J25" s="46"/>
      <c r="K25" s="47">
        <f>K26</f>
        <v>0</v>
      </c>
      <c r="L25" s="305"/>
      <c r="M25" s="305"/>
      <c r="N25" s="305"/>
      <c r="O25" s="305"/>
      <c r="P25" s="305"/>
      <c r="Q25" s="303"/>
      <c r="R25" s="303"/>
    </row>
    <row r="26" spans="2:18" ht="25.5">
      <c r="B26" s="36">
        <v>5</v>
      </c>
      <c r="C26" s="37">
        <v>2</v>
      </c>
      <c r="D26" s="37">
        <v>3</v>
      </c>
      <c r="E26" s="38" t="s">
        <v>827</v>
      </c>
      <c r="F26" s="37"/>
      <c r="G26" s="48" t="s">
        <v>826</v>
      </c>
      <c r="H26" s="118"/>
      <c r="I26" s="37"/>
      <c r="J26" s="119"/>
      <c r="K26" s="120">
        <f>K27</f>
        <v>0</v>
      </c>
      <c r="L26" s="304"/>
      <c r="M26" s="303"/>
      <c r="N26" s="303"/>
      <c r="O26" s="303"/>
      <c r="P26" s="303"/>
      <c r="Q26" s="303"/>
      <c r="R26" s="303"/>
    </row>
    <row r="27" spans="2:18" ht="25.5">
      <c r="B27" s="36">
        <v>5</v>
      </c>
      <c r="C27" s="37">
        <v>2</v>
      </c>
      <c r="D27" s="37">
        <v>3</v>
      </c>
      <c r="E27" s="38" t="s">
        <v>827</v>
      </c>
      <c r="F27" s="38" t="s">
        <v>24</v>
      </c>
      <c r="G27" s="48" t="s">
        <v>828</v>
      </c>
      <c r="H27" s="118"/>
      <c r="I27" s="37"/>
      <c r="J27" s="119"/>
      <c r="K27" s="120">
        <f>SUM(K28:K30)</f>
        <v>0</v>
      </c>
      <c r="L27" s="305"/>
      <c r="M27" s="305"/>
      <c r="N27" s="305"/>
      <c r="O27" s="305"/>
      <c r="P27" s="305"/>
      <c r="Q27" s="303"/>
      <c r="R27" s="303"/>
    </row>
    <row r="28" spans="2:18" ht="25.5">
      <c r="B28" s="36"/>
      <c r="C28" s="37"/>
      <c r="D28" s="37"/>
      <c r="E28" s="37"/>
      <c r="F28" s="37"/>
      <c r="G28" s="913" t="s">
        <v>2046</v>
      </c>
      <c r="H28" s="914"/>
      <c r="I28" s="40" t="s">
        <v>85</v>
      </c>
      <c r="J28" s="915">
        <v>529460000</v>
      </c>
      <c r="K28" s="111">
        <f>J28*H28</f>
        <v>0</v>
      </c>
      <c r="L28" s="305">
        <f>K28</f>
        <v>0</v>
      </c>
      <c r="M28" s="414"/>
      <c r="N28" s="414"/>
      <c r="O28" s="303"/>
      <c r="P28" s="303"/>
      <c r="Q28" s="303"/>
      <c r="R28" s="303"/>
    </row>
    <row r="29" spans="2:18" ht="15.75" customHeight="1">
      <c r="B29" s="346"/>
      <c r="C29" s="371"/>
      <c r="D29" s="371"/>
      <c r="E29" s="371"/>
      <c r="F29" s="371"/>
      <c r="G29" s="1044" t="s">
        <v>1276</v>
      </c>
      <c r="H29" s="1405"/>
      <c r="I29" s="383" t="s">
        <v>85</v>
      </c>
      <c r="J29" s="582">
        <v>354510000</v>
      </c>
      <c r="K29" s="583">
        <f>J29*H29</f>
        <v>0</v>
      </c>
      <c r="L29" s="377">
        <f>K29</f>
        <v>0</v>
      </c>
      <c r="M29" s="414"/>
      <c r="N29" s="560"/>
      <c r="O29" s="385"/>
      <c r="P29" s="385"/>
      <c r="Q29" s="385"/>
      <c r="R29" s="385"/>
    </row>
    <row r="30" spans="2:18" ht="15.75" customHeight="1">
      <c r="B30" s="43"/>
      <c r="C30" s="17"/>
      <c r="D30" s="17"/>
      <c r="E30" s="17"/>
      <c r="F30" s="17"/>
      <c r="G30" s="44"/>
      <c r="H30" s="45"/>
      <c r="I30" s="17"/>
      <c r="J30" s="46"/>
      <c r="K30" s="47"/>
      <c r="L30" s="305"/>
      <c r="M30" s="305"/>
      <c r="N30" s="305"/>
      <c r="O30" s="305"/>
      <c r="P30" s="305"/>
      <c r="Q30" s="303"/>
      <c r="R30" s="303"/>
    </row>
    <row r="31" spans="2:18" ht="15" customHeight="1" thickBot="1">
      <c r="B31" s="3289" t="s">
        <v>30</v>
      </c>
      <c r="C31" s="3290"/>
      <c r="D31" s="3290"/>
      <c r="E31" s="3290"/>
      <c r="F31" s="3290"/>
      <c r="G31" s="3290"/>
      <c r="H31" s="3290"/>
      <c r="I31" s="3290"/>
      <c r="J31" s="3291"/>
      <c r="K31" s="63">
        <f>K24</f>
        <v>0</v>
      </c>
      <c r="L31" s="414">
        <f>SUM(L27:L30)</f>
        <v>0</v>
      </c>
      <c r="M31" s="414">
        <f>SUM(M27:M30)</f>
        <v>0</v>
      </c>
      <c r="N31" s="414">
        <f>SUM(N27:N30)</f>
        <v>0</v>
      </c>
      <c r="O31" s="414">
        <f>SUM(O30:O30)</f>
        <v>0</v>
      </c>
      <c r="P31" s="414">
        <f>SUM(P30:P30)</f>
        <v>0</v>
      </c>
      <c r="Q31" s="414">
        <f>SUM(Q30:Q30)</f>
        <v>0</v>
      </c>
      <c r="R31" s="414">
        <f>SUM(L31:Q31)</f>
        <v>0</v>
      </c>
    </row>
    <row r="32" spans="2:18" ht="13.5" thickTop="1">
      <c r="K32" s="41"/>
      <c r="L32" s="305"/>
      <c r="M32" s="305"/>
      <c r="N32" s="305"/>
      <c r="O32" s="305"/>
      <c r="P32" s="305"/>
      <c r="Q32" s="303"/>
      <c r="R32" s="303"/>
    </row>
    <row r="33" spans="7:18">
      <c r="G33" s="41">
        <v>533360000</v>
      </c>
      <c r="K33" s="41"/>
      <c r="L33" s="564"/>
      <c r="M33" s="377"/>
      <c r="N33" s="377"/>
      <c r="O33" s="377"/>
      <c r="P33" s="377"/>
      <c r="Q33" s="385"/>
      <c r="R33" s="385"/>
    </row>
    <row r="34" spans="7:18" ht="15">
      <c r="G34" s="21">
        <f>G33-J28</f>
        <v>3900000</v>
      </c>
      <c r="H34" s="3336" t="s">
        <v>1534</v>
      </c>
      <c r="I34" s="3336"/>
      <c r="J34" s="3336"/>
      <c r="K34" s="937">
        <v>1238480000</v>
      </c>
      <c r="L34" s="564"/>
      <c r="M34" s="305"/>
      <c r="N34" s="305"/>
      <c r="O34" s="305"/>
      <c r="P34" s="305"/>
      <c r="Q34" s="306"/>
      <c r="R34" s="306"/>
    </row>
    <row r="35" spans="7:18" ht="15">
      <c r="H35" s="3337" t="s">
        <v>272</v>
      </c>
      <c r="I35" s="3337"/>
      <c r="J35" s="3485"/>
      <c r="K35" s="936"/>
      <c r="L35" s="386"/>
      <c r="M35" s="329"/>
      <c r="N35" s="330"/>
      <c r="O35" s="330"/>
      <c r="P35" s="330"/>
      <c r="Q35" s="319"/>
      <c r="R35" s="319"/>
    </row>
    <row r="36" spans="7:18" ht="15">
      <c r="H36" s="127"/>
      <c r="I36" s="127"/>
      <c r="J36" s="127"/>
      <c r="K36" s="8"/>
      <c r="L36" s="564"/>
      <c r="M36" s="308"/>
      <c r="N36" s="309"/>
      <c r="O36" s="309"/>
      <c r="P36" s="309"/>
      <c r="Q36" s="306"/>
      <c r="R36" s="306"/>
    </row>
    <row r="37" spans="7:18" ht="15">
      <c r="H37" s="127"/>
      <c r="I37" s="127"/>
      <c r="J37" s="127"/>
      <c r="K37" s="8"/>
      <c r="L37" s="564"/>
      <c r="M37" s="310"/>
      <c r="N37" s="306"/>
      <c r="O37" s="306"/>
      <c r="P37" s="306"/>
      <c r="Q37" s="309"/>
      <c r="R37" s="306"/>
    </row>
    <row r="38" spans="7:18" ht="15">
      <c r="H38" s="3434" t="s">
        <v>904</v>
      </c>
      <c r="I38" s="3434"/>
      <c r="J38" s="3434"/>
      <c r="K38" s="8"/>
      <c r="L38" s="564"/>
      <c r="M38" s="305"/>
      <c r="N38" s="305"/>
      <c r="O38" s="305"/>
      <c r="P38" s="305"/>
      <c r="Q38" s="306"/>
      <c r="R38" s="316"/>
    </row>
    <row r="39" spans="7:18" ht="15">
      <c r="H39" s="3434" t="s">
        <v>906</v>
      </c>
      <c r="I39" s="3434"/>
      <c r="J39" s="3434"/>
      <c r="K39" s="8"/>
      <c r="L39" s="564"/>
      <c r="M39" s="308"/>
      <c r="N39" s="309"/>
      <c r="O39" s="309"/>
      <c r="P39" s="309"/>
      <c r="Q39" s="306"/>
      <c r="R39" s="306"/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39:J39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31:J31"/>
    <mergeCell ref="H34:J34"/>
    <mergeCell ref="H35:J35"/>
    <mergeCell ref="H38:J38"/>
  </mergeCells>
  <pageMargins left="0.11811023622047245" right="0.23622047244094491" top="0.55118110236220474" bottom="0.31496062992125984" header="0.31496062992125984" footer="0.11811023622047245"/>
  <pageSetup paperSize="5" scale="97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T105"/>
  <sheetViews>
    <sheetView showGridLines="0" view="pageBreakPreview" topLeftCell="H40" zoomScale="80" zoomScaleNormal="70" zoomScaleSheetLayoutView="80" workbookViewId="0">
      <selection activeCell="H56" sqref="H56:K56"/>
    </sheetView>
  </sheetViews>
  <sheetFormatPr defaultRowHeight="15"/>
  <cols>
    <col min="1" max="1" width="1.28515625" style="255" customWidth="1"/>
    <col min="2" max="2" width="8.28515625" style="274" bestFit="1" customWidth="1"/>
    <col min="3" max="3" width="2.42578125" style="258" customWidth="1"/>
    <col min="4" max="4" width="54.7109375" style="261" customWidth="1"/>
    <col min="5" max="5" width="21.5703125" style="261" bestFit="1" customWidth="1"/>
    <col min="6" max="6" width="21.5703125" style="260" bestFit="1" customWidth="1"/>
    <col min="7" max="7" width="20.140625" style="260" bestFit="1" customWidth="1"/>
    <col min="8" max="8" width="35.28515625" style="260" customWidth="1"/>
    <col min="9" max="9" width="18.42578125" style="260" bestFit="1" customWidth="1"/>
    <col min="10" max="10" width="35.7109375" style="260" customWidth="1"/>
    <col min="11" max="11" width="17.85546875" style="260" customWidth="1"/>
    <col min="12" max="12" width="7.7109375" style="260" bestFit="1" customWidth="1"/>
    <col min="13" max="13" width="24.42578125" style="255" bestFit="1" customWidth="1"/>
    <col min="14" max="14" width="20.5703125" style="255" bestFit="1" customWidth="1"/>
    <col min="15" max="15" width="17.85546875" style="255" bestFit="1" customWidth="1"/>
    <col min="16" max="16" width="20.5703125" style="255" bestFit="1" customWidth="1"/>
    <col min="17" max="17" width="8" style="255" bestFit="1" customWidth="1"/>
    <col min="18" max="18" width="20.7109375" style="255" bestFit="1" customWidth="1"/>
    <col min="19" max="19" width="20.5703125" style="255" bestFit="1" customWidth="1"/>
    <col min="20" max="20" width="28.28515625" style="255" bestFit="1" customWidth="1"/>
    <col min="21" max="16384" width="9.140625" style="255"/>
  </cols>
  <sheetData>
    <row r="1" spans="1:20" s="246" customFormat="1">
      <c r="B1" s="3023"/>
      <c r="C1" s="3023"/>
      <c r="D1" s="3023"/>
      <c r="E1" s="1117"/>
      <c r="F1" s="739"/>
      <c r="G1" s="1117"/>
      <c r="H1" s="1117"/>
      <c r="I1" s="1117"/>
      <c r="J1" s="739"/>
      <c r="K1" s="739"/>
      <c r="L1" s="1114"/>
    </row>
    <row r="2" spans="1:20" s="246" customFormat="1" ht="19.5">
      <c r="B2" s="3025" t="s">
        <v>888</v>
      </c>
      <c r="C2" s="3025"/>
      <c r="D2" s="3025"/>
      <c r="E2" s="3025"/>
      <c r="F2" s="3025"/>
      <c r="G2" s="3025"/>
      <c r="H2" s="3025"/>
      <c r="I2" s="3025"/>
      <c r="J2" s="3025"/>
      <c r="K2" s="3025"/>
      <c r="L2" s="1115"/>
    </row>
    <row r="3" spans="1:20" s="246" customFormat="1" ht="19.5">
      <c r="B3" s="3026" t="s">
        <v>1127</v>
      </c>
      <c r="C3" s="3026"/>
      <c r="D3" s="3026"/>
      <c r="E3" s="3026"/>
      <c r="F3" s="3026"/>
      <c r="G3" s="3026"/>
      <c r="H3" s="3026"/>
      <c r="I3" s="3026"/>
      <c r="J3" s="3026"/>
      <c r="K3" s="3026"/>
      <c r="L3" s="1116"/>
    </row>
    <row r="4" spans="1:20" s="246" customFormat="1">
      <c r="B4" s="251"/>
      <c r="C4" s="739"/>
      <c r="D4" s="252"/>
      <c r="E4" s="252"/>
      <c r="F4" s="254"/>
      <c r="G4" s="254"/>
      <c r="H4" s="254"/>
      <c r="I4" s="254"/>
      <c r="J4" s="254"/>
      <c r="K4" s="254"/>
      <c r="L4" s="254"/>
    </row>
    <row r="5" spans="1:20">
      <c r="B5" s="256" t="s">
        <v>526</v>
      </c>
      <c r="C5" s="257" t="s">
        <v>523</v>
      </c>
      <c r="D5" s="258" t="s">
        <v>889</v>
      </c>
      <c r="E5" s="258"/>
    </row>
    <row r="6" spans="1:20">
      <c r="B6" s="256"/>
    </row>
    <row r="7" spans="1:20" s="262" customFormat="1">
      <c r="B7" s="2959" t="s">
        <v>528</v>
      </c>
      <c r="C7" s="2950" t="s">
        <v>529</v>
      </c>
      <c r="D7" s="2951"/>
      <c r="E7" s="2956" t="s">
        <v>1138</v>
      </c>
      <c r="F7" s="2958"/>
      <c r="G7" s="2963" t="s">
        <v>1139</v>
      </c>
      <c r="H7" s="2950" t="s">
        <v>1144</v>
      </c>
      <c r="I7" s="2951"/>
      <c r="J7" s="2950" t="s">
        <v>1145</v>
      </c>
      <c r="K7" s="2951"/>
      <c r="L7" s="1123"/>
      <c r="M7" s="3024" t="s">
        <v>158</v>
      </c>
      <c r="N7" s="3020"/>
      <c r="O7" s="3020"/>
      <c r="P7" s="3020"/>
      <c r="Q7" s="3020"/>
      <c r="R7" s="3020"/>
      <c r="S7" s="3020" t="s">
        <v>17</v>
      </c>
    </row>
    <row r="8" spans="1:20" s="262" customFormat="1">
      <c r="B8" s="2960"/>
      <c r="C8" s="2961"/>
      <c r="D8" s="2962"/>
      <c r="E8" s="1118">
        <v>2017</v>
      </c>
      <c r="F8" s="1119">
        <v>2018</v>
      </c>
      <c r="G8" s="2965"/>
      <c r="H8" s="2954" t="s">
        <v>868</v>
      </c>
      <c r="I8" s="2955"/>
      <c r="J8" s="2954" t="s">
        <v>868</v>
      </c>
      <c r="K8" s="2955"/>
      <c r="L8" s="1123"/>
      <c r="M8" s="741" t="s">
        <v>177</v>
      </c>
      <c r="N8" s="740" t="s">
        <v>594</v>
      </c>
      <c r="O8" s="740" t="s">
        <v>651</v>
      </c>
      <c r="P8" s="740" t="s">
        <v>595</v>
      </c>
      <c r="Q8" s="740" t="s">
        <v>652</v>
      </c>
      <c r="R8" s="740" t="s">
        <v>593</v>
      </c>
      <c r="S8" s="3020"/>
    </row>
    <row r="9" spans="1:20" s="263" customFormat="1" ht="15.75" customHeight="1">
      <c r="B9" s="787">
        <v>1</v>
      </c>
      <c r="C9" s="3021">
        <v>2</v>
      </c>
      <c r="D9" s="3022"/>
      <c r="E9" s="1121">
        <v>3</v>
      </c>
      <c r="F9" s="757">
        <v>4</v>
      </c>
      <c r="G9" s="1122"/>
      <c r="H9" s="3011">
        <v>4</v>
      </c>
      <c r="I9" s="3012"/>
      <c r="J9" s="3011">
        <v>5</v>
      </c>
      <c r="K9" s="3012"/>
      <c r="L9" s="1124"/>
      <c r="M9" s="741">
        <v>6</v>
      </c>
      <c r="N9" s="740">
        <v>7</v>
      </c>
      <c r="O9" s="740">
        <v>8</v>
      </c>
      <c r="P9" s="740">
        <v>9</v>
      </c>
      <c r="Q9" s="740">
        <v>10</v>
      </c>
      <c r="R9" s="740">
        <v>11</v>
      </c>
      <c r="S9" s="740">
        <v>12</v>
      </c>
    </row>
    <row r="10" spans="1:20" s="264" customFormat="1" ht="30" customHeight="1">
      <c r="B10" s="788" t="s">
        <v>869</v>
      </c>
      <c r="C10" s="2979" t="s">
        <v>139</v>
      </c>
      <c r="D10" s="2979"/>
      <c r="E10" s="756">
        <f>SUM(E11:E14)</f>
        <v>25272652623</v>
      </c>
      <c r="F10" s="756">
        <f>SUM(F11:F14)</f>
        <v>26171234883</v>
      </c>
      <c r="G10" s="1120">
        <f>F10-E10</f>
        <v>898582260</v>
      </c>
      <c r="H10" s="2975"/>
      <c r="I10" s="2976"/>
      <c r="J10" s="2975"/>
      <c r="K10" s="2976"/>
      <c r="L10" s="1125"/>
      <c r="M10" s="484"/>
      <c r="N10" s="336"/>
      <c r="O10" s="336"/>
      <c r="P10" s="336"/>
      <c r="Q10" s="336"/>
      <c r="R10" s="336"/>
      <c r="S10" s="336"/>
    </row>
    <row r="11" spans="1:20" s="265" customFormat="1">
      <c r="B11" s="753"/>
      <c r="C11" s="754"/>
      <c r="D11" s="755" t="s">
        <v>863</v>
      </c>
      <c r="E11" s="742">
        <v>14846272623</v>
      </c>
      <c r="F11" s="742">
        <v>15402794883</v>
      </c>
      <c r="G11" s="760">
        <f>F11-E11</f>
        <v>556522260</v>
      </c>
      <c r="H11" s="760" t="s">
        <v>872</v>
      </c>
      <c r="I11" s="768" t="s">
        <v>880</v>
      </c>
      <c r="J11" s="760" t="s">
        <v>872</v>
      </c>
      <c r="K11" s="768" t="s">
        <v>1134</v>
      </c>
      <c r="L11" s="1126"/>
      <c r="M11" s="485"/>
      <c r="N11" s="337"/>
      <c r="O11" s="337"/>
      <c r="P11" s="337"/>
      <c r="Q11" s="337"/>
      <c r="R11" s="338"/>
      <c r="S11" s="339">
        <f>SUM(M11:R11)</f>
        <v>0</v>
      </c>
      <c r="T11" s="662">
        <f>S11-F11</f>
        <v>-15402794883</v>
      </c>
    </row>
    <row r="12" spans="1:20" s="265" customFormat="1">
      <c r="B12" s="753"/>
      <c r="C12" s="754"/>
      <c r="D12" s="755" t="s">
        <v>864</v>
      </c>
      <c r="E12" s="742">
        <v>1844040000</v>
      </c>
      <c r="F12" s="742">
        <v>1851300000</v>
      </c>
      <c r="G12" s="760">
        <f t="shared" ref="G12:G56" si="0">F12-E12</f>
        <v>7260000</v>
      </c>
      <c r="H12" s="760" t="s">
        <v>872</v>
      </c>
      <c r="I12" s="768" t="s">
        <v>880</v>
      </c>
      <c r="J12" s="760" t="s">
        <v>872</v>
      </c>
      <c r="K12" s="768" t="s">
        <v>1134</v>
      </c>
      <c r="L12" s="1126"/>
      <c r="M12" s="485"/>
      <c r="N12" s="337"/>
      <c r="O12" s="337"/>
      <c r="P12" s="337"/>
      <c r="Q12" s="337"/>
      <c r="R12" s="338"/>
      <c r="S12" s="339"/>
      <c r="T12" s="662"/>
    </row>
    <row r="13" spans="1:20" s="265" customFormat="1">
      <c r="B13" s="753"/>
      <c r="C13" s="754"/>
      <c r="D13" s="755" t="s">
        <v>865</v>
      </c>
      <c r="E13" s="742">
        <f>10426380000-E12-E14</f>
        <v>7878060000</v>
      </c>
      <c r="F13" s="742">
        <f>10768440000-F14-F12</f>
        <v>8211060000</v>
      </c>
      <c r="G13" s="760">
        <f t="shared" si="0"/>
        <v>333000000</v>
      </c>
      <c r="H13" s="760"/>
      <c r="I13" s="761"/>
      <c r="J13" s="760"/>
      <c r="K13" s="761"/>
      <c r="L13" s="1127"/>
      <c r="M13" s="485"/>
      <c r="N13" s="337"/>
      <c r="O13" s="337"/>
      <c r="P13" s="337"/>
      <c r="Q13" s="337"/>
      <c r="R13" s="338"/>
      <c r="S13" s="339"/>
      <c r="T13" s="662"/>
    </row>
    <row r="14" spans="1:20" s="265" customFormat="1" ht="33" customHeight="1">
      <c r="B14" s="753"/>
      <c r="C14" s="754"/>
      <c r="D14" s="755" t="s">
        <v>688</v>
      </c>
      <c r="E14" s="742">
        <f>51480000+410400000+242400000</f>
        <v>704280000</v>
      </c>
      <c r="F14" s="742">
        <f>51480000+412200000+242400000</f>
        <v>706080000</v>
      </c>
      <c r="G14" s="760">
        <f t="shared" si="0"/>
        <v>1800000</v>
      </c>
      <c r="H14" s="2977" t="s">
        <v>1141</v>
      </c>
      <c r="I14" s="2978"/>
      <c r="J14" s="2977" t="s">
        <v>1140</v>
      </c>
      <c r="K14" s="2978"/>
      <c r="L14" s="1128"/>
      <c r="M14" s="485"/>
      <c r="N14" s="337"/>
      <c r="O14" s="337"/>
      <c r="P14" s="337"/>
      <c r="Q14" s="337"/>
      <c r="R14" s="338"/>
      <c r="S14" s="339"/>
      <c r="T14" s="662"/>
    </row>
    <row r="15" spans="1:20" s="263" customFormat="1" ht="30" customHeight="1">
      <c r="A15" s="266"/>
      <c r="B15" s="788" t="s">
        <v>870</v>
      </c>
      <c r="C15" s="2979" t="s">
        <v>871</v>
      </c>
      <c r="D15" s="2979"/>
      <c r="E15" s="756">
        <f>E16+E28+E30+E32+E34+E36+E41+E49+E53+E55</f>
        <v>47193872767</v>
      </c>
      <c r="F15" s="756">
        <f>F16+F28+F30+F32+F34+F36+F41+F49+F53+F55</f>
        <v>60922224841</v>
      </c>
      <c r="G15" s="1120">
        <f>F15-E15</f>
        <v>13728352074</v>
      </c>
      <c r="H15" s="2975"/>
      <c r="I15" s="2976"/>
      <c r="J15" s="2975"/>
      <c r="K15" s="2976"/>
      <c r="L15" s="1125"/>
      <c r="M15" s="485"/>
      <c r="N15" s="337"/>
      <c r="O15" s="337"/>
      <c r="P15" s="337"/>
      <c r="Q15" s="337"/>
      <c r="R15" s="338"/>
      <c r="S15" s="336"/>
      <c r="T15" s="662"/>
    </row>
    <row r="16" spans="1:20" s="268" customFormat="1">
      <c r="A16" s="267"/>
      <c r="B16" s="789">
        <v>1</v>
      </c>
      <c r="C16" s="790" t="s">
        <v>159</v>
      </c>
      <c r="D16" s="791"/>
      <c r="E16" s="743">
        <f>SUM(E17:E27)</f>
        <v>6543927930</v>
      </c>
      <c r="F16" s="743">
        <f>SUM(F17:F27)</f>
        <v>9118704425</v>
      </c>
      <c r="G16" s="1140">
        <f t="shared" si="0"/>
        <v>2574776495</v>
      </c>
      <c r="H16" s="762"/>
      <c r="I16" s="772"/>
      <c r="J16" s="762"/>
      <c r="K16" s="772"/>
      <c r="L16" s="1129"/>
      <c r="M16" s="486"/>
      <c r="N16" s="338"/>
      <c r="O16" s="338"/>
      <c r="P16" s="338"/>
      <c r="Q16" s="338"/>
      <c r="R16" s="338"/>
      <c r="S16" s="336"/>
      <c r="T16" s="662"/>
    </row>
    <row r="17" spans="1:20" s="268" customFormat="1">
      <c r="A17" s="267"/>
      <c r="B17" s="789"/>
      <c r="C17" s="792"/>
      <c r="D17" s="791" t="s">
        <v>160</v>
      </c>
      <c r="E17" s="744">
        <v>8000000</v>
      </c>
      <c r="F17" s="744">
        <v>8000000</v>
      </c>
      <c r="G17" s="760">
        <f t="shared" si="0"/>
        <v>0</v>
      </c>
      <c r="H17" s="2997" t="s">
        <v>896</v>
      </c>
      <c r="I17" s="2998"/>
      <c r="J17" s="2997" t="s">
        <v>896</v>
      </c>
      <c r="K17" s="2998"/>
      <c r="L17" s="1130"/>
      <c r="M17" s="485">
        <f>Surat!L35</f>
        <v>8000000</v>
      </c>
      <c r="N17" s="337">
        <f>Surat!M35</f>
        <v>0</v>
      </c>
      <c r="O17" s="337">
        <f>Surat!N35</f>
        <v>0</v>
      </c>
      <c r="P17" s="337">
        <f>Surat!O35</f>
        <v>0</v>
      </c>
      <c r="Q17" s="337">
        <f>Surat!P35</f>
        <v>0</v>
      </c>
      <c r="R17" s="337">
        <f>Surat!Q35</f>
        <v>0</v>
      </c>
      <c r="S17" s="339">
        <f>SUM(M17:R17)</f>
        <v>8000000</v>
      </c>
      <c r="T17" s="662">
        <f t="shared" ref="T17:T27" si="1">S17-F17</f>
        <v>0</v>
      </c>
    </row>
    <row r="18" spans="1:20" s="268" customFormat="1" ht="29.25" customHeight="1">
      <c r="A18" s="267"/>
      <c r="B18" s="789"/>
      <c r="C18" s="792"/>
      <c r="D18" s="791" t="s">
        <v>538</v>
      </c>
      <c r="E18" s="744">
        <v>1778273412</v>
      </c>
      <c r="F18" s="744">
        <v>1842768000</v>
      </c>
      <c r="G18" s="760">
        <f t="shared" si="0"/>
        <v>64494588</v>
      </c>
      <c r="H18" s="3005" t="s">
        <v>897</v>
      </c>
      <c r="I18" s="3006"/>
      <c r="J18" s="3005" t="s">
        <v>897</v>
      </c>
      <c r="K18" s="3006"/>
      <c r="L18" s="1130"/>
      <c r="M18" s="485">
        <f>Komunikasi!L44</f>
        <v>1786721246</v>
      </c>
      <c r="N18" s="337">
        <f>Komunikasi!M44</f>
        <v>0</v>
      </c>
      <c r="O18" s="337">
        <f>Komunikasi!N44</f>
        <v>0</v>
      </c>
      <c r="P18" s="337">
        <f>Komunikasi!O44</f>
        <v>0</v>
      </c>
      <c r="Q18" s="337">
        <f>Komunikasi!P44</f>
        <v>0</v>
      </c>
      <c r="R18" s="337">
        <f>Komunikasi!Q44</f>
        <v>0</v>
      </c>
      <c r="S18" s="339">
        <f>SUM(M18:R18)</f>
        <v>1786721246</v>
      </c>
      <c r="T18" s="662">
        <f t="shared" si="1"/>
        <v>-56046754</v>
      </c>
    </row>
    <row r="19" spans="1:20" s="268" customFormat="1">
      <c r="A19" s="267"/>
      <c r="B19" s="789"/>
      <c r="C19" s="792"/>
      <c r="D19" s="791" t="s">
        <v>162</v>
      </c>
      <c r="E19" s="745">
        <v>1565288000</v>
      </c>
      <c r="F19" s="745">
        <v>1757288000</v>
      </c>
      <c r="G19" s="760">
        <f t="shared" si="0"/>
        <v>192000000</v>
      </c>
      <c r="H19" s="2997" t="s">
        <v>898</v>
      </c>
      <c r="I19" s="2998"/>
      <c r="J19" s="2997" t="s">
        <v>898</v>
      </c>
      <c r="K19" s="2998"/>
      <c r="L19" s="1130"/>
      <c r="M19" s="485">
        <f>Kebersihan!L49</f>
        <v>144889000</v>
      </c>
      <c r="N19" s="337">
        <f>Kebersihan!M49</f>
        <v>1600000000</v>
      </c>
      <c r="O19" s="337">
        <f>Kebersihan!N49</f>
        <v>0</v>
      </c>
      <c r="P19" s="337">
        <f>Kebersihan!O49</f>
        <v>0</v>
      </c>
      <c r="Q19" s="337">
        <f>Kebersihan!P49</f>
        <v>0</v>
      </c>
      <c r="R19" s="337">
        <f>Kebersihan!Q49</f>
        <v>0</v>
      </c>
      <c r="S19" s="339">
        <f t="shared" ref="S19:S56" si="2">SUM(M19:R19)</f>
        <v>1744889000</v>
      </c>
      <c r="T19" s="662">
        <f t="shared" si="1"/>
        <v>-12399000</v>
      </c>
    </row>
    <row r="20" spans="1:20" s="268" customFormat="1">
      <c r="A20" s="267"/>
      <c r="B20" s="789"/>
      <c r="C20" s="779"/>
      <c r="D20" s="791" t="s">
        <v>97</v>
      </c>
      <c r="E20" s="744">
        <v>199843955</v>
      </c>
      <c r="F20" s="744">
        <v>275350425</v>
      </c>
      <c r="G20" s="760">
        <f t="shared" si="0"/>
        <v>75506470</v>
      </c>
      <c r="H20" s="2997" t="s">
        <v>97</v>
      </c>
      <c r="I20" s="2998"/>
      <c r="J20" s="2997" t="s">
        <v>97</v>
      </c>
      <c r="K20" s="2998"/>
      <c r="L20" s="1130"/>
      <c r="M20" s="485">
        <f>ATK!L115</f>
        <v>159238000</v>
      </c>
      <c r="N20" s="337">
        <f>ATK!M115</f>
        <v>0</v>
      </c>
      <c r="O20" s="337">
        <f>ATK!N115</f>
        <v>0</v>
      </c>
      <c r="P20" s="337">
        <f>ATK!O115</f>
        <v>0</v>
      </c>
      <c r="Q20" s="337">
        <f>ATK!P115</f>
        <v>0</v>
      </c>
      <c r="R20" s="337">
        <f>ATK!Q115</f>
        <v>0</v>
      </c>
      <c r="S20" s="339">
        <f t="shared" si="2"/>
        <v>159238000</v>
      </c>
      <c r="T20" s="662">
        <f t="shared" si="1"/>
        <v>-116112425</v>
      </c>
    </row>
    <row r="21" spans="1:20" s="263" customFormat="1" ht="30">
      <c r="A21" s="265"/>
      <c r="B21" s="793"/>
      <c r="C21" s="794"/>
      <c r="D21" s="795" t="s">
        <v>543</v>
      </c>
      <c r="E21" s="745">
        <v>55003500</v>
      </c>
      <c r="F21" s="745">
        <v>49500000</v>
      </c>
      <c r="G21" s="760">
        <f t="shared" si="0"/>
        <v>-5503500</v>
      </c>
      <c r="H21" s="2997" t="s">
        <v>899</v>
      </c>
      <c r="I21" s="2998"/>
      <c r="J21" s="2997" t="s">
        <v>899</v>
      </c>
      <c r="K21" s="2998"/>
      <c r="L21" s="1130"/>
      <c r="M21" s="485">
        <f>Listrik!L87</f>
        <v>98624000</v>
      </c>
      <c r="N21" s="337">
        <f>Listrik!M87</f>
        <v>0</v>
      </c>
      <c r="O21" s="337">
        <f>Listrik!N87</f>
        <v>0</v>
      </c>
      <c r="P21" s="337">
        <f>Listrik!O87</f>
        <v>0</v>
      </c>
      <c r="Q21" s="337">
        <f>Listrik!P87</f>
        <v>0</v>
      </c>
      <c r="R21" s="337">
        <f>Listrik!Q87</f>
        <v>0</v>
      </c>
      <c r="S21" s="339">
        <f t="shared" si="2"/>
        <v>98624000</v>
      </c>
      <c r="T21" s="662">
        <f t="shared" si="1"/>
        <v>49124000</v>
      </c>
    </row>
    <row r="22" spans="1:20" s="268" customFormat="1">
      <c r="A22" s="267"/>
      <c r="B22" s="789"/>
      <c r="C22" s="779"/>
      <c r="D22" s="791" t="s">
        <v>545</v>
      </c>
      <c r="E22" s="745">
        <v>176264063</v>
      </c>
      <c r="F22" s="745">
        <v>1265300000</v>
      </c>
      <c r="G22" s="760">
        <f t="shared" si="0"/>
        <v>1089035937</v>
      </c>
      <c r="H22" s="2997" t="s">
        <v>545</v>
      </c>
      <c r="I22" s="2998"/>
      <c r="J22" s="2997" t="s">
        <v>545</v>
      </c>
      <c r="K22" s="2998"/>
      <c r="L22" s="1130"/>
      <c r="M22" s="485">
        <f>Kantor!L79</f>
        <v>621655706</v>
      </c>
      <c r="N22" s="337">
        <f>Kantor!M79</f>
        <v>0</v>
      </c>
      <c r="O22" s="337">
        <f>Kantor!N79</f>
        <v>12150000</v>
      </c>
      <c r="P22" s="337">
        <f>Kantor!O79</f>
        <v>0</v>
      </c>
      <c r="Q22" s="337">
        <f>Kantor!P79</f>
        <v>0</v>
      </c>
      <c r="R22" s="337">
        <f>Kantor!Q79</f>
        <v>0</v>
      </c>
      <c r="S22" s="339">
        <f t="shared" si="2"/>
        <v>633805706</v>
      </c>
      <c r="T22" s="662">
        <f t="shared" si="1"/>
        <v>-631494294</v>
      </c>
    </row>
    <row r="23" spans="1:20" s="268" customFormat="1" ht="33.75" customHeight="1">
      <c r="A23" s="267"/>
      <c r="B23" s="789"/>
      <c r="C23" s="779"/>
      <c r="D23" s="791" t="s">
        <v>547</v>
      </c>
      <c r="E23" s="744">
        <f>569440000</f>
        <v>569440000</v>
      </c>
      <c r="F23" s="744">
        <v>802698000</v>
      </c>
      <c r="G23" s="760">
        <f t="shared" si="0"/>
        <v>233258000</v>
      </c>
      <c r="H23" s="3005" t="s">
        <v>900</v>
      </c>
      <c r="I23" s="3006"/>
      <c r="J23" s="3005" t="s">
        <v>900</v>
      </c>
      <c r="K23" s="3006"/>
      <c r="L23" s="1131"/>
      <c r="M23" s="485">
        <f>RT!L45</f>
        <v>161890000</v>
      </c>
      <c r="N23" s="337">
        <f>RT!M45</f>
        <v>0</v>
      </c>
      <c r="O23" s="337">
        <f>RT!N45</f>
        <v>0</v>
      </c>
      <c r="P23" s="337">
        <f>RT!O45</f>
        <v>0</v>
      </c>
      <c r="Q23" s="337">
        <f>RT!P45</f>
        <v>0</v>
      </c>
      <c r="R23" s="337">
        <f>RT!Q45</f>
        <v>0</v>
      </c>
      <c r="S23" s="339">
        <f t="shared" si="2"/>
        <v>161890000</v>
      </c>
      <c r="T23" s="662">
        <f t="shared" si="1"/>
        <v>-640808000</v>
      </c>
    </row>
    <row r="24" spans="1:20" s="268" customFormat="1" ht="30">
      <c r="A24" s="267"/>
      <c r="B24" s="789"/>
      <c r="C24" s="779"/>
      <c r="D24" s="796" t="s">
        <v>549</v>
      </c>
      <c r="E24" s="744">
        <v>9000000</v>
      </c>
      <c r="F24" s="744">
        <v>35250000</v>
      </c>
      <c r="G24" s="760">
        <f t="shared" si="0"/>
        <v>26250000</v>
      </c>
      <c r="H24" s="2997" t="s">
        <v>901</v>
      </c>
      <c r="I24" s="2998"/>
      <c r="J24" s="2997" t="s">
        <v>901</v>
      </c>
      <c r="K24" s="2998"/>
      <c r="L24" s="1130"/>
      <c r="M24" s="485">
        <f>Bacaan!L30</f>
        <v>10800000</v>
      </c>
      <c r="N24" s="337">
        <f>Bacaan!M30</f>
        <v>0</v>
      </c>
      <c r="O24" s="337">
        <f>Bacaan!N30</f>
        <v>0</v>
      </c>
      <c r="P24" s="337">
        <f>Bacaan!O30</f>
        <v>0</v>
      </c>
      <c r="Q24" s="337">
        <f>Bacaan!P30</f>
        <v>0</v>
      </c>
      <c r="R24" s="337">
        <f>Bacaan!Q30</f>
        <v>0</v>
      </c>
      <c r="S24" s="339">
        <f t="shared" si="2"/>
        <v>10800000</v>
      </c>
      <c r="T24" s="662">
        <f t="shared" si="1"/>
        <v>-24450000</v>
      </c>
    </row>
    <row r="25" spans="1:20" s="268" customFormat="1">
      <c r="A25" s="267"/>
      <c r="B25" s="789"/>
      <c r="C25" s="779"/>
      <c r="D25" s="791" t="s">
        <v>166</v>
      </c>
      <c r="E25" s="744">
        <v>48300000</v>
      </c>
      <c r="F25" s="744">
        <v>62500000</v>
      </c>
      <c r="G25" s="760">
        <f t="shared" si="0"/>
        <v>14200000</v>
      </c>
      <c r="H25" s="2997" t="s">
        <v>902</v>
      </c>
      <c r="I25" s="2998"/>
      <c r="J25" s="2997" t="s">
        <v>902</v>
      </c>
      <c r="K25" s="2998"/>
      <c r="L25" s="1130"/>
      <c r="M25" s="485">
        <f>Makan!L37</f>
        <v>35800000</v>
      </c>
      <c r="N25" s="337">
        <f>Makan!M37</f>
        <v>0</v>
      </c>
      <c r="O25" s="337">
        <f>Makan!N37</f>
        <v>0</v>
      </c>
      <c r="P25" s="337">
        <f>Makan!O37</f>
        <v>0</v>
      </c>
      <c r="Q25" s="337">
        <f>Makan!P37</f>
        <v>0</v>
      </c>
      <c r="R25" s="337">
        <f>Makan!Q37</f>
        <v>0</v>
      </c>
      <c r="S25" s="339">
        <f t="shared" si="2"/>
        <v>35800000</v>
      </c>
      <c r="T25" s="662">
        <f t="shared" si="1"/>
        <v>-26700000</v>
      </c>
    </row>
    <row r="26" spans="1:20" s="268" customFormat="1">
      <c r="A26" s="267"/>
      <c r="B26" s="789"/>
      <c r="C26" s="779"/>
      <c r="D26" s="791" t="s">
        <v>551</v>
      </c>
      <c r="E26" s="744">
        <v>321190000</v>
      </c>
      <c r="F26" s="744">
        <v>375000000</v>
      </c>
      <c r="G26" s="760">
        <f t="shared" si="0"/>
        <v>53810000</v>
      </c>
      <c r="H26" s="2997" t="s">
        <v>903</v>
      </c>
      <c r="I26" s="2998"/>
      <c r="J26" s="2997" t="s">
        <v>903</v>
      </c>
      <c r="K26" s="2998"/>
      <c r="L26" s="1130"/>
      <c r="M26" s="485">
        <f>Rapat!L50</f>
        <v>260777000</v>
      </c>
      <c r="N26" s="337">
        <f>Rapat!M50</f>
        <v>0</v>
      </c>
      <c r="O26" s="337">
        <f>Rapat!N50</f>
        <v>0</v>
      </c>
      <c r="P26" s="337">
        <f>Rapat!O50</f>
        <v>0</v>
      </c>
      <c r="Q26" s="337">
        <f>Rapat!P50</f>
        <v>0</v>
      </c>
      <c r="R26" s="337">
        <f>Rapat!Q50</f>
        <v>0</v>
      </c>
      <c r="S26" s="339">
        <f t="shared" si="2"/>
        <v>260777000</v>
      </c>
      <c r="T26" s="662">
        <f t="shared" si="1"/>
        <v>-114223000</v>
      </c>
    </row>
    <row r="27" spans="1:20" s="268" customFormat="1">
      <c r="A27" s="267"/>
      <c r="B27" s="789"/>
      <c r="C27" s="779"/>
      <c r="D27" s="791" t="s">
        <v>553</v>
      </c>
      <c r="E27" s="744">
        <v>1813325000</v>
      </c>
      <c r="F27" s="744">
        <v>2645050000</v>
      </c>
      <c r="G27" s="760">
        <f t="shared" si="0"/>
        <v>831725000</v>
      </c>
      <c r="H27" s="763" t="s">
        <v>725</v>
      </c>
      <c r="I27" s="773" t="s">
        <v>895</v>
      </c>
      <c r="J27" s="763" t="s">
        <v>725</v>
      </c>
      <c r="K27" s="773" t="s">
        <v>895</v>
      </c>
      <c r="L27" s="1132">
        <v>45</v>
      </c>
      <c r="M27" s="485">
        <f>'ADM kantor'!L90</f>
        <v>1512276000</v>
      </c>
      <c r="N27" s="337">
        <f>'ADM kantor'!M90</f>
        <v>0</v>
      </c>
      <c r="O27" s="337">
        <f>'ADM kantor'!N90</f>
        <v>0</v>
      </c>
      <c r="P27" s="337">
        <f>'ADM kantor'!O90</f>
        <v>0</v>
      </c>
      <c r="Q27" s="337">
        <f>'ADM kantor'!P90</f>
        <v>0</v>
      </c>
      <c r="R27" s="337">
        <f>'ADM kantor'!Q90</f>
        <v>0</v>
      </c>
      <c r="S27" s="339">
        <f t="shared" si="2"/>
        <v>1512276000</v>
      </c>
      <c r="T27" s="662">
        <f t="shared" si="1"/>
        <v>-1132774000</v>
      </c>
    </row>
    <row r="28" spans="1:20" s="268" customFormat="1">
      <c r="A28" s="267"/>
      <c r="B28" s="789">
        <v>2</v>
      </c>
      <c r="C28" s="3007" t="s">
        <v>554</v>
      </c>
      <c r="D28" s="3008"/>
      <c r="E28" s="746">
        <f>SUM(E29:E29)</f>
        <v>161652000</v>
      </c>
      <c r="F28" s="746">
        <f>SUM(F29:F29)</f>
        <v>168852000</v>
      </c>
      <c r="G28" s="1140">
        <f t="shared" si="0"/>
        <v>7200000</v>
      </c>
      <c r="H28" s="764"/>
      <c r="I28" s="774"/>
      <c r="J28" s="764"/>
      <c r="K28" s="774"/>
      <c r="L28" s="1133"/>
      <c r="M28" s="485"/>
      <c r="N28" s="334"/>
      <c r="O28" s="334"/>
      <c r="P28" s="334"/>
      <c r="Q28" s="334"/>
      <c r="R28" s="333"/>
      <c r="S28" s="339">
        <f t="shared" si="2"/>
        <v>0</v>
      </c>
      <c r="T28" s="662"/>
    </row>
    <row r="29" spans="1:20" s="268" customFormat="1" ht="30">
      <c r="A29" s="267"/>
      <c r="B29" s="789"/>
      <c r="C29" s="779"/>
      <c r="D29" s="796" t="s">
        <v>555</v>
      </c>
      <c r="E29" s="744">
        <v>161652000</v>
      </c>
      <c r="F29" s="744">
        <v>168852000</v>
      </c>
      <c r="G29" s="760">
        <f t="shared" si="0"/>
        <v>7200000</v>
      </c>
      <c r="H29" s="3005" t="s">
        <v>881</v>
      </c>
      <c r="I29" s="3006"/>
      <c r="J29" s="3005" t="s">
        <v>1147</v>
      </c>
      <c r="K29" s="3006"/>
      <c r="L29" s="1131"/>
      <c r="M29" s="485">
        <f>'P. Kendaraaan '!L42</f>
        <v>240012000</v>
      </c>
      <c r="N29" s="337">
        <f>'P. Kendaraaan '!M42</f>
        <v>0</v>
      </c>
      <c r="O29" s="337">
        <f>'P. Kendaraaan '!N42</f>
        <v>0</v>
      </c>
      <c r="P29" s="337">
        <f>'P. Kendaraaan '!O42</f>
        <v>0</v>
      </c>
      <c r="Q29" s="337">
        <f>'P. Kendaraaan '!P42</f>
        <v>0</v>
      </c>
      <c r="R29" s="337">
        <f>'P. Kendaraaan '!Q42</f>
        <v>0</v>
      </c>
      <c r="S29" s="339">
        <f t="shared" si="2"/>
        <v>240012000</v>
      </c>
      <c r="T29" s="662">
        <f>S29-F29</f>
        <v>71160000</v>
      </c>
    </row>
    <row r="30" spans="1:20" s="270" customFormat="1">
      <c r="A30" s="269"/>
      <c r="B30" s="797">
        <v>3</v>
      </c>
      <c r="C30" s="798" t="s">
        <v>170</v>
      </c>
      <c r="D30" s="799"/>
      <c r="E30" s="747">
        <f>SUM(E31)</f>
        <v>134242500</v>
      </c>
      <c r="F30" s="747">
        <f>SUM(F31)</f>
        <v>460040000</v>
      </c>
      <c r="G30" s="1140">
        <f t="shared" si="0"/>
        <v>325797500</v>
      </c>
      <c r="H30" s="765"/>
      <c r="I30" s="775"/>
      <c r="J30" s="765"/>
      <c r="K30" s="775"/>
      <c r="L30" s="1134"/>
      <c r="M30" s="485"/>
      <c r="N30" s="333"/>
      <c r="O30" s="333"/>
      <c r="P30" s="333"/>
      <c r="Q30" s="333"/>
      <c r="R30" s="333"/>
      <c r="S30" s="339">
        <f t="shared" si="2"/>
        <v>0</v>
      </c>
      <c r="T30" s="662"/>
    </row>
    <row r="31" spans="1:20" s="270" customFormat="1">
      <c r="A31" s="269"/>
      <c r="B31" s="797"/>
      <c r="C31" s="800"/>
      <c r="D31" s="791" t="s">
        <v>171</v>
      </c>
      <c r="E31" s="744">
        <f>[38]Pakaian!K47</f>
        <v>134242500</v>
      </c>
      <c r="F31" s="744">
        <f>Pakaian!K45</f>
        <v>460040000</v>
      </c>
      <c r="G31" s="760">
        <f t="shared" si="0"/>
        <v>325797500</v>
      </c>
      <c r="H31" s="2977" t="s">
        <v>1146</v>
      </c>
      <c r="I31" s="2978"/>
      <c r="J31" s="2977" t="s">
        <v>1148</v>
      </c>
      <c r="K31" s="2978"/>
      <c r="L31" s="1128"/>
      <c r="M31" s="485">
        <f>Pakaian!L45</f>
        <v>171840000</v>
      </c>
      <c r="N31" s="337">
        <f>Pakaian!M45</f>
        <v>0</v>
      </c>
      <c r="O31" s="337">
        <f>Pakaian!N45</f>
        <v>288200000</v>
      </c>
      <c r="P31" s="337">
        <f>Pakaian!O45</f>
        <v>0</v>
      </c>
      <c r="Q31" s="337">
        <f>Pakaian!P45</f>
        <v>0</v>
      </c>
      <c r="R31" s="337">
        <f>Pakaian!Q45</f>
        <v>0</v>
      </c>
      <c r="S31" s="339">
        <f t="shared" si="2"/>
        <v>460040000</v>
      </c>
      <c r="T31" s="662">
        <f>S31-F31</f>
        <v>0</v>
      </c>
    </row>
    <row r="32" spans="1:20" s="268" customFormat="1">
      <c r="A32" s="267"/>
      <c r="B32" s="789">
        <v>4</v>
      </c>
      <c r="C32" s="3007" t="s">
        <v>172</v>
      </c>
      <c r="D32" s="3008"/>
      <c r="E32" s="746">
        <f>SUM(E33)</f>
        <v>51400000</v>
      </c>
      <c r="F32" s="746">
        <f>SUM(F33)</f>
        <v>76925000</v>
      </c>
      <c r="G32" s="1140">
        <f t="shared" si="0"/>
        <v>25525000</v>
      </c>
      <c r="H32" s="764"/>
      <c r="I32" s="774"/>
      <c r="J32" s="764"/>
      <c r="K32" s="774"/>
      <c r="L32" s="1133"/>
      <c r="M32" s="485"/>
      <c r="N32" s="333"/>
      <c r="O32" s="333"/>
      <c r="P32" s="333"/>
      <c r="Q32" s="333"/>
      <c r="R32" s="333"/>
      <c r="S32" s="339">
        <f t="shared" si="2"/>
        <v>0</v>
      </c>
      <c r="T32" s="662"/>
    </row>
    <row r="33" spans="1:20" s="268" customFormat="1" ht="36" customHeight="1">
      <c r="A33" s="267"/>
      <c r="B33" s="789"/>
      <c r="C33" s="779"/>
      <c r="D33" s="780" t="s">
        <v>346</v>
      </c>
      <c r="E33" s="744">
        <f>[38]Agama!K45</f>
        <v>51400000</v>
      </c>
      <c r="F33" s="744">
        <f>Agama!K49</f>
        <v>76925000</v>
      </c>
      <c r="G33" s="760">
        <f t="shared" si="0"/>
        <v>25525000</v>
      </c>
      <c r="H33" s="3005" t="s">
        <v>882</v>
      </c>
      <c r="I33" s="3006"/>
      <c r="J33" s="3005" t="s">
        <v>882</v>
      </c>
      <c r="K33" s="3006"/>
      <c r="L33" s="1131"/>
      <c r="M33" s="485">
        <f>Agama!L49</f>
        <v>0</v>
      </c>
      <c r="N33" s="337">
        <f>Agama!M49</f>
        <v>0</v>
      </c>
      <c r="O33" s="337">
        <f>Agama!N49</f>
        <v>76925000</v>
      </c>
      <c r="P33" s="337">
        <f>Agama!O49</f>
        <v>0</v>
      </c>
      <c r="Q33" s="337">
        <f>Agama!P49</f>
        <v>0</v>
      </c>
      <c r="R33" s="337">
        <f>Agama!Q49</f>
        <v>0</v>
      </c>
      <c r="S33" s="339">
        <f t="shared" si="2"/>
        <v>76925000</v>
      </c>
      <c r="T33" s="662">
        <f>S33-F33</f>
        <v>0</v>
      </c>
    </row>
    <row r="34" spans="1:20" s="267" customFormat="1">
      <c r="B34" s="789">
        <v>5</v>
      </c>
      <c r="C34" s="3007" t="s">
        <v>559</v>
      </c>
      <c r="D34" s="3015"/>
      <c r="E34" s="746">
        <f>SUM(E35:E35)</f>
        <v>618891025</v>
      </c>
      <c r="F34" s="746">
        <f>SUM(F35:F35)</f>
        <v>790308650</v>
      </c>
      <c r="G34" s="760">
        <f t="shared" si="0"/>
        <v>171417625</v>
      </c>
      <c r="H34" s="764"/>
      <c r="I34" s="774"/>
      <c r="J34" s="764"/>
      <c r="K34" s="774"/>
      <c r="L34" s="1133"/>
      <c r="M34" s="485"/>
      <c r="N34" s="333"/>
      <c r="O34" s="333"/>
      <c r="P34" s="333"/>
      <c r="Q34" s="333"/>
      <c r="R34" s="333"/>
      <c r="S34" s="339">
        <f t="shared" si="2"/>
        <v>0</v>
      </c>
      <c r="T34" s="662"/>
    </row>
    <row r="35" spans="1:20" s="268" customFormat="1" ht="30">
      <c r="B35" s="778"/>
      <c r="C35" s="801"/>
      <c r="D35" s="802" t="s">
        <v>563</v>
      </c>
      <c r="E35" s="744">
        <f>'[38]Cetak&amp;Penggandaan'!K161</f>
        <v>618891025</v>
      </c>
      <c r="F35" s="744">
        <f>'Cetak&amp;Penggandaan'!J193</f>
        <v>790308650</v>
      </c>
      <c r="G35" s="760">
        <f t="shared" si="0"/>
        <v>171417625</v>
      </c>
      <c r="H35" s="2997" t="s">
        <v>883</v>
      </c>
      <c r="I35" s="2998"/>
      <c r="J35" s="2997" t="s">
        <v>1133</v>
      </c>
      <c r="K35" s="2998"/>
      <c r="L35" s="1130"/>
      <c r="M35" s="485">
        <f>'Cetak&amp;Penggandaan'!K193</f>
        <v>0</v>
      </c>
      <c r="N35" s="337">
        <f>'Cetak&amp;Penggandaan'!L193</f>
        <v>728161650</v>
      </c>
      <c r="O35" s="337">
        <f>'Cetak&amp;Penggandaan'!M193</f>
        <v>62147000</v>
      </c>
      <c r="P35" s="337">
        <f>'Cetak&amp;Penggandaan'!N193</f>
        <v>0</v>
      </c>
      <c r="Q35" s="337">
        <f>'Cetak&amp;Penggandaan'!O193</f>
        <v>0</v>
      </c>
      <c r="R35" s="337">
        <f>'Cetak&amp;Penggandaan'!P193</f>
        <v>0</v>
      </c>
      <c r="S35" s="339">
        <f t="shared" si="2"/>
        <v>790308650</v>
      </c>
      <c r="T35" s="662">
        <f>S35-F35</f>
        <v>0</v>
      </c>
    </row>
    <row r="36" spans="1:20" s="268" customFormat="1">
      <c r="B36" s="778">
        <v>6</v>
      </c>
      <c r="C36" s="3016" t="s">
        <v>565</v>
      </c>
      <c r="D36" s="3017"/>
      <c r="E36" s="746">
        <f>SUM(E37:E40)</f>
        <v>1440023500</v>
      </c>
      <c r="F36" s="746">
        <f>SUM(F37:F40)</f>
        <v>1782477000</v>
      </c>
      <c r="G36" s="1140">
        <f t="shared" si="0"/>
        <v>342453500</v>
      </c>
      <c r="H36" s="764"/>
      <c r="I36" s="774"/>
      <c r="J36" s="764"/>
      <c r="K36" s="774"/>
      <c r="L36" s="1133"/>
      <c r="M36" s="485"/>
      <c r="N36" s="333"/>
      <c r="O36" s="333"/>
      <c r="P36" s="333"/>
      <c r="Q36" s="333"/>
      <c r="R36" s="333"/>
      <c r="S36" s="339">
        <f t="shared" si="2"/>
        <v>0</v>
      </c>
      <c r="T36" s="662"/>
    </row>
    <row r="37" spans="1:20" s="268" customFormat="1">
      <c r="B37" s="778"/>
      <c r="C37" s="803"/>
      <c r="D37" s="780" t="s">
        <v>566</v>
      </c>
      <c r="E37" s="748">
        <v>80000000</v>
      </c>
      <c r="F37" s="748">
        <v>82958000</v>
      </c>
      <c r="G37" s="760">
        <f t="shared" si="0"/>
        <v>2958000</v>
      </c>
      <c r="H37" s="763" t="s">
        <v>884</v>
      </c>
      <c r="I37" s="773"/>
      <c r="J37" s="763" t="s">
        <v>884</v>
      </c>
      <c r="K37" s="773"/>
      <c r="L37" s="1132"/>
      <c r="M37" s="485">
        <f>Pel.rs!L42</f>
        <v>0</v>
      </c>
      <c r="N37" s="485">
        <f>Pel.rs!M42</f>
        <v>0</v>
      </c>
      <c r="O37" s="485">
        <f>Pel.rs!N42</f>
        <v>222650000</v>
      </c>
      <c r="P37" s="485">
        <f>Pel.rs!O42</f>
        <v>0</v>
      </c>
      <c r="Q37" s="485">
        <f>Pel.rs!P42</f>
        <v>0</v>
      </c>
      <c r="R37" s="485">
        <f>Pel.rs!Q42</f>
        <v>0</v>
      </c>
      <c r="S37" s="339">
        <f t="shared" si="2"/>
        <v>222650000</v>
      </c>
      <c r="T37" s="662">
        <f>S37-F37</f>
        <v>139692000</v>
      </c>
    </row>
    <row r="38" spans="1:20" s="268" customFormat="1" ht="30">
      <c r="B38" s="778"/>
      <c r="C38" s="803"/>
      <c r="D38" s="804" t="s">
        <v>568</v>
      </c>
      <c r="E38" s="744">
        <f>138000000+61269000</f>
        <v>199269000</v>
      </c>
      <c r="F38" s="744">
        <v>199269000</v>
      </c>
      <c r="G38" s="760">
        <f t="shared" si="0"/>
        <v>0</v>
      </c>
      <c r="H38" s="763" t="s">
        <v>725</v>
      </c>
      <c r="I38" s="773" t="s">
        <v>894</v>
      </c>
      <c r="J38" s="763" t="s">
        <v>725</v>
      </c>
      <c r="K38" s="773" t="s">
        <v>894</v>
      </c>
      <c r="L38" s="1132">
        <v>5</v>
      </c>
      <c r="M38" s="485">
        <f>Pem.limbah!L103</f>
        <v>138000000</v>
      </c>
      <c r="N38" s="337">
        <f>Pem.limbah!M103</f>
        <v>0</v>
      </c>
      <c r="O38" s="337">
        <f>Pem.limbah!N103</f>
        <v>63844000</v>
      </c>
      <c r="P38" s="337">
        <f>Pem.limbah!O103</f>
        <v>0</v>
      </c>
      <c r="Q38" s="337">
        <f>Pem.limbah!P103</f>
        <v>0</v>
      </c>
      <c r="R38" s="337">
        <f>Pem.limbah!Q103</f>
        <v>0</v>
      </c>
      <c r="S38" s="339">
        <f t="shared" si="2"/>
        <v>201844000</v>
      </c>
      <c r="T38" s="662">
        <f>S38-F38</f>
        <v>2575000</v>
      </c>
    </row>
    <row r="39" spans="1:20" s="268" customFormat="1" ht="30">
      <c r="B39" s="778"/>
      <c r="C39" s="803"/>
      <c r="D39" s="804" t="s">
        <v>569</v>
      </c>
      <c r="E39" s="744">
        <v>516090500</v>
      </c>
      <c r="F39" s="744">
        <v>675250000</v>
      </c>
      <c r="G39" s="760">
        <f t="shared" si="0"/>
        <v>159159500</v>
      </c>
      <c r="H39" s="2997" t="s">
        <v>1149</v>
      </c>
      <c r="I39" s="2998"/>
      <c r="J39" s="2997" t="s">
        <v>1149</v>
      </c>
      <c r="K39" s="2998"/>
      <c r="L39" s="1130"/>
      <c r="M39" s="485">
        <f>Pem.alkes!L64</f>
        <v>0</v>
      </c>
      <c r="N39" s="337">
        <f>Pem.alkes!M64</f>
        <v>0</v>
      </c>
      <c r="O39" s="337">
        <f>Pem.alkes!N64</f>
        <v>425745000</v>
      </c>
      <c r="P39" s="337">
        <f>Pem.alkes!O64</f>
        <v>0</v>
      </c>
      <c r="Q39" s="337">
        <f>Pem.alkes!P64</f>
        <v>0</v>
      </c>
      <c r="R39" s="337">
        <f>Pem.alkes!Q64</f>
        <v>0</v>
      </c>
      <c r="S39" s="339">
        <f t="shared" si="2"/>
        <v>425745000</v>
      </c>
      <c r="T39" s="662">
        <f>S39-F39</f>
        <v>-249505000</v>
      </c>
    </row>
    <row r="40" spans="1:20" s="268" customFormat="1" ht="30">
      <c r="B40" s="778"/>
      <c r="C40" s="803"/>
      <c r="D40" s="804" t="s">
        <v>743</v>
      </c>
      <c r="E40" s="744">
        <f>218640000+426024000</f>
        <v>644664000</v>
      </c>
      <c r="F40" s="744">
        <v>825000000</v>
      </c>
      <c r="G40" s="760">
        <f t="shared" si="0"/>
        <v>180336000</v>
      </c>
      <c r="H40" s="763" t="s">
        <v>725</v>
      </c>
      <c r="I40" s="773" t="s">
        <v>893</v>
      </c>
      <c r="J40" s="763" t="s">
        <v>725</v>
      </c>
      <c r="K40" s="773" t="s">
        <v>893</v>
      </c>
      <c r="L40" s="1132">
        <v>8</v>
      </c>
      <c r="M40" s="485">
        <f>Pem.per.RS!L86</f>
        <v>218640000</v>
      </c>
      <c r="N40" s="485">
        <f>Pem.per.RS!M86</f>
        <v>0</v>
      </c>
      <c r="O40" s="485">
        <f>Pem.per.RS!N86</f>
        <v>445481000</v>
      </c>
      <c r="P40" s="485">
        <f>Pem.per.RS!O86</f>
        <v>0</v>
      </c>
      <c r="Q40" s="485">
        <f>Pem.per.RS!P86</f>
        <v>0</v>
      </c>
      <c r="R40" s="485">
        <f>Pem.per.RS!Q86</f>
        <v>0</v>
      </c>
      <c r="S40" s="339">
        <f t="shared" si="2"/>
        <v>664121000</v>
      </c>
      <c r="T40" s="662">
        <f>S40-F40</f>
        <v>-160879000</v>
      </c>
    </row>
    <row r="41" spans="1:20" s="268" customFormat="1">
      <c r="B41" s="778">
        <v>7</v>
      </c>
      <c r="C41" s="3007" t="s">
        <v>279</v>
      </c>
      <c r="D41" s="3018"/>
      <c r="E41" s="746">
        <f>SUM(E42:E47)</f>
        <v>6665141000</v>
      </c>
      <c r="F41" s="746">
        <f>SUM(F42:F47)</f>
        <v>8754522500</v>
      </c>
      <c r="G41" s="1140">
        <f t="shared" si="0"/>
        <v>2089381500</v>
      </c>
      <c r="H41" s="764"/>
      <c r="I41" s="774"/>
      <c r="J41" s="764"/>
      <c r="K41" s="774"/>
      <c r="L41" s="1133"/>
      <c r="M41" s="485"/>
      <c r="N41" s="333"/>
      <c r="O41" s="333"/>
      <c r="P41" s="333"/>
      <c r="Q41" s="333"/>
      <c r="R41" s="333"/>
      <c r="S41" s="339">
        <f t="shared" si="2"/>
        <v>0</v>
      </c>
      <c r="T41" s="662"/>
    </row>
    <row r="42" spans="1:20" s="268" customFormat="1">
      <c r="B42" s="778"/>
      <c r="C42" s="805"/>
      <c r="D42" s="804" t="s">
        <v>739</v>
      </c>
      <c r="E42" s="744">
        <v>388800000</v>
      </c>
      <c r="F42" s="744">
        <v>445800000</v>
      </c>
      <c r="G42" s="760">
        <f t="shared" si="0"/>
        <v>57000000</v>
      </c>
      <c r="H42" s="770" t="s">
        <v>874</v>
      </c>
      <c r="I42" s="773" t="s">
        <v>892</v>
      </c>
      <c r="J42" s="770" t="s">
        <v>874</v>
      </c>
      <c r="K42" s="773" t="s">
        <v>892</v>
      </c>
      <c r="L42" s="1132">
        <v>12</v>
      </c>
      <c r="M42" s="485">
        <f>IGD!L35</f>
        <v>0</v>
      </c>
      <c r="N42" s="337">
        <f>IGD!M35</f>
        <v>615600000</v>
      </c>
      <c r="O42" s="337">
        <f>IGD!N35</f>
        <v>0</v>
      </c>
      <c r="P42" s="337">
        <f>IGD!O35</f>
        <v>217971724</v>
      </c>
      <c r="Q42" s="337">
        <f>IGD!P35</f>
        <v>0</v>
      </c>
      <c r="R42" s="337">
        <f>IGD!Q35</f>
        <v>0</v>
      </c>
      <c r="S42" s="339">
        <f t="shared" si="2"/>
        <v>833571724</v>
      </c>
      <c r="T42" s="662">
        <f t="shared" ref="T42:T47" si="3">S42-F42</f>
        <v>387771724</v>
      </c>
    </row>
    <row r="43" spans="1:20" s="268" customFormat="1" ht="33.75" customHeight="1">
      <c r="B43" s="778"/>
      <c r="C43" s="779"/>
      <c r="D43" s="780" t="s">
        <v>323</v>
      </c>
      <c r="E43" s="749">
        <v>0</v>
      </c>
      <c r="F43" s="749">
        <v>339820000</v>
      </c>
      <c r="G43" s="1141">
        <f t="shared" si="0"/>
        <v>339820000</v>
      </c>
      <c r="H43" s="771"/>
      <c r="I43" s="776"/>
      <c r="J43" s="771" t="s">
        <v>873</v>
      </c>
      <c r="K43" s="776" t="s">
        <v>890</v>
      </c>
      <c r="L43" s="1135">
        <v>1</v>
      </c>
      <c r="M43" s="485">
        <f>COT!L37</f>
        <v>0</v>
      </c>
      <c r="N43" s="337">
        <f>COT!M37</f>
        <v>0</v>
      </c>
      <c r="O43" s="337">
        <f>COT!N37</f>
        <v>90000000</v>
      </c>
      <c r="P43" s="337">
        <f>COT!O37</f>
        <v>952961476</v>
      </c>
      <c r="Q43" s="337">
        <f>COT!P37</f>
        <v>0</v>
      </c>
      <c r="R43" s="337">
        <f>COT!Q37</f>
        <v>0</v>
      </c>
      <c r="S43" s="339">
        <f t="shared" si="2"/>
        <v>1042961476</v>
      </c>
      <c r="T43" s="662">
        <f t="shared" si="3"/>
        <v>703141476</v>
      </c>
    </row>
    <row r="44" spans="1:20" s="268" customFormat="1">
      <c r="B44" s="778"/>
      <c r="C44" s="779"/>
      <c r="D44" s="780" t="s">
        <v>324</v>
      </c>
      <c r="E44" s="750">
        <v>0</v>
      </c>
      <c r="F44" s="750">
        <v>331572500</v>
      </c>
      <c r="G44" s="760">
        <f t="shared" si="0"/>
        <v>331572500</v>
      </c>
      <c r="H44" s="3013"/>
      <c r="I44" s="3014"/>
      <c r="J44" s="3013" t="s">
        <v>885</v>
      </c>
      <c r="K44" s="3014"/>
      <c r="L44" s="1136"/>
      <c r="M44" s="485">
        <f>I.Anak!L40</f>
        <v>0</v>
      </c>
      <c r="N44" s="337">
        <f>I.Anak!M40</f>
        <v>0</v>
      </c>
      <c r="O44" s="337">
        <f>I.Anak!N40</f>
        <v>250000000</v>
      </c>
      <c r="P44" s="337">
        <f>I.Anak!O40</f>
        <v>2557542879</v>
      </c>
      <c r="Q44" s="337">
        <f>I.Anak!P40</f>
        <v>0</v>
      </c>
      <c r="R44" s="337">
        <f>I.Anak!Q40</f>
        <v>0</v>
      </c>
      <c r="S44" s="339">
        <f t="shared" si="2"/>
        <v>2807542879</v>
      </c>
      <c r="T44" s="662">
        <f t="shared" si="3"/>
        <v>2475970379</v>
      </c>
    </row>
    <row r="45" spans="1:20" s="270" customFormat="1">
      <c r="B45" s="806"/>
      <c r="C45" s="800"/>
      <c r="D45" s="780" t="s">
        <v>325</v>
      </c>
      <c r="E45" s="751">
        <v>0</v>
      </c>
      <c r="F45" s="751">
        <v>78000000</v>
      </c>
      <c r="G45" s="760">
        <f t="shared" si="0"/>
        <v>78000000</v>
      </c>
      <c r="H45" s="3013"/>
      <c r="I45" s="3014"/>
      <c r="J45" s="3013" t="s">
        <v>885</v>
      </c>
      <c r="K45" s="3014"/>
      <c r="L45" s="1136"/>
      <c r="M45" s="485">
        <f>I.Dewasa!L36</f>
        <v>0</v>
      </c>
      <c r="N45" s="337">
        <f>I.Dewasa!M36</f>
        <v>138000000</v>
      </c>
      <c r="O45" s="337">
        <f>I.Dewasa!N36</f>
        <v>0</v>
      </c>
      <c r="P45" s="337">
        <f>I.Dewasa!O36</f>
        <v>1167331620</v>
      </c>
      <c r="Q45" s="337">
        <f>I.Dewasa!P36</f>
        <v>0</v>
      </c>
      <c r="R45" s="337">
        <f>I.Dewasa!Q36</f>
        <v>0</v>
      </c>
      <c r="S45" s="339">
        <f t="shared" si="2"/>
        <v>1305331620</v>
      </c>
      <c r="T45" s="662">
        <f t="shared" si="3"/>
        <v>1227331620</v>
      </c>
    </row>
    <row r="46" spans="1:20" s="268" customFormat="1" ht="60">
      <c r="B46" s="778"/>
      <c r="C46" s="779"/>
      <c r="D46" s="780" t="s">
        <v>326</v>
      </c>
      <c r="E46" s="750">
        <v>759800000</v>
      </c>
      <c r="F46" s="750">
        <v>759800000</v>
      </c>
      <c r="G46" s="760">
        <f t="shared" si="0"/>
        <v>0</v>
      </c>
      <c r="H46" s="769" t="s">
        <v>875</v>
      </c>
      <c r="I46" s="777" t="s">
        <v>891</v>
      </c>
      <c r="J46" s="769" t="s">
        <v>875</v>
      </c>
      <c r="K46" s="777" t="s">
        <v>891</v>
      </c>
      <c r="L46" s="1137">
        <v>6</v>
      </c>
      <c r="M46" s="485">
        <f>R.Jalan!L70</f>
        <v>45400000</v>
      </c>
      <c r="N46" s="337">
        <f>R.Jalan!M70</f>
        <v>720000000</v>
      </c>
      <c r="O46" s="337">
        <f>R.Jalan!N70</f>
        <v>111800000</v>
      </c>
      <c r="P46" s="337">
        <f>R.Jalan!O70</f>
        <v>587176529</v>
      </c>
      <c r="Q46" s="337">
        <f>R.Jalan!P70</f>
        <v>0</v>
      </c>
      <c r="R46" s="337">
        <f>R.Jalan!Q70</f>
        <v>0</v>
      </c>
      <c r="S46" s="339">
        <f t="shared" si="2"/>
        <v>1464376529</v>
      </c>
      <c r="T46" s="662">
        <f t="shared" si="3"/>
        <v>704576529</v>
      </c>
    </row>
    <row r="47" spans="1:20" s="268" customFormat="1" ht="30">
      <c r="B47" s="2999"/>
      <c r="C47" s="781"/>
      <c r="D47" s="3001" t="s">
        <v>327</v>
      </c>
      <c r="E47" s="3003">
        <f>4488750000+1027791000</f>
        <v>5516541000</v>
      </c>
      <c r="F47" s="3003">
        <v>6799530000</v>
      </c>
      <c r="G47" s="3009">
        <f t="shared" si="0"/>
        <v>1282989000</v>
      </c>
      <c r="H47" s="782" t="s">
        <v>876</v>
      </c>
      <c r="I47" s="783" t="s">
        <v>1142</v>
      </c>
      <c r="J47" s="782" t="s">
        <v>876</v>
      </c>
      <c r="K47" s="783" t="s">
        <v>1137</v>
      </c>
      <c r="L47" s="1132">
        <f>87+33</f>
        <v>120</v>
      </c>
      <c r="M47" s="485">
        <f>R.Inap!L96</f>
        <v>0</v>
      </c>
      <c r="N47" s="337">
        <f>R.Inap!M96</f>
        <v>4876591800</v>
      </c>
      <c r="O47" s="337">
        <f>R.Inap!N96</f>
        <v>523477997</v>
      </c>
      <c r="P47" s="337">
        <f>R.Inap!O96</f>
        <v>749160004</v>
      </c>
      <c r="Q47" s="337">
        <f>R.Inap!P96</f>
        <v>0</v>
      </c>
      <c r="R47" s="337">
        <f>R.Inap!Q96</f>
        <v>0</v>
      </c>
      <c r="S47" s="339">
        <f t="shared" si="2"/>
        <v>6149229801</v>
      </c>
      <c r="T47" s="662">
        <f t="shared" si="3"/>
        <v>-650300199</v>
      </c>
    </row>
    <row r="48" spans="1:20" s="268" customFormat="1" ht="45">
      <c r="B48" s="3000"/>
      <c r="C48" s="784"/>
      <c r="D48" s="3002"/>
      <c r="E48" s="3004"/>
      <c r="F48" s="3004"/>
      <c r="G48" s="3010"/>
      <c r="H48" s="785" t="s">
        <v>877</v>
      </c>
      <c r="I48" s="786" t="s">
        <v>1143</v>
      </c>
      <c r="J48" s="785" t="s">
        <v>877</v>
      </c>
      <c r="K48" s="786" t="s">
        <v>1136</v>
      </c>
      <c r="L48" s="1132"/>
      <c r="M48" s="485"/>
      <c r="N48" s="337"/>
      <c r="O48" s="337"/>
      <c r="P48" s="337"/>
      <c r="Q48" s="337"/>
      <c r="R48" s="337"/>
      <c r="S48" s="339"/>
      <c r="T48" s="662"/>
    </row>
    <row r="49" spans="1:20" s="268" customFormat="1">
      <c r="B49" s="778">
        <v>8</v>
      </c>
      <c r="C49" s="3007" t="s">
        <v>263</v>
      </c>
      <c r="D49" s="3018"/>
      <c r="E49" s="746">
        <f>SUM(E50:E52)</f>
        <v>172253000</v>
      </c>
      <c r="F49" s="746">
        <f>SUM(F50:F52)</f>
        <v>257253000</v>
      </c>
      <c r="G49" s="1140">
        <f t="shared" si="0"/>
        <v>85000000</v>
      </c>
      <c r="H49" s="764"/>
      <c r="I49" s="774"/>
      <c r="J49" s="764"/>
      <c r="K49" s="774"/>
      <c r="L49" s="1133"/>
      <c r="M49" s="485"/>
      <c r="N49" s="333"/>
      <c r="O49" s="333"/>
      <c r="P49" s="333"/>
      <c r="Q49" s="333"/>
      <c r="R49" s="333"/>
      <c r="S49" s="339">
        <f t="shared" si="2"/>
        <v>0</v>
      </c>
      <c r="T49" s="662"/>
    </row>
    <row r="50" spans="1:20" s="270" customFormat="1" ht="30">
      <c r="B50" s="806"/>
      <c r="C50" s="800"/>
      <c r="D50" s="780" t="s">
        <v>330</v>
      </c>
      <c r="E50" s="752">
        <v>0</v>
      </c>
      <c r="F50" s="752">
        <v>60000000</v>
      </c>
      <c r="G50" s="760">
        <f t="shared" si="0"/>
        <v>60000000</v>
      </c>
      <c r="H50" s="771"/>
      <c r="I50" s="773"/>
      <c r="J50" s="771" t="s">
        <v>878</v>
      </c>
      <c r="K50" s="773" t="s">
        <v>890</v>
      </c>
      <c r="L50" s="1132">
        <v>1</v>
      </c>
      <c r="M50" s="485">
        <f>Radiologi!L30</f>
        <v>0</v>
      </c>
      <c r="N50" s="337">
        <f>Radiologi!M30</f>
        <v>0</v>
      </c>
      <c r="O50" s="337">
        <f>Radiologi!N30</f>
        <v>0</v>
      </c>
      <c r="P50" s="337">
        <f>Radiologi!O30</f>
        <v>0</v>
      </c>
      <c r="Q50" s="337">
        <f>Radiologi!P30</f>
        <v>0</v>
      </c>
      <c r="R50" s="337">
        <f>Radiologi!Q30</f>
        <v>0</v>
      </c>
      <c r="S50" s="339">
        <f t="shared" si="2"/>
        <v>0</v>
      </c>
      <c r="T50" s="662">
        <f>S50-F50</f>
        <v>-60000000</v>
      </c>
    </row>
    <row r="51" spans="1:20" s="268" customFormat="1">
      <c r="B51" s="778"/>
      <c r="C51" s="779"/>
      <c r="D51" s="780" t="s">
        <v>264</v>
      </c>
      <c r="E51" s="749">
        <v>0</v>
      </c>
      <c r="F51" s="749">
        <v>25000000</v>
      </c>
      <c r="G51" s="760">
        <f t="shared" si="0"/>
        <v>25000000</v>
      </c>
      <c r="H51" s="3013"/>
      <c r="I51" s="3014"/>
      <c r="J51" s="3013" t="s">
        <v>886</v>
      </c>
      <c r="K51" s="3014"/>
      <c r="L51" s="1136"/>
      <c r="M51" s="485">
        <f>Gizi!L30</f>
        <v>0</v>
      </c>
      <c r="N51" s="337">
        <f>Gizi!M30</f>
        <v>0</v>
      </c>
      <c r="O51" s="337">
        <f>Gizi!N30</f>
        <v>0</v>
      </c>
      <c r="P51" s="337">
        <f>Gizi!O30</f>
        <v>0</v>
      </c>
      <c r="Q51" s="337">
        <f>Gizi!P30</f>
        <v>0</v>
      </c>
      <c r="R51" s="337">
        <f>Gizi!Q30</f>
        <v>0</v>
      </c>
      <c r="S51" s="339">
        <f t="shared" si="2"/>
        <v>0</v>
      </c>
      <c r="T51" s="662">
        <f>S51-F51</f>
        <v>-25000000</v>
      </c>
    </row>
    <row r="52" spans="1:20" s="268" customFormat="1">
      <c r="B52" s="778"/>
      <c r="C52" s="779"/>
      <c r="D52" s="780" t="s">
        <v>571</v>
      </c>
      <c r="E52" s="744">
        <f>51840000+120413000</f>
        <v>172253000</v>
      </c>
      <c r="F52" s="744">
        <v>172253000</v>
      </c>
      <c r="G52" s="760">
        <f t="shared" si="0"/>
        <v>0</v>
      </c>
      <c r="H52" s="763" t="s">
        <v>725</v>
      </c>
      <c r="I52" s="773" t="s">
        <v>1135</v>
      </c>
      <c r="J52" s="763" t="s">
        <v>725</v>
      </c>
      <c r="K52" s="773" t="s">
        <v>1135</v>
      </c>
      <c r="L52" s="1132">
        <v>2</v>
      </c>
      <c r="M52" s="485">
        <f>Laundry!L42</f>
        <v>0</v>
      </c>
      <c r="N52" s="337">
        <f>Laundry!M42</f>
        <v>0</v>
      </c>
      <c r="O52" s="337">
        <f>Laundry!N42</f>
        <v>85840000</v>
      </c>
      <c r="P52" s="337">
        <f>Laundry!O42</f>
        <v>0</v>
      </c>
      <c r="Q52" s="337">
        <f>Laundry!P42</f>
        <v>0</v>
      </c>
      <c r="R52" s="337">
        <f>Laundry!Q42</f>
        <v>0</v>
      </c>
      <c r="S52" s="339">
        <f t="shared" si="2"/>
        <v>85840000</v>
      </c>
      <c r="T52" s="662">
        <f>S52-F52</f>
        <v>-86413000</v>
      </c>
    </row>
    <row r="53" spans="1:20" s="268" customFormat="1">
      <c r="B53" s="778">
        <v>9</v>
      </c>
      <c r="C53" s="3007" t="s">
        <v>572</v>
      </c>
      <c r="D53" s="3019"/>
      <c r="E53" s="746">
        <f>SUM(E54)</f>
        <v>1388778920</v>
      </c>
      <c r="F53" s="746">
        <f>SUM(F54)</f>
        <v>2112642266</v>
      </c>
      <c r="G53" s="1140">
        <f t="shared" si="0"/>
        <v>723863346</v>
      </c>
      <c r="H53" s="764"/>
      <c r="I53" s="774"/>
      <c r="J53" s="764"/>
      <c r="K53" s="774"/>
      <c r="L53" s="1133"/>
      <c r="M53" s="485"/>
      <c r="N53" s="333"/>
      <c r="O53" s="333"/>
      <c r="P53" s="333"/>
      <c r="Q53" s="333"/>
      <c r="R53" s="333"/>
      <c r="S53" s="339">
        <f t="shared" si="2"/>
        <v>0</v>
      </c>
      <c r="T53" s="662"/>
    </row>
    <row r="54" spans="1:20" s="268" customFormat="1" ht="48" customHeight="1">
      <c r="B54" s="778"/>
      <c r="C54" s="805"/>
      <c r="D54" s="804" t="s">
        <v>573</v>
      </c>
      <c r="E54" s="745">
        <f>[38]pelatihan!K104</f>
        <v>1388778920</v>
      </c>
      <c r="F54" s="745">
        <f>pelatihan!K166</f>
        <v>2112642266</v>
      </c>
      <c r="G54" s="760">
        <f t="shared" si="0"/>
        <v>723863346</v>
      </c>
      <c r="H54" s="2966" t="s">
        <v>887</v>
      </c>
      <c r="I54" s="2967"/>
      <c r="J54" s="2966" t="s">
        <v>887</v>
      </c>
      <c r="K54" s="2967"/>
      <c r="L54" s="1138"/>
      <c r="M54" s="485">
        <f>pelatihan!L166</f>
        <v>0</v>
      </c>
      <c r="N54" s="337">
        <f>pelatihan!M166</f>
        <v>2112642266</v>
      </c>
      <c r="O54" s="337">
        <f>pelatihan!N166</f>
        <v>0</v>
      </c>
      <c r="P54" s="337">
        <f>pelatihan!O166</f>
        <v>0</v>
      </c>
      <c r="Q54" s="337">
        <f>pelatihan!P166</f>
        <v>0</v>
      </c>
      <c r="R54" s="337">
        <f>pelatihan!Q166</f>
        <v>0</v>
      </c>
      <c r="S54" s="339">
        <f t="shared" si="2"/>
        <v>2112642266</v>
      </c>
      <c r="T54" s="662">
        <f>S54-F54</f>
        <v>0</v>
      </c>
    </row>
    <row r="55" spans="1:20" s="268" customFormat="1">
      <c r="B55" s="778">
        <v>10</v>
      </c>
      <c r="C55" s="3007" t="s">
        <v>574</v>
      </c>
      <c r="D55" s="3018"/>
      <c r="E55" s="746">
        <f>SUM(E56)</f>
        <v>30017562892</v>
      </c>
      <c r="F55" s="746">
        <f>SUM(F56)</f>
        <v>37400500000</v>
      </c>
      <c r="G55" s="1140">
        <f t="shared" si="0"/>
        <v>7382937108</v>
      </c>
      <c r="H55" s="764"/>
      <c r="I55" s="774"/>
      <c r="J55" s="764"/>
      <c r="K55" s="774"/>
      <c r="L55" s="1133"/>
      <c r="M55" s="485"/>
      <c r="N55" s="333"/>
      <c r="O55" s="333"/>
      <c r="P55" s="333"/>
      <c r="Q55" s="333"/>
      <c r="R55" s="333"/>
      <c r="S55" s="339">
        <f t="shared" si="2"/>
        <v>0</v>
      </c>
      <c r="T55" s="662"/>
    </row>
    <row r="56" spans="1:20" s="268" customFormat="1">
      <c r="B56" s="778"/>
      <c r="C56" s="779"/>
      <c r="D56" s="780" t="s">
        <v>329</v>
      </c>
      <c r="E56" s="744">
        <f>[38]J.Layanan!K178</f>
        <v>30017562892</v>
      </c>
      <c r="F56" s="744">
        <f>J.Layanan!K245</f>
        <v>37400500000</v>
      </c>
      <c r="G56" s="760">
        <f t="shared" si="0"/>
        <v>7382937108</v>
      </c>
      <c r="H56" s="3005" t="s">
        <v>879</v>
      </c>
      <c r="I56" s="3006"/>
      <c r="J56" s="3005" t="s">
        <v>879</v>
      </c>
      <c r="K56" s="3006"/>
      <c r="L56" s="1131"/>
      <c r="M56" s="485">
        <f>J.Layanan!L245</f>
        <v>0</v>
      </c>
      <c r="N56" s="337">
        <f>J.Layanan!M245</f>
        <v>0</v>
      </c>
      <c r="O56" s="337">
        <f>J.Layanan!N245</f>
        <v>0</v>
      </c>
      <c r="P56" s="337">
        <f>J.Layanan!O245</f>
        <v>0</v>
      </c>
      <c r="Q56" s="337">
        <f>J.Layanan!P245</f>
        <v>0</v>
      </c>
      <c r="R56" s="337">
        <f>J.Layanan!Q245</f>
        <v>37400500000</v>
      </c>
      <c r="S56" s="339">
        <f t="shared" si="2"/>
        <v>37400500000</v>
      </c>
      <c r="T56" s="662">
        <f>S56-F56</f>
        <v>0</v>
      </c>
    </row>
    <row r="57" spans="1:20" s="271" customFormat="1" ht="30" customHeight="1">
      <c r="A57" s="265"/>
      <c r="B57" s="807"/>
      <c r="C57" s="2956" t="s">
        <v>265</v>
      </c>
      <c r="D57" s="2958"/>
      <c r="E57" s="759">
        <f>+E10+E15</f>
        <v>72466525390</v>
      </c>
      <c r="F57" s="759">
        <f>+F10+F15</f>
        <v>87093459724</v>
      </c>
      <c r="G57" s="766">
        <f>F57-E57</f>
        <v>14626934334</v>
      </c>
      <c r="H57" s="766"/>
      <c r="I57" s="767"/>
      <c r="J57" s="766"/>
      <c r="K57" s="767"/>
      <c r="L57" s="1139">
        <f>SUM(L16:L56)</f>
        <v>200</v>
      </c>
      <c r="M57" s="486">
        <f t="shared" ref="M57:R57" si="4">SUM(M10:M56)</f>
        <v>5614562952</v>
      </c>
      <c r="N57" s="339">
        <f t="shared" si="4"/>
        <v>10790995716</v>
      </c>
      <c r="O57" s="339">
        <f t="shared" si="4"/>
        <v>2658259997</v>
      </c>
      <c r="P57" s="339">
        <f t="shared" si="4"/>
        <v>6232144232</v>
      </c>
      <c r="Q57" s="339">
        <f t="shared" si="4"/>
        <v>0</v>
      </c>
      <c r="R57" s="339">
        <f t="shared" si="4"/>
        <v>37400500000</v>
      </c>
      <c r="S57" s="335">
        <f>SUM(M57:R57)</f>
        <v>62696462897</v>
      </c>
      <c r="T57" s="662">
        <f>S57-F57</f>
        <v>-24396996827</v>
      </c>
    </row>
    <row r="58" spans="1:20">
      <c r="B58" s="272"/>
      <c r="F58" s="280"/>
      <c r="G58" s="280"/>
      <c r="H58" s="280"/>
      <c r="I58" s="280"/>
      <c r="J58" s="280"/>
      <c r="K58" s="280"/>
      <c r="L58" s="280"/>
      <c r="M58" s="320"/>
      <c r="N58" s="321"/>
      <c r="O58" s="321"/>
      <c r="P58" s="321"/>
      <c r="Q58" s="321"/>
      <c r="R58" s="321"/>
      <c r="S58" s="321"/>
    </row>
    <row r="59" spans="1:20">
      <c r="B59" s="272"/>
      <c r="F59" s="280"/>
      <c r="G59" s="280"/>
      <c r="H59" s="273"/>
      <c r="I59" s="280"/>
      <c r="J59" s="273" t="s">
        <v>1130</v>
      </c>
      <c r="K59" s="280"/>
      <c r="L59" s="280"/>
      <c r="M59" s="573">
        <v>126469136431</v>
      </c>
      <c r="N59" s="553" t="s">
        <v>824</v>
      </c>
      <c r="O59" s="321"/>
      <c r="P59" s="321"/>
      <c r="Q59" s="321"/>
      <c r="R59" s="321"/>
      <c r="S59" s="321"/>
    </row>
    <row r="60" spans="1:20">
      <c r="B60" s="272"/>
      <c r="H60" s="273"/>
      <c r="J60" s="273" t="s">
        <v>1132</v>
      </c>
      <c r="M60" s="320"/>
      <c r="N60" s="321"/>
      <c r="O60" s="321"/>
      <c r="P60" s="321"/>
      <c r="Q60" s="321"/>
      <c r="R60" s="321"/>
      <c r="S60" s="321"/>
    </row>
    <row r="61" spans="1:20">
      <c r="B61" s="272"/>
      <c r="H61" s="273"/>
      <c r="J61" s="273"/>
      <c r="M61" s="320">
        <v>73252336431</v>
      </c>
      <c r="N61" s="321"/>
      <c r="O61" s="321"/>
      <c r="P61" s="321"/>
      <c r="Q61" s="321"/>
      <c r="R61" s="321"/>
      <c r="S61" s="321"/>
    </row>
    <row r="62" spans="1:20">
      <c r="B62" s="272"/>
      <c r="H62" s="273"/>
      <c r="J62" s="273"/>
      <c r="M62" s="328">
        <f>M59-F57</f>
        <v>39375676707</v>
      </c>
      <c r="N62" s="321" t="s">
        <v>825</v>
      </c>
      <c r="O62" s="321"/>
      <c r="P62" s="321"/>
      <c r="Q62" s="321"/>
      <c r="R62" s="321"/>
      <c r="S62" s="321"/>
    </row>
    <row r="63" spans="1:20">
      <c r="H63" s="273"/>
      <c r="J63" s="273"/>
      <c r="M63" s="320">
        <f>F57-F55</f>
        <v>49692959724</v>
      </c>
      <c r="N63" s="321"/>
      <c r="O63" s="321"/>
      <c r="P63" s="321"/>
      <c r="Q63" s="321"/>
      <c r="R63" s="321"/>
      <c r="S63" s="321"/>
    </row>
    <row r="64" spans="1:20">
      <c r="H64" s="273"/>
      <c r="J64" s="273"/>
      <c r="M64" s="320"/>
      <c r="N64" s="321"/>
      <c r="O64" s="321"/>
      <c r="P64" s="321"/>
      <c r="Q64" s="321"/>
      <c r="R64" s="321"/>
      <c r="S64" s="321"/>
    </row>
    <row r="65" spans="4:19">
      <c r="H65" s="273"/>
      <c r="J65" s="273" t="s">
        <v>1131</v>
      </c>
      <c r="M65" s="320"/>
      <c r="N65" s="321"/>
      <c r="O65" s="321"/>
      <c r="P65" s="321"/>
      <c r="Q65" s="321"/>
      <c r="R65" s="321"/>
      <c r="S65" s="321"/>
    </row>
    <row r="66" spans="4:19">
      <c r="H66" s="273"/>
      <c r="J66" s="273" t="s">
        <v>1128</v>
      </c>
      <c r="M66" s="320"/>
      <c r="N66" s="321"/>
      <c r="O66" s="321"/>
      <c r="P66" s="321"/>
      <c r="Q66" s="321"/>
      <c r="R66" s="321"/>
      <c r="S66" s="321"/>
    </row>
    <row r="67" spans="4:19">
      <c r="H67" s="273"/>
      <c r="J67" s="273" t="s">
        <v>1129</v>
      </c>
      <c r="M67" s="320"/>
      <c r="N67" s="321"/>
      <c r="O67" s="321"/>
      <c r="P67" s="321"/>
      <c r="Q67" s="321"/>
      <c r="R67" s="321"/>
      <c r="S67" s="321"/>
    </row>
    <row r="68" spans="4:19">
      <c r="M68" s="320"/>
      <c r="N68" s="321"/>
      <c r="O68" s="321"/>
      <c r="P68" s="321"/>
      <c r="Q68" s="321"/>
      <c r="R68" s="321"/>
      <c r="S68" s="321"/>
    </row>
    <row r="69" spans="4:19">
      <c r="M69" s="320"/>
      <c r="N69" s="321"/>
      <c r="O69" s="321"/>
      <c r="P69" s="321"/>
      <c r="Q69" s="321"/>
      <c r="R69" s="321"/>
      <c r="S69" s="321"/>
    </row>
    <row r="70" spans="4:19">
      <c r="F70" s="581"/>
      <c r="G70" s="581"/>
      <c r="J70" s="581"/>
      <c r="K70" s="581"/>
      <c r="L70" s="581"/>
      <c r="M70" s="320"/>
      <c r="N70" s="321"/>
      <c r="O70" s="321"/>
      <c r="P70" s="321"/>
      <c r="Q70" s="321"/>
      <c r="R70" s="321"/>
      <c r="S70" s="321"/>
    </row>
    <row r="71" spans="4:19">
      <c r="F71" s="539"/>
      <c r="G71" s="539"/>
      <c r="H71" s="581"/>
      <c r="I71" s="581"/>
      <c r="J71" s="539"/>
      <c r="K71" s="539"/>
      <c r="L71" s="539"/>
      <c r="M71" s="320"/>
      <c r="N71" s="321"/>
      <c r="O71" s="321"/>
      <c r="P71" s="321"/>
      <c r="Q71" s="321"/>
      <c r="R71" s="321"/>
      <c r="S71" s="321"/>
    </row>
    <row r="72" spans="4:19">
      <c r="F72" s="581"/>
      <c r="G72" s="581"/>
      <c r="H72" s="539"/>
      <c r="I72" s="539"/>
      <c r="J72" s="581"/>
      <c r="K72" s="581"/>
      <c r="L72" s="581"/>
      <c r="M72" s="320"/>
      <c r="N72" s="321"/>
      <c r="O72" s="321"/>
      <c r="P72" s="321"/>
      <c r="Q72" s="321"/>
      <c r="R72" s="321"/>
      <c r="S72" s="321"/>
    </row>
    <row r="73" spans="4:19">
      <c r="H73" s="581"/>
      <c r="I73" s="581"/>
      <c r="M73" s="320"/>
      <c r="N73" s="321"/>
      <c r="O73" s="321"/>
      <c r="P73" s="321"/>
      <c r="Q73" s="321"/>
      <c r="R73" s="321"/>
      <c r="S73" s="321"/>
    </row>
    <row r="74" spans="4:19">
      <c r="D74" s="282"/>
      <c r="E74" s="282"/>
      <c r="M74" s="320"/>
      <c r="N74" s="321"/>
      <c r="O74" s="321"/>
      <c r="P74" s="321"/>
      <c r="Q74" s="321"/>
      <c r="R74" s="321"/>
      <c r="S74" s="321"/>
    </row>
    <row r="75" spans="4:19">
      <c r="D75" s="282"/>
      <c r="E75" s="282"/>
      <c r="M75" s="320"/>
      <c r="N75" s="321"/>
      <c r="O75" s="321"/>
      <c r="P75" s="321"/>
      <c r="Q75" s="321"/>
      <c r="R75" s="321"/>
      <c r="S75" s="321"/>
    </row>
    <row r="76" spans="4:19">
      <c r="D76" s="282"/>
      <c r="E76" s="282"/>
      <c r="M76" s="320"/>
      <c r="N76" s="321"/>
      <c r="O76" s="321"/>
      <c r="P76" s="321"/>
      <c r="Q76" s="321"/>
      <c r="R76" s="321"/>
      <c r="S76" s="321"/>
    </row>
    <row r="77" spans="4:19">
      <c r="D77" s="282"/>
      <c r="E77" s="282"/>
      <c r="M77" s="320"/>
      <c r="N77" s="321"/>
      <c r="O77" s="321"/>
      <c r="P77" s="321"/>
      <c r="Q77" s="321"/>
      <c r="R77" s="321"/>
      <c r="S77" s="321"/>
    </row>
    <row r="78" spans="4:19">
      <c r="D78" s="282"/>
      <c r="E78" s="282"/>
      <c r="M78" s="320"/>
      <c r="N78" s="321"/>
      <c r="O78" s="321"/>
      <c r="P78" s="321"/>
      <c r="Q78" s="321"/>
      <c r="R78" s="321"/>
      <c r="S78" s="321"/>
    </row>
    <row r="79" spans="4:19">
      <c r="D79" s="282"/>
      <c r="E79" s="282"/>
      <c r="M79" s="320"/>
      <c r="N79" s="321"/>
      <c r="O79" s="321"/>
      <c r="P79" s="321"/>
      <c r="Q79" s="321"/>
      <c r="R79" s="321"/>
      <c r="S79" s="321"/>
    </row>
    <row r="80" spans="4:19">
      <c r="D80" s="283"/>
      <c r="E80" s="283"/>
      <c r="M80" s="320"/>
      <c r="N80" s="321"/>
      <c r="O80" s="321"/>
      <c r="P80" s="321"/>
      <c r="Q80" s="321"/>
      <c r="R80" s="321"/>
      <c r="S80" s="321"/>
    </row>
    <row r="81" spans="13:19">
      <c r="M81" s="320"/>
      <c r="N81" s="321"/>
      <c r="O81" s="321"/>
      <c r="P81" s="321"/>
      <c r="Q81" s="321"/>
      <c r="R81" s="321"/>
      <c r="S81" s="321"/>
    </row>
    <row r="82" spans="13:19">
      <c r="M82" s="320"/>
      <c r="N82" s="321"/>
      <c r="O82" s="321"/>
      <c r="P82" s="321"/>
      <c r="Q82" s="321"/>
      <c r="R82" s="321"/>
      <c r="S82" s="321"/>
    </row>
    <row r="83" spans="13:19">
      <c r="M83" s="320"/>
      <c r="N83" s="321"/>
      <c r="O83" s="321"/>
      <c r="P83" s="321"/>
      <c r="Q83" s="321"/>
      <c r="R83" s="321"/>
      <c r="S83" s="321"/>
    </row>
    <row r="84" spans="13:19">
      <c r="M84" s="320"/>
      <c r="N84" s="321"/>
      <c r="O84" s="321"/>
      <c r="P84" s="321"/>
      <c r="Q84" s="321"/>
      <c r="R84" s="321"/>
      <c r="S84" s="321"/>
    </row>
    <row r="85" spans="13:19">
      <c r="M85" s="320"/>
      <c r="N85" s="321"/>
      <c r="O85" s="321"/>
      <c r="P85" s="321"/>
      <c r="Q85" s="321"/>
      <c r="R85" s="321"/>
      <c r="S85" s="321"/>
    </row>
    <row r="86" spans="13:19">
      <c r="M86" s="320"/>
      <c r="N86" s="321"/>
      <c r="O86" s="321"/>
      <c r="P86" s="321"/>
      <c r="Q86" s="321"/>
      <c r="R86" s="321"/>
      <c r="S86" s="321"/>
    </row>
    <row r="87" spans="13:19">
      <c r="M87" s="320"/>
      <c r="N87" s="321"/>
      <c r="O87" s="321"/>
      <c r="P87" s="321"/>
      <c r="Q87" s="321"/>
      <c r="R87" s="321"/>
      <c r="S87" s="321"/>
    </row>
    <row r="88" spans="13:19">
      <c r="M88" s="320"/>
      <c r="N88" s="321"/>
      <c r="O88" s="321"/>
      <c r="P88" s="321"/>
      <c r="Q88" s="321"/>
      <c r="R88" s="321"/>
      <c r="S88" s="321"/>
    </row>
    <row r="89" spans="13:19">
      <c r="M89" s="320"/>
      <c r="N89" s="321"/>
      <c r="O89" s="321"/>
      <c r="P89" s="321"/>
      <c r="Q89" s="321"/>
      <c r="R89" s="321"/>
      <c r="S89" s="321"/>
    </row>
    <row r="90" spans="13:19">
      <c r="M90" s="320"/>
      <c r="N90" s="321"/>
      <c r="O90" s="321"/>
      <c r="P90" s="321"/>
      <c r="Q90" s="321"/>
      <c r="R90" s="321"/>
      <c r="S90" s="321"/>
    </row>
    <row r="91" spans="13:19">
      <c r="M91" s="320"/>
      <c r="N91" s="321"/>
      <c r="O91" s="321"/>
      <c r="P91" s="321"/>
      <c r="Q91" s="321"/>
      <c r="R91" s="321"/>
      <c r="S91" s="321"/>
    </row>
    <row r="92" spans="13:19">
      <c r="M92" s="320"/>
      <c r="N92" s="321"/>
      <c r="O92" s="321"/>
      <c r="P92" s="321"/>
      <c r="Q92" s="321"/>
      <c r="R92" s="321"/>
      <c r="S92" s="321"/>
    </row>
    <row r="93" spans="13:19">
      <c r="M93" s="320"/>
      <c r="N93" s="321"/>
      <c r="O93" s="321"/>
      <c r="P93" s="321"/>
      <c r="Q93" s="321"/>
      <c r="R93" s="321"/>
      <c r="S93" s="321"/>
    </row>
    <row r="94" spans="13:19">
      <c r="M94" s="320"/>
      <c r="N94" s="321"/>
      <c r="O94" s="321"/>
      <c r="P94" s="321"/>
      <c r="Q94" s="321"/>
      <c r="R94" s="321"/>
      <c r="S94" s="321"/>
    </row>
    <row r="95" spans="13:19">
      <c r="M95" s="320"/>
      <c r="N95" s="321"/>
      <c r="O95" s="321"/>
      <c r="P95" s="321"/>
      <c r="Q95" s="321"/>
      <c r="R95" s="321"/>
      <c r="S95" s="321"/>
    </row>
    <row r="96" spans="13:19">
      <c r="M96" s="320"/>
      <c r="N96" s="321"/>
      <c r="O96" s="321"/>
      <c r="P96" s="321"/>
      <c r="Q96" s="321"/>
      <c r="R96" s="321"/>
      <c r="S96" s="321"/>
    </row>
    <row r="97" spans="13:19">
      <c r="M97" s="320"/>
      <c r="N97" s="321"/>
      <c r="O97" s="321"/>
      <c r="P97" s="321"/>
      <c r="Q97" s="321"/>
      <c r="R97" s="321"/>
      <c r="S97" s="321"/>
    </row>
    <row r="98" spans="13:19">
      <c r="M98" s="320"/>
      <c r="N98" s="321"/>
      <c r="O98" s="321"/>
      <c r="P98" s="321"/>
      <c r="Q98" s="321"/>
      <c r="R98" s="321"/>
      <c r="S98" s="321"/>
    </row>
    <row r="99" spans="13:19">
      <c r="M99" s="320"/>
      <c r="N99" s="321"/>
      <c r="O99" s="321"/>
      <c r="P99" s="321"/>
      <c r="Q99" s="321"/>
      <c r="R99" s="321"/>
      <c r="S99" s="321"/>
    </row>
    <row r="100" spans="13:19">
      <c r="M100" s="320"/>
      <c r="N100" s="321"/>
      <c r="O100" s="321"/>
      <c r="P100" s="321"/>
      <c r="Q100" s="321"/>
      <c r="R100" s="321"/>
      <c r="S100" s="321"/>
    </row>
    <row r="101" spans="13:19">
      <c r="M101" s="320"/>
      <c r="N101" s="321"/>
      <c r="O101" s="321"/>
      <c r="P101" s="321"/>
      <c r="Q101" s="321"/>
      <c r="R101" s="321"/>
      <c r="S101" s="321"/>
    </row>
    <row r="102" spans="13:19">
      <c r="M102" s="320"/>
      <c r="N102" s="321"/>
      <c r="O102" s="321"/>
      <c r="P102" s="321"/>
      <c r="Q102" s="321"/>
      <c r="R102" s="321"/>
      <c r="S102" s="321"/>
    </row>
    <row r="103" spans="13:19">
      <c r="M103" s="320"/>
      <c r="N103" s="321"/>
      <c r="O103" s="321"/>
      <c r="P103" s="321"/>
      <c r="Q103" s="321"/>
      <c r="R103" s="321"/>
      <c r="S103" s="321"/>
    </row>
    <row r="104" spans="13:19">
      <c r="M104" s="320"/>
      <c r="N104" s="321"/>
      <c r="O104" s="321"/>
      <c r="P104" s="321"/>
      <c r="Q104" s="321"/>
      <c r="R104" s="321"/>
      <c r="S104" s="321"/>
    </row>
    <row r="105" spans="13:19">
      <c r="M105" s="321"/>
      <c r="N105" s="321"/>
      <c r="O105" s="321"/>
      <c r="P105" s="321"/>
      <c r="Q105" s="321"/>
      <c r="R105" s="321"/>
      <c r="S105" s="321"/>
    </row>
  </sheetData>
  <mergeCells count="78">
    <mergeCell ref="H44:I44"/>
    <mergeCell ref="H45:I45"/>
    <mergeCell ref="H51:I51"/>
    <mergeCell ref="H54:I54"/>
    <mergeCell ref="H56:I56"/>
    <mergeCell ref="H29:I29"/>
    <mergeCell ref="H31:I31"/>
    <mergeCell ref="H33:I33"/>
    <mergeCell ref="H35:I35"/>
    <mergeCell ref="H39:I39"/>
    <mergeCell ref="H18:I18"/>
    <mergeCell ref="H19:I19"/>
    <mergeCell ref="H20:I20"/>
    <mergeCell ref="H21:I21"/>
    <mergeCell ref="H22:I22"/>
    <mergeCell ref="H9:I9"/>
    <mergeCell ref="H10:I10"/>
    <mergeCell ref="H14:I14"/>
    <mergeCell ref="H15:I15"/>
    <mergeCell ref="H17:I17"/>
    <mergeCell ref="B1:D1"/>
    <mergeCell ref="B7:B8"/>
    <mergeCell ref="C7:D8"/>
    <mergeCell ref="M7:R7"/>
    <mergeCell ref="B2:K2"/>
    <mergeCell ref="B3:K3"/>
    <mergeCell ref="E7:F7"/>
    <mergeCell ref="G7:G8"/>
    <mergeCell ref="H7:I7"/>
    <mergeCell ref="H8:I8"/>
    <mergeCell ref="J56:K56"/>
    <mergeCell ref="S7:S8"/>
    <mergeCell ref="C9:D9"/>
    <mergeCell ref="C10:D10"/>
    <mergeCell ref="C15:D15"/>
    <mergeCell ref="C28:D28"/>
    <mergeCell ref="J22:K22"/>
    <mergeCell ref="J23:K23"/>
    <mergeCell ref="J24:K24"/>
    <mergeCell ref="J25:K25"/>
    <mergeCell ref="J26:K26"/>
    <mergeCell ref="J35:K35"/>
    <mergeCell ref="J39:K39"/>
    <mergeCell ref="J54:K54"/>
    <mergeCell ref="J17:K17"/>
    <mergeCell ref="J18:K18"/>
    <mergeCell ref="C57:D57"/>
    <mergeCell ref="J7:K7"/>
    <mergeCell ref="J8:K8"/>
    <mergeCell ref="J9:K9"/>
    <mergeCell ref="J14:K14"/>
    <mergeCell ref="J10:K10"/>
    <mergeCell ref="J15:K15"/>
    <mergeCell ref="J44:K44"/>
    <mergeCell ref="C34:D34"/>
    <mergeCell ref="C36:D36"/>
    <mergeCell ref="C41:D41"/>
    <mergeCell ref="C49:D49"/>
    <mergeCell ref="C53:D53"/>
    <mergeCell ref="C55:D55"/>
    <mergeCell ref="J45:K45"/>
    <mergeCell ref="J51:K51"/>
    <mergeCell ref="J19:K19"/>
    <mergeCell ref="J20:K20"/>
    <mergeCell ref="J21:K21"/>
    <mergeCell ref="B47:B48"/>
    <mergeCell ref="D47:D48"/>
    <mergeCell ref="F47:F48"/>
    <mergeCell ref="J29:K29"/>
    <mergeCell ref="J31:K31"/>
    <mergeCell ref="J33:K33"/>
    <mergeCell ref="C32:D32"/>
    <mergeCell ref="E47:E48"/>
    <mergeCell ref="G47:G48"/>
    <mergeCell ref="H23:I23"/>
    <mergeCell ref="H24:I24"/>
    <mergeCell ref="H25:I25"/>
    <mergeCell ref="H26:I26"/>
  </mergeCells>
  <pageMargins left="0.23622047244094491" right="0.27559055118110237" top="0.23622047244094491" bottom="0.46" header="0.11811023622047245" footer="0.22"/>
  <pageSetup paperSize="5" scale="65" fitToHeight="100" orientation="landscape" r:id="rId1"/>
  <headerFooter>
    <oddFooter>&amp;CHal &amp;P dari &amp;N</oddFooter>
  </headerFooter>
  <rowBreaks count="1" manualBreakCount="1">
    <brk id="67" min="1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B1:R38"/>
  <sheetViews>
    <sheetView view="pageBreakPreview" topLeftCell="A13" zoomScaleNormal="115" zoomScaleSheetLayoutView="100" workbookViewId="0">
      <selection activeCell="G34" sqref="G34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6" width="3.5703125" style="9" customWidth="1"/>
    <col min="7" max="7" width="45.5703125" style="9" customWidth="1"/>
    <col min="8" max="8" width="8" style="179" customWidth="1"/>
    <col min="9" max="9" width="8" style="9" bestFit="1" customWidth="1"/>
    <col min="10" max="10" width="13.42578125" style="9" bestFit="1" customWidth="1"/>
    <col min="11" max="11" width="15" style="9" bestFit="1" customWidth="1"/>
    <col min="12" max="12" width="6.42578125" style="9" bestFit="1" customWidth="1"/>
    <col min="13" max="13" width="11.28515625" style="9" bestFit="1" customWidth="1"/>
    <col min="14" max="17" width="6.42578125" style="9" bestFit="1" customWidth="1"/>
    <col min="18" max="18" width="14.140625" style="9" bestFit="1" customWidth="1"/>
    <col min="19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6.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287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631</v>
      </c>
      <c r="H8" s="3339"/>
      <c r="I8" s="3339"/>
      <c r="J8" s="3339"/>
      <c r="K8" s="3340"/>
      <c r="M8" s="9">
        <v>55</v>
      </c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>
        <v>10000</v>
      </c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>
        <f>M8*M9</f>
        <v>550000</v>
      </c>
    </row>
    <row r="11" spans="2:13">
      <c r="B11" s="3314" t="s">
        <v>37</v>
      </c>
      <c r="C11" s="3315"/>
      <c r="D11" s="3315"/>
      <c r="E11" s="3315"/>
      <c r="F11" s="3315"/>
      <c r="G11" s="3315" t="s">
        <v>288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ht="26.25" customHeight="1">
      <c r="B14" s="3462" t="s">
        <v>8</v>
      </c>
      <c r="C14" s="3463"/>
      <c r="D14" s="3463"/>
      <c r="E14" s="3463"/>
      <c r="F14" s="3464"/>
      <c r="G14" s="3445" t="s">
        <v>458</v>
      </c>
      <c r="H14" s="3446"/>
      <c r="I14" s="3447">
        <v>1</v>
      </c>
      <c r="J14" s="3448"/>
      <c r="K14" s="3449"/>
    </row>
    <row r="15" spans="2:13">
      <c r="B15" s="3459" t="s">
        <v>9</v>
      </c>
      <c r="C15" s="3451"/>
      <c r="D15" s="3451"/>
      <c r="E15" s="3451"/>
      <c r="F15" s="3460"/>
      <c r="G15" s="3532" t="s">
        <v>47</v>
      </c>
      <c r="H15" s="3533"/>
      <c r="I15" s="3453">
        <f>K24</f>
        <v>0</v>
      </c>
      <c r="J15" s="3454"/>
      <c r="K15" s="3455"/>
    </row>
    <row r="16" spans="2:13" ht="16.5" customHeight="1">
      <c r="B16" s="3439" t="s">
        <v>10</v>
      </c>
      <c r="C16" s="3451"/>
      <c r="D16" s="3451"/>
      <c r="E16" s="3451"/>
      <c r="F16" s="3460"/>
      <c r="G16" s="3445" t="s">
        <v>1209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403</v>
      </c>
      <c r="H17" s="3446"/>
      <c r="I17" s="3456">
        <v>1</v>
      </c>
      <c r="J17" s="3457"/>
      <c r="K17" s="3458"/>
    </row>
    <row r="18" spans="2:18" ht="16.5" customHeight="1">
      <c r="B18" s="3482" t="s">
        <v>404</v>
      </c>
      <c r="C18" s="3489"/>
      <c r="D18" s="3489"/>
      <c r="E18" s="3489"/>
      <c r="F18" s="3489"/>
      <c r="G18" s="3489"/>
      <c r="H18" s="3489"/>
      <c r="I18" s="3489"/>
      <c r="J18" s="3489"/>
      <c r="K18" s="3483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 ht="16.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302"/>
      <c r="M21" s="302"/>
      <c r="N21" s="302"/>
      <c r="O21" s="302"/>
      <c r="P21" s="302"/>
      <c r="Q21" s="302"/>
      <c r="R21" s="3378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317" t="s">
        <v>177</v>
      </c>
      <c r="M22" s="317" t="s">
        <v>594</v>
      </c>
      <c r="N22" s="317" t="s">
        <v>651</v>
      </c>
      <c r="O22" s="317" t="s">
        <v>595</v>
      </c>
      <c r="P22" s="317" t="s">
        <v>652</v>
      </c>
      <c r="Q22" s="317" t="s">
        <v>593</v>
      </c>
      <c r="R22" s="3379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5">
        <v>3</v>
      </c>
      <c r="I23" s="17">
        <v>4</v>
      </c>
      <c r="J23" s="17">
        <v>5</v>
      </c>
      <c r="K23" s="18" t="s">
        <v>22</v>
      </c>
      <c r="L23" s="302">
        <v>6</v>
      </c>
      <c r="M23" s="302">
        <v>7</v>
      </c>
      <c r="N23" s="302">
        <v>8</v>
      </c>
      <c r="O23" s="302">
        <v>9</v>
      </c>
      <c r="P23" s="302">
        <v>10</v>
      </c>
      <c r="Q23" s="302">
        <v>11</v>
      </c>
      <c r="R23" s="302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190"/>
      <c r="I24" s="17"/>
      <c r="J24" s="46"/>
      <c r="K24" s="47">
        <f>K25</f>
        <v>0</v>
      </c>
      <c r="L24" s="305"/>
      <c r="M24" s="305"/>
      <c r="N24" s="305"/>
      <c r="O24" s="305"/>
      <c r="P24" s="305"/>
      <c r="Q24" s="303"/>
      <c r="R24" s="303"/>
    </row>
    <row r="25" spans="2:18" ht="14.25" customHeight="1">
      <c r="B25" s="144">
        <v>5</v>
      </c>
      <c r="C25" s="143">
        <v>2</v>
      </c>
      <c r="D25" s="143">
        <v>3</v>
      </c>
      <c r="E25" s="143"/>
      <c r="F25" s="143"/>
      <c r="G25" s="145" t="s">
        <v>78</v>
      </c>
      <c r="H25" s="190"/>
      <c r="I25" s="17"/>
      <c r="J25" s="46"/>
      <c r="K25" s="47">
        <f>K26</f>
        <v>0</v>
      </c>
      <c r="L25" s="305"/>
      <c r="M25" s="305"/>
      <c r="N25" s="305"/>
      <c r="O25" s="305"/>
      <c r="P25" s="305"/>
      <c r="Q25" s="303"/>
      <c r="R25" s="303"/>
    </row>
    <row r="26" spans="2:18" ht="27.75" customHeight="1">
      <c r="B26" s="135">
        <v>5</v>
      </c>
      <c r="C26" s="136">
        <v>2</v>
      </c>
      <c r="D26" s="136">
        <v>3</v>
      </c>
      <c r="E26" s="38">
        <v>26</v>
      </c>
      <c r="F26" s="38"/>
      <c r="G26" s="48" t="s">
        <v>289</v>
      </c>
      <c r="H26" s="190"/>
      <c r="I26" s="37"/>
      <c r="J26" s="119"/>
      <c r="K26" s="120">
        <f>K27</f>
        <v>0</v>
      </c>
      <c r="L26" s="304"/>
      <c r="M26" s="303"/>
      <c r="N26" s="303"/>
      <c r="O26" s="303"/>
      <c r="P26" s="303"/>
      <c r="Q26" s="303"/>
      <c r="R26" s="303"/>
    </row>
    <row r="27" spans="2:18" ht="25.5">
      <c r="B27" s="135">
        <v>5</v>
      </c>
      <c r="C27" s="136">
        <v>2</v>
      </c>
      <c r="D27" s="136">
        <v>3</v>
      </c>
      <c r="E27" s="38">
        <v>26</v>
      </c>
      <c r="F27" s="38" t="s">
        <v>44</v>
      </c>
      <c r="G27" s="20" t="s">
        <v>1206</v>
      </c>
      <c r="H27" s="190"/>
      <c r="I27" s="17"/>
      <c r="J27" s="46"/>
      <c r="K27" s="50">
        <f>SUM(K28:K28)</f>
        <v>0</v>
      </c>
      <c r="L27" s="305"/>
      <c r="M27" s="305"/>
      <c r="N27" s="305"/>
      <c r="O27" s="305"/>
      <c r="P27" s="305"/>
      <c r="Q27" s="303"/>
      <c r="R27" s="303"/>
    </row>
    <row r="28" spans="2:18" ht="15">
      <c r="B28" s="432"/>
      <c r="C28" s="433"/>
      <c r="D28" s="433"/>
      <c r="E28" s="434"/>
      <c r="F28" s="434"/>
      <c r="G28" s="391" t="s">
        <v>1445</v>
      </c>
      <c r="H28" s="594"/>
      <c r="I28" s="586" t="s">
        <v>85</v>
      </c>
      <c r="J28" s="556">
        <v>20000000</v>
      </c>
      <c r="K28" s="612">
        <f t="shared" ref="K28" si="0">H28*J28</f>
        <v>0</v>
      </c>
      <c r="L28" s="377"/>
      <c r="M28" s="809">
        <f t="shared" ref="M28" si="1">K28</f>
        <v>0</v>
      </c>
      <c r="N28" s="385"/>
      <c r="O28" s="385"/>
      <c r="P28" s="385"/>
      <c r="Q28" s="385"/>
      <c r="R28" s="385"/>
    </row>
    <row r="29" spans="2:18" ht="15">
      <c r="B29" s="432"/>
      <c r="C29" s="433"/>
      <c r="D29" s="433"/>
      <c r="E29" s="434"/>
      <c r="F29" s="434"/>
      <c r="G29" s="554"/>
      <c r="H29" s="555"/>
      <c r="I29" s="380"/>
      <c r="J29" s="556"/>
      <c r="K29" s="417"/>
      <c r="L29" s="377"/>
      <c r="M29" s="414">
        <f>K29</f>
        <v>0</v>
      </c>
      <c r="N29" s="385"/>
      <c r="O29" s="385"/>
      <c r="P29" s="385"/>
      <c r="Q29" s="385"/>
      <c r="R29" s="385"/>
    </row>
    <row r="30" spans="2:18" ht="15" customHeight="1" thickBot="1">
      <c r="B30" s="3289" t="s">
        <v>30</v>
      </c>
      <c r="C30" s="3290"/>
      <c r="D30" s="3290"/>
      <c r="E30" s="3290"/>
      <c r="F30" s="3290"/>
      <c r="G30" s="3290"/>
      <c r="H30" s="3290"/>
      <c r="I30" s="3290"/>
      <c r="J30" s="3291"/>
      <c r="K30" s="63">
        <f>K25</f>
        <v>0</v>
      </c>
      <c r="L30" s="305">
        <f t="shared" ref="L30:Q30" si="2">SUM(L28:L29)</f>
        <v>0</v>
      </c>
      <c r="M30" s="305">
        <f t="shared" si="2"/>
        <v>0</v>
      </c>
      <c r="N30" s="305">
        <f t="shared" si="2"/>
        <v>0</v>
      </c>
      <c r="O30" s="305">
        <f t="shared" si="2"/>
        <v>0</v>
      </c>
      <c r="P30" s="305">
        <f t="shared" si="2"/>
        <v>0</v>
      </c>
      <c r="Q30" s="305">
        <f t="shared" si="2"/>
        <v>0</v>
      </c>
      <c r="R30" s="557">
        <f>SUM(L30:Q30)</f>
        <v>0</v>
      </c>
    </row>
    <row r="31" spans="2:18" ht="15.75" thickTop="1">
      <c r="L31" s="305"/>
      <c r="M31" s="305"/>
      <c r="N31" s="305"/>
      <c r="O31" s="305"/>
      <c r="P31" s="305"/>
      <c r="Q31" s="306"/>
      <c r="R31" s="306"/>
    </row>
    <row r="32" spans="2:18" ht="15">
      <c r="L32" s="318"/>
      <c r="M32" s="386"/>
      <c r="N32" s="318"/>
      <c r="O32" s="318"/>
      <c r="P32" s="318"/>
      <c r="Q32" s="319"/>
      <c r="R32" s="319"/>
    </row>
    <row r="33" spans="7:18" ht="15">
      <c r="H33" s="3336" t="s">
        <v>1534</v>
      </c>
      <c r="I33" s="3336"/>
      <c r="J33" s="3336"/>
      <c r="K33" s="41"/>
      <c r="L33" s="318"/>
      <c r="M33" s="329"/>
      <c r="N33" s="330"/>
      <c r="O33" s="330"/>
      <c r="P33" s="330"/>
      <c r="Q33" s="319"/>
      <c r="R33" s="319"/>
    </row>
    <row r="34" spans="7:18" ht="15">
      <c r="G34" s="41"/>
      <c r="H34" s="3337" t="s">
        <v>272</v>
      </c>
      <c r="I34" s="3337"/>
      <c r="J34" s="3485"/>
      <c r="L34" s="305"/>
      <c r="M34" s="308"/>
      <c r="N34" s="309"/>
      <c r="O34" s="309"/>
      <c r="P34" s="309"/>
      <c r="Q34" s="306"/>
      <c r="R34" s="306"/>
    </row>
    <row r="35" spans="7:18" ht="15">
      <c r="H35" s="127"/>
      <c r="I35" s="127"/>
      <c r="J35" s="127"/>
      <c r="L35" s="305"/>
      <c r="M35" s="310"/>
      <c r="N35" s="306"/>
      <c r="O35" s="306"/>
      <c r="P35" s="306"/>
      <c r="Q35" s="309"/>
      <c r="R35" s="306"/>
    </row>
    <row r="36" spans="7:18" ht="15">
      <c r="H36" s="127"/>
      <c r="I36" s="127"/>
      <c r="J36" s="127"/>
      <c r="L36" s="305"/>
      <c r="M36" s="305"/>
      <c r="N36" s="305"/>
      <c r="O36" s="305"/>
      <c r="P36" s="305"/>
      <c r="Q36" s="306"/>
      <c r="R36" s="316"/>
    </row>
    <row r="37" spans="7:18" ht="15">
      <c r="H37" s="3338" t="s">
        <v>904</v>
      </c>
      <c r="I37" s="3338"/>
      <c r="J37" s="3338"/>
      <c r="L37" s="305"/>
      <c r="M37" s="308"/>
      <c r="N37" s="309"/>
      <c r="O37" s="309"/>
      <c r="P37" s="309"/>
      <c r="Q37" s="306"/>
      <c r="R37" s="306"/>
    </row>
    <row r="38" spans="7:18" ht="15">
      <c r="H38" s="3338" t="s">
        <v>906</v>
      </c>
      <c r="I38" s="3338"/>
      <c r="J38" s="3338"/>
      <c r="L38" s="305"/>
      <c r="M38" s="311"/>
      <c r="N38" s="312"/>
      <c r="O38" s="312"/>
      <c r="P38" s="312"/>
      <c r="Q38" s="306"/>
      <c r="R38" s="306"/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38:J38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30:J30"/>
    <mergeCell ref="H33:J33"/>
    <mergeCell ref="H34:J34"/>
    <mergeCell ref="H37:J37"/>
  </mergeCells>
  <pageMargins left="0.12" right="0.22" top="0.54" bottom="0.3" header="0.3" footer="0.13"/>
  <pageSetup paperSize="5" scale="94" orientation="portrait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7030A0"/>
  </sheetPr>
  <dimension ref="B1:T50"/>
  <sheetViews>
    <sheetView view="pageBreakPreview" topLeftCell="B20" zoomScale="110" zoomScaleSheetLayoutView="110" workbookViewId="0">
      <selection activeCell="B24" sqref="B24:K40"/>
    </sheetView>
  </sheetViews>
  <sheetFormatPr defaultRowHeight="12.75"/>
  <cols>
    <col min="1" max="1" width="1.140625" style="2" customWidth="1"/>
    <col min="2" max="6" width="3.5703125" style="2" customWidth="1"/>
    <col min="7" max="7" width="47.42578125" style="2" customWidth="1"/>
    <col min="8" max="8" width="9.140625" style="2" bestFit="1" customWidth="1"/>
    <col min="9" max="9" width="6.85546875" style="2" bestFit="1" customWidth="1"/>
    <col min="10" max="10" width="11.28515625" style="2" customWidth="1"/>
    <col min="11" max="11" width="10.85546875" style="2" bestFit="1" customWidth="1"/>
    <col min="12" max="12" width="14.42578125" style="2" bestFit="1" customWidth="1"/>
    <col min="13" max="13" width="5.85546875" style="2" bestFit="1" customWidth="1"/>
    <col min="14" max="14" width="4.7109375" style="2" bestFit="1" customWidth="1"/>
    <col min="15" max="15" width="4.85546875" style="2" bestFit="1" customWidth="1"/>
    <col min="16" max="16" width="6" style="2" bestFit="1" customWidth="1"/>
    <col min="17" max="17" width="5.140625" style="2" bestFit="1" customWidth="1"/>
    <col min="18" max="18" width="15.85546875" style="2" bestFit="1" customWidth="1"/>
    <col min="19" max="19" width="13.28515625" style="193" bestFit="1" customWidth="1"/>
    <col min="20" max="20" width="13.7109375" style="2" bestFit="1" customWidth="1"/>
    <col min="21" max="16384" width="9.140625" style="2"/>
  </cols>
  <sheetData>
    <row r="1" spans="2:13" ht="14.25" thickTop="1" thickBot="1">
      <c r="B1" s="3554"/>
      <c r="C1" s="3555"/>
      <c r="D1" s="3555"/>
      <c r="E1" s="3556"/>
      <c r="F1" s="3556"/>
      <c r="G1" s="3556"/>
      <c r="H1" s="3556"/>
      <c r="I1" s="3556"/>
      <c r="J1" s="3556"/>
      <c r="K1" s="3557"/>
    </row>
    <row r="2" spans="2:13" ht="17.25" customHeight="1" thickTop="1">
      <c r="B2" s="3558"/>
      <c r="C2" s="3559"/>
      <c r="D2" s="3559"/>
      <c r="E2" s="3562" t="s">
        <v>274</v>
      </c>
      <c r="F2" s="3563"/>
      <c r="G2" s="3563"/>
      <c r="H2" s="3564"/>
      <c r="I2" s="3565" t="s">
        <v>0</v>
      </c>
      <c r="J2" s="3566"/>
      <c r="K2" s="198" t="s">
        <v>1</v>
      </c>
    </row>
    <row r="3" spans="2:13" ht="16.5" customHeight="1">
      <c r="B3" s="3560"/>
      <c r="C3" s="3561"/>
      <c r="D3" s="3561"/>
      <c r="E3" s="3567" t="s">
        <v>2</v>
      </c>
      <c r="F3" s="3568"/>
      <c r="G3" s="3568"/>
      <c r="H3" s="3569"/>
      <c r="I3" s="3570"/>
      <c r="J3" s="3571"/>
      <c r="K3" s="199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575" t="s">
        <v>31</v>
      </c>
      <c r="C5" s="3576"/>
      <c r="D5" s="3576"/>
      <c r="E5" s="3576"/>
      <c r="F5" s="3576"/>
      <c r="G5" s="3576" t="s">
        <v>38</v>
      </c>
      <c r="H5" s="3576"/>
      <c r="I5" s="3576"/>
      <c r="J5" s="3576"/>
      <c r="K5" s="3577"/>
    </row>
    <row r="6" spans="2:13">
      <c r="B6" s="3572" t="s">
        <v>32</v>
      </c>
      <c r="C6" s="3573"/>
      <c r="D6" s="3573"/>
      <c r="E6" s="3573"/>
      <c r="F6" s="3573"/>
      <c r="G6" s="3573" t="s">
        <v>39</v>
      </c>
      <c r="H6" s="3573"/>
      <c r="I6" s="3573"/>
      <c r="J6" s="3573"/>
      <c r="K6" s="3574"/>
    </row>
    <row r="7" spans="2:13">
      <c r="B7" s="3578" t="s">
        <v>33</v>
      </c>
      <c r="C7" s="3579"/>
      <c r="D7" s="3579"/>
      <c r="E7" s="3579"/>
      <c r="F7" s="3579"/>
      <c r="G7" s="3580" t="s">
        <v>126</v>
      </c>
      <c r="H7" s="3580"/>
      <c r="I7" s="3580"/>
      <c r="J7" s="3580"/>
      <c r="K7" s="3581"/>
    </row>
    <row r="8" spans="2:13">
      <c r="B8" s="3578" t="s">
        <v>34</v>
      </c>
      <c r="C8" s="3579"/>
      <c r="D8" s="3579"/>
      <c r="E8" s="3579"/>
      <c r="F8" s="3579"/>
      <c r="G8" s="3579" t="s">
        <v>198</v>
      </c>
      <c r="H8" s="3579"/>
      <c r="I8" s="3579"/>
      <c r="J8" s="3579"/>
      <c r="K8" s="3582"/>
    </row>
    <row r="9" spans="2:13">
      <c r="B9" s="200" t="s">
        <v>35</v>
      </c>
      <c r="C9" s="201"/>
      <c r="D9" s="201"/>
      <c r="E9" s="201"/>
      <c r="F9" s="201"/>
      <c r="G9" s="3339" t="s">
        <v>1152</v>
      </c>
      <c r="H9" s="3339"/>
      <c r="I9" s="3339"/>
      <c r="J9" s="3339"/>
      <c r="K9" s="3340"/>
      <c r="M9" s="193"/>
    </row>
    <row r="10" spans="2:13">
      <c r="B10" s="3578" t="s">
        <v>36</v>
      </c>
      <c r="C10" s="3579"/>
      <c r="D10" s="3579"/>
      <c r="E10" s="3579"/>
      <c r="F10" s="3579"/>
      <c r="G10" s="3579" t="s">
        <v>41</v>
      </c>
      <c r="H10" s="3579"/>
      <c r="I10" s="3579"/>
      <c r="J10" s="3579"/>
      <c r="K10" s="3582"/>
      <c r="M10" s="193"/>
    </row>
    <row r="11" spans="2:13">
      <c r="B11" s="3572" t="s">
        <v>37</v>
      </c>
      <c r="C11" s="3573"/>
      <c r="D11" s="3573"/>
      <c r="E11" s="3573"/>
      <c r="F11" s="3573"/>
      <c r="G11" s="3573" t="s">
        <v>179</v>
      </c>
      <c r="H11" s="3573"/>
      <c r="I11" s="3573"/>
      <c r="J11" s="3573"/>
      <c r="K11" s="3574"/>
    </row>
    <row r="12" spans="2:13">
      <c r="B12" s="3583" t="s">
        <v>4</v>
      </c>
      <c r="C12" s="3584"/>
      <c r="D12" s="3584"/>
      <c r="E12" s="3584"/>
      <c r="F12" s="3584"/>
      <c r="G12" s="3584"/>
      <c r="H12" s="3584"/>
      <c r="I12" s="3584"/>
      <c r="J12" s="3584"/>
      <c r="K12" s="3585"/>
    </row>
    <row r="13" spans="2:13">
      <c r="B13" s="3586" t="s">
        <v>5</v>
      </c>
      <c r="C13" s="3587"/>
      <c r="D13" s="3587"/>
      <c r="E13" s="3587"/>
      <c r="F13" s="3588"/>
      <c r="G13" s="3589" t="s">
        <v>6</v>
      </c>
      <c r="H13" s="3590"/>
      <c r="I13" s="3589" t="s">
        <v>7</v>
      </c>
      <c r="J13" s="3591"/>
      <c r="K13" s="3592"/>
    </row>
    <row r="14" spans="2:13">
      <c r="B14" s="3593" t="s">
        <v>8</v>
      </c>
      <c r="C14" s="3594"/>
      <c r="D14" s="3594"/>
      <c r="E14" s="3594"/>
      <c r="F14" s="3595"/>
      <c r="G14" s="3596" t="s">
        <v>200</v>
      </c>
      <c r="H14" s="3597"/>
      <c r="I14" s="3598">
        <v>1</v>
      </c>
      <c r="J14" s="3599"/>
      <c r="K14" s="3600"/>
    </row>
    <row r="15" spans="2:13">
      <c r="B15" s="3601" t="s">
        <v>9</v>
      </c>
      <c r="C15" s="3602"/>
      <c r="D15" s="3602"/>
      <c r="E15" s="3602"/>
      <c r="F15" s="3603"/>
      <c r="G15" s="3604" t="s">
        <v>47</v>
      </c>
      <c r="H15" s="3605"/>
      <c r="I15" s="3606">
        <f>K24</f>
        <v>240012000</v>
      </c>
      <c r="J15" s="3607"/>
      <c r="K15" s="3608"/>
    </row>
    <row r="16" spans="2:13">
      <c r="B16" s="3609" t="s">
        <v>10</v>
      </c>
      <c r="C16" s="3602"/>
      <c r="D16" s="3602"/>
      <c r="E16" s="3602"/>
      <c r="F16" s="3603"/>
      <c r="G16" s="3596" t="s">
        <v>199</v>
      </c>
      <c r="H16" s="3597"/>
      <c r="I16" s="3610">
        <v>1</v>
      </c>
      <c r="J16" s="3605"/>
      <c r="K16" s="3611"/>
    </row>
    <row r="17" spans="2:18">
      <c r="B17" s="3609" t="s">
        <v>11</v>
      </c>
      <c r="C17" s="3602"/>
      <c r="D17" s="3602"/>
      <c r="E17" s="3602"/>
      <c r="F17" s="3603"/>
      <c r="G17" s="3596" t="s">
        <v>201</v>
      </c>
      <c r="H17" s="3597"/>
      <c r="I17" s="3610">
        <v>1</v>
      </c>
      <c r="J17" s="3605"/>
      <c r="K17" s="3611"/>
    </row>
    <row r="18" spans="2:18">
      <c r="B18" s="3627" t="s">
        <v>76</v>
      </c>
      <c r="C18" s="3628"/>
      <c r="D18" s="3628"/>
      <c r="E18" s="3628"/>
      <c r="F18" s="3628"/>
      <c r="G18" s="3628"/>
      <c r="H18" s="3628"/>
      <c r="I18" s="3628"/>
      <c r="J18" s="3628"/>
      <c r="K18" s="3629"/>
    </row>
    <row r="19" spans="2:18" ht="15" customHeight="1">
      <c r="B19" s="3612" t="s">
        <v>72</v>
      </c>
      <c r="C19" s="3613"/>
      <c r="D19" s="3613"/>
      <c r="E19" s="3613"/>
      <c r="F19" s="3613"/>
      <c r="G19" s="3613"/>
      <c r="H19" s="3613"/>
      <c r="I19" s="3613"/>
      <c r="J19" s="3613"/>
      <c r="K19" s="3630"/>
      <c r="L19" s="305"/>
      <c r="M19" s="305"/>
      <c r="N19" s="305"/>
      <c r="O19" s="305"/>
      <c r="P19" s="305"/>
      <c r="Q19" s="303"/>
      <c r="R19" s="303"/>
    </row>
    <row r="20" spans="2:18">
      <c r="B20" s="3615"/>
      <c r="C20" s="3616"/>
      <c r="D20" s="3616"/>
      <c r="E20" s="3616"/>
      <c r="F20" s="3616"/>
      <c r="G20" s="3616"/>
      <c r="H20" s="3616"/>
      <c r="I20" s="3616"/>
      <c r="J20" s="3616"/>
      <c r="K20" s="3631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 ht="15" customHeight="1">
      <c r="B21" s="3612" t="s">
        <v>14</v>
      </c>
      <c r="C21" s="3613"/>
      <c r="D21" s="3613"/>
      <c r="E21" s="3613"/>
      <c r="F21" s="3614"/>
      <c r="G21" s="3618" t="s">
        <v>15</v>
      </c>
      <c r="H21" s="3620" t="s">
        <v>16</v>
      </c>
      <c r="I21" s="3621"/>
      <c r="J21" s="3622"/>
      <c r="K21" s="202" t="s">
        <v>17</v>
      </c>
      <c r="L21" s="1150"/>
      <c r="M21" s="1150"/>
      <c r="N21" s="1150"/>
      <c r="O21" s="1150"/>
      <c r="P21" s="1150"/>
      <c r="Q21" s="1150"/>
      <c r="R21" s="3378"/>
    </row>
    <row r="22" spans="2:18">
      <c r="B22" s="3615"/>
      <c r="C22" s="3616"/>
      <c r="D22" s="3616"/>
      <c r="E22" s="3616"/>
      <c r="F22" s="3617"/>
      <c r="G22" s="3619"/>
      <c r="H22" s="203" t="s">
        <v>18</v>
      </c>
      <c r="I22" s="203" t="s">
        <v>19</v>
      </c>
      <c r="J22" s="203" t="s">
        <v>20</v>
      </c>
      <c r="K22" s="199" t="s">
        <v>21</v>
      </c>
      <c r="L22" s="1149" t="s">
        <v>177</v>
      </c>
      <c r="M22" s="1149" t="s">
        <v>594</v>
      </c>
      <c r="N22" s="1149" t="s">
        <v>651</v>
      </c>
      <c r="O22" s="1149" t="s">
        <v>595</v>
      </c>
      <c r="P22" s="1149" t="s">
        <v>652</v>
      </c>
      <c r="Q22" s="1149" t="s">
        <v>593</v>
      </c>
      <c r="R22" s="3379"/>
    </row>
    <row r="23" spans="2:18">
      <c r="B23" s="3583">
        <v>1</v>
      </c>
      <c r="C23" s="3584"/>
      <c r="D23" s="3584"/>
      <c r="E23" s="3584"/>
      <c r="F23" s="3623"/>
      <c r="G23" s="204">
        <v>2</v>
      </c>
      <c r="H23" s="195">
        <v>3</v>
      </c>
      <c r="I23" s="195">
        <v>4</v>
      </c>
      <c r="J23" s="195">
        <v>5</v>
      </c>
      <c r="K23" s="205" t="s">
        <v>22</v>
      </c>
      <c r="L23" s="1150">
        <v>6</v>
      </c>
      <c r="M23" s="1150">
        <v>7</v>
      </c>
      <c r="N23" s="1150">
        <v>8</v>
      </c>
      <c r="O23" s="1150">
        <v>9</v>
      </c>
      <c r="P23" s="1150">
        <v>10</v>
      </c>
      <c r="Q23" s="1150">
        <v>11</v>
      </c>
      <c r="R23" s="1150">
        <v>12</v>
      </c>
    </row>
    <row r="24" spans="2:18" ht="15.75" customHeight="1">
      <c r="B24" s="206">
        <v>5</v>
      </c>
      <c r="C24" s="195">
        <v>2</v>
      </c>
      <c r="D24" s="195"/>
      <c r="E24" s="195"/>
      <c r="F24" s="195"/>
      <c r="G24" s="207" t="s">
        <v>23</v>
      </c>
      <c r="H24" s="996"/>
      <c r="I24" s="195"/>
      <c r="J24" s="196"/>
      <c r="K24" s="231">
        <f>K25</f>
        <v>240012000</v>
      </c>
      <c r="L24" s="305"/>
      <c r="M24" s="305"/>
      <c r="N24" s="305"/>
      <c r="O24" s="305"/>
      <c r="P24" s="305"/>
      <c r="Q24" s="303"/>
      <c r="R24" s="303"/>
    </row>
    <row r="25" spans="2:18" ht="14.25" customHeight="1">
      <c r="B25" s="206">
        <v>5</v>
      </c>
      <c r="C25" s="195">
        <v>2</v>
      </c>
      <c r="D25" s="195">
        <v>2</v>
      </c>
      <c r="E25" s="195"/>
      <c r="F25" s="195"/>
      <c r="G25" s="207" t="s">
        <v>43</v>
      </c>
      <c r="H25" s="996"/>
      <c r="I25" s="195"/>
      <c r="J25" s="196"/>
      <c r="K25" s="231">
        <f>K26</f>
        <v>240012000</v>
      </c>
      <c r="L25" s="305"/>
      <c r="M25" s="305"/>
      <c r="N25" s="305"/>
      <c r="O25" s="305"/>
      <c r="P25" s="305"/>
      <c r="Q25" s="303"/>
      <c r="R25" s="303"/>
    </row>
    <row r="26" spans="2:18">
      <c r="B26" s="209">
        <v>5</v>
      </c>
      <c r="C26" s="210">
        <v>2</v>
      </c>
      <c r="D26" s="210">
        <v>2</v>
      </c>
      <c r="E26" s="211" t="s">
        <v>80</v>
      </c>
      <c r="F26" s="195"/>
      <c r="G26" s="212" t="s">
        <v>202</v>
      </c>
      <c r="H26" s="996"/>
      <c r="I26" s="195"/>
      <c r="J26" s="196"/>
      <c r="K26" s="231">
        <f>K27+K31+K38</f>
        <v>240012000</v>
      </c>
      <c r="L26" s="304"/>
      <c r="M26" s="303"/>
      <c r="N26" s="303"/>
      <c r="O26" s="303"/>
      <c r="P26" s="303"/>
      <c r="Q26" s="303"/>
      <c r="R26" s="303"/>
    </row>
    <row r="27" spans="2:18">
      <c r="B27" s="209">
        <v>5</v>
      </c>
      <c r="C27" s="210">
        <v>2</v>
      </c>
      <c r="D27" s="210">
        <v>2</v>
      </c>
      <c r="E27" s="211" t="s">
        <v>80</v>
      </c>
      <c r="F27" s="211" t="s">
        <v>24</v>
      </c>
      <c r="G27" s="212" t="s">
        <v>203</v>
      </c>
      <c r="H27" s="996"/>
      <c r="I27" s="195"/>
      <c r="J27" s="196"/>
      <c r="K27" s="232">
        <f>SUM(K28:K30)</f>
        <v>78600000</v>
      </c>
      <c r="L27" s="305"/>
      <c r="M27" s="305"/>
      <c r="N27" s="305"/>
      <c r="O27" s="305"/>
      <c r="P27" s="305"/>
      <c r="Q27" s="303"/>
      <c r="R27" s="303"/>
    </row>
    <row r="28" spans="2:18" ht="27.75" customHeight="1">
      <c r="B28" s="356"/>
      <c r="C28" s="194"/>
      <c r="D28" s="194"/>
      <c r="E28" s="357"/>
      <c r="F28" s="357"/>
      <c r="G28" s="358" t="s">
        <v>1477</v>
      </c>
      <c r="H28" s="999">
        <v>6</v>
      </c>
      <c r="I28" s="229" t="s">
        <v>377</v>
      </c>
      <c r="J28" s="230">
        <f>12000000</f>
        <v>12000000</v>
      </c>
      <c r="K28" s="238">
        <f>H28*J28</f>
        <v>72000000</v>
      </c>
      <c r="L28" s="305">
        <f>K28</f>
        <v>72000000</v>
      </c>
      <c r="M28" s="401"/>
      <c r="N28" s="401"/>
      <c r="O28" s="303"/>
      <c r="P28" s="303"/>
      <c r="Q28" s="303"/>
      <c r="R28" s="303"/>
    </row>
    <row r="29" spans="2:18">
      <c r="B29" s="233"/>
      <c r="C29" s="234"/>
      <c r="D29" s="234"/>
      <c r="E29" s="235"/>
      <c r="F29" s="235"/>
      <c r="G29" s="358" t="s">
        <v>471</v>
      </c>
      <c r="H29" s="1000">
        <v>3</v>
      </c>
      <c r="I29" s="229" t="s">
        <v>377</v>
      </c>
      <c r="J29" s="359">
        <v>2200000</v>
      </c>
      <c r="K29" s="238">
        <f>H29*J29</f>
        <v>6600000</v>
      </c>
      <c r="L29" s="305">
        <f>K29</f>
        <v>6600000</v>
      </c>
      <c r="M29" s="305"/>
      <c r="N29" s="401"/>
      <c r="O29" s="305"/>
      <c r="P29" s="305"/>
      <c r="Q29" s="303"/>
      <c r="R29" s="303"/>
    </row>
    <row r="30" spans="2:18">
      <c r="B30" s="233"/>
      <c r="C30" s="234"/>
      <c r="D30" s="234"/>
      <c r="E30" s="235"/>
      <c r="F30" s="235"/>
      <c r="G30" s="237"/>
      <c r="H30" s="1001"/>
      <c r="I30" s="224"/>
      <c r="J30" s="225"/>
      <c r="K30" s="238"/>
      <c r="L30" s="305"/>
      <c r="M30" s="303"/>
      <c r="N30" s="401"/>
      <c r="O30" s="303"/>
      <c r="P30" s="303"/>
      <c r="Q30" s="303"/>
      <c r="R30" s="303"/>
    </row>
    <row r="31" spans="2:18">
      <c r="B31" s="209">
        <v>5</v>
      </c>
      <c r="C31" s="210">
        <v>2</v>
      </c>
      <c r="D31" s="210">
        <v>2</v>
      </c>
      <c r="E31" s="211" t="s">
        <v>80</v>
      </c>
      <c r="F31" s="211" t="s">
        <v>44</v>
      </c>
      <c r="G31" s="223" t="s">
        <v>470</v>
      </c>
      <c r="H31" s="1001"/>
      <c r="I31" s="224"/>
      <c r="J31" s="225"/>
      <c r="K31" s="239">
        <f>SUM(K32:K36)</f>
        <v>144912000</v>
      </c>
      <c r="L31" s="305"/>
      <c r="M31" s="305"/>
      <c r="N31" s="401"/>
      <c r="O31" s="305"/>
      <c r="P31" s="305"/>
      <c r="Q31" s="303"/>
      <c r="R31" s="303"/>
    </row>
    <row r="32" spans="2:18" ht="25.5">
      <c r="B32" s="226"/>
      <c r="C32" s="227"/>
      <c r="D32" s="227"/>
      <c r="E32" s="228"/>
      <c r="F32" s="228"/>
      <c r="G32" s="358" t="s">
        <v>799</v>
      </c>
      <c r="H32" s="999">
        <f>1*200*12</f>
        <v>2400</v>
      </c>
      <c r="I32" s="229" t="s">
        <v>281</v>
      </c>
      <c r="J32" s="230">
        <v>8000</v>
      </c>
      <c r="K32" s="238">
        <f>J32*H32</f>
        <v>19200000</v>
      </c>
      <c r="L32" s="305">
        <f>K32</f>
        <v>19200000</v>
      </c>
      <c r="M32" s="305"/>
      <c r="N32" s="401"/>
      <c r="O32" s="305"/>
      <c r="P32" s="305"/>
      <c r="Q32" s="306"/>
      <c r="R32" s="306"/>
    </row>
    <row r="33" spans="2:20" ht="29.25" customHeight="1">
      <c r="B33" s="226"/>
      <c r="C33" s="227"/>
      <c r="D33" s="227"/>
      <c r="E33" s="228"/>
      <c r="F33" s="228"/>
      <c r="G33" s="222" t="s">
        <v>1708</v>
      </c>
      <c r="H33" s="999">
        <f>2*200*12</f>
        <v>4800</v>
      </c>
      <c r="I33" s="229" t="s">
        <v>281</v>
      </c>
      <c r="J33" s="230">
        <v>6600</v>
      </c>
      <c r="K33" s="238">
        <f>J33*H33</f>
        <v>31680000</v>
      </c>
      <c r="L33" s="305">
        <f t="shared" ref="L33:L36" si="0">K33</f>
        <v>31680000</v>
      </c>
      <c r="M33" s="305"/>
      <c r="N33" s="401"/>
      <c r="O33" s="309"/>
      <c r="P33" s="309"/>
      <c r="Q33" s="306"/>
      <c r="R33" s="306"/>
    </row>
    <row r="34" spans="2:20" ht="28.5" customHeight="1">
      <c r="B34" s="226"/>
      <c r="C34" s="227"/>
      <c r="D34" s="227"/>
      <c r="E34" s="228"/>
      <c r="F34" s="228"/>
      <c r="G34" s="222" t="s">
        <v>1709</v>
      </c>
      <c r="H34" s="999">
        <f>3*200*12</f>
        <v>7200</v>
      </c>
      <c r="I34" s="229" t="s">
        <v>281</v>
      </c>
      <c r="J34" s="230">
        <v>6400</v>
      </c>
      <c r="K34" s="238">
        <f>J34*H34</f>
        <v>46080000</v>
      </c>
      <c r="L34" s="305">
        <f t="shared" si="0"/>
        <v>46080000</v>
      </c>
      <c r="M34" s="305"/>
      <c r="N34" s="401"/>
      <c r="O34" s="306"/>
      <c r="P34" s="306"/>
      <c r="Q34" s="309"/>
      <c r="R34" s="306"/>
    </row>
    <row r="35" spans="2:20" ht="25.5">
      <c r="B35" s="226"/>
      <c r="C35" s="227"/>
      <c r="D35" s="227"/>
      <c r="E35" s="228"/>
      <c r="F35" s="228"/>
      <c r="G35" s="358" t="s">
        <v>474</v>
      </c>
      <c r="H35" s="1000">
        <f>3*20*12</f>
        <v>720</v>
      </c>
      <c r="I35" s="229" t="s">
        <v>281</v>
      </c>
      <c r="J35" s="359">
        <v>6600</v>
      </c>
      <c r="K35" s="238">
        <f>H35*J35</f>
        <v>4752000</v>
      </c>
      <c r="L35" s="305">
        <f t="shared" si="0"/>
        <v>4752000</v>
      </c>
      <c r="M35" s="305"/>
      <c r="N35" s="401"/>
      <c r="O35" s="305"/>
      <c r="P35" s="305"/>
      <c r="Q35" s="306"/>
      <c r="R35" s="316"/>
    </row>
    <row r="36" spans="2:20" s="1772" customFormat="1" ht="25.5">
      <c r="B36" s="1760"/>
      <c r="C36" s="1761"/>
      <c r="D36" s="1761"/>
      <c r="E36" s="1762"/>
      <c r="F36" s="1762"/>
      <c r="G36" s="1763" t="s">
        <v>1888</v>
      </c>
      <c r="H36" s="1764">
        <f>3*150*12</f>
        <v>5400</v>
      </c>
      <c r="I36" s="1765" t="s">
        <v>281</v>
      </c>
      <c r="J36" s="1766">
        <v>8000</v>
      </c>
      <c r="K36" s="1767">
        <f>J36*H36</f>
        <v>43200000</v>
      </c>
      <c r="L36" s="305">
        <f t="shared" si="0"/>
        <v>43200000</v>
      </c>
      <c r="M36" s="305"/>
      <c r="N36" s="401"/>
      <c r="O36" s="1768"/>
      <c r="P36" s="1768"/>
      <c r="Q36" s="1770"/>
      <c r="R36" s="1770"/>
      <c r="S36" s="1771"/>
    </row>
    <row r="37" spans="2:20" ht="15">
      <c r="B37" s="226"/>
      <c r="C37" s="227"/>
      <c r="D37" s="227"/>
      <c r="E37" s="228"/>
      <c r="F37" s="228"/>
      <c r="G37" s="222"/>
      <c r="H37" s="999"/>
      <c r="I37" s="229"/>
      <c r="J37" s="230"/>
      <c r="K37" s="238"/>
      <c r="L37" s="305"/>
      <c r="M37" s="308"/>
      <c r="N37" s="401"/>
      <c r="O37" s="309"/>
      <c r="P37" s="309"/>
      <c r="Q37" s="306"/>
      <c r="R37" s="306"/>
    </row>
    <row r="38" spans="2:20" ht="15">
      <c r="B38" s="209">
        <v>5</v>
      </c>
      <c r="C38" s="210">
        <v>2</v>
      </c>
      <c r="D38" s="210">
        <v>2</v>
      </c>
      <c r="E38" s="211" t="s">
        <v>80</v>
      </c>
      <c r="F38" s="211" t="s">
        <v>80</v>
      </c>
      <c r="G38" s="223" t="s">
        <v>510</v>
      </c>
      <c r="H38" s="1001"/>
      <c r="I38" s="224"/>
      <c r="J38" s="225"/>
      <c r="K38" s="239">
        <f>SUM(K39:K41)</f>
        <v>16500000</v>
      </c>
      <c r="L38" s="305"/>
      <c r="M38" s="311"/>
      <c r="N38" s="401"/>
      <c r="O38" s="312"/>
      <c r="P38" s="312"/>
      <c r="Q38" s="306"/>
      <c r="R38" s="306"/>
    </row>
    <row r="39" spans="2:20" ht="25.5">
      <c r="B39" s="226"/>
      <c r="C39" s="227"/>
      <c r="D39" s="227"/>
      <c r="E39" s="228"/>
      <c r="F39" s="228"/>
      <c r="G39" s="237" t="s">
        <v>1478</v>
      </c>
      <c r="H39" s="999">
        <v>6</v>
      </c>
      <c r="I39" s="229" t="s">
        <v>377</v>
      </c>
      <c r="J39" s="230">
        <v>2500000</v>
      </c>
      <c r="K39" s="238">
        <f>H39*J39</f>
        <v>15000000</v>
      </c>
      <c r="L39" s="305">
        <f>K39</f>
        <v>15000000</v>
      </c>
      <c r="M39" s="313"/>
      <c r="N39" s="401"/>
      <c r="O39" s="314"/>
      <c r="P39" s="314"/>
      <c r="Q39" s="306"/>
      <c r="R39" s="306"/>
    </row>
    <row r="40" spans="2:20" ht="25.5">
      <c r="B40" s="226"/>
      <c r="C40" s="227"/>
      <c r="D40" s="227"/>
      <c r="E40" s="228"/>
      <c r="F40" s="228"/>
      <c r="G40" s="237" t="s">
        <v>472</v>
      </c>
      <c r="H40" s="999">
        <v>3</v>
      </c>
      <c r="I40" s="229" t="s">
        <v>377</v>
      </c>
      <c r="J40" s="230">
        <v>500000</v>
      </c>
      <c r="K40" s="238">
        <f>H40*J40</f>
        <v>1500000</v>
      </c>
      <c r="L40" s="305">
        <f>K40</f>
        <v>1500000</v>
      </c>
      <c r="M40" s="310"/>
      <c r="N40" s="401"/>
      <c r="O40" s="306"/>
      <c r="P40" s="306"/>
      <c r="Q40" s="306"/>
      <c r="R40" s="306"/>
    </row>
    <row r="41" spans="2:20" ht="15">
      <c r="B41" s="233"/>
      <c r="C41" s="234"/>
      <c r="D41" s="234"/>
      <c r="E41" s="235"/>
      <c r="F41" s="235"/>
      <c r="G41" s="222"/>
      <c r="H41" s="1166"/>
      <c r="I41" s="229"/>
      <c r="J41" s="1167"/>
      <c r="K41" s="1168"/>
      <c r="L41" s="305"/>
      <c r="M41" s="310"/>
      <c r="N41" s="401">
        <f>K41</f>
        <v>0</v>
      </c>
      <c r="O41" s="306"/>
      <c r="P41" s="306"/>
      <c r="Q41" s="306"/>
      <c r="R41" s="306"/>
    </row>
    <row r="42" spans="2:20" ht="15" customHeight="1" thickBot="1">
      <c r="B42" s="3624" t="s">
        <v>30</v>
      </c>
      <c r="C42" s="3625"/>
      <c r="D42" s="3625"/>
      <c r="E42" s="3625"/>
      <c r="F42" s="3625"/>
      <c r="G42" s="3625"/>
      <c r="H42" s="3625"/>
      <c r="I42" s="3625"/>
      <c r="J42" s="3626"/>
      <c r="K42" s="236">
        <f>K24</f>
        <v>240012000</v>
      </c>
      <c r="L42" s="449">
        <f t="shared" ref="L42:Q42" si="1">SUM(L28:L41)</f>
        <v>240012000</v>
      </c>
      <c r="M42" s="449">
        <f t="shared" si="1"/>
        <v>0</v>
      </c>
      <c r="N42" s="449">
        <f t="shared" si="1"/>
        <v>0</v>
      </c>
      <c r="O42" s="449">
        <f t="shared" si="1"/>
        <v>0</v>
      </c>
      <c r="P42" s="449">
        <f t="shared" si="1"/>
        <v>0</v>
      </c>
      <c r="Q42" s="449">
        <f t="shared" si="1"/>
        <v>0</v>
      </c>
      <c r="R42" s="450">
        <f>SUM(L42:Q42)</f>
        <v>240012000</v>
      </c>
      <c r="T42" s="1086"/>
    </row>
    <row r="43" spans="2:20" ht="15.75" thickTop="1">
      <c r="K43" s="208"/>
      <c r="L43" s="315"/>
      <c r="M43" s="310"/>
      <c r="N43" s="306"/>
      <c r="O43" s="306"/>
      <c r="P43" s="306"/>
      <c r="Q43" s="306"/>
      <c r="R43" s="306"/>
    </row>
    <row r="44" spans="2:20" ht="15">
      <c r="K44" s="208"/>
      <c r="L44" s="1034"/>
      <c r="M44" s="569"/>
      <c r="N44" s="378"/>
      <c r="O44" s="378"/>
      <c r="P44" s="378"/>
      <c r="Q44" s="378"/>
      <c r="R44" s="378"/>
    </row>
    <row r="45" spans="2:20" ht="15">
      <c r="H45" s="3336" t="s">
        <v>1534</v>
      </c>
      <c r="I45" s="3336"/>
      <c r="J45" s="3336"/>
      <c r="K45" s="942"/>
      <c r="L45" s="564"/>
      <c r="M45" s="310"/>
      <c r="N45" s="306"/>
      <c r="O45" s="306"/>
      <c r="P45" s="306"/>
      <c r="Q45" s="306"/>
      <c r="R45" s="306"/>
    </row>
    <row r="46" spans="2:20" ht="15">
      <c r="H46" s="3552" t="s">
        <v>272</v>
      </c>
      <c r="I46" s="3552"/>
      <c r="J46" s="3553"/>
      <c r="K46" s="943"/>
      <c r="L46" s="564"/>
      <c r="M46" s="310"/>
      <c r="N46" s="306"/>
      <c r="O46" s="306"/>
      <c r="P46" s="306"/>
      <c r="Q46" s="306"/>
      <c r="R46" s="306"/>
    </row>
    <row r="47" spans="2:20" ht="15">
      <c r="G47" s="197"/>
      <c r="H47" s="213"/>
      <c r="I47" s="213"/>
      <c r="J47" s="213"/>
      <c r="K47" s="943"/>
      <c r="L47" s="564"/>
      <c r="M47" s="310"/>
      <c r="N47" s="306"/>
      <c r="O47" s="306"/>
      <c r="P47" s="306"/>
      <c r="Q47" s="306"/>
      <c r="R47" s="306"/>
    </row>
    <row r="48" spans="2:20" ht="15">
      <c r="H48" s="213"/>
      <c r="I48" s="213"/>
      <c r="J48" s="213"/>
      <c r="K48" s="1"/>
      <c r="L48" s="564"/>
      <c r="M48" s="310"/>
      <c r="N48" s="306"/>
      <c r="O48" s="306"/>
      <c r="P48" s="306"/>
      <c r="Q48" s="306"/>
      <c r="R48" s="306"/>
    </row>
    <row r="49" spans="8:18" ht="15">
      <c r="H49" s="3434" t="s">
        <v>904</v>
      </c>
      <c r="I49" s="3434"/>
      <c r="J49" s="3434"/>
      <c r="K49" s="1"/>
      <c r="L49" s="564"/>
      <c r="M49" s="310"/>
      <c r="N49" s="306"/>
      <c r="O49" s="306"/>
      <c r="P49" s="306"/>
      <c r="Q49" s="306"/>
      <c r="R49" s="306"/>
    </row>
    <row r="50" spans="8:18" ht="15">
      <c r="H50" s="3434" t="s">
        <v>906</v>
      </c>
      <c r="I50" s="3434"/>
      <c r="J50" s="3434"/>
      <c r="K50" s="1"/>
      <c r="L50" s="564"/>
      <c r="M50" s="310"/>
      <c r="N50" s="306"/>
      <c r="O50" s="306"/>
      <c r="P50" s="306"/>
      <c r="Q50" s="306"/>
      <c r="R50" s="306"/>
    </row>
  </sheetData>
  <mergeCells count="49">
    <mergeCell ref="L20:Q20"/>
    <mergeCell ref="R20:R22"/>
    <mergeCell ref="B23:F23"/>
    <mergeCell ref="B42:J42"/>
    <mergeCell ref="B17:F17"/>
    <mergeCell ref="G17:H17"/>
    <mergeCell ref="I17:K17"/>
    <mergeCell ref="B18:K18"/>
    <mergeCell ref="B19:K20"/>
    <mergeCell ref="B16:F16"/>
    <mergeCell ref="G16:H16"/>
    <mergeCell ref="I16:K16"/>
    <mergeCell ref="B21:F22"/>
    <mergeCell ref="G21:G22"/>
    <mergeCell ref="H21:J21"/>
    <mergeCell ref="B14:F14"/>
    <mergeCell ref="G14:H14"/>
    <mergeCell ref="I14:K14"/>
    <mergeCell ref="B15:F15"/>
    <mergeCell ref="G15:H15"/>
    <mergeCell ref="I15:K15"/>
    <mergeCell ref="G9:K9"/>
    <mergeCell ref="B10:F10"/>
    <mergeCell ref="G10:K10"/>
    <mergeCell ref="B12:K12"/>
    <mergeCell ref="B13:F13"/>
    <mergeCell ref="G13:H13"/>
    <mergeCell ref="I13:K13"/>
    <mergeCell ref="G6:K6"/>
    <mergeCell ref="B7:F7"/>
    <mergeCell ref="G7:K7"/>
    <mergeCell ref="B8:F8"/>
    <mergeCell ref="G8:K8"/>
    <mergeCell ref="H45:J45"/>
    <mergeCell ref="H46:J46"/>
    <mergeCell ref="H49:J49"/>
    <mergeCell ref="H50:J50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</mergeCells>
  <pageMargins left="0.11811023622047245" right="0.23622047244094491" top="0.74803149606299213" bottom="0.6692913385826772" header="0.23622047244094491" footer="0.15748031496062992"/>
  <pageSetup paperSize="5" scale="99" orientation="portrait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7030A0"/>
  </sheetPr>
  <dimension ref="A1:U53"/>
  <sheetViews>
    <sheetView topLeftCell="A18" zoomScaleNormal="100" zoomScaleSheetLayoutView="100" workbookViewId="0">
      <selection activeCell="B26" sqref="B26:K31"/>
    </sheetView>
  </sheetViews>
  <sheetFormatPr defaultRowHeight="12.75"/>
  <cols>
    <col min="1" max="1" width="1.5703125" style="9" customWidth="1"/>
    <col min="2" max="6" width="3.28515625" style="9" customWidth="1"/>
    <col min="7" max="7" width="41.7109375" style="9" bestFit="1" customWidth="1"/>
    <col min="8" max="8" width="8.140625" style="9" bestFit="1" customWidth="1"/>
    <col min="9" max="9" width="8.28515625" style="9" customWidth="1"/>
    <col min="10" max="10" width="13.7109375" style="9" bestFit="1" customWidth="1"/>
    <col min="11" max="11" width="15.140625" style="9" bestFit="1" customWidth="1"/>
    <col min="12" max="12" width="14.5703125" style="9" bestFit="1" customWidth="1"/>
    <col min="13" max="13" width="6" style="9" bestFit="1" customWidth="1"/>
    <col min="14" max="14" width="14.7109375" style="9" bestFit="1" customWidth="1"/>
    <col min="15" max="15" width="4.85546875" style="9" bestFit="1" customWidth="1"/>
    <col min="16" max="16" width="6" style="9" bestFit="1" customWidth="1"/>
    <col min="17" max="17" width="5.140625" style="9" bestFit="1" customWidth="1"/>
    <col min="18" max="18" width="16.28515625" style="9" bestFit="1" customWidth="1"/>
    <col min="19" max="20" width="15.42578125" style="9" bestFit="1" customWidth="1"/>
    <col min="21" max="21" width="11.5703125" style="9" bestFit="1" customWidth="1"/>
    <col min="22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632" t="s">
        <v>31</v>
      </c>
      <c r="C5" s="3633"/>
      <c r="D5" s="3633"/>
      <c r="E5" s="3633"/>
      <c r="F5" s="3633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128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129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ht="15" customHeight="1">
      <c r="B14" s="3462" t="s">
        <v>8</v>
      </c>
      <c r="C14" s="3463"/>
      <c r="D14" s="3463"/>
      <c r="E14" s="3463"/>
      <c r="F14" s="3464"/>
      <c r="G14" s="3445" t="s">
        <v>411</v>
      </c>
      <c r="H14" s="3448"/>
      <c r="I14" s="3450">
        <v>1</v>
      </c>
      <c r="J14" s="3451"/>
      <c r="K14" s="3452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460040000</v>
      </c>
      <c r="J15" s="3454"/>
      <c r="K15" s="3455"/>
    </row>
    <row r="16" spans="2:13" ht="16.5" customHeight="1">
      <c r="B16" s="3439" t="s">
        <v>10</v>
      </c>
      <c r="C16" s="3451"/>
      <c r="D16" s="3451"/>
      <c r="E16" s="3451"/>
      <c r="F16" s="3460"/>
      <c r="G16" s="3445" t="s">
        <v>412</v>
      </c>
      <c r="H16" s="3448"/>
      <c r="I16" s="3456">
        <v>1</v>
      </c>
      <c r="J16" s="3457"/>
      <c r="K16" s="3458"/>
    </row>
    <row r="17" spans="1:18">
      <c r="A17" s="9">
        <v>0</v>
      </c>
      <c r="B17" s="3439" t="s">
        <v>11</v>
      </c>
      <c r="C17" s="3451"/>
      <c r="D17" s="3451"/>
      <c r="E17" s="3451"/>
      <c r="F17" s="3460"/>
      <c r="G17" s="3445" t="s">
        <v>413</v>
      </c>
      <c r="H17" s="3448"/>
      <c r="I17" s="3456">
        <v>1</v>
      </c>
      <c r="J17" s="3457"/>
      <c r="K17" s="3458"/>
    </row>
    <row r="18" spans="1:18">
      <c r="B18" s="3442" t="s">
        <v>130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1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1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1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150"/>
      <c r="M21" s="1150"/>
      <c r="N21" s="1150"/>
      <c r="O21" s="1150"/>
      <c r="P21" s="1150"/>
      <c r="Q21" s="1150"/>
      <c r="R21" s="3378"/>
    </row>
    <row r="22" spans="1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149" t="s">
        <v>177</v>
      </c>
      <c r="M22" s="1149" t="s">
        <v>594</v>
      </c>
      <c r="N22" s="1149" t="s">
        <v>651</v>
      </c>
      <c r="O22" s="1149" t="s">
        <v>595</v>
      </c>
      <c r="P22" s="1149" t="s">
        <v>652</v>
      </c>
      <c r="Q22" s="1149" t="s">
        <v>593</v>
      </c>
      <c r="R22" s="3379"/>
    </row>
    <row r="23" spans="1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150">
        <v>6</v>
      </c>
      <c r="M23" s="1150">
        <v>7</v>
      </c>
      <c r="N23" s="1150">
        <v>8</v>
      </c>
      <c r="O23" s="1150">
        <v>9</v>
      </c>
      <c r="P23" s="1150">
        <v>10</v>
      </c>
      <c r="Q23" s="1150">
        <v>11</v>
      </c>
      <c r="R23" s="1150">
        <v>12</v>
      </c>
    </row>
    <row r="24" spans="1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K25</f>
        <v>460040000</v>
      </c>
      <c r="L24" s="305"/>
      <c r="M24" s="305"/>
      <c r="N24" s="305"/>
      <c r="O24" s="305"/>
      <c r="P24" s="305"/>
      <c r="Q24" s="303"/>
      <c r="R24" s="303"/>
    </row>
    <row r="25" spans="1:18" ht="14.25" customHeight="1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856"/>
      <c r="I25" s="17"/>
      <c r="J25" s="46"/>
      <c r="K25" s="47">
        <f>K26+K33</f>
        <v>460040000</v>
      </c>
      <c r="L25" s="305"/>
      <c r="M25" s="305"/>
      <c r="N25" s="305"/>
      <c r="O25" s="305"/>
      <c r="P25" s="305"/>
      <c r="Q25" s="303"/>
      <c r="R25" s="303"/>
    </row>
    <row r="26" spans="1:18" ht="14.25" customHeight="1">
      <c r="B26" s="1679">
        <v>5</v>
      </c>
      <c r="C26" s="1680">
        <v>2</v>
      </c>
      <c r="D26" s="1680">
        <v>2</v>
      </c>
      <c r="E26" s="1681">
        <v>12</v>
      </c>
      <c r="F26" s="1682"/>
      <c r="G26" s="2319" t="s">
        <v>1167</v>
      </c>
      <c r="H26" s="2024"/>
      <c r="I26" s="1682"/>
      <c r="J26" s="2025"/>
      <c r="K26" s="2026">
        <f>K27</f>
        <v>288200000</v>
      </c>
      <c r="L26" s="1656"/>
      <c r="M26" s="1656"/>
      <c r="N26" s="1656"/>
      <c r="O26" s="1656"/>
      <c r="P26" s="1656"/>
      <c r="Q26" s="1657"/>
      <c r="R26" s="1657"/>
    </row>
    <row r="27" spans="1:18" ht="14.25" customHeight="1">
      <c r="B27" s="1679">
        <v>5</v>
      </c>
      <c r="C27" s="1680">
        <v>2</v>
      </c>
      <c r="D27" s="1680">
        <v>2</v>
      </c>
      <c r="E27" s="1681">
        <v>12</v>
      </c>
      <c r="F27" s="1681" t="s">
        <v>65</v>
      </c>
      <c r="G27" s="2028" t="s">
        <v>1168</v>
      </c>
      <c r="H27" s="2024"/>
      <c r="I27" s="1682"/>
      <c r="J27" s="2025"/>
      <c r="K27" s="2026">
        <f>SUM(K28:K31)</f>
        <v>288200000</v>
      </c>
      <c r="L27" s="1656"/>
      <c r="M27" s="1656"/>
      <c r="N27" s="1656"/>
      <c r="O27" s="1656"/>
      <c r="P27" s="1656"/>
      <c r="Q27" s="1657"/>
      <c r="R27" s="1657"/>
    </row>
    <row r="28" spans="1:18" ht="14.25" customHeight="1">
      <c r="B28" s="1652"/>
      <c r="C28" s="1653"/>
      <c r="D28" s="1653"/>
      <c r="E28" s="1653"/>
      <c r="F28" s="1653"/>
      <c r="G28" s="1654" t="s">
        <v>1700</v>
      </c>
      <c r="H28" s="1663">
        <v>58</v>
      </c>
      <c r="I28" s="1653" t="s">
        <v>1704</v>
      </c>
      <c r="J28" s="1655">
        <v>900000</v>
      </c>
      <c r="K28" s="595">
        <f t="shared" ref="K28:K31" si="0">H28*J28</f>
        <v>52200000</v>
      </c>
      <c r="L28" s="1656"/>
      <c r="M28" s="1656"/>
      <c r="N28" s="1656">
        <f>K28</f>
        <v>52200000</v>
      </c>
      <c r="O28" s="1656"/>
      <c r="P28" s="1656"/>
      <c r="Q28" s="1657"/>
      <c r="R28" s="1657"/>
    </row>
    <row r="29" spans="1:18" ht="14.25" customHeight="1">
      <c r="B29" s="1652"/>
      <c r="C29" s="1653"/>
      <c r="D29" s="1653"/>
      <c r="E29" s="1653"/>
      <c r="F29" s="1653"/>
      <c r="G29" s="1654" t="s">
        <v>1701</v>
      </c>
      <c r="H29" s="1663">
        <v>222</v>
      </c>
      <c r="I29" s="1653" t="s">
        <v>1704</v>
      </c>
      <c r="J29" s="1655">
        <v>650000</v>
      </c>
      <c r="K29" s="595">
        <f t="shared" si="0"/>
        <v>144300000</v>
      </c>
      <c r="L29" s="1656"/>
      <c r="M29" s="1656"/>
      <c r="N29" s="1656">
        <f>K29</f>
        <v>144300000</v>
      </c>
      <c r="O29" s="1656"/>
      <c r="P29" s="1656"/>
      <c r="Q29" s="1657"/>
      <c r="R29" s="1657"/>
    </row>
    <row r="30" spans="1:18" ht="14.25" customHeight="1">
      <c r="B30" s="1652"/>
      <c r="C30" s="1653"/>
      <c r="D30" s="1653"/>
      <c r="E30" s="1653"/>
      <c r="F30" s="1653"/>
      <c r="G30" s="1654" t="s">
        <v>1702</v>
      </c>
      <c r="H30" s="1663">
        <v>157</v>
      </c>
      <c r="I30" s="1653" t="s">
        <v>1704</v>
      </c>
      <c r="J30" s="1655">
        <v>500000</v>
      </c>
      <c r="K30" s="595">
        <f t="shared" si="0"/>
        <v>78500000</v>
      </c>
      <c r="L30" s="1656"/>
      <c r="M30" s="1656"/>
      <c r="N30" s="1656">
        <f>K30</f>
        <v>78500000</v>
      </c>
      <c r="O30" s="1656"/>
      <c r="P30" s="1656"/>
      <c r="Q30" s="1657"/>
      <c r="R30" s="1657"/>
    </row>
    <row r="31" spans="1:18" ht="14.25" customHeight="1">
      <c r="B31" s="1652"/>
      <c r="C31" s="1653"/>
      <c r="D31" s="1653"/>
      <c r="E31" s="1653"/>
      <c r="F31" s="1653"/>
      <c r="G31" s="1654" t="s">
        <v>1703</v>
      </c>
      <c r="H31" s="1663">
        <v>12</v>
      </c>
      <c r="I31" s="1653" t="s">
        <v>1704</v>
      </c>
      <c r="J31" s="1655">
        <v>1100000</v>
      </c>
      <c r="K31" s="595">
        <f t="shared" si="0"/>
        <v>13200000</v>
      </c>
      <c r="L31" s="1656"/>
      <c r="M31" s="1656"/>
      <c r="N31" s="1656">
        <f>K31</f>
        <v>13200000</v>
      </c>
      <c r="O31" s="1656"/>
      <c r="P31" s="1656"/>
      <c r="Q31" s="1657"/>
      <c r="R31" s="1657"/>
    </row>
    <row r="32" spans="1:18" ht="14.25" customHeight="1">
      <c r="B32" s="1652"/>
      <c r="C32" s="1653"/>
      <c r="D32" s="1653"/>
      <c r="E32" s="1653"/>
      <c r="F32" s="1653"/>
      <c r="G32" s="1654"/>
      <c r="H32" s="1663">
        <f>SUM(H28:H31)</f>
        <v>449</v>
      </c>
      <c r="I32" s="2928">
        <f>H32-195</f>
        <v>254</v>
      </c>
      <c r="J32" s="1655"/>
      <c r="K32" s="595"/>
      <c r="L32" s="1656"/>
      <c r="M32" s="564"/>
      <c r="N32" s="1656"/>
      <c r="O32" s="1656"/>
      <c r="P32" s="1656"/>
      <c r="Q32" s="1657"/>
      <c r="R32" s="1657"/>
    </row>
    <row r="33" spans="2:21">
      <c r="B33" s="36">
        <v>5</v>
      </c>
      <c r="C33" s="37">
        <v>2</v>
      </c>
      <c r="D33" s="37">
        <v>2</v>
      </c>
      <c r="E33" s="38">
        <v>13</v>
      </c>
      <c r="F33" s="17"/>
      <c r="G33" s="49" t="s">
        <v>151</v>
      </c>
      <c r="H33" s="857"/>
      <c r="I33" s="4"/>
      <c r="J33" s="5"/>
      <c r="K33" s="56">
        <f>K34+K38</f>
        <v>171840000</v>
      </c>
      <c r="L33" s="305"/>
      <c r="M33" s="303"/>
      <c r="N33" s="414"/>
      <c r="O33" s="303"/>
      <c r="P33" s="303"/>
      <c r="Q33" s="303"/>
      <c r="R33" s="303"/>
    </row>
    <row r="34" spans="2:21" ht="16.5" customHeight="1">
      <c r="B34" s="36">
        <v>5</v>
      </c>
      <c r="C34" s="37">
        <v>2</v>
      </c>
      <c r="D34" s="37">
        <v>2</v>
      </c>
      <c r="E34" s="38">
        <v>13</v>
      </c>
      <c r="F34" s="38" t="s">
        <v>24</v>
      </c>
      <c r="G34" s="48" t="s">
        <v>152</v>
      </c>
      <c r="H34" s="857"/>
      <c r="I34" s="4"/>
      <c r="J34" s="5"/>
      <c r="K34" s="56">
        <f>SUM(K35:K37)</f>
        <v>157600000</v>
      </c>
      <c r="L34" s="305"/>
      <c r="M34" s="305"/>
      <c r="N34" s="414"/>
      <c r="O34" s="305"/>
      <c r="P34" s="305"/>
      <c r="Q34" s="303"/>
      <c r="R34" s="303"/>
    </row>
    <row r="35" spans="2:21" ht="15">
      <c r="B35" s="36"/>
      <c r="C35" s="37"/>
      <c r="D35" s="37"/>
      <c r="E35" s="38"/>
      <c r="F35" s="38"/>
      <c r="G35" s="33" t="s">
        <v>997</v>
      </c>
      <c r="H35" s="1002">
        <f>15*25</f>
        <v>375</v>
      </c>
      <c r="I35" s="375" t="s">
        <v>1704</v>
      </c>
      <c r="J35" s="132">
        <v>400000</v>
      </c>
      <c r="K35" s="93">
        <f>J35*H35</f>
        <v>150000000</v>
      </c>
      <c r="L35" s="305">
        <f>K35</f>
        <v>150000000</v>
      </c>
      <c r="M35" s="305"/>
      <c r="N35" s="414"/>
      <c r="O35" s="305"/>
      <c r="P35" s="305"/>
      <c r="Q35" s="306"/>
      <c r="R35" s="306"/>
    </row>
    <row r="36" spans="2:21" ht="15">
      <c r="B36" s="346"/>
      <c r="C36" s="371"/>
      <c r="D36" s="371"/>
      <c r="E36" s="372"/>
      <c r="F36" s="372"/>
      <c r="G36" s="2244" t="s">
        <v>1714</v>
      </c>
      <c r="H36" s="1469">
        <v>19</v>
      </c>
      <c r="I36" s="375" t="s">
        <v>1704</v>
      </c>
      <c r="J36" s="1470">
        <v>400000</v>
      </c>
      <c r="K36" s="93">
        <f>J36*H36</f>
        <v>7600000</v>
      </c>
      <c r="L36" s="305">
        <f>K36</f>
        <v>7600000</v>
      </c>
      <c r="M36" s="305"/>
      <c r="N36" s="414"/>
      <c r="O36" s="377"/>
      <c r="P36" s="377"/>
      <c r="Q36" s="378"/>
      <c r="R36" s="378"/>
    </row>
    <row r="37" spans="2:21" ht="15">
      <c r="B37" s="346"/>
      <c r="C37" s="371"/>
      <c r="D37" s="371"/>
      <c r="E37" s="372"/>
      <c r="F37" s="372"/>
      <c r="G37" s="462"/>
      <c r="H37" s="646"/>
      <c r="I37" s="380"/>
      <c r="J37" s="563"/>
      <c r="K37" s="395"/>
      <c r="L37" s="377"/>
      <c r="M37" s="564"/>
      <c r="N37" s="560"/>
      <c r="O37" s="377"/>
      <c r="P37" s="377"/>
      <c r="Q37" s="378"/>
      <c r="R37" s="565"/>
    </row>
    <row r="38" spans="2:21" ht="15">
      <c r="B38" s="36">
        <v>5</v>
      </c>
      <c r="C38" s="37">
        <v>2</v>
      </c>
      <c r="D38" s="37">
        <v>2</v>
      </c>
      <c r="E38" s="38" t="s">
        <v>635</v>
      </c>
      <c r="F38" s="38" t="s">
        <v>25</v>
      </c>
      <c r="G38" s="916" t="s">
        <v>636</v>
      </c>
      <c r="H38" s="856"/>
      <c r="I38" s="17"/>
      <c r="J38" s="46"/>
      <c r="K38" s="120">
        <f>SUM(K39:K44)</f>
        <v>14240000</v>
      </c>
      <c r="L38" s="305"/>
      <c r="M38" s="311"/>
      <c r="N38" s="414"/>
      <c r="O38" s="312"/>
      <c r="P38" s="312"/>
      <c r="Q38" s="306"/>
      <c r="R38" s="306"/>
    </row>
    <row r="39" spans="2:21" ht="15">
      <c r="B39" s="970"/>
      <c r="C39" s="383"/>
      <c r="D39" s="383"/>
      <c r="E39" s="968"/>
      <c r="F39" s="968"/>
      <c r="G39" s="1410" t="s">
        <v>1398</v>
      </c>
      <c r="H39" s="933">
        <v>100</v>
      </c>
      <c r="I39" s="375" t="s">
        <v>810</v>
      </c>
      <c r="J39" s="456">
        <v>80000</v>
      </c>
      <c r="K39" s="189">
        <f t="shared" ref="K39" si="1">H39*J39</f>
        <v>8000000</v>
      </c>
      <c r="L39" s="377">
        <f>K39</f>
        <v>8000000</v>
      </c>
      <c r="M39" s="1448"/>
      <c r="N39" s="560"/>
      <c r="O39" s="1144"/>
      <c r="P39" s="1144"/>
      <c r="Q39" s="969"/>
      <c r="R39" s="969"/>
    </row>
    <row r="40" spans="2:21" ht="15">
      <c r="B40" s="970"/>
      <c r="C40" s="383"/>
      <c r="D40" s="383"/>
      <c r="E40" s="968"/>
      <c r="F40" s="968"/>
      <c r="G40" s="1773" t="s">
        <v>1421</v>
      </c>
      <c r="H40" s="933">
        <v>13</v>
      </c>
      <c r="I40" s="375" t="s">
        <v>810</v>
      </c>
      <c r="J40" s="456">
        <v>480000</v>
      </c>
      <c r="K40" s="189">
        <f t="shared" ref="K40" si="2">H40*J40</f>
        <v>6240000</v>
      </c>
      <c r="L40" s="377">
        <f>K40</f>
        <v>6240000</v>
      </c>
      <c r="M40" s="1448"/>
      <c r="N40" s="560"/>
      <c r="O40" s="1144"/>
      <c r="P40" s="1144"/>
      <c r="Q40" s="969"/>
      <c r="R40" s="969"/>
    </row>
    <row r="41" spans="2:21" ht="15">
      <c r="B41" s="427"/>
      <c r="C41" s="368"/>
      <c r="D41" s="368"/>
      <c r="E41" s="368"/>
      <c r="F41" s="368"/>
      <c r="G41" s="558" t="s">
        <v>1479</v>
      </c>
      <c r="H41" s="933"/>
      <c r="I41" s="375" t="s">
        <v>259</v>
      </c>
      <c r="J41" s="470">
        <v>50000</v>
      </c>
      <c r="K41" s="189">
        <f t="shared" ref="K41:K42" si="3">H41*J41</f>
        <v>0</v>
      </c>
      <c r="L41" s="377"/>
      <c r="M41" s="559"/>
      <c r="N41" s="414"/>
      <c r="O41" s="561"/>
      <c r="P41" s="561"/>
      <c r="Q41" s="378"/>
      <c r="R41" s="378"/>
      <c r="S41" s="41"/>
      <c r="T41" s="158"/>
      <c r="U41" s="42"/>
    </row>
    <row r="42" spans="2:21" ht="15">
      <c r="B42" s="427"/>
      <c r="C42" s="368"/>
      <c r="D42" s="368"/>
      <c r="E42" s="368"/>
      <c r="F42" s="368"/>
      <c r="G42" s="558" t="s">
        <v>1480</v>
      </c>
      <c r="H42" s="933"/>
      <c r="I42" s="375" t="s">
        <v>259</v>
      </c>
      <c r="J42" s="470">
        <v>70000</v>
      </c>
      <c r="K42" s="189">
        <f t="shared" si="3"/>
        <v>0</v>
      </c>
      <c r="L42" s="377"/>
      <c r="M42" s="559"/>
      <c r="N42" s="414"/>
      <c r="O42" s="561"/>
      <c r="P42" s="561"/>
      <c r="Q42" s="378"/>
      <c r="R42" s="378"/>
      <c r="S42" s="41"/>
      <c r="T42" s="158"/>
      <c r="U42" s="42"/>
    </row>
    <row r="43" spans="2:21" ht="15">
      <c r="B43" s="427"/>
      <c r="C43" s="368"/>
      <c r="D43" s="368"/>
      <c r="E43" s="368"/>
      <c r="F43" s="368"/>
      <c r="G43" s="558"/>
      <c r="H43" s="933"/>
      <c r="I43" s="375"/>
      <c r="J43" s="470"/>
      <c r="K43" s="595"/>
      <c r="L43" s="377"/>
      <c r="M43" s="559"/>
      <c r="N43" s="560"/>
      <c r="O43" s="561"/>
      <c r="P43" s="561"/>
      <c r="Q43" s="378"/>
      <c r="R43" s="378"/>
      <c r="S43" s="41"/>
      <c r="T43" s="158"/>
      <c r="U43" s="42"/>
    </row>
    <row r="44" spans="2:21" ht="15">
      <c r="B44" s="427"/>
      <c r="C44" s="368"/>
      <c r="D44" s="368"/>
      <c r="E44" s="368"/>
      <c r="F44" s="368"/>
      <c r="G44" s="558"/>
      <c r="H44" s="933"/>
      <c r="I44" s="375"/>
      <c r="J44" s="470"/>
      <c r="K44" s="189"/>
      <c r="L44" s="377"/>
      <c r="M44" s="559"/>
      <c r="N44" s="560"/>
      <c r="O44" s="561"/>
      <c r="P44" s="561"/>
      <c r="Q44" s="378"/>
      <c r="R44" s="378"/>
    </row>
    <row r="45" spans="2:21" ht="15" customHeight="1" thickBot="1">
      <c r="B45" s="3289" t="s">
        <v>30</v>
      </c>
      <c r="C45" s="3290"/>
      <c r="D45" s="3290"/>
      <c r="E45" s="3290"/>
      <c r="F45" s="3290"/>
      <c r="G45" s="3290"/>
      <c r="H45" s="3290"/>
      <c r="I45" s="3290"/>
      <c r="J45" s="3291"/>
      <c r="K45" s="63">
        <f>K24</f>
        <v>460040000</v>
      </c>
      <c r="L45" s="562">
        <f>SUM(L33:L44)</f>
        <v>171840000</v>
      </c>
      <c r="M45" s="562">
        <f>SUM(M33:M44)</f>
        <v>0</v>
      </c>
      <c r="N45" s="562">
        <f>SUM(N24:N44)</f>
        <v>288200000</v>
      </c>
      <c r="O45" s="562">
        <f>SUM(O33:O44)</f>
        <v>0</v>
      </c>
      <c r="P45" s="562">
        <f>SUM(P33:P44)</f>
        <v>0</v>
      </c>
      <c r="Q45" s="562">
        <f>SUM(Q33:Q44)</f>
        <v>0</v>
      </c>
      <c r="R45" s="571">
        <f>SUM(L45:Q45)</f>
        <v>460040000</v>
      </c>
      <c r="S45" s="41">
        <v>475250000</v>
      </c>
      <c r="T45" s="41">
        <f>S45-K45</f>
        <v>15210000</v>
      </c>
    </row>
    <row r="46" spans="2:21" ht="15.75" thickTop="1">
      <c r="K46" s="41"/>
      <c r="L46" s="305"/>
      <c r="M46" s="310"/>
      <c r="N46" s="306"/>
      <c r="O46" s="306"/>
      <c r="P46" s="306"/>
      <c r="Q46" s="306"/>
      <c r="R46" s="306"/>
    </row>
    <row r="47" spans="2:21" ht="15">
      <c r="K47" s="41"/>
      <c r="L47" s="564"/>
      <c r="M47" s="569"/>
      <c r="N47" s="378"/>
      <c r="O47" s="378"/>
      <c r="P47" s="378"/>
      <c r="Q47" s="378"/>
      <c r="R47" s="378"/>
    </row>
    <row r="48" spans="2:21" ht="15">
      <c r="H48" s="3336" t="s">
        <v>1534</v>
      </c>
      <c r="I48" s="3336"/>
      <c r="J48" s="3336"/>
      <c r="K48" s="937"/>
      <c r="L48" s="564"/>
      <c r="M48" s="310"/>
      <c r="N48" s="306"/>
      <c r="O48" s="306"/>
      <c r="P48" s="306"/>
      <c r="Q48" s="306"/>
      <c r="R48" s="306"/>
    </row>
    <row r="49" spans="8:18" ht="15">
      <c r="H49" s="3337" t="s">
        <v>272</v>
      </c>
      <c r="I49" s="3337"/>
      <c r="J49" s="3337"/>
      <c r="K49" s="936"/>
      <c r="L49" s="564"/>
      <c r="M49" s="310"/>
      <c r="N49" s="306"/>
      <c r="O49" s="306"/>
      <c r="P49" s="306"/>
      <c r="Q49" s="306"/>
      <c r="R49" s="306"/>
    </row>
    <row r="50" spans="8:18" ht="15">
      <c r="H50" s="127"/>
      <c r="I50" s="127"/>
      <c r="J50" s="127"/>
      <c r="K50" s="8"/>
      <c r="L50" s="564"/>
      <c r="M50" s="310"/>
      <c r="N50" s="306"/>
      <c r="O50" s="306"/>
      <c r="P50" s="306"/>
      <c r="Q50" s="306"/>
      <c r="R50" s="306"/>
    </row>
    <row r="51" spans="8:18" ht="15">
      <c r="H51" s="127"/>
      <c r="I51" s="127"/>
      <c r="J51" s="127"/>
      <c r="K51" s="8"/>
      <c r="L51" s="564"/>
      <c r="M51" s="310"/>
      <c r="N51" s="306"/>
      <c r="O51" s="306"/>
      <c r="P51" s="306"/>
      <c r="Q51" s="306"/>
      <c r="R51" s="306"/>
    </row>
    <row r="52" spans="8:18" ht="15">
      <c r="H52" s="3434" t="s">
        <v>904</v>
      </c>
      <c r="I52" s="3434"/>
      <c r="J52" s="3434"/>
      <c r="K52" s="8"/>
      <c r="L52" s="564"/>
      <c r="M52" s="310"/>
      <c r="N52" s="306"/>
      <c r="O52" s="306"/>
      <c r="P52" s="306"/>
      <c r="Q52" s="306"/>
      <c r="R52" s="306"/>
    </row>
    <row r="53" spans="8:18" ht="15">
      <c r="H53" s="3434" t="s">
        <v>906</v>
      </c>
      <c r="I53" s="3434"/>
      <c r="J53" s="3434"/>
      <c r="K53" s="8"/>
      <c r="L53" s="564"/>
      <c r="M53" s="310"/>
      <c r="N53" s="306"/>
      <c r="O53" s="306"/>
      <c r="P53" s="306"/>
      <c r="Q53" s="306"/>
      <c r="R53" s="306"/>
    </row>
  </sheetData>
  <sortState ref="G43:K52">
    <sortCondition ref="G43"/>
  </sortState>
  <mergeCells count="49">
    <mergeCell ref="L20:Q20"/>
    <mergeCell ref="R20:R22"/>
    <mergeCell ref="B23:F23"/>
    <mergeCell ref="B45:J45"/>
    <mergeCell ref="B18:K18"/>
    <mergeCell ref="B19:K20"/>
    <mergeCell ref="B21:F22"/>
    <mergeCell ref="G21:G22"/>
    <mergeCell ref="H21:J21"/>
    <mergeCell ref="B17:F17"/>
    <mergeCell ref="G17:H17"/>
    <mergeCell ref="I17:K17"/>
    <mergeCell ref="B16:F16"/>
    <mergeCell ref="G16:H16"/>
    <mergeCell ref="I16:K16"/>
    <mergeCell ref="B13:F13"/>
    <mergeCell ref="G13:H13"/>
    <mergeCell ref="B15:F15"/>
    <mergeCell ref="G15:H15"/>
    <mergeCell ref="I15:K15"/>
    <mergeCell ref="B14:F14"/>
    <mergeCell ref="G14:H14"/>
    <mergeCell ref="I14:K14"/>
    <mergeCell ref="B10:F10"/>
    <mergeCell ref="G10:K10"/>
    <mergeCell ref="B11:F11"/>
    <mergeCell ref="G11:K11"/>
    <mergeCell ref="B12:K12"/>
    <mergeCell ref="B8:F8"/>
    <mergeCell ref="G8:K8"/>
    <mergeCell ref="B1:K1"/>
    <mergeCell ref="B2:D3"/>
    <mergeCell ref="E2:H2"/>
    <mergeCell ref="I2:J2"/>
    <mergeCell ref="E3:H3"/>
    <mergeCell ref="I3:J3"/>
    <mergeCell ref="B6:F6"/>
    <mergeCell ref="G6:K6"/>
    <mergeCell ref="B7:F7"/>
    <mergeCell ref="G7:K7"/>
    <mergeCell ref="B4:K4"/>
    <mergeCell ref="B5:F5"/>
    <mergeCell ref="G5:K5"/>
    <mergeCell ref="H48:J48"/>
    <mergeCell ref="H49:J49"/>
    <mergeCell ref="H52:J52"/>
    <mergeCell ref="H53:J53"/>
    <mergeCell ref="G9:K9"/>
    <mergeCell ref="I13:K13"/>
  </mergeCells>
  <pageMargins left="0.11811023622047245" right="0.23622047244094491" top="0.74803149606299213" bottom="0.6692913385826772" header="0.23622047244094491" footer="0.15748031496062992"/>
  <pageSetup paperSize="5" scale="95" orientation="portrait" horizontalDpi="4294967293" vertic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B1:T57"/>
  <sheetViews>
    <sheetView view="pageBreakPreview" topLeftCell="A24" zoomScaleNormal="115" zoomScaleSheetLayoutView="100" workbookViewId="0">
      <selection activeCell="B26" sqref="B26:K47"/>
    </sheetView>
  </sheetViews>
  <sheetFormatPr defaultRowHeight="12.75"/>
  <cols>
    <col min="1" max="1" width="1.5703125" style="9" customWidth="1"/>
    <col min="2" max="2" width="3.85546875" style="9" customWidth="1"/>
    <col min="3" max="3" width="3.42578125" style="9" customWidth="1"/>
    <col min="4" max="4" width="3.28515625" style="9" customWidth="1"/>
    <col min="5" max="6" width="3.5703125" style="9" customWidth="1"/>
    <col min="7" max="7" width="42.85546875" style="9" customWidth="1"/>
    <col min="8" max="8" width="8.7109375" style="9" bestFit="1" customWidth="1"/>
    <col min="9" max="9" width="8" style="9" customWidth="1"/>
    <col min="10" max="10" width="13.7109375" style="9" customWidth="1"/>
    <col min="11" max="11" width="15.28515625" style="9" customWidth="1"/>
    <col min="12" max="12" width="5" style="10" bestFit="1" customWidth="1"/>
    <col min="13" max="13" width="7.85546875" style="9" bestFit="1" customWidth="1"/>
    <col min="14" max="14" width="14" style="9" bestFit="1" customWidth="1"/>
    <col min="15" max="15" width="4.5703125" style="9" bestFit="1" customWidth="1"/>
    <col min="16" max="16" width="5.85546875" style="9" bestFit="1" customWidth="1"/>
    <col min="17" max="17" width="5" style="9" bestFit="1" customWidth="1"/>
    <col min="18" max="18" width="15.5703125" style="9" bestFit="1" customWidth="1"/>
    <col min="19" max="19" width="15" style="9" bestFit="1" customWidth="1"/>
    <col min="20" max="20" width="13.85546875" style="9" bestFit="1" customWidth="1"/>
    <col min="21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2.7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39" t="s">
        <v>40</v>
      </c>
      <c r="H7" s="3339"/>
      <c r="I7" s="3339"/>
      <c r="J7" s="3339"/>
      <c r="K7" s="3340"/>
    </row>
    <row r="8" spans="2:13">
      <c r="B8" s="3341" t="s">
        <v>34</v>
      </c>
      <c r="C8" s="3339"/>
      <c r="D8" s="3339"/>
      <c r="E8" s="3339"/>
      <c r="F8" s="3339"/>
      <c r="G8" s="3339" t="s">
        <v>319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42</v>
      </c>
      <c r="H11" s="3315"/>
      <c r="I11" s="3315"/>
      <c r="J11" s="3315"/>
      <c r="K11" s="3316"/>
    </row>
    <row r="12" spans="2:13">
      <c r="B12" s="3468" t="s">
        <v>89</v>
      </c>
      <c r="C12" s="3469"/>
      <c r="D12" s="3469"/>
      <c r="E12" s="3469"/>
      <c r="F12" s="3469"/>
      <c r="G12" s="3469"/>
      <c r="H12" s="3469"/>
      <c r="I12" s="3469"/>
      <c r="J12" s="3469"/>
      <c r="K12" s="3470"/>
    </row>
    <row r="13" spans="2:13">
      <c r="B13" s="3468" t="s">
        <v>5</v>
      </c>
      <c r="C13" s="3469"/>
      <c r="D13" s="3469"/>
      <c r="E13" s="3469"/>
      <c r="F13" s="3509"/>
      <c r="G13" s="3510" t="s">
        <v>90</v>
      </c>
      <c r="H13" s="3511"/>
      <c r="I13" s="3510" t="s">
        <v>7</v>
      </c>
      <c r="J13" s="3512"/>
      <c r="K13" s="3513"/>
    </row>
    <row r="14" spans="2:13">
      <c r="B14" s="3462" t="s">
        <v>8</v>
      </c>
      <c r="C14" s="3463"/>
      <c r="D14" s="3463"/>
      <c r="E14" s="3463"/>
      <c r="F14" s="3464"/>
      <c r="G14" s="3445" t="s">
        <v>414</v>
      </c>
      <c r="H14" s="3448"/>
      <c r="I14" s="3450">
        <v>1</v>
      </c>
      <c r="J14" s="3451"/>
      <c r="K14" s="3452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76925000</v>
      </c>
      <c r="J15" s="3454"/>
      <c r="K15" s="3455"/>
    </row>
    <row r="16" spans="2:13">
      <c r="B16" s="3439" t="s">
        <v>10</v>
      </c>
      <c r="C16" s="3451"/>
      <c r="D16" s="3451"/>
      <c r="E16" s="3451"/>
      <c r="F16" s="3460"/>
      <c r="G16" s="3445" t="s">
        <v>415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416</v>
      </c>
      <c r="H17" s="3448"/>
      <c r="I17" s="3456">
        <v>1</v>
      </c>
      <c r="J17" s="3457"/>
      <c r="K17" s="3458"/>
    </row>
    <row r="18" spans="2:18">
      <c r="B18" s="3442" t="s">
        <v>46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>
      <c r="B19" s="3528" t="s">
        <v>87</v>
      </c>
      <c r="C19" s="3529"/>
      <c r="D19" s="3529"/>
      <c r="E19" s="3529"/>
      <c r="F19" s="3529"/>
      <c r="G19" s="3529"/>
      <c r="H19" s="3529"/>
      <c r="I19" s="3529"/>
      <c r="J19" s="3529"/>
      <c r="K19" s="3530"/>
      <c r="L19" s="822"/>
      <c r="M19" s="822"/>
      <c r="N19" s="822"/>
      <c r="O19" s="822"/>
      <c r="P19" s="822"/>
      <c r="Q19" s="823"/>
      <c r="R19" s="823"/>
    </row>
    <row r="20" spans="2:18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  <c r="L20" s="3466" t="s">
        <v>158</v>
      </c>
      <c r="M20" s="3466"/>
      <c r="N20" s="3466"/>
      <c r="O20" s="3466"/>
      <c r="P20" s="3466"/>
      <c r="Q20" s="3466"/>
      <c r="R20" s="3466" t="s">
        <v>17</v>
      </c>
    </row>
    <row r="21" spans="2:18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2075"/>
      <c r="M21" s="2075"/>
      <c r="N21" s="2075"/>
      <c r="O21" s="2075"/>
      <c r="P21" s="2075"/>
      <c r="Q21" s="2075"/>
      <c r="R21" s="3466"/>
    </row>
    <row r="22" spans="2:18" ht="25.5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2075" t="s">
        <v>177</v>
      </c>
      <c r="M22" s="2075" t="s">
        <v>594</v>
      </c>
      <c r="N22" s="2075" t="s">
        <v>651</v>
      </c>
      <c r="O22" s="2075" t="s">
        <v>595</v>
      </c>
      <c r="P22" s="2075" t="s">
        <v>652</v>
      </c>
      <c r="Q22" s="2075" t="s">
        <v>593</v>
      </c>
      <c r="R22" s="3466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2075">
        <v>6</v>
      </c>
      <c r="M23" s="2075">
        <v>7</v>
      </c>
      <c r="N23" s="2075">
        <v>8</v>
      </c>
      <c r="O23" s="2075">
        <v>9</v>
      </c>
      <c r="P23" s="2075">
        <v>10</v>
      </c>
      <c r="Q23" s="2075">
        <v>11</v>
      </c>
      <c r="R23" s="2075">
        <v>12</v>
      </c>
    </row>
    <row r="24" spans="2:18">
      <c r="B24" s="43">
        <v>5</v>
      </c>
      <c r="C24" s="17">
        <v>2</v>
      </c>
      <c r="D24" s="17"/>
      <c r="E24" s="17"/>
      <c r="F24" s="17"/>
      <c r="G24" s="44" t="s">
        <v>23</v>
      </c>
      <c r="H24" s="856"/>
      <c r="I24" s="17"/>
      <c r="J24" s="46"/>
      <c r="K24" s="47">
        <f>+K25</f>
        <v>76925000</v>
      </c>
      <c r="L24" s="822"/>
      <c r="M24" s="822"/>
      <c r="N24" s="822"/>
      <c r="O24" s="822"/>
      <c r="P24" s="822"/>
      <c r="Q24" s="823"/>
      <c r="R24" s="823"/>
    </row>
    <row r="25" spans="2:18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856"/>
      <c r="I25" s="17"/>
      <c r="J25" s="46"/>
      <c r="K25" s="370">
        <f>K26+K31+K35+K40+K45</f>
        <v>76925000</v>
      </c>
      <c r="L25" s="842"/>
      <c r="M25" s="822"/>
      <c r="N25" s="822"/>
      <c r="O25" s="822"/>
      <c r="P25" s="822"/>
      <c r="Q25" s="823"/>
      <c r="R25" s="823"/>
    </row>
    <row r="26" spans="2:18">
      <c r="B26" s="43">
        <v>5</v>
      </c>
      <c r="C26" s="17">
        <v>2</v>
      </c>
      <c r="D26" s="17">
        <v>2</v>
      </c>
      <c r="E26" s="65" t="s">
        <v>25</v>
      </c>
      <c r="F26" s="17"/>
      <c r="G26" s="44" t="s">
        <v>109</v>
      </c>
      <c r="H26" s="2024"/>
      <c r="I26" s="1682"/>
      <c r="J26" s="2025"/>
      <c r="K26" s="2026">
        <f>K27</f>
        <v>21800000</v>
      </c>
      <c r="L26" s="842"/>
      <c r="M26" s="1686"/>
      <c r="N26" s="1686"/>
      <c r="O26" s="1686"/>
      <c r="P26" s="1686"/>
      <c r="Q26" s="1687"/>
      <c r="R26" s="1687"/>
    </row>
    <row r="27" spans="2:18" ht="25.5">
      <c r="B27" s="19">
        <v>5</v>
      </c>
      <c r="C27" s="15">
        <v>2</v>
      </c>
      <c r="D27" s="15">
        <v>2</v>
      </c>
      <c r="E27" s="28" t="s">
        <v>25</v>
      </c>
      <c r="F27" s="28" t="s">
        <v>1774</v>
      </c>
      <c r="G27" s="48" t="s">
        <v>1775</v>
      </c>
      <c r="H27" s="2024"/>
      <c r="I27" s="1682"/>
      <c r="J27" s="2025"/>
      <c r="K27" s="2090">
        <f>SUM(K28:K29)</f>
        <v>21800000</v>
      </c>
      <c r="L27" s="842"/>
      <c r="M27" s="1686"/>
      <c r="N27" s="1686"/>
      <c r="O27" s="1686"/>
      <c r="P27" s="1686"/>
      <c r="Q27" s="1687"/>
      <c r="R27" s="1687"/>
    </row>
    <row r="28" spans="2:18" s="2033" customFormat="1">
      <c r="B28" s="2665"/>
      <c r="C28" s="1952"/>
      <c r="D28" s="1952"/>
      <c r="E28" s="1952"/>
      <c r="F28" s="1952"/>
      <c r="G28" s="2008" t="s">
        <v>1778</v>
      </c>
      <c r="H28" s="1951">
        <v>8</v>
      </c>
      <c r="I28" s="1952" t="s">
        <v>383</v>
      </c>
      <c r="J28" s="2042">
        <v>2650000</v>
      </c>
      <c r="K28" s="2666">
        <f>H28*J28</f>
        <v>21200000</v>
      </c>
      <c r="L28" s="2566"/>
      <c r="M28" s="2554"/>
      <c r="N28" s="2554">
        <f>K28</f>
        <v>21200000</v>
      </c>
      <c r="O28" s="2526"/>
      <c r="P28" s="2526"/>
      <c r="Q28" s="2529"/>
      <c r="R28" s="2529"/>
    </row>
    <row r="29" spans="2:18">
      <c r="B29" s="1652"/>
      <c r="C29" s="1653"/>
      <c r="D29" s="1653"/>
      <c r="E29" s="1653"/>
      <c r="F29" s="1653"/>
      <c r="G29" s="1654" t="s">
        <v>1779</v>
      </c>
      <c r="H29" s="1663">
        <v>2</v>
      </c>
      <c r="I29" s="1653" t="s">
        <v>383</v>
      </c>
      <c r="J29" s="1655">
        <v>300000</v>
      </c>
      <c r="K29" s="546">
        <f>H29*J29</f>
        <v>600000</v>
      </c>
      <c r="L29" s="842"/>
      <c r="M29" s="844"/>
      <c r="N29" s="844">
        <f>K29</f>
        <v>600000</v>
      </c>
      <c r="O29" s="1686"/>
      <c r="P29" s="1686"/>
      <c r="Q29" s="1687"/>
      <c r="R29" s="1687"/>
    </row>
    <row r="30" spans="2:18">
      <c r="B30" s="1652"/>
      <c r="C30" s="1653"/>
      <c r="D30" s="1653"/>
      <c r="E30" s="1653"/>
      <c r="F30" s="1653"/>
      <c r="G30" s="1654"/>
      <c r="H30" s="1663"/>
      <c r="I30" s="1653"/>
      <c r="J30" s="2076"/>
      <c r="K30" s="2077"/>
      <c r="L30" s="842"/>
      <c r="M30" s="1686"/>
      <c r="N30" s="1686"/>
      <c r="O30" s="1686"/>
      <c r="P30" s="1686"/>
      <c r="Q30" s="1687"/>
      <c r="R30" s="1687"/>
    </row>
    <row r="31" spans="2:18">
      <c r="B31" s="43">
        <v>5</v>
      </c>
      <c r="C31" s="17">
        <v>2</v>
      </c>
      <c r="D31" s="17">
        <v>2</v>
      </c>
      <c r="E31" s="65" t="s">
        <v>44</v>
      </c>
      <c r="F31" s="17"/>
      <c r="G31" s="44" t="s">
        <v>1776</v>
      </c>
      <c r="H31" s="2024"/>
      <c r="I31" s="1682"/>
      <c r="J31" s="2025"/>
      <c r="K31" s="2026">
        <f>K32</f>
        <v>6300000</v>
      </c>
      <c r="L31" s="842"/>
      <c r="M31" s="1686"/>
      <c r="N31" s="1686"/>
      <c r="O31" s="1686"/>
      <c r="P31" s="1686"/>
      <c r="Q31" s="1687"/>
      <c r="R31" s="1687"/>
    </row>
    <row r="32" spans="2:18" ht="25.5">
      <c r="B32" s="19">
        <v>5</v>
      </c>
      <c r="C32" s="15">
        <v>2</v>
      </c>
      <c r="D32" s="15">
        <v>2</v>
      </c>
      <c r="E32" s="28" t="s">
        <v>44</v>
      </c>
      <c r="F32" s="28" t="s">
        <v>635</v>
      </c>
      <c r="G32" s="48" t="s">
        <v>127</v>
      </c>
      <c r="H32" s="2024"/>
      <c r="I32" s="1682"/>
      <c r="J32" s="2025"/>
      <c r="K32" s="2090">
        <f>K33</f>
        <v>6300000</v>
      </c>
      <c r="L32" s="842"/>
      <c r="M32" s="1686"/>
      <c r="N32" s="1686"/>
      <c r="O32" s="1686"/>
      <c r="P32" s="1686"/>
      <c r="Q32" s="1687"/>
      <c r="R32" s="1687"/>
    </row>
    <row r="33" spans="2:19">
      <c r="B33" s="1652"/>
      <c r="C33" s="1653"/>
      <c r="D33" s="1653"/>
      <c r="E33" s="1653"/>
      <c r="F33" s="1653"/>
      <c r="G33" s="1654" t="s">
        <v>1777</v>
      </c>
      <c r="H33" s="1663">
        <v>6</v>
      </c>
      <c r="I33" s="1653" t="s">
        <v>228</v>
      </c>
      <c r="J33" s="1655">
        <f>7*150000</f>
        <v>1050000</v>
      </c>
      <c r="K33" s="546">
        <f>H33*J33</f>
        <v>6300000</v>
      </c>
      <c r="L33" s="842"/>
      <c r="M33" s="844"/>
      <c r="N33" s="844">
        <f>K33</f>
        <v>6300000</v>
      </c>
      <c r="O33" s="1686"/>
      <c r="P33" s="1686"/>
      <c r="Q33" s="1687"/>
      <c r="R33" s="1687"/>
    </row>
    <row r="34" spans="2:19">
      <c r="B34" s="1652"/>
      <c r="C34" s="1653"/>
      <c r="D34" s="1653"/>
      <c r="E34" s="1653"/>
      <c r="F34" s="1653"/>
      <c r="G34" s="1654"/>
      <c r="H34" s="1663"/>
      <c r="I34" s="1653"/>
      <c r="J34" s="2076"/>
      <c r="K34" s="2077"/>
      <c r="L34" s="842"/>
      <c r="M34" s="1686"/>
      <c r="N34" s="1686"/>
      <c r="O34" s="1686"/>
      <c r="P34" s="1686"/>
      <c r="Q34" s="1687"/>
      <c r="R34" s="1687"/>
    </row>
    <row r="35" spans="2:19" ht="15" customHeight="1">
      <c r="B35" s="43">
        <v>5</v>
      </c>
      <c r="C35" s="17">
        <v>2</v>
      </c>
      <c r="D35" s="17">
        <v>2</v>
      </c>
      <c r="E35" s="65" t="s">
        <v>66</v>
      </c>
      <c r="F35" s="17"/>
      <c r="G35" s="44" t="s">
        <v>101</v>
      </c>
      <c r="H35" s="856"/>
      <c r="I35" s="17"/>
      <c r="J35" s="46"/>
      <c r="K35" s="370">
        <f>K36+K175+K180</f>
        <v>9225000</v>
      </c>
      <c r="L35" s="843"/>
      <c r="M35" s="823"/>
      <c r="N35" s="823"/>
      <c r="O35" s="823"/>
      <c r="P35" s="823"/>
      <c r="Q35" s="823"/>
      <c r="R35" s="823"/>
    </row>
    <row r="36" spans="2:19">
      <c r="B36" s="19">
        <v>5</v>
      </c>
      <c r="C36" s="15">
        <v>2</v>
      </c>
      <c r="D36" s="15">
        <v>2</v>
      </c>
      <c r="E36" s="28" t="s">
        <v>66</v>
      </c>
      <c r="F36" s="28" t="s">
        <v>24</v>
      </c>
      <c r="G36" s="48" t="s">
        <v>102</v>
      </c>
      <c r="H36" s="1005"/>
      <c r="I36" s="123"/>
      <c r="J36" s="278"/>
      <c r="K36" s="431">
        <f>SUM(K37:K38)</f>
        <v>9225000</v>
      </c>
      <c r="L36" s="842"/>
      <c r="M36" s="822"/>
      <c r="N36" s="822"/>
      <c r="O36" s="822"/>
      <c r="P36" s="822"/>
      <c r="Q36" s="823"/>
      <c r="R36" s="823"/>
    </row>
    <row r="37" spans="2:19">
      <c r="B37" s="19"/>
      <c r="C37" s="15"/>
      <c r="D37" s="15"/>
      <c r="E37" s="28"/>
      <c r="F37" s="28"/>
      <c r="G37" s="1170" t="s">
        <v>1098</v>
      </c>
      <c r="H37" s="2078">
        <f>625</f>
        <v>625</v>
      </c>
      <c r="I37" s="2079" t="s">
        <v>383</v>
      </c>
      <c r="J37" s="2080">
        <v>5000</v>
      </c>
      <c r="K37" s="546">
        <f>H37*J37</f>
        <v>3125000</v>
      </c>
      <c r="L37" s="842"/>
      <c r="M37" s="844"/>
      <c r="N37" s="844">
        <f>K37</f>
        <v>3125000</v>
      </c>
      <c r="O37" s="823"/>
      <c r="P37" s="823"/>
      <c r="Q37" s="823"/>
      <c r="R37" s="823"/>
    </row>
    <row r="38" spans="2:19">
      <c r="B38" s="429"/>
      <c r="C38" s="424"/>
      <c r="D38" s="424"/>
      <c r="E38" s="430"/>
      <c r="F38" s="430"/>
      <c r="G38" s="1170" t="s">
        <v>1169</v>
      </c>
      <c r="H38" s="2078">
        <v>122</v>
      </c>
      <c r="I38" s="2079" t="s">
        <v>1099</v>
      </c>
      <c r="J38" s="2080">
        <v>50000</v>
      </c>
      <c r="K38" s="546">
        <f>H38*J38</f>
        <v>6100000</v>
      </c>
      <c r="L38" s="842"/>
      <c r="M38" s="844"/>
      <c r="N38" s="844">
        <f>K38</f>
        <v>6100000</v>
      </c>
      <c r="O38" s="846"/>
      <c r="P38" s="846"/>
      <c r="Q38" s="846"/>
      <c r="R38" s="846"/>
    </row>
    <row r="39" spans="2:19">
      <c r="B39" s="429"/>
      <c r="C39" s="424"/>
      <c r="D39" s="424"/>
      <c r="E39" s="430"/>
      <c r="F39" s="430"/>
      <c r="G39" s="2081"/>
      <c r="H39" s="2082"/>
      <c r="I39" s="2083"/>
      <c r="J39" s="2084"/>
      <c r="K39" s="546"/>
      <c r="L39" s="842"/>
      <c r="M39" s="846"/>
      <c r="N39" s="845"/>
      <c r="O39" s="846"/>
      <c r="P39" s="846"/>
      <c r="Q39" s="846"/>
      <c r="R39" s="846"/>
    </row>
    <row r="40" spans="2:19">
      <c r="B40" s="36">
        <v>5</v>
      </c>
      <c r="C40" s="37">
        <v>2</v>
      </c>
      <c r="D40" s="37">
        <v>2</v>
      </c>
      <c r="E40" s="38">
        <v>11</v>
      </c>
      <c r="F40" s="65"/>
      <c r="G40" s="48" t="s">
        <v>182</v>
      </c>
      <c r="H40" s="856"/>
      <c r="I40" s="17"/>
      <c r="J40" s="46"/>
      <c r="K40" s="370">
        <f>K41</f>
        <v>19800000</v>
      </c>
      <c r="L40" s="843"/>
      <c r="M40" s="823"/>
      <c r="N40" s="823"/>
      <c r="O40" s="823"/>
      <c r="P40" s="823"/>
      <c r="Q40" s="823"/>
      <c r="R40" s="823"/>
    </row>
    <row r="41" spans="2:19" ht="25.5">
      <c r="B41" s="36">
        <v>5</v>
      </c>
      <c r="C41" s="37">
        <v>2</v>
      </c>
      <c r="D41" s="37">
        <v>2</v>
      </c>
      <c r="E41" s="38">
        <v>11</v>
      </c>
      <c r="F41" s="38" t="s">
        <v>65</v>
      </c>
      <c r="G41" s="48" t="s">
        <v>998</v>
      </c>
      <c r="H41" s="857"/>
      <c r="I41" s="4"/>
      <c r="J41" s="61"/>
      <c r="K41" s="453">
        <f>SUM(K42:K44)</f>
        <v>19800000</v>
      </c>
      <c r="L41" s="842"/>
      <c r="M41" s="822"/>
      <c r="N41" s="822"/>
      <c r="O41" s="822"/>
      <c r="P41" s="822"/>
      <c r="Q41" s="823"/>
      <c r="R41" s="823"/>
    </row>
    <row r="42" spans="2:19">
      <c r="B42" s="346"/>
      <c r="C42" s="371"/>
      <c r="D42" s="371"/>
      <c r="E42" s="372"/>
      <c r="F42" s="372"/>
      <c r="G42" s="373" t="s">
        <v>999</v>
      </c>
      <c r="H42" s="1006">
        <f>15*24</f>
        <v>360</v>
      </c>
      <c r="I42" s="960" t="s">
        <v>1000</v>
      </c>
      <c r="J42" s="961">
        <v>30000</v>
      </c>
      <c r="K42" s="546">
        <f>H42*J42</f>
        <v>10800000</v>
      </c>
      <c r="L42" s="842"/>
      <c r="M42" s="823"/>
      <c r="N42" s="844">
        <f>K42</f>
        <v>10800000</v>
      </c>
      <c r="O42" s="837"/>
      <c r="P42" s="837"/>
      <c r="Q42" s="846"/>
      <c r="R42" s="846"/>
    </row>
    <row r="43" spans="2:19">
      <c r="B43" s="346"/>
      <c r="C43" s="371"/>
      <c r="D43" s="371"/>
      <c r="E43" s="372"/>
      <c r="F43" s="372"/>
      <c r="G43" s="32" t="s">
        <v>843</v>
      </c>
      <c r="H43" s="1006">
        <f>15*24</f>
        <v>360</v>
      </c>
      <c r="I43" s="4" t="s">
        <v>50</v>
      </c>
      <c r="J43" s="61">
        <v>25000</v>
      </c>
      <c r="K43" s="416">
        <f>H43*J43</f>
        <v>9000000</v>
      </c>
      <c r="L43" s="842"/>
      <c r="M43" s="846"/>
      <c r="N43" s="845">
        <f>K43</f>
        <v>9000000</v>
      </c>
      <c r="O43" s="837"/>
      <c r="P43" s="837"/>
      <c r="Q43" s="846"/>
      <c r="R43" s="846"/>
    </row>
    <row r="44" spans="2:19">
      <c r="B44" s="429"/>
      <c r="C44" s="424"/>
      <c r="D44" s="424"/>
      <c r="E44" s="430"/>
      <c r="F44" s="430"/>
      <c r="G44" s="2081"/>
      <c r="H44" s="2085"/>
      <c r="I44" s="2086"/>
      <c r="J44" s="2087"/>
      <c r="K44" s="664"/>
      <c r="L44" s="842"/>
      <c r="M44" s="846"/>
      <c r="N44" s="845"/>
      <c r="O44" s="846"/>
      <c r="P44" s="846"/>
      <c r="Q44" s="846"/>
      <c r="R44" s="846"/>
    </row>
    <row r="45" spans="2:19">
      <c r="B45" s="36">
        <v>5</v>
      </c>
      <c r="C45" s="37">
        <v>2</v>
      </c>
      <c r="D45" s="37">
        <v>2</v>
      </c>
      <c r="E45" s="38">
        <v>28</v>
      </c>
      <c r="F45" s="15"/>
      <c r="G45" s="112" t="s">
        <v>1096</v>
      </c>
      <c r="H45" s="1007"/>
      <c r="I45" s="1003"/>
      <c r="J45" s="1004"/>
      <c r="K45" s="1215">
        <f>+K46</f>
        <v>19800000</v>
      </c>
      <c r="L45" s="843"/>
      <c r="M45" s="823"/>
      <c r="N45" s="823"/>
      <c r="O45" s="823"/>
      <c r="P45" s="823"/>
      <c r="Q45" s="823"/>
      <c r="R45" s="823"/>
    </row>
    <row r="46" spans="2:19" s="10" customFormat="1">
      <c r="B46" s="19">
        <v>5</v>
      </c>
      <c r="C46" s="15">
        <v>2</v>
      </c>
      <c r="D46" s="15">
        <v>2</v>
      </c>
      <c r="E46" s="28">
        <v>28</v>
      </c>
      <c r="F46" s="28" t="s">
        <v>24</v>
      </c>
      <c r="G46" s="112" t="s">
        <v>1096</v>
      </c>
      <c r="H46" s="1002"/>
      <c r="I46" s="34"/>
      <c r="J46" s="2088"/>
      <c r="K46" s="737">
        <f>SUM(K47:K48)</f>
        <v>19800000</v>
      </c>
      <c r="L46" s="842"/>
      <c r="M46" s="822"/>
      <c r="N46" s="822"/>
      <c r="O46" s="822"/>
      <c r="P46" s="822"/>
      <c r="Q46" s="824"/>
      <c r="R46" s="824"/>
      <c r="S46" s="9"/>
    </row>
    <row r="47" spans="2:19" s="2678" customFormat="1">
      <c r="B47" s="2667"/>
      <c r="C47" s="2504"/>
      <c r="D47" s="2504"/>
      <c r="E47" s="2614"/>
      <c r="F47" s="2614"/>
      <c r="G47" s="2668" t="s">
        <v>1097</v>
      </c>
      <c r="H47" s="2669">
        <v>66</v>
      </c>
      <c r="I47" s="2670" t="s">
        <v>908</v>
      </c>
      <c r="J47" s="2671">
        <v>300000</v>
      </c>
      <c r="K47" s="2672">
        <f>H47*J47</f>
        <v>19800000</v>
      </c>
      <c r="L47" s="2673"/>
      <c r="M47" s="2674"/>
      <c r="N47" s="2675">
        <f>K47</f>
        <v>19800000</v>
      </c>
      <c r="O47" s="2676"/>
      <c r="P47" s="2676"/>
      <c r="Q47" s="2677"/>
      <c r="R47" s="2677"/>
      <c r="S47" s="2033"/>
    </row>
    <row r="48" spans="2:19" s="10" customFormat="1">
      <c r="B48" s="2074"/>
      <c r="C48" s="15"/>
      <c r="D48" s="15"/>
      <c r="E48" s="28"/>
      <c r="F48" s="28"/>
      <c r="G48" s="33"/>
      <c r="H48" s="1002"/>
      <c r="I48" s="34"/>
      <c r="J48" s="2088"/>
      <c r="K48" s="595"/>
      <c r="L48" s="842"/>
      <c r="M48" s="829"/>
      <c r="N48" s="822"/>
      <c r="O48" s="830"/>
      <c r="P48" s="830"/>
      <c r="Q48" s="824"/>
      <c r="R48" s="824"/>
      <c r="S48" s="9"/>
    </row>
    <row r="49" spans="2:20" ht="13.5" thickBot="1">
      <c r="B49" s="3289" t="s">
        <v>30</v>
      </c>
      <c r="C49" s="3290"/>
      <c r="D49" s="3290"/>
      <c r="E49" s="3290"/>
      <c r="F49" s="3290"/>
      <c r="G49" s="3290"/>
      <c r="H49" s="3290"/>
      <c r="I49" s="3290"/>
      <c r="J49" s="3291"/>
      <c r="K49" s="446">
        <f>K24</f>
        <v>76925000</v>
      </c>
      <c r="L49" s="1055">
        <f t="shared" ref="L49:Q49" si="0">SUM(L25:L48)</f>
        <v>0</v>
      </c>
      <c r="M49" s="830">
        <f t="shared" si="0"/>
        <v>0</v>
      </c>
      <c r="N49" s="830">
        <f t="shared" si="0"/>
        <v>76925000</v>
      </c>
      <c r="O49" s="830">
        <f t="shared" si="0"/>
        <v>0</v>
      </c>
      <c r="P49" s="830">
        <f t="shared" si="0"/>
        <v>0</v>
      </c>
      <c r="Q49" s="830">
        <f t="shared" si="0"/>
        <v>0</v>
      </c>
      <c r="R49" s="835">
        <f>SUM(L49:Q49)</f>
        <v>76925000</v>
      </c>
      <c r="S49" s="41">
        <v>165000000</v>
      </c>
      <c r="T49" s="57">
        <f>S49-K49</f>
        <v>88075000</v>
      </c>
    </row>
    <row r="50" spans="2:20" ht="13.5" thickTop="1">
      <c r="B50" s="70"/>
      <c r="C50" s="70"/>
      <c r="D50" s="70"/>
      <c r="E50" s="70"/>
      <c r="F50" s="70"/>
      <c r="G50" s="70"/>
      <c r="H50" s="70"/>
      <c r="I50" s="70"/>
      <c r="J50" s="70"/>
      <c r="K50" s="131"/>
      <c r="L50" s="822"/>
      <c r="M50" s="832"/>
      <c r="N50" s="833"/>
      <c r="O50" s="833"/>
      <c r="P50" s="833"/>
      <c r="Q50" s="824"/>
      <c r="R50" s="824"/>
    </row>
    <row r="51" spans="2:20">
      <c r="B51" s="70"/>
      <c r="C51" s="70"/>
      <c r="D51" s="70"/>
      <c r="E51" s="70"/>
      <c r="F51" s="70"/>
      <c r="G51" s="70"/>
      <c r="H51" s="70"/>
      <c r="I51" s="70"/>
      <c r="J51" s="70"/>
      <c r="K51" s="1216"/>
      <c r="L51" s="842"/>
      <c r="M51" s="847"/>
      <c r="N51" s="2089"/>
      <c r="O51" s="2089"/>
      <c r="P51" s="2089"/>
      <c r="Q51" s="838"/>
      <c r="R51" s="838"/>
    </row>
    <row r="52" spans="2:20">
      <c r="B52" s="8"/>
      <c r="C52" s="8"/>
      <c r="D52" s="8"/>
      <c r="E52" s="8"/>
      <c r="F52" s="8"/>
      <c r="G52" s="8"/>
      <c r="H52" s="3336" t="s">
        <v>1534</v>
      </c>
      <c r="I52" s="3336"/>
      <c r="J52" s="3336"/>
      <c r="K52" s="146"/>
      <c r="L52" s="842"/>
      <c r="M52" s="834"/>
      <c r="N52" s="835"/>
      <c r="O52" s="835"/>
      <c r="P52" s="835"/>
      <c r="Q52" s="824"/>
      <c r="R52" s="824"/>
    </row>
    <row r="53" spans="2:20">
      <c r="H53" s="3337" t="s">
        <v>272</v>
      </c>
      <c r="I53" s="3337"/>
      <c r="J53" s="3485"/>
      <c r="K53" s="115"/>
      <c r="L53" s="842"/>
      <c r="M53" s="831"/>
      <c r="N53" s="824"/>
      <c r="O53" s="824"/>
      <c r="P53" s="824"/>
      <c r="Q53" s="824"/>
      <c r="R53" s="824"/>
    </row>
    <row r="54" spans="2:20">
      <c r="H54" s="127"/>
      <c r="I54" s="127"/>
      <c r="J54" s="127"/>
      <c r="K54" s="1396"/>
      <c r="L54" s="842"/>
      <c r="M54" s="831"/>
      <c r="N54" s="824"/>
      <c r="O54" s="824"/>
      <c r="P54" s="824"/>
      <c r="Q54" s="824"/>
      <c r="R54" s="824"/>
    </row>
    <row r="55" spans="2:20">
      <c r="H55" s="127"/>
      <c r="I55" s="127"/>
      <c r="J55" s="127"/>
      <c r="K55" s="8"/>
      <c r="L55" s="842"/>
      <c r="M55" s="831"/>
      <c r="N55" s="824"/>
      <c r="O55" s="824"/>
      <c r="P55" s="824"/>
      <c r="Q55" s="824"/>
      <c r="R55" s="824"/>
    </row>
    <row r="56" spans="2:20">
      <c r="H56" s="3434" t="s">
        <v>904</v>
      </c>
      <c r="I56" s="3434"/>
      <c r="J56" s="3434"/>
      <c r="K56" s="8"/>
      <c r="L56" s="842"/>
      <c r="M56" s="831"/>
      <c r="N56" s="824"/>
      <c r="O56" s="824"/>
      <c r="P56" s="824"/>
      <c r="Q56" s="824"/>
      <c r="R56" s="824"/>
    </row>
    <row r="57" spans="2:20">
      <c r="H57" s="3434" t="s">
        <v>906</v>
      </c>
      <c r="I57" s="3434"/>
      <c r="J57" s="3434"/>
      <c r="K57" s="8"/>
      <c r="L57" s="842"/>
      <c r="M57" s="831"/>
      <c r="N57" s="824"/>
      <c r="O57" s="824"/>
      <c r="P57" s="824"/>
      <c r="Q57" s="824"/>
      <c r="R57" s="824"/>
    </row>
  </sheetData>
  <mergeCells count="50">
    <mergeCell ref="L20:Q20"/>
    <mergeCell ref="R20:R22"/>
    <mergeCell ref="H53:J53"/>
    <mergeCell ref="H56:J56"/>
    <mergeCell ref="H57:J57"/>
    <mergeCell ref="H52:J52"/>
    <mergeCell ref="B20:K20"/>
    <mergeCell ref="B21:F22"/>
    <mergeCell ref="G21:G22"/>
    <mergeCell ref="H21:J21"/>
    <mergeCell ref="B23:F23"/>
    <mergeCell ref="B49:J49"/>
    <mergeCell ref="B15:F15"/>
    <mergeCell ref="G15:H15"/>
    <mergeCell ref="I15:K15"/>
    <mergeCell ref="B16:F16"/>
    <mergeCell ref="G16:H16"/>
    <mergeCell ref="I16:K16"/>
    <mergeCell ref="B17:F17"/>
    <mergeCell ref="G17:H17"/>
    <mergeCell ref="I17:K17"/>
    <mergeCell ref="B18:K18"/>
    <mergeCell ref="B19:K19"/>
    <mergeCell ref="B12:K12"/>
    <mergeCell ref="B13:F13"/>
    <mergeCell ref="G13:H13"/>
    <mergeCell ref="I13:K13"/>
    <mergeCell ref="B14:F14"/>
    <mergeCell ref="G14:H14"/>
    <mergeCell ref="I14:K14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:K1"/>
    <mergeCell ref="B2:D3"/>
    <mergeCell ref="E2:H2"/>
    <mergeCell ref="I2:J2"/>
    <mergeCell ref="E3:H3"/>
    <mergeCell ref="I3:J3"/>
  </mergeCells>
  <pageMargins left="0.11811023622047245" right="0.23622047244094491" top="0.74803149606299213" bottom="1.7716535433070868" header="0.23622047244094491" footer="0.15748031496062992"/>
  <pageSetup paperSize="5" scale="95" orientation="portrait" horizontalDpi="4294967293" verticalDpi="4294967293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B1:T118"/>
  <sheetViews>
    <sheetView view="pageBreakPreview" topLeftCell="A17" zoomScaleNormal="100" zoomScaleSheetLayoutView="100" workbookViewId="0">
      <selection activeCell="H28" sqref="H28"/>
    </sheetView>
  </sheetViews>
  <sheetFormatPr defaultColWidth="8.85546875" defaultRowHeight="12.75"/>
  <cols>
    <col min="1" max="1" width="1.140625" style="2" customWidth="1"/>
    <col min="2" max="2" width="3.28515625" style="2" customWidth="1"/>
    <col min="3" max="4" width="3.140625" style="2" customWidth="1"/>
    <col min="5" max="6" width="3.28515625" style="2" customWidth="1"/>
    <col min="7" max="7" width="45.85546875" style="2" customWidth="1"/>
    <col min="8" max="9" width="8" style="2" bestFit="1" customWidth="1"/>
    <col min="10" max="10" width="15.140625" style="2" bestFit="1" customWidth="1"/>
    <col min="11" max="11" width="15.28515625" style="2" bestFit="1" customWidth="1"/>
    <col min="12" max="13" width="6.42578125" style="2" bestFit="1" customWidth="1"/>
    <col min="14" max="14" width="13.28515625" style="2" bestFit="1" customWidth="1"/>
    <col min="15" max="17" width="6.42578125" style="2" bestFit="1" customWidth="1"/>
    <col min="18" max="18" width="18.42578125" style="2" bestFit="1" customWidth="1"/>
    <col min="19" max="20" width="15.42578125" style="2" bestFit="1" customWidth="1"/>
    <col min="21" max="246" width="8.85546875" style="2"/>
    <col min="247" max="247" width="1.140625" style="2" customWidth="1"/>
    <col min="248" max="248" width="3.28515625" style="2" customWidth="1"/>
    <col min="249" max="249" width="2.42578125" style="2" customWidth="1"/>
    <col min="250" max="250" width="2.5703125" style="2" customWidth="1"/>
    <col min="251" max="251" width="2.85546875" style="2" customWidth="1"/>
    <col min="252" max="252" width="3" style="2" customWidth="1"/>
    <col min="253" max="253" width="24.7109375" style="2" customWidth="1"/>
    <col min="254" max="254" width="7.85546875" style="2" customWidth="1"/>
    <col min="255" max="255" width="7.42578125" style="2" customWidth="1"/>
    <col min="256" max="256" width="11.140625" style="2" customWidth="1"/>
    <col min="257" max="257" width="14.42578125" style="2" customWidth="1"/>
    <col min="258" max="258" width="3.42578125" style="2" customWidth="1"/>
    <col min="259" max="259" width="3" style="2" customWidth="1"/>
    <col min="260" max="260" width="3.28515625" style="2" customWidth="1"/>
    <col min="261" max="261" width="3.140625" style="2" customWidth="1"/>
    <col min="262" max="262" width="3.42578125" style="2" customWidth="1"/>
    <col min="263" max="263" width="24.7109375" style="2" customWidth="1"/>
    <col min="264" max="264" width="7.85546875" style="2" customWidth="1"/>
    <col min="265" max="265" width="7.28515625" style="2" customWidth="1"/>
    <col min="266" max="266" width="11.7109375" style="2" bestFit="1" customWidth="1"/>
    <col min="267" max="267" width="14.42578125" style="2" customWidth="1"/>
    <col min="268" max="268" width="8.85546875" style="2"/>
    <col min="269" max="269" width="14.28515625" style="2" bestFit="1" customWidth="1"/>
    <col min="270" max="270" width="10" style="2" customWidth="1"/>
    <col min="271" max="502" width="8.85546875" style="2"/>
    <col min="503" max="503" width="1.140625" style="2" customWidth="1"/>
    <col min="504" max="504" width="3.28515625" style="2" customWidth="1"/>
    <col min="505" max="505" width="2.42578125" style="2" customWidth="1"/>
    <col min="506" max="506" width="2.5703125" style="2" customWidth="1"/>
    <col min="507" max="507" width="2.85546875" style="2" customWidth="1"/>
    <col min="508" max="508" width="3" style="2" customWidth="1"/>
    <col min="509" max="509" width="24.7109375" style="2" customWidth="1"/>
    <col min="510" max="510" width="7.85546875" style="2" customWidth="1"/>
    <col min="511" max="511" width="7.42578125" style="2" customWidth="1"/>
    <col min="512" max="512" width="11.140625" style="2" customWidth="1"/>
    <col min="513" max="513" width="14.42578125" style="2" customWidth="1"/>
    <col min="514" max="514" width="3.42578125" style="2" customWidth="1"/>
    <col min="515" max="515" width="3" style="2" customWidth="1"/>
    <col min="516" max="516" width="3.28515625" style="2" customWidth="1"/>
    <col min="517" max="517" width="3.140625" style="2" customWidth="1"/>
    <col min="518" max="518" width="3.42578125" style="2" customWidth="1"/>
    <col min="519" max="519" width="24.7109375" style="2" customWidth="1"/>
    <col min="520" max="520" width="7.85546875" style="2" customWidth="1"/>
    <col min="521" max="521" width="7.28515625" style="2" customWidth="1"/>
    <col min="522" max="522" width="11.7109375" style="2" bestFit="1" customWidth="1"/>
    <col min="523" max="523" width="14.42578125" style="2" customWidth="1"/>
    <col min="524" max="524" width="8.85546875" style="2"/>
    <col min="525" max="525" width="14.28515625" style="2" bestFit="1" customWidth="1"/>
    <col min="526" max="526" width="10" style="2" customWidth="1"/>
    <col min="527" max="758" width="8.85546875" style="2"/>
    <col min="759" max="759" width="1.140625" style="2" customWidth="1"/>
    <col min="760" max="760" width="3.28515625" style="2" customWidth="1"/>
    <col min="761" max="761" width="2.42578125" style="2" customWidth="1"/>
    <col min="762" max="762" width="2.5703125" style="2" customWidth="1"/>
    <col min="763" max="763" width="2.85546875" style="2" customWidth="1"/>
    <col min="764" max="764" width="3" style="2" customWidth="1"/>
    <col min="765" max="765" width="24.7109375" style="2" customWidth="1"/>
    <col min="766" max="766" width="7.85546875" style="2" customWidth="1"/>
    <col min="767" max="767" width="7.42578125" style="2" customWidth="1"/>
    <col min="768" max="768" width="11.140625" style="2" customWidth="1"/>
    <col min="769" max="769" width="14.42578125" style="2" customWidth="1"/>
    <col min="770" max="770" width="3.42578125" style="2" customWidth="1"/>
    <col min="771" max="771" width="3" style="2" customWidth="1"/>
    <col min="772" max="772" width="3.28515625" style="2" customWidth="1"/>
    <col min="773" max="773" width="3.140625" style="2" customWidth="1"/>
    <col min="774" max="774" width="3.42578125" style="2" customWidth="1"/>
    <col min="775" max="775" width="24.7109375" style="2" customWidth="1"/>
    <col min="776" max="776" width="7.85546875" style="2" customWidth="1"/>
    <col min="777" max="777" width="7.28515625" style="2" customWidth="1"/>
    <col min="778" max="778" width="11.7109375" style="2" bestFit="1" customWidth="1"/>
    <col min="779" max="779" width="14.42578125" style="2" customWidth="1"/>
    <col min="780" max="780" width="8.85546875" style="2"/>
    <col min="781" max="781" width="14.28515625" style="2" bestFit="1" customWidth="1"/>
    <col min="782" max="782" width="10" style="2" customWidth="1"/>
    <col min="783" max="1014" width="8.85546875" style="2"/>
    <col min="1015" max="1015" width="1.140625" style="2" customWidth="1"/>
    <col min="1016" max="1016" width="3.28515625" style="2" customWidth="1"/>
    <col min="1017" max="1017" width="2.42578125" style="2" customWidth="1"/>
    <col min="1018" max="1018" width="2.5703125" style="2" customWidth="1"/>
    <col min="1019" max="1019" width="2.85546875" style="2" customWidth="1"/>
    <col min="1020" max="1020" width="3" style="2" customWidth="1"/>
    <col min="1021" max="1021" width="24.7109375" style="2" customWidth="1"/>
    <col min="1022" max="1022" width="7.85546875" style="2" customWidth="1"/>
    <col min="1023" max="1023" width="7.42578125" style="2" customWidth="1"/>
    <col min="1024" max="1024" width="11.140625" style="2" customWidth="1"/>
    <col min="1025" max="1025" width="14.42578125" style="2" customWidth="1"/>
    <col min="1026" max="1026" width="3.42578125" style="2" customWidth="1"/>
    <col min="1027" max="1027" width="3" style="2" customWidth="1"/>
    <col min="1028" max="1028" width="3.28515625" style="2" customWidth="1"/>
    <col min="1029" max="1029" width="3.140625" style="2" customWidth="1"/>
    <col min="1030" max="1030" width="3.42578125" style="2" customWidth="1"/>
    <col min="1031" max="1031" width="24.7109375" style="2" customWidth="1"/>
    <col min="1032" max="1032" width="7.85546875" style="2" customWidth="1"/>
    <col min="1033" max="1033" width="7.28515625" style="2" customWidth="1"/>
    <col min="1034" max="1034" width="11.7109375" style="2" bestFit="1" customWidth="1"/>
    <col min="1035" max="1035" width="14.42578125" style="2" customWidth="1"/>
    <col min="1036" max="1036" width="8.85546875" style="2"/>
    <col min="1037" max="1037" width="14.28515625" style="2" bestFit="1" customWidth="1"/>
    <col min="1038" max="1038" width="10" style="2" customWidth="1"/>
    <col min="1039" max="1270" width="8.85546875" style="2"/>
    <col min="1271" max="1271" width="1.140625" style="2" customWidth="1"/>
    <col min="1272" max="1272" width="3.28515625" style="2" customWidth="1"/>
    <col min="1273" max="1273" width="2.42578125" style="2" customWidth="1"/>
    <col min="1274" max="1274" width="2.5703125" style="2" customWidth="1"/>
    <col min="1275" max="1275" width="2.85546875" style="2" customWidth="1"/>
    <col min="1276" max="1276" width="3" style="2" customWidth="1"/>
    <col min="1277" max="1277" width="24.7109375" style="2" customWidth="1"/>
    <col min="1278" max="1278" width="7.85546875" style="2" customWidth="1"/>
    <col min="1279" max="1279" width="7.42578125" style="2" customWidth="1"/>
    <col min="1280" max="1280" width="11.140625" style="2" customWidth="1"/>
    <col min="1281" max="1281" width="14.42578125" style="2" customWidth="1"/>
    <col min="1282" max="1282" width="3.42578125" style="2" customWidth="1"/>
    <col min="1283" max="1283" width="3" style="2" customWidth="1"/>
    <col min="1284" max="1284" width="3.28515625" style="2" customWidth="1"/>
    <col min="1285" max="1285" width="3.140625" style="2" customWidth="1"/>
    <col min="1286" max="1286" width="3.42578125" style="2" customWidth="1"/>
    <col min="1287" max="1287" width="24.7109375" style="2" customWidth="1"/>
    <col min="1288" max="1288" width="7.85546875" style="2" customWidth="1"/>
    <col min="1289" max="1289" width="7.28515625" style="2" customWidth="1"/>
    <col min="1290" max="1290" width="11.7109375" style="2" bestFit="1" customWidth="1"/>
    <col min="1291" max="1291" width="14.42578125" style="2" customWidth="1"/>
    <col min="1292" max="1292" width="8.85546875" style="2"/>
    <col min="1293" max="1293" width="14.28515625" style="2" bestFit="1" customWidth="1"/>
    <col min="1294" max="1294" width="10" style="2" customWidth="1"/>
    <col min="1295" max="1526" width="8.85546875" style="2"/>
    <col min="1527" max="1527" width="1.140625" style="2" customWidth="1"/>
    <col min="1528" max="1528" width="3.28515625" style="2" customWidth="1"/>
    <col min="1529" max="1529" width="2.42578125" style="2" customWidth="1"/>
    <col min="1530" max="1530" width="2.5703125" style="2" customWidth="1"/>
    <col min="1531" max="1531" width="2.85546875" style="2" customWidth="1"/>
    <col min="1532" max="1532" width="3" style="2" customWidth="1"/>
    <col min="1533" max="1533" width="24.7109375" style="2" customWidth="1"/>
    <col min="1534" max="1534" width="7.85546875" style="2" customWidth="1"/>
    <col min="1535" max="1535" width="7.42578125" style="2" customWidth="1"/>
    <col min="1536" max="1536" width="11.140625" style="2" customWidth="1"/>
    <col min="1537" max="1537" width="14.42578125" style="2" customWidth="1"/>
    <col min="1538" max="1538" width="3.42578125" style="2" customWidth="1"/>
    <col min="1539" max="1539" width="3" style="2" customWidth="1"/>
    <col min="1540" max="1540" width="3.28515625" style="2" customWidth="1"/>
    <col min="1541" max="1541" width="3.140625" style="2" customWidth="1"/>
    <col min="1542" max="1542" width="3.42578125" style="2" customWidth="1"/>
    <col min="1543" max="1543" width="24.7109375" style="2" customWidth="1"/>
    <col min="1544" max="1544" width="7.85546875" style="2" customWidth="1"/>
    <col min="1545" max="1545" width="7.28515625" style="2" customWidth="1"/>
    <col min="1546" max="1546" width="11.7109375" style="2" bestFit="1" customWidth="1"/>
    <col min="1547" max="1547" width="14.42578125" style="2" customWidth="1"/>
    <col min="1548" max="1548" width="8.85546875" style="2"/>
    <col min="1549" max="1549" width="14.28515625" style="2" bestFit="1" customWidth="1"/>
    <col min="1550" max="1550" width="10" style="2" customWidth="1"/>
    <col min="1551" max="1782" width="8.85546875" style="2"/>
    <col min="1783" max="1783" width="1.140625" style="2" customWidth="1"/>
    <col min="1784" max="1784" width="3.28515625" style="2" customWidth="1"/>
    <col min="1785" max="1785" width="2.42578125" style="2" customWidth="1"/>
    <col min="1786" max="1786" width="2.5703125" style="2" customWidth="1"/>
    <col min="1787" max="1787" width="2.85546875" style="2" customWidth="1"/>
    <col min="1788" max="1788" width="3" style="2" customWidth="1"/>
    <col min="1789" max="1789" width="24.7109375" style="2" customWidth="1"/>
    <col min="1790" max="1790" width="7.85546875" style="2" customWidth="1"/>
    <col min="1791" max="1791" width="7.42578125" style="2" customWidth="1"/>
    <col min="1792" max="1792" width="11.140625" style="2" customWidth="1"/>
    <col min="1793" max="1793" width="14.42578125" style="2" customWidth="1"/>
    <col min="1794" max="1794" width="3.42578125" style="2" customWidth="1"/>
    <col min="1795" max="1795" width="3" style="2" customWidth="1"/>
    <col min="1796" max="1796" width="3.28515625" style="2" customWidth="1"/>
    <col min="1797" max="1797" width="3.140625" style="2" customWidth="1"/>
    <col min="1798" max="1798" width="3.42578125" style="2" customWidth="1"/>
    <col min="1799" max="1799" width="24.7109375" style="2" customWidth="1"/>
    <col min="1800" max="1800" width="7.85546875" style="2" customWidth="1"/>
    <col min="1801" max="1801" width="7.28515625" style="2" customWidth="1"/>
    <col min="1802" max="1802" width="11.7109375" style="2" bestFit="1" customWidth="1"/>
    <col min="1803" max="1803" width="14.42578125" style="2" customWidth="1"/>
    <col min="1804" max="1804" width="8.85546875" style="2"/>
    <col min="1805" max="1805" width="14.28515625" style="2" bestFit="1" customWidth="1"/>
    <col min="1806" max="1806" width="10" style="2" customWidth="1"/>
    <col min="1807" max="2038" width="8.85546875" style="2"/>
    <col min="2039" max="2039" width="1.140625" style="2" customWidth="1"/>
    <col min="2040" max="2040" width="3.28515625" style="2" customWidth="1"/>
    <col min="2041" max="2041" width="2.42578125" style="2" customWidth="1"/>
    <col min="2042" max="2042" width="2.5703125" style="2" customWidth="1"/>
    <col min="2043" max="2043" width="2.85546875" style="2" customWidth="1"/>
    <col min="2044" max="2044" width="3" style="2" customWidth="1"/>
    <col min="2045" max="2045" width="24.7109375" style="2" customWidth="1"/>
    <col min="2046" max="2046" width="7.85546875" style="2" customWidth="1"/>
    <col min="2047" max="2047" width="7.42578125" style="2" customWidth="1"/>
    <col min="2048" max="2048" width="11.140625" style="2" customWidth="1"/>
    <col min="2049" max="2049" width="14.42578125" style="2" customWidth="1"/>
    <col min="2050" max="2050" width="3.42578125" style="2" customWidth="1"/>
    <col min="2051" max="2051" width="3" style="2" customWidth="1"/>
    <col min="2052" max="2052" width="3.28515625" style="2" customWidth="1"/>
    <col min="2053" max="2053" width="3.140625" style="2" customWidth="1"/>
    <col min="2054" max="2054" width="3.42578125" style="2" customWidth="1"/>
    <col min="2055" max="2055" width="24.7109375" style="2" customWidth="1"/>
    <col min="2056" max="2056" width="7.85546875" style="2" customWidth="1"/>
    <col min="2057" max="2057" width="7.28515625" style="2" customWidth="1"/>
    <col min="2058" max="2058" width="11.7109375" style="2" bestFit="1" customWidth="1"/>
    <col min="2059" max="2059" width="14.42578125" style="2" customWidth="1"/>
    <col min="2060" max="2060" width="8.85546875" style="2"/>
    <col min="2061" max="2061" width="14.28515625" style="2" bestFit="1" customWidth="1"/>
    <col min="2062" max="2062" width="10" style="2" customWidth="1"/>
    <col min="2063" max="2294" width="8.85546875" style="2"/>
    <col min="2295" max="2295" width="1.140625" style="2" customWidth="1"/>
    <col min="2296" max="2296" width="3.28515625" style="2" customWidth="1"/>
    <col min="2297" max="2297" width="2.42578125" style="2" customWidth="1"/>
    <col min="2298" max="2298" width="2.5703125" style="2" customWidth="1"/>
    <col min="2299" max="2299" width="2.85546875" style="2" customWidth="1"/>
    <col min="2300" max="2300" width="3" style="2" customWidth="1"/>
    <col min="2301" max="2301" width="24.7109375" style="2" customWidth="1"/>
    <col min="2302" max="2302" width="7.85546875" style="2" customWidth="1"/>
    <col min="2303" max="2303" width="7.42578125" style="2" customWidth="1"/>
    <col min="2304" max="2304" width="11.140625" style="2" customWidth="1"/>
    <col min="2305" max="2305" width="14.42578125" style="2" customWidth="1"/>
    <col min="2306" max="2306" width="3.42578125" style="2" customWidth="1"/>
    <col min="2307" max="2307" width="3" style="2" customWidth="1"/>
    <col min="2308" max="2308" width="3.28515625" style="2" customWidth="1"/>
    <col min="2309" max="2309" width="3.140625" style="2" customWidth="1"/>
    <col min="2310" max="2310" width="3.42578125" style="2" customWidth="1"/>
    <col min="2311" max="2311" width="24.7109375" style="2" customWidth="1"/>
    <col min="2312" max="2312" width="7.85546875" style="2" customWidth="1"/>
    <col min="2313" max="2313" width="7.28515625" style="2" customWidth="1"/>
    <col min="2314" max="2314" width="11.7109375" style="2" bestFit="1" customWidth="1"/>
    <col min="2315" max="2315" width="14.42578125" style="2" customWidth="1"/>
    <col min="2316" max="2316" width="8.85546875" style="2"/>
    <col min="2317" max="2317" width="14.28515625" style="2" bestFit="1" customWidth="1"/>
    <col min="2318" max="2318" width="10" style="2" customWidth="1"/>
    <col min="2319" max="2550" width="8.85546875" style="2"/>
    <col min="2551" max="2551" width="1.140625" style="2" customWidth="1"/>
    <col min="2552" max="2552" width="3.28515625" style="2" customWidth="1"/>
    <col min="2553" max="2553" width="2.42578125" style="2" customWidth="1"/>
    <col min="2554" max="2554" width="2.5703125" style="2" customWidth="1"/>
    <col min="2555" max="2555" width="2.85546875" style="2" customWidth="1"/>
    <col min="2556" max="2556" width="3" style="2" customWidth="1"/>
    <col min="2557" max="2557" width="24.7109375" style="2" customWidth="1"/>
    <col min="2558" max="2558" width="7.85546875" style="2" customWidth="1"/>
    <col min="2559" max="2559" width="7.42578125" style="2" customWidth="1"/>
    <col min="2560" max="2560" width="11.140625" style="2" customWidth="1"/>
    <col min="2561" max="2561" width="14.42578125" style="2" customWidth="1"/>
    <col min="2562" max="2562" width="3.42578125" style="2" customWidth="1"/>
    <col min="2563" max="2563" width="3" style="2" customWidth="1"/>
    <col min="2564" max="2564" width="3.28515625" style="2" customWidth="1"/>
    <col min="2565" max="2565" width="3.140625" style="2" customWidth="1"/>
    <col min="2566" max="2566" width="3.42578125" style="2" customWidth="1"/>
    <col min="2567" max="2567" width="24.7109375" style="2" customWidth="1"/>
    <col min="2568" max="2568" width="7.85546875" style="2" customWidth="1"/>
    <col min="2569" max="2569" width="7.28515625" style="2" customWidth="1"/>
    <col min="2570" max="2570" width="11.7109375" style="2" bestFit="1" customWidth="1"/>
    <col min="2571" max="2571" width="14.42578125" style="2" customWidth="1"/>
    <col min="2572" max="2572" width="8.85546875" style="2"/>
    <col min="2573" max="2573" width="14.28515625" style="2" bestFit="1" customWidth="1"/>
    <col min="2574" max="2574" width="10" style="2" customWidth="1"/>
    <col min="2575" max="2806" width="8.85546875" style="2"/>
    <col min="2807" max="2807" width="1.140625" style="2" customWidth="1"/>
    <col min="2808" max="2808" width="3.28515625" style="2" customWidth="1"/>
    <col min="2809" max="2809" width="2.42578125" style="2" customWidth="1"/>
    <col min="2810" max="2810" width="2.5703125" style="2" customWidth="1"/>
    <col min="2811" max="2811" width="2.85546875" style="2" customWidth="1"/>
    <col min="2812" max="2812" width="3" style="2" customWidth="1"/>
    <col min="2813" max="2813" width="24.7109375" style="2" customWidth="1"/>
    <col min="2814" max="2814" width="7.85546875" style="2" customWidth="1"/>
    <col min="2815" max="2815" width="7.42578125" style="2" customWidth="1"/>
    <col min="2816" max="2816" width="11.140625" style="2" customWidth="1"/>
    <col min="2817" max="2817" width="14.42578125" style="2" customWidth="1"/>
    <col min="2818" max="2818" width="3.42578125" style="2" customWidth="1"/>
    <col min="2819" max="2819" width="3" style="2" customWidth="1"/>
    <col min="2820" max="2820" width="3.28515625" style="2" customWidth="1"/>
    <col min="2821" max="2821" width="3.140625" style="2" customWidth="1"/>
    <col min="2822" max="2822" width="3.42578125" style="2" customWidth="1"/>
    <col min="2823" max="2823" width="24.7109375" style="2" customWidth="1"/>
    <col min="2824" max="2824" width="7.85546875" style="2" customWidth="1"/>
    <col min="2825" max="2825" width="7.28515625" style="2" customWidth="1"/>
    <col min="2826" max="2826" width="11.7109375" style="2" bestFit="1" customWidth="1"/>
    <col min="2827" max="2827" width="14.42578125" style="2" customWidth="1"/>
    <col min="2828" max="2828" width="8.85546875" style="2"/>
    <col min="2829" max="2829" width="14.28515625" style="2" bestFit="1" customWidth="1"/>
    <col min="2830" max="2830" width="10" style="2" customWidth="1"/>
    <col min="2831" max="3062" width="8.85546875" style="2"/>
    <col min="3063" max="3063" width="1.140625" style="2" customWidth="1"/>
    <col min="3064" max="3064" width="3.28515625" style="2" customWidth="1"/>
    <col min="3065" max="3065" width="2.42578125" style="2" customWidth="1"/>
    <col min="3066" max="3066" width="2.5703125" style="2" customWidth="1"/>
    <col min="3067" max="3067" width="2.85546875" style="2" customWidth="1"/>
    <col min="3068" max="3068" width="3" style="2" customWidth="1"/>
    <col min="3069" max="3069" width="24.7109375" style="2" customWidth="1"/>
    <col min="3070" max="3070" width="7.85546875" style="2" customWidth="1"/>
    <col min="3071" max="3071" width="7.42578125" style="2" customWidth="1"/>
    <col min="3072" max="3072" width="11.140625" style="2" customWidth="1"/>
    <col min="3073" max="3073" width="14.42578125" style="2" customWidth="1"/>
    <col min="3074" max="3074" width="3.42578125" style="2" customWidth="1"/>
    <col min="3075" max="3075" width="3" style="2" customWidth="1"/>
    <col min="3076" max="3076" width="3.28515625" style="2" customWidth="1"/>
    <col min="3077" max="3077" width="3.140625" style="2" customWidth="1"/>
    <col min="3078" max="3078" width="3.42578125" style="2" customWidth="1"/>
    <col min="3079" max="3079" width="24.7109375" style="2" customWidth="1"/>
    <col min="3080" max="3080" width="7.85546875" style="2" customWidth="1"/>
    <col min="3081" max="3081" width="7.28515625" style="2" customWidth="1"/>
    <col min="3082" max="3082" width="11.7109375" style="2" bestFit="1" customWidth="1"/>
    <col min="3083" max="3083" width="14.42578125" style="2" customWidth="1"/>
    <col min="3084" max="3084" width="8.85546875" style="2"/>
    <col min="3085" max="3085" width="14.28515625" style="2" bestFit="1" customWidth="1"/>
    <col min="3086" max="3086" width="10" style="2" customWidth="1"/>
    <col min="3087" max="3318" width="8.85546875" style="2"/>
    <col min="3319" max="3319" width="1.140625" style="2" customWidth="1"/>
    <col min="3320" max="3320" width="3.28515625" style="2" customWidth="1"/>
    <col min="3321" max="3321" width="2.42578125" style="2" customWidth="1"/>
    <col min="3322" max="3322" width="2.5703125" style="2" customWidth="1"/>
    <col min="3323" max="3323" width="2.85546875" style="2" customWidth="1"/>
    <col min="3324" max="3324" width="3" style="2" customWidth="1"/>
    <col min="3325" max="3325" width="24.7109375" style="2" customWidth="1"/>
    <col min="3326" max="3326" width="7.85546875" style="2" customWidth="1"/>
    <col min="3327" max="3327" width="7.42578125" style="2" customWidth="1"/>
    <col min="3328" max="3328" width="11.140625" style="2" customWidth="1"/>
    <col min="3329" max="3329" width="14.42578125" style="2" customWidth="1"/>
    <col min="3330" max="3330" width="3.42578125" style="2" customWidth="1"/>
    <col min="3331" max="3331" width="3" style="2" customWidth="1"/>
    <col min="3332" max="3332" width="3.28515625" style="2" customWidth="1"/>
    <col min="3333" max="3333" width="3.140625" style="2" customWidth="1"/>
    <col min="3334" max="3334" width="3.42578125" style="2" customWidth="1"/>
    <col min="3335" max="3335" width="24.7109375" style="2" customWidth="1"/>
    <col min="3336" max="3336" width="7.85546875" style="2" customWidth="1"/>
    <col min="3337" max="3337" width="7.28515625" style="2" customWidth="1"/>
    <col min="3338" max="3338" width="11.7109375" style="2" bestFit="1" customWidth="1"/>
    <col min="3339" max="3339" width="14.42578125" style="2" customWidth="1"/>
    <col min="3340" max="3340" width="8.85546875" style="2"/>
    <col min="3341" max="3341" width="14.28515625" style="2" bestFit="1" customWidth="1"/>
    <col min="3342" max="3342" width="10" style="2" customWidth="1"/>
    <col min="3343" max="3574" width="8.85546875" style="2"/>
    <col min="3575" max="3575" width="1.140625" style="2" customWidth="1"/>
    <col min="3576" max="3576" width="3.28515625" style="2" customWidth="1"/>
    <col min="3577" max="3577" width="2.42578125" style="2" customWidth="1"/>
    <col min="3578" max="3578" width="2.5703125" style="2" customWidth="1"/>
    <col min="3579" max="3579" width="2.85546875" style="2" customWidth="1"/>
    <col min="3580" max="3580" width="3" style="2" customWidth="1"/>
    <col min="3581" max="3581" width="24.7109375" style="2" customWidth="1"/>
    <col min="3582" max="3582" width="7.85546875" style="2" customWidth="1"/>
    <col min="3583" max="3583" width="7.42578125" style="2" customWidth="1"/>
    <col min="3584" max="3584" width="11.140625" style="2" customWidth="1"/>
    <col min="3585" max="3585" width="14.42578125" style="2" customWidth="1"/>
    <col min="3586" max="3586" width="3.42578125" style="2" customWidth="1"/>
    <col min="3587" max="3587" width="3" style="2" customWidth="1"/>
    <col min="3588" max="3588" width="3.28515625" style="2" customWidth="1"/>
    <col min="3589" max="3589" width="3.140625" style="2" customWidth="1"/>
    <col min="3590" max="3590" width="3.42578125" style="2" customWidth="1"/>
    <col min="3591" max="3591" width="24.7109375" style="2" customWidth="1"/>
    <col min="3592" max="3592" width="7.85546875" style="2" customWidth="1"/>
    <col min="3593" max="3593" width="7.28515625" style="2" customWidth="1"/>
    <col min="3594" max="3594" width="11.7109375" style="2" bestFit="1" customWidth="1"/>
    <col min="3595" max="3595" width="14.42578125" style="2" customWidth="1"/>
    <col min="3596" max="3596" width="8.85546875" style="2"/>
    <col min="3597" max="3597" width="14.28515625" style="2" bestFit="1" customWidth="1"/>
    <col min="3598" max="3598" width="10" style="2" customWidth="1"/>
    <col min="3599" max="3830" width="8.85546875" style="2"/>
    <col min="3831" max="3831" width="1.140625" style="2" customWidth="1"/>
    <col min="3832" max="3832" width="3.28515625" style="2" customWidth="1"/>
    <col min="3833" max="3833" width="2.42578125" style="2" customWidth="1"/>
    <col min="3834" max="3834" width="2.5703125" style="2" customWidth="1"/>
    <col min="3835" max="3835" width="2.85546875" style="2" customWidth="1"/>
    <col min="3836" max="3836" width="3" style="2" customWidth="1"/>
    <col min="3837" max="3837" width="24.7109375" style="2" customWidth="1"/>
    <col min="3838" max="3838" width="7.85546875" style="2" customWidth="1"/>
    <col min="3839" max="3839" width="7.42578125" style="2" customWidth="1"/>
    <col min="3840" max="3840" width="11.140625" style="2" customWidth="1"/>
    <col min="3841" max="3841" width="14.42578125" style="2" customWidth="1"/>
    <col min="3842" max="3842" width="3.42578125" style="2" customWidth="1"/>
    <col min="3843" max="3843" width="3" style="2" customWidth="1"/>
    <col min="3844" max="3844" width="3.28515625" style="2" customWidth="1"/>
    <col min="3845" max="3845" width="3.140625" style="2" customWidth="1"/>
    <col min="3846" max="3846" width="3.42578125" style="2" customWidth="1"/>
    <col min="3847" max="3847" width="24.7109375" style="2" customWidth="1"/>
    <col min="3848" max="3848" width="7.85546875" style="2" customWidth="1"/>
    <col min="3849" max="3849" width="7.28515625" style="2" customWidth="1"/>
    <col min="3850" max="3850" width="11.7109375" style="2" bestFit="1" customWidth="1"/>
    <col min="3851" max="3851" width="14.42578125" style="2" customWidth="1"/>
    <col min="3852" max="3852" width="8.85546875" style="2"/>
    <col min="3853" max="3853" width="14.28515625" style="2" bestFit="1" customWidth="1"/>
    <col min="3854" max="3854" width="10" style="2" customWidth="1"/>
    <col min="3855" max="4086" width="8.85546875" style="2"/>
    <col min="4087" max="4087" width="1.140625" style="2" customWidth="1"/>
    <col min="4088" max="4088" width="3.28515625" style="2" customWidth="1"/>
    <col min="4089" max="4089" width="2.42578125" style="2" customWidth="1"/>
    <col min="4090" max="4090" width="2.5703125" style="2" customWidth="1"/>
    <col min="4091" max="4091" width="2.85546875" style="2" customWidth="1"/>
    <col min="4092" max="4092" width="3" style="2" customWidth="1"/>
    <col min="4093" max="4093" width="24.7109375" style="2" customWidth="1"/>
    <col min="4094" max="4094" width="7.85546875" style="2" customWidth="1"/>
    <col min="4095" max="4095" width="7.42578125" style="2" customWidth="1"/>
    <col min="4096" max="4096" width="11.140625" style="2" customWidth="1"/>
    <col min="4097" max="4097" width="14.42578125" style="2" customWidth="1"/>
    <col min="4098" max="4098" width="3.42578125" style="2" customWidth="1"/>
    <col min="4099" max="4099" width="3" style="2" customWidth="1"/>
    <col min="4100" max="4100" width="3.28515625" style="2" customWidth="1"/>
    <col min="4101" max="4101" width="3.140625" style="2" customWidth="1"/>
    <col min="4102" max="4102" width="3.42578125" style="2" customWidth="1"/>
    <col min="4103" max="4103" width="24.7109375" style="2" customWidth="1"/>
    <col min="4104" max="4104" width="7.85546875" style="2" customWidth="1"/>
    <col min="4105" max="4105" width="7.28515625" style="2" customWidth="1"/>
    <col min="4106" max="4106" width="11.7109375" style="2" bestFit="1" customWidth="1"/>
    <col min="4107" max="4107" width="14.42578125" style="2" customWidth="1"/>
    <col min="4108" max="4108" width="8.85546875" style="2"/>
    <col min="4109" max="4109" width="14.28515625" style="2" bestFit="1" customWidth="1"/>
    <col min="4110" max="4110" width="10" style="2" customWidth="1"/>
    <col min="4111" max="4342" width="8.85546875" style="2"/>
    <col min="4343" max="4343" width="1.140625" style="2" customWidth="1"/>
    <col min="4344" max="4344" width="3.28515625" style="2" customWidth="1"/>
    <col min="4345" max="4345" width="2.42578125" style="2" customWidth="1"/>
    <col min="4346" max="4346" width="2.5703125" style="2" customWidth="1"/>
    <col min="4347" max="4347" width="2.85546875" style="2" customWidth="1"/>
    <col min="4348" max="4348" width="3" style="2" customWidth="1"/>
    <col min="4349" max="4349" width="24.7109375" style="2" customWidth="1"/>
    <col min="4350" max="4350" width="7.85546875" style="2" customWidth="1"/>
    <col min="4351" max="4351" width="7.42578125" style="2" customWidth="1"/>
    <col min="4352" max="4352" width="11.140625" style="2" customWidth="1"/>
    <col min="4353" max="4353" width="14.42578125" style="2" customWidth="1"/>
    <col min="4354" max="4354" width="3.42578125" style="2" customWidth="1"/>
    <col min="4355" max="4355" width="3" style="2" customWidth="1"/>
    <col min="4356" max="4356" width="3.28515625" style="2" customWidth="1"/>
    <col min="4357" max="4357" width="3.140625" style="2" customWidth="1"/>
    <col min="4358" max="4358" width="3.42578125" style="2" customWidth="1"/>
    <col min="4359" max="4359" width="24.7109375" style="2" customWidth="1"/>
    <col min="4360" max="4360" width="7.85546875" style="2" customWidth="1"/>
    <col min="4361" max="4361" width="7.28515625" style="2" customWidth="1"/>
    <col min="4362" max="4362" width="11.7109375" style="2" bestFit="1" customWidth="1"/>
    <col min="4363" max="4363" width="14.42578125" style="2" customWidth="1"/>
    <col min="4364" max="4364" width="8.85546875" style="2"/>
    <col min="4365" max="4365" width="14.28515625" style="2" bestFit="1" customWidth="1"/>
    <col min="4366" max="4366" width="10" style="2" customWidth="1"/>
    <col min="4367" max="4598" width="8.85546875" style="2"/>
    <col min="4599" max="4599" width="1.140625" style="2" customWidth="1"/>
    <col min="4600" max="4600" width="3.28515625" style="2" customWidth="1"/>
    <col min="4601" max="4601" width="2.42578125" style="2" customWidth="1"/>
    <col min="4602" max="4602" width="2.5703125" style="2" customWidth="1"/>
    <col min="4603" max="4603" width="2.85546875" style="2" customWidth="1"/>
    <col min="4604" max="4604" width="3" style="2" customWidth="1"/>
    <col min="4605" max="4605" width="24.7109375" style="2" customWidth="1"/>
    <col min="4606" max="4606" width="7.85546875" style="2" customWidth="1"/>
    <col min="4607" max="4607" width="7.42578125" style="2" customWidth="1"/>
    <col min="4608" max="4608" width="11.140625" style="2" customWidth="1"/>
    <col min="4609" max="4609" width="14.42578125" style="2" customWidth="1"/>
    <col min="4610" max="4610" width="3.42578125" style="2" customWidth="1"/>
    <col min="4611" max="4611" width="3" style="2" customWidth="1"/>
    <col min="4612" max="4612" width="3.28515625" style="2" customWidth="1"/>
    <col min="4613" max="4613" width="3.140625" style="2" customWidth="1"/>
    <col min="4614" max="4614" width="3.42578125" style="2" customWidth="1"/>
    <col min="4615" max="4615" width="24.7109375" style="2" customWidth="1"/>
    <col min="4616" max="4616" width="7.85546875" style="2" customWidth="1"/>
    <col min="4617" max="4617" width="7.28515625" style="2" customWidth="1"/>
    <col min="4618" max="4618" width="11.7109375" style="2" bestFit="1" customWidth="1"/>
    <col min="4619" max="4619" width="14.42578125" style="2" customWidth="1"/>
    <col min="4620" max="4620" width="8.85546875" style="2"/>
    <col min="4621" max="4621" width="14.28515625" style="2" bestFit="1" customWidth="1"/>
    <col min="4622" max="4622" width="10" style="2" customWidth="1"/>
    <col min="4623" max="4854" width="8.85546875" style="2"/>
    <col min="4855" max="4855" width="1.140625" style="2" customWidth="1"/>
    <col min="4856" max="4856" width="3.28515625" style="2" customWidth="1"/>
    <col min="4857" max="4857" width="2.42578125" style="2" customWidth="1"/>
    <col min="4858" max="4858" width="2.5703125" style="2" customWidth="1"/>
    <col min="4859" max="4859" width="2.85546875" style="2" customWidth="1"/>
    <col min="4860" max="4860" width="3" style="2" customWidth="1"/>
    <col min="4861" max="4861" width="24.7109375" style="2" customWidth="1"/>
    <col min="4862" max="4862" width="7.85546875" style="2" customWidth="1"/>
    <col min="4863" max="4863" width="7.42578125" style="2" customWidth="1"/>
    <col min="4864" max="4864" width="11.140625" style="2" customWidth="1"/>
    <col min="4865" max="4865" width="14.42578125" style="2" customWidth="1"/>
    <col min="4866" max="4866" width="3.42578125" style="2" customWidth="1"/>
    <col min="4867" max="4867" width="3" style="2" customWidth="1"/>
    <col min="4868" max="4868" width="3.28515625" style="2" customWidth="1"/>
    <col min="4869" max="4869" width="3.140625" style="2" customWidth="1"/>
    <col min="4870" max="4870" width="3.42578125" style="2" customWidth="1"/>
    <col min="4871" max="4871" width="24.7109375" style="2" customWidth="1"/>
    <col min="4872" max="4872" width="7.85546875" style="2" customWidth="1"/>
    <col min="4873" max="4873" width="7.28515625" style="2" customWidth="1"/>
    <col min="4874" max="4874" width="11.7109375" style="2" bestFit="1" customWidth="1"/>
    <col min="4875" max="4875" width="14.42578125" style="2" customWidth="1"/>
    <col min="4876" max="4876" width="8.85546875" style="2"/>
    <col min="4877" max="4877" width="14.28515625" style="2" bestFit="1" customWidth="1"/>
    <col min="4878" max="4878" width="10" style="2" customWidth="1"/>
    <col min="4879" max="5110" width="8.85546875" style="2"/>
    <col min="5111" max="5111" width="1.140625" style="2" customWidth="1"/>
    <col min="5112" max="5112" width="3.28515625" style="2" customWidth="1"/>
    <col min="5113" max="5113" width="2.42578125" style="2" customWidth="1"/>
    <col min="5114" max="5114" width="2.5703125" style="2" customWidth="1"/>
    <col min="5115" max="5115" width="2.85546875" style="2" customWidth="1"/>
    <col min="5116" max="5116" width="3" style="2" customWidth="1"/>
    <col min="5117" max="5117" width="24.7109375" style="2" customWidth="1"/>
    <col min="5118" max="5118" width="7.85546875" style="2" customWidth="1"/>
    <col min="5119" max="5119" width="7.42578125" style="2" customWidth="1"/>
    <col min="5120" max="5120" width="11.140625" style="2" customWidth="1"/>
    <col min="5121" max="5121" width="14.42578125" style="2" customWidth="1"/>
    <col min="5122" max="5122" width="3.42578125" style="2" customWidth="1"/>
    <col min="5123" max="5123" width="3" style="2" customWidth="1"/>
    <col min="5124" max="5124" width="3.28515625" style="2" customWidth="1"/>
    <col min="5125" max="5125" width="3.140625" style="2" customWidth="1"/>
    <col min="5126" max="5126" width="3.42578125" style="2" customWidth="1"/>
    <col min="5127" max="5127" width="24.7109375" style="2" customWidth="1"/>
    <col min="5128" max="5128" width="7.85546875" style="2" customWidth="1"/>
    <col min="5129" max="5129" width="7.28515625" style="2" customWidth="1"/>
    <col min="5130" max="5130" width="11.7109375" style="2" bestFit="1" customWidth="1"/>
    <col min="5131" max="5131" width="14.42578125" style="2" customWidth="1"/>
    <col min="5132" max="5132" width="8.85546875" style="2"/>
    <col min="5133" max="5133" width="14.28515625" style="2" bestFit="1" customWidth="1"/>
    <col min="5134" max="5134" width="10" style="2" customWidth="1"/>
    <col min="5135" max="5366" width="8.85546875" style="2"/>
    <col min="5367" max="5367" width="1.140625" style="2" customWidth="1"/>
    <col min="5368" max="5368" width="3.28515625" style="2" customWidth="1"/>
    <col min="5369" max="5369" width="2.42578125" style="2" customWidth="1"/>
    <col min="5370" max="5370" width="2.5703125" style="2" customWidth="1"/>
    <col min="5371" max="5371" width="2.85546875" style="2" customWidth="1"/>
    <col min="5372" max="5372" width="3" style="2" customWidth="1"/>
    <col min="5373" max="5373" width="24.7109375" style="2" customWidth="1"/>
    <col min="5374" max="5374" width="7.85546875" style="2" customWidth="1"/>
    <col min="5375" max="5375" width="7.42578125" style="2" customWidth="1"/>
    <col min="5376" max="5376" width="11.140625" style="2" customWidth="1"/>
    <col min="5377" max="5377" width="14.42578125" style="2" customWidth="1"/>
    <col min="5378" max="5378" width="3.42578125" style="2" customWidth="1"/>
    <col min="5379" max="5379" width="3" style="2" customWidth="1"/>
    <col min="5380" max="5380" width="3.28515625" style="2" customWidth="1"/>
    <col min="5381" max="5381" width="3.140625" style="2" customWidth="1"/>
    <col min="5382" max="5382" width="3.42578125" style="2" customWidth="1"/>
    <col min="5383" max="5383" width="24.7109375" style="2" customWidth="1"/>
    <col min="5384" max="5384" width="7.85546875" style="2" customWidth="1"/>
    <col min="5385" max="5385" width="7.28515625" style="2" customWidth="1"/>
    <col min="5386" max="5386" width="11.7109375" style="2" bestFit="1" customWidth="1"/>
    <col min="5387" max="5387" width="14.42578125" style="2" customWidth="1"/>
    <col min="5388" max="5388" width="8.85546875" style="2"/>
    <col min="5389" max="5389" width="14.28515625" style="2" bestFit="1" customWidth="1"/>
    <col min="5390" max="5390" width="10" style="2" customWidth="1"/>
    <col min="5391" max="5622" width="8.85546875" style="2"/>
    <col min="5623" max="5623" width="1.140625" style="2" customWidth="1"/>
    <col min="5624" max="5624" width="3.28515625" style="2" customWidth="1"/>
    <col min="5625" max="5625" width="2.42578125" style="2" customWidth="1"/>
    <col min="5626" max="5626" width="2.5703125" style="2" customWidth="1"/>
    <col min="5627" max="5627" width="2.85546875" style="2" customWidth="1"/>
    <col min="5628" max="5628" width="3" style="2" customWidth="1"/>
    <col min="5629" max="5629" width="24.7109375" style="2" customWidth="1"/>
    <col min="5630" max="5630" width="7.85546875" style="2" customWidth="1"/>
    <col min="5631" max="5631" width="7.42578125" style="2" customWidth="1"/>
    <col min="5632" max="5632" width="11.140625" style="2" customWidth="1"/>
    <col min="5633" max="5633" width="14.42578125" style="2" customWidth="1"/>
    <col min="5634" max="5634" width="3.42578125" style="2" customWidth="1"/>
    <col min="5635" max="5635" width="3" style="2" customWidth="1"/>
    <col min="5636" max="5636" width="3.28515625" style="2" customWidth="1"/>
    <col min="5637" max="5637" width="3.140625" style="2" customWidth="1"/>
    <col min="5638" max="5638" width="3.42578125" style="2" customWidth="1"/>
    <col min="5639" max="5639" width="24.7109375" style="2" customWidth="1"/>
    <col min="5640" max="5640" width="7.85546875" style="2" customWidth="1"/>
    <col min="5641" max="5641" width="7.28515625" style="2" customWidth="1"/>
    <col min="5642" max="5642" width="11.7109375" style="2" bestFit="1" customWidth="1"/>
    <col min="5643" max="5643" width="14.42578125" style="2" customWidth="1"/>
    <col min="5644" max="5644" width="8.85546875" style="2"/>
    <col min="5645" max="5645" width="14.28515625" style="2" bestFit="1" customWidth="1"/>
    <col min="5646" max="5646" width="10" style="2" customWidth="1"/>
    <col min="5647" max="5878" width="8.85546875" style="2"/>
    <col min="5879" max="5879" width="1.140625" style="2" customWidth="1"/>
    <col min="5880" max="5880" width="3.28515625" style="2" customWidth="1"/>
    <col min="5881" max="5881" width="2.42578125" style="2" customWidth="1"/>
    <col min="5882" max="5882" width="2.5703125" style="2" customWidth="1"/>
    <col min="5883" max="5883" width="2.85546875" style="2" customWidth="1"/>
    <col min="5884" max="5884" width="3" style="2" customWidth="1"/>
    <col min="5885" max="5885" width="24.7109375" style="2" customWidth="1"/>
    <col min="5886" max="5886" width="7.85546875" style="2" customWidth="1"/>
    <col min="5887" max="5887" width="7.42578125" style="2" customWidth="1"/>
    <col min="5888" max="5888" width="11.140625" style="2" customWidth="1"/>
    <col min="5889" max="5889" width="14.42578125" style="2" customWidth="1"/>
    <col min="5890" max="5890" width="3.42578125" style="2" customWidth="1"/>
    <col min="5891" max="5891" width="3" style="2" customWidth="1"/>
    <col min="5892" max="5892" width="3.28515625" style="2" customWidth="1"/>
    <col min="5893" max="5893" width="3.140625" style="2" customWidth="1"/>
    <col min="5894" max="5894" width="3.42578125" style="2" customWidth="1"/>
    <col min="5895" max="5895" width="24.7109375" style="2" customWidth="1"/>
    <col min="5896" max="5896" width="7.85546875" style="2" customWidth="1"/>
    <col min="5897" max="5897" width="7.28515625" style="2" customWidth="1"/>
    <col min="5898" max="5898" width="11.7109375" style="2" bestFit="1" customWidth="1"/>
    <col min="5899" max="5899" width="14.42578125" style="2" customWidth="1"/>
    <col min="5900" max="5900" width="8.85546875" style="2"/>
    <col min="5901" max="5901" width="14.28515625" style="2" bestFit="1" customWidth="1"/>
    <col min="5902" max="5902" width="10" style="2" customWidth="1"/>
    <col min="5903" max="6134" width="8.85546875" style="2"/>
    <col min="6135" max="6135" width="1.140625" style="2" customWidth="1"/>
    <col min="6136" max="6136" width="3.28515625" style="2" customWidth="1"/>
    <col min="6137" max="6137" width="2.42578125" style="2" customWidth="1"/>
    <col min="6138" max="6138" width="2.5703125" style="2" customWidth="1"/>
    <col min="6139" max="6139" width="2.85546875" style="2" customWidth="1"/>
    <col min="6140" max="6140" width="3" style="2" customWidth="1"/>
    <col min="6141" max="6141" width="24.7109375" style="2" customWidth="1"/>
    <col min="6142" max="6142" width="7.85546875" style="2" customWidth="1"/>
    <col min="6143" max="6143" width="7.42578125" style="2" customWidth="1"/>
    <col min="6144" max="6144" width="11.140625" style="2" customWidth="1"/>
    <col min="6145" max="6145" width="14.42578125" style="2" customWidth="1"/>
    <col min="6146" max="6146" width="3.42578125" style="2" customWidth="1"/>
    <col min="6147" max="6147" width="3" style="2" customWidth="1"/>
    <col min="6148" max="6148" width="3.28515625" style="2" customWidth="1"/>
    <col min="6149" max="6149" width="3.140625" style="2" customWidth="1"/>
    <col min="6150" max="6150" width="3.42578125" style="2" customWidth="1"/>
    <col min="6151" max="6151" width="24.7109375" style="2" customWidth="1"/>
    <col min="6152" max="6152" width="7.85546875" style="2" customWidth="1"/>
    <col min="6153" max="6153" width="7.28515625" style="2" customWidth="1"/>
    <col min="6154" max="6154" width="11.7109375" style="2" bestFit="1" customWidth="1"/>
    <col min="6155" max="6155" width="14.42578125" style="2" customWidth="1"/>
    <col min="6156" max="6156" width="8.85546875" style="2"/>
    <col min="6157" max="6157" width="14.28515625" style="2" bestFit="1" customWidth="1"/>
    <col min="6158" max="6158" width="10" style="2" customWidth="1"/>
    <col min="6159" max="6390" width="8.85546875" style="2"/>
    <col min="6391" max="6391" width="1.140625" style="2" customWidth="1"/>
    <col min="6392" max="6392" width="3.28515625" style="2" customWidth="1"/>
    <col min="6393" max="6393" width="2.42578125" style="2" customWidth="1"/>
    <col min="6394" max="6394" width="2.5703125" style="2" customWidth="1"/>
    <col min="6395" max="6395" width="2.85546875" style="2" customWidth="1"/>
    <col min="6396" max="6396" width="3" style="2" customWidth="1"/>
    <col min="6397" max="6397" width="24.7109375" style="2" customWidth="1"/>
    <col min="6398" max="6398" width="7.85546875" style="2" customWidth="1"/>
    <col min="6399" max="6399" width="7.42578125" style="2" customWidth="1"/>
    <col min="6400" max="6400" width="11.140625" style="2" customWidth="1"/>
    <col min="6401" max="6401" width="14.42578125" style="2" customWidth="1"/>
    <col min="6402" max="6402" width="3.42578125" style="2" customWidth="1"/>
    <col min="6403" max="6403" width="3" style="2" customWidth="1"/>
    <col min="6404" max="6404" width="3.28515625" style="2" customWidth="1"/>
    <col min="6405" max="6405" width="3.140625" style="2" customWidth="1"/>
    <col min="6406" max="6406" width="3.42578125" style="2" customWidth="1"/>
    <col min="6407" max="6407" width="24.7109375" style="2" customWidth="1"/>
    <col min="6408" max="6408" width="7.85546875" style="2" customWidth="1"/>
    <col min="6409" max="6409" width="7.28515625" style="2" customWidth="1"/>
    <col min="6410" max="6410" width="11.7109375" style="2" bestFit="1" customWidth="1"/>
    <col min="6411" max="6411" width="14.42578125" style="2" customWidth="1"/>
    <col min="6412" max="6412" width="8.85546875" style="2"/>
    <col min="6413" max="6413" width="14.28515625" style="2" bestFit="1" customWidth="1"/>
    <col min="6414" max="6414" width="10" style="2" customWidth="1"/>
    <col min="6415" max="6646" width="8.85546875" style="2"/>
    <col min="6647" max="6647" width="1.140625" style="2" customWidth="1"/>
    <col min="6648" max="6648" width="3.28515625" style="2" customWidth="1"/>
    <col min="6649" max="6649" width="2.42578125" style="2" customWidth="1"/>
    <col min="6650" max="6650" width="2.5703125" style="2" customWidth="1"/>
    <col min="6651" max="6651" width="2.85546875" style="2" customWidth="1"/>
    <col min="6652" max="6652" width="3" style="2" customWidth="1"/>
    <col min="6653" max="6653" width="24.7109375" style="2" customWidth="1"/>
    <col min="6654" max="6654" width="7.85546875" style="2" customWidth="1"/>
    <col min="6655" max="6655" width="7.42578125" style="2" customWidth="1"/>
    <col min="6656" max="6656" width="11.140625" style="2" customWidth="1"/>
    <col min="6657" max="6657" width="14.42578125" style="2" customWidth="1"/>
    <col min="6658" max="6658" width="3.42578125" style="2" customWidth="1"/>
    <col min="6659" max="6659" width="3" style="2" customWidth="1"/>
    <col min="6660" max="6660" width="3.28515625" style="2" customWidth="1"/>
    <col min="6661" max="6661" width="3.140625" style="2" customWidth="1"/>
    <col min="6662" max="6662" width="3.42578125" style="2" customWidth="1"/>
    <col min="6663" max="6663" width="24.7109375" style="2" customWidth="1"/>
    <col min="6664" max="6664" width="7.85546875" style="2" customWidth="1"/>
    <col min="6665" max="6665" width="7.28515625" style="2" customWidth="1"/>
    <col min="6666" max="6666" width="11.7109375" style="2" bestFit="1" customWidth="1"/>
    <col min="6667" max="6667" width="14.42578125" style="2" customWidth="1"/>
    <col min="6668" max="6668" width="8.85546875" style="2"/>
    <col min="6669" max="6669" width="14.28515625" style="2" bestFit="1" customWidth="1"/>
    <col min="6670" max="6670" width="10" style="2" customWidth="1"/>
    <col min="6671" max="6902" width="8.85546875" style="2"/>
    <col min="6903" max="6903" width="1.140625" style="2" customWidth="1"/>
    <col min="6904" max="6904" width="3.28515625" style="2" customWidth="1"/>
    <col min="6905" max="6905" width="2.42578125" style="2" customWidth="1"/>
    <col min="6906" max="6906" width="2.5703125" style="2" customWidth="1"/>
    <col min="6907" max="6907" width="2.85546875" style="2" customWidth="1"/>
    <col min="6908" max="6908" width="3" style="2" customWidth="1"/>
    <col min="6909" max="6909" width="24.7109375" style="2" customWidth="1"/>
    <col min="6910" max="6910" width="7.85546875" style="2" customWidth="1"/>
    <col min="6911" max="6911" width="7.42578125" style="2" customWidth="1"/>
    <col min="6912" max="6912" width="11.140625" style="2" customWidth="1"/>
    <col min="6913" max="6913" width="14.42578125" style="2" customWidth="1"/>
    <col min="6914" max="6914" width="3.42578125" style="2" customWidth="1"/>
    <col min="6915" max="6915" width="3" style="2" customWidth="1"/>
    <col min="6916" max="6916" width="3.28515625" style="2" customWidth="1"/>
    <col min="6917" max="6917" width="3.140625" style="2" customWidth="1"/>
    <col min="6918" max="6918" width="3.42578125" style="2" customWidth="1"/>
    <col min="6919" max="6919" width="24.7109375" style="2" customWidth="1"/>
    <col min="6920" max="6920" width="7.85546875" style="2" customWidth="1"/>
    <col min="6921" max="6921" width="7.28515625" style="2" customWidth="1"/>
    <col min="6922" max="6922" width="11.7109375" style="2" bestFit="1" customWidth="1"/>
    <col min="6923" max="6923" width="14.42578125" style="2" customWidth="1"/>
    <col min="6924" max="6924" width="8.85546875" style="2"/>
    <col min="6925" max="6925" width="14.28515625" style="2" bestFit="1" customWidth="1"/>
    <col min="6926" max="6926" width="10" style="2" customWidth="1"/>
    <col min="6927" max="7158" width="8.85546875" style="2"/>
    <col min="7159" max="7159" width="1.140625" style="2" customWidth="1"/>
    <col min="7160" max="7160" width="3.28515625" style="2" customWidth="1"/>
    <col min="7161" max="7161" width="2.42578125" style="2" customWidth="1"/>
    <col min="7162" max="7162" width="2.5703125" style="2" customWidth="1"/>
    <col min="7163" max="7163" width="2.85546875" style="2" customWidth="1"/>
    <col min="7164" max="7164" width="3" style="2" customWidth="1"/>
    <col min="7165" max="7165" width="24.7109375" style="2" customWidth="1"/>
    <col min="7166" max="7166" width="7.85546875" style="2" customWidth="1"/>
    <col min="7167" max="7167" width="7.42578125" style="2" customWidth="1"/>
    <col min="7168" max="7168" width="11.140625" style="2" customWidth="1"/>
    <col min="7169" max="7169" width="14.42578125" style="2" customWidth="1"/>
    <col min="7170" max="7170" width="3.42578125" style="2" customWidth="1"/>
    <col min="7171" max="7171" width="3" style="2" customWidth="1"/>
    <col min="7172" max="7172" width="3.28515625" style="2" customWidth="1"/>
    <col min="7173" max="7173" width="3.140625" style="2" customWidth="1"/>
    <col min="7174" max="7174" width="3.42578125" style="2" customWidth="1"/>
    <col min="7175" max="7175" width="24.7109375" style="2" customWidth="1"/>
    <col min="7176" max="7176" width="7.85546875" style="2" customWidth="1"/>
    <col min="7177" max="7177" width="7.28515625" style="2" customWidth="1"/>
    <col min="7178" max="7178" width="11.7109375" style="2" bestFit="1" customWidth="1"/>
    <col min="7179" max="7179" width="14.42578125" style="2" customWidth="1"/>
    <col min="7180" max="7180" width="8.85546875" style="2"/>
    <col min="7181" max="7181" width="14.28515625" style="2" bestFit="1" customWidth="1"/>
    <col min="7182" max="7182" width="10" style="2" customWidth="1"/>
    <col min="7183" max="7414" width="8.85546875" style="2"/>
    <col min="7415" max="7415" width="1.140625" style="2" customWidth="1"/>
    <col min="7416" max="7416" width="3.28515625" style="2" customWidth="1"/>
    <col min="7417" max="7417" width="2.42578125" style="2" customWidth="1"/>
    <col min="7418" max="7418" width="2.5703125" style="2" customWidth="1"/>
    <col min="7419" max="7419" width="2.85546875" style="2" customWidth="1"/>
    <col min="7420" max="7420" width="3" style="2" customWidth="1"/>
    <col min="7421" max="7421" width="24.7109375" style="2" customWidth="1"/>
    <col min="7422" max="7422" width="7.85546875" style="2" customWidth="1"/>
    <col min="7423" max="7423" width="7.42578125" style="2" customWidth="1"/>
    <col min="7424" max="7424" width="11.140625" style="2" customWidth="1"/>
    <col min="7425" max="7425" width="14.42578125" style="2" customWidth="1"/>
    <col min="7426" max="7426" width="3.42578125" style="2" customWidth="1"/>
    <col min="7427" max="7427" width="3" style="2" customWidth="1"/>
    <col min="7428" max="7428" width="3.28515625" style="2" customWidth="1"/>
    <col min="7429" max="7429" width="3.140625" style="2" customWidth="1"/>
    <col min="7430" max="7430" width="3.42578125" style="2" customWidth="1"/>
    <col min="7431" max="7431" width="24.7109375" style="2" customWidth="1"/>
    <col min="7432" max="7432" width="7.85546875" style="2" customWidth="1"/>
    <col min="7433" max="7433" width="7.28515625" style="2" customWidth="1"/>
    <col min="7434" max="7434" width="11.7109375" style="2" bestFit="1" customWidth="1"/>
    <col min="7435" max="7435" width="14.42578125" style="2" customWidth="1"/>
    <col min="7436" max="7436" width="8.85546875" style="2"/>
    <col min="7437" max="7437" width="14.28515625" style="2" bestFit="1" customWidth="1"/>
    <col min="7438" max="7438" width="10" style="2" customWidth="1"/>
    <col min="7439" max="7670" width="8.85546875" style="2"/>
    <col min="7671" max="7671" width="1.140625" style="2" customWidth="1"/>
    <col min="7672" max="7672" width="3.28515625" style="2" customWidth="1"/>
    <col min="7673" max="7673" width="2.42578125" style="2" customWidth="1"/>
    <col min="7674" max="7674" width="2.5703125" style="2" customWidth="1"/>
    <col min="7675" max="7675" width="2.85546875" style="2" customWidth="1"/>
    <col min="7676" max="7676" width="3" style="2" customWidth="1"/>
    <col min="7677" max="7677" width="24.7109375" style="2" customWidth="1"/>
    <col min="7678" max="7678" width="7.85546875" style="2" customWidth="1"/>
    <col min="7679" max="7679" width="7.42578125" style="2" customWidth="1"/>
    <col min="7680" max="7680" width="11.140625" style="2" customWidth="1"/>
    <col min="7681" max="7681" width="14.42578125" style="2" customWidth="1"/>
    <col min="7682" max="7682" width="3.42578125" style="2" customWidth="1"/>
    <col min="7683" max="7683" width="3" style="2" customWidth="1"/>
    <col min="7684" max="7684" width="3.28515625" style="2" customWidth="1"/>
    <col min="7685" max="7685" width="3.140625" style="2" customWidth="1"/>
    <col min="7686" max="7686" width="3.42578125" style="2" customWidth="1"/>
    <col min="7687" max="7687" width="24.7109375" style="2" customWidth="1"/>
    <col min="7688" max="7688" width="7.85546875" style="2" customWidth="1"/>
    <col min="7689" max="7689" width="7.28515625" style="2" customWidth="1"/>
    <col min="7690" max="7690" width="11.7109375" style="2" bestFit="1" customWidth="1"/>
    <col min="7691" max="7691" width="14.42578125" style="2" customWidth="1"/>
    <col min="7692" max="7692" width="8.85546875" style="2"/>
    <col min="7693" max="7693" width="14.28515625" style="2" bestFit="1" customWidth="1"/>
    <col min="7694" max="7694" width="10" style="2" customWidth="1"/>
    <col min="7695" max="7926" width="8.85546875" style="2"/>
    <col min="7927" max="7927" width="1.140625" style="2" customWidth="1"/>
    <col min="7928" max="7928" width="3.28515625" style="2" customWidth="1"/>
    <col min="7929" max="7929" width="2.42578125" style="2" customWidth="1"/>
    <col min="7930" max="7930" width="2.5703125" style="2" customWidth="1"/>
    <col min="7931" max="7931" width="2.85546875" style="2" customWidth="1"/>
    <col min="7932" max="7932" width="3" style="2" customWidth="1"/>
    <col min="7933" max="7933" width="24.7109375" style="2" customWidth="1"/>
    <col min="7934" max="7934" width="7.85546875" style="2" customWidth="1"/>
    <col min="7935" max="7935" width="7.42578125" style="2" customWidth="1"/>
    <col min="7936" max="7936" width="11.140625" style="2" customWidth="1"/>
    <col min="7937" max="7937" width="14.42578125" style="2" customWidth="1"/>
    <col min="7938" max="7938" width="3.42578125" style="2" customWidth="1"/>
    <col min="7939" max="7939" width="3" style="2" customWidth="1"/>
    <col min="7940" max="7940" width="3.28515625" style="2" customWidth="1"/>
    <col min="7941" max="7941" width="3.140625" style="2" customWidth="1"/>
    <col min="7942" max="7942" width="3.42578125" style="2" customWidth="1"/>
    <col min="7943" max="7943" width="24.7109375" style="2" customWidth="1"/>
    <col min="7944" max="7944" width="7.85546875" style="2" customWidth="1"/>
    <col min="7945" max="7945" width="7.28515625" style="2" customWidth="1"/>
    <col min="7946" max="7946" width="11.7109375" style="2" bestFit="1" customWidth="1"/>
    <col min="7947" max="7947" width="14.42578125" style="2" customWidth="1"/>
    <col min="7948" max="7948" width="8.85546875" style="2"/>
    <col min="7949" max="7949" width="14.28515625" style="2" bestFit="1" customWidth="1"/>
    <col min="7950" max="7950" width="10" style="2" customWidth="1"/>
    <col min="7951" max="8182" width="8.85546875" style="2"/>
    <col min="8183" max="8183" width="1.140625" style="2" customWidth="1"/>
    <col min="8184" max="8184" width="3.28515625" style="2" customWidth="1"/>
    <col min="8185" max="8185" width="2.42578125" style="2" customWidth="1"/>
    <col min="8186" max="8186" width="2.5703125" style="2" customWidth="1"/>
    <col min="8187" max="8187" width="2.85546875" style="2" customWidth="1"/>
    <col min="8188" max="8188" width="3" style="2" customWidth="1"/>
    <col min="8189" max="8189" width="24.7109375" style="2" customWidth="1"/>
    <col min="8190" max="8190" width="7.85546875" style="2" customWidth="1"/>
    <col min="8191" max="8191" width="7.42578125" style="2" customWidth="1"/>
    <col min="8192" max="8192" width="11.140625" style="2" customWidth="1"/>
    <col min="8193" max="8193" width="14.42578125" style="2" customWidth="1"/>
    <col min="8194" max="8194" width="3.42578125" style="2" customWidth="1"/>
    <col min="8195" max="8195" width="3" style="2" customWidth="1"/>
    <col min="8196" max="8196" width="3.28515625" style="2" customWidth="1"/>
    <col min="8197" max="8197" width="3.140625" style="2" customWidth="1"/>
    <col min="8198" max="8198" width="3.42578125" style="2" customWidth="1"/>
    <col min="8199" max="8199" width="24.7109375" style="2" customWidth="1"/>
    <col min="8200" max="8200" width="7.85546875" style="2" customWidth="1"/>
    <col min="8201" max="8201" width="7.28515625" style="2" customWidth="1"/>
    <col min="8202" max="8202" width="11.7109375" style="2" bestFit="1" customWidth="1"/>
    <col min="8203" max="8203" width="14.42578125" style="2" customWidth="1"/>
    <col min="8204" max="8204" width="8.85546875" style="2"/>
    <col min="8205" max="8205" width="14.28515625" style="2" bestFit="1" customWidth="1"/>
    <col min="8206" max="8206" width="10" style="2" customWidth="1"/>
    <col min="8207" max="8438" width="8.85546875" style="2"/>
    <col min="8439" max="8439" width="1.140625" style="2" customWidth="1"/>
    <col min="8440" max="8440" width="3.28515625" style="2" customWidth="1"/>
    <col min="8441" max="8441" width="2.42578125" style="2" customWidth="1"/>
    <col min="8442" max="8442" width="2.5703125" style="2" customWidth="1"/>
    <col min="8443" max="8443" width="2.85546875" style="2" customWidth="1"/>
    <col min="8444" max="8444" width="3" style="2" customWidth="1"/>
    <col min="8445" max="8445" width="24.7109375" style="2" customWidth="1"/>
    <col min="8446" max="8446" width="7.85546875" style="2" customWidth="1"/>
    <col min="8447" max="8447" width="7.42578125" style="2" customWidth="1"/>
    <col min="8448" max="8448" width="11.140625" style="2" customWidth="1"/>
    <col min="8449" max="8449" width="14.42578125" style="2" customWidth="1"/>
    <col min="8450" max="8450" width="3.42578125" style="2" customWidth="1"/>
    <col min="8451" max="8451" width="3" style="2" customWidth="1"/>
    <col min="8452" max="8452" width="3.28515625" style="2" customWidth="1"/>
    <col min="8453" max="8453" width="3.140625" style="2" customWidth="1"/>
    <col min="8454" max="8454" width="3.42578125" style="2" customWidth="1"/>
    <col min="8455" max="8455" width="24.7109375" style="2" customWidth="1"/>
    <col min="8456" max="8456" width="7.85546875" style="2" customWidth="1"/>
    <col min="8457" max="8457" width="7.28515625" style="2" customWidth="1"/>
    <col min="8458" max="8458" width="11.7109375" style="2" bestFit="1" customWidth="1"/>
    <col min="8459" max="8459" width="14.42578125" style="2" customWidth="1"/>
    <col min="8460" max="8460" width="8.85546875" style="2"/>
    <col min="8461" max="8461" width="14.28515625" style="2" bestFit="1" customWidth="1"/>
    <col min="8462" max="8462" width="10" style="2" customWidth="1"/>
    <col min="8463" max="8694" width="8.85546875" style="2"/>
    <col min="8695" max="8695" width="1.140625" style="2" customWidth="1"/>
    <col min="8696" max="8696" width="3.28515625" style="2" customWidth="1"/>
    <col min="8697" max="8697" width="2.42578125" style="2" customWidth="1"/>
    <col min="8698" max="8698" width="2.5703125" style="2" customWidth="1"/>
    <col min="8699" max="8699" width="2.85546875" style="2" customWidth="1"/>
    <col min="8700" max="8700" width="3" style="2" customWidth="1"/>
    <col min="8701" max="8701" width="24.7109375" style="2" customWidth="1"/>
    <col min="8702" max="8702" width="7.85546875" style="2" customWidth="1"/>
    <col min="8703" max="8703" width="7.42578125" style="2" customWidth="1"/>
    <col min="8704" max="8704" width="11.140625" style="2" customWidth="1"/>
    <col min="8705" max="8705" width="14.42578125" style="2" customWidth="1"/>
    <col min="8706" max="8706" width="3.42578125" style="2" customWidth="1"/>
    <col min="8707" max="8707" width="3" style="2" customWidth="1"/>
    <col min="8708" max="8708" width="3.28515625" style="2" customWidth="1"/>
    <col min="8709" max="8709" width="3.140625" style="2" customWidth="1"/>
    <col min="8710" max="8710" width="3.42578125" style="2" customWidth="1"/>
    <col min="8711" max="8711" width="24.7109375" style="2" customWidth="1"/>
    <col min="8712" max="8712" width="7.85546875" style="2" customWidth="1"/>
    <col min="8713" max="8713" width="7.28515625" style="2" customWidth="1"/>
    <col min="8714" max="8714" width="11.7109375" style="2" bestFit="1" customWidth="1"/>
    <col min="8715" max="8715" width="14.42578125" style="2" customWidth="1"/>
    <col min="8716" max="8716" width="8.85546875" style="2"/>
    <col min="8717" max="8717" width="14.28515625" style="2" bestFit="1" customWidth="1"/>
    <col min="8718" max="8718" width="10" style="2" customWidth="1"/>
    <col min="8719" max="8950" width="8.85546875" style="2"/>
    <col min="8951" max="8951" width="1.140625" style="2" customWidth="1"/>
    <col min="8952" max="8952" width="3.28515625" style="2" customWidth="1"/>
    <col min="8953" max="8953" width="2.42578125" style="2" customWidth="1"/>
    <col min="8954" max="8954" width="2.5703125" style="2" customWidth="1"/>
    <col min="8955" max="8955" width="2.85546875" style="2" customWidth="1"/>
    <col min="8956" max="8956" width="3" style="2" customWidth="1"/>
    <col min="8957" max="8957" width="24.7109375" style="2" customWidth="1"/>
    <col min="8958" max="8958" width="7.85546875" style="2" customWidth="1"/>
    <col min="8959" max="8959" width="7.42578125" style="2" customWidth="1"/>
    <col min="8960" max="8960" width="11.140625" style="2" customWidth="1"/>
    <col min="8961" max="8961" width="14.42578125" style="2" customWidth="1"/>
    <col min="8962" max="8962" width="3.42578125" style="2" customWidth="1"/>
    <col min="8963" max="8963" width="3" style="2" customWidth="1"/>
    <col min="8964" max="8964" width="3.28515625" style="2" customWidth="1"/>
    <col min="8965" max="8965" width="3.140625" style="2" customWidth="1"/>
    <col min="8966" max="8966" width="3.42578125" style="2" customWidth="1"/>
    <col min="8967" max="8967" width="24.7109375" style="2" customWidth="1"/>
    <col min="8968" max="8968" width="7.85546875" style="2" customWidth="1"/>
    <col min="8969" max="8969" width="7.28515625" style="2" customWidth="1"/>
    <col min="8970" max="8970" width="11.7109375" style="2" bestFit="1" customWidth="1"/>
    <col min="8971" max="8971" width="14.42578125" style="2" customWidth="1"/>
    <col min="8972" max="8972" width="8.85546875" style="2"/>
    <col min="8973" max="8973" width="14.28515625" style="2" bestFit="1" customWidth="1"/>
    <col min="8974" max="8974" width="10" style="2" customWidth="1"/>
    <col min="8975" max="9206" width="8.85546875" style="2"/>
    <col min="9207" max="9207" width="1.140625" style="2" customWidth="1"/>
    <col min="9208" max="9208" width="3.28515625" style="2" customWidth="1"/>
    <col min="9209" max="9209" width="2.42578125" style="2" customWidth="1"/>
    <col min="9210" max="9210" width="2.5703125" style="2" customWidth="1"/>
    <col min="9211" max="9211" width="2.85546875" style="2" customWidth="1"/>
    <col min="9212" max="9212" width="3" style="2" customWidth="1"/>
    <col min="9213" max="9213" width="24.7109375" style="2" customWidth="1"/>
    <col min="9214" max="9214" width="7.85546875" style="2" customWidth="1"/>
    <col min="9215" max="9215" width="7.42578125" style="2" customWidth="1"/>
    <col min="9216" max="9216" width="11.140625" style="2" customWidth="1"/>
    <col min="9217" max="9217" width="14.42578125" style="2" customWidth="1"/>
    <col min="9218" max="9218" width="3.42578125" style="2" customWidth="1"/>
    <col min="9219" max="9219" width="3" style="2" customWidth="1"/>
    <col min="9220" max="9220" width="3.28515625" style="2" customWidth="1"/>
    <col min="9221" max="9221" width="3.140625" style="2" customWidth="1"/>
    <col min="9222" max="9222" width="3.42578125" style="2" customWidth="1"/>
    <col min="9223" max="9223" width="24.7109375" style="2" customWidth="1"/>
    <col min="9224" max="9224" width="7.85546875" style="2" customWidth="1"/>
    <col min="9225" max="9225" width="7.28515625" style="2" customWidth="1"/>
    <col min="9226" max="9226" width="11.7109375" style="2" bestFit="1" customWidth="1"/>
    <col min="9227" max="9227" width="14.42578125" style="2" customWidth="1"/>
    <col min="9228" max="9228" width="8.85546875" style="2"/>
    <col min="9229" max="9229" width="14.28515625" style="2" bestFit="1" customWidth="1"/>
    <col min="9230" max="9230" width="10" style="2" customWidth="1"/>
    <col min="9231" max="9462" width="8.85546875" style="2"/>
    <col min="9463" max="9463" width="1.140625" style="2" customWidth="1"/>
    <col min="9464" max="9464" width="3.28515625" style="2" customWidth="1"/>
    <col min="9465" max="9465" width="2.42578125" style="2" customWidth="1"/>
    <col min="9466" max="9466" width="2.5703125" style="2" customWidth="1"/>
    <col min="9467" max="9467" width="2.85546875" style="2" customWidth="1"/>
    <col min="9468" max="9468" width="3" style="2" customWidth="1"/>
    <col min="9469" max="9469" width="24.7109375" style="2" customWidth="1"/>
    <col min="9470" max="9470" width="7.85546875" style="2" customWidth="1"/>
    <col min="9471" max="9471" width="7.42578125" style="2" customWidth="1"/>
    <col min="9472" max="9472" width="11.140625" style="2" customWidth="1"/>
    <col min="9473" max="9473" width="14.42578125" style="2" customWidth="1"/>
    <col min="9474" max="9474" width="3.42578125" style="2" customWidth="1"/>
    <col min="9475" max="9475" width="3" style="2" customWidth="1"/>
    <col min="9476" max="9476" width="3.28515625" style="2" customWidth="1"/>
    <col min="9477" max="9477" width="3.140625" style="2" customWidth="1"/>
    <col min="9478" max="9478" width="3.42578125" style="2" customWidth="1"/>
    <col min="9479" max="9479" width="24.7109375" style="2" customWidth="1"/>
    <col min="9480" max="9480" width="7.85546875" style="2" customWidth="1"/>
    <col min="9481" max="9481" width="7.28515625" style="2" customWidth="1"/>
    <col min="9482" max="9482" width="11.7109375" style="2" bestFit="1" customWidth="1"/>
    <col min="9483" max="9483" width="14.42578125" style="2" customWidth="1"/>
    <col min="9484" max="9484" width="8.85546875" style="2"/>
    <col min="9485" max="9485" width="14.28515625" style="2" bestFit="1" customWidth="1"/>
    <col min="9486" max="9486" width="10" style="2" customWidth="1"/>
    <col min="9487" max="9718" width="8.85546875" style="2"/>
    <col min="9719" max="9719" width="1.140625" style="2" customWidth="1"/>
    <col min="9720" max="9720" width="3.28515625" style="2" customWidth="1"/>
    <col min="9721" max="9721" width="2.42578125" style="2" customWidth="1"/>
    <col min="9722" max="9722" width="2.5703125" style="2" customWidth="1"/>
    <col min="9723" max="9723" width="2.85546875" style="2" customWidth="1"/>
    <col min="9724" max="9724" width="3" style="2" customWidth="1"/>
    <col min="9725" max="9725" width="24.7109375" style="2" customWidth="1"/>
    <col min="9726" max="9726" width="7.85546875" style="2" customWidth="1"/>
    <col min="9727" max="9727" width="7.42578125" style="2" customWidth="1"/>
    <col min="9728" max="9728" width="11.140625" style="2" customWidth="1"/>
    <col min="9729" max="9729" width="14.42578125" style="2" customWidth="1"/>
    <col min="9730" max="9730" width="3.42578125" style="2" customWidth="1"/>
    <col min="9731" max="9731" width="3" style="2" customWidth="1"/>
    <col min="9732" max="9732" width="3.28515625" style="2" customWidth="1"/>
    <col min="9733" max="9733" width="3.140625" style="2" customWidth="1"/>
    <col min="9734" max="9734" width="3.42578125" style="2" customWidth="1"/>
    <col min="9735" max="9735" width="24.7109375" style="2" customWidth="1"/>
    <col min="9736" max="9736" width="7.85546875" style="2" customWidth="1"/>
    <col min="9737" max="9737" width="7.28515625" style="2" customWidth="1"/>
    <col min="9738" max="9738" width="11.7109375" style="2" bestFit="1" customWidth="1"/>
    <col min="9739" max="9739" width="14.42578125" style="2" customWidth="1"/>
    <col min="9740" max="9740" width="8.85546875" style="2"/>
    <col min="9741" max="9741" width="14.28515625" style="2" bestFit="1" customWidth="1"/>
    <col min="9742" max="9742" width="10" style="2" customWidth="1"/>
    <col min="9743" max="9974" width="8.85546875" style="2"/>
    <col min="9975" max="9975" width="1.140625" style="2" customWidth="1"/>
    <col min="9976" max="9976" width="3.28515625" style="2" customWidth="1"/>
    <col min="9977" max="9977" width="2.42578125" style="2" customWidth="1"/>
    <col min="9978" max="9978" width="2.5703125" style="2" customWidth="1"/>
    <col min="9979" max="9979" width="2.85546875" style="2" customWidth="1"/>
    <col min="9980" max="9980" width="3" style="2" customWidth="1"/>
    <col min="9981" max="9981" width="24.7109375" style="2" customWidth="1"/>
    <col min="9982" max="9982" width="7.85546875" style="2" customWidth="1"/>
    <col min="9983" max="9983" width="7.42578125" style="2" customWidth="1"/>
    <col min="9984" max="9984" width="11.140625" style="2" customWidth="1"/>
    <col min="9985" max="9985" width="14.42578125" style="2" customWidth="1"/>
    <col min="9986" max="9986" width="3.42578125" style="2" customWidth="1"/>
    <col min="9987" max="9987" width="3" style="2" customWidth="1"/>
    <col min="9988" max="9988" width="3.28515625" style="2" customWidth="1"/>
    <col min="9989" max="9989" width="3.140625" style="2" customWidth="1"/>
    <col min="9990" max="9990" width="3.42578125" style="2" customWidth="1"/>
    <col min="9991" max="9991" width="24.7109375" style="2" customWidth="1"/>
    <col min="9992" max="9992" width="7.85546875" style="2" customWidth="1"/>
    <col min="9993" max="9993" width="7.28515625" style="2" customWidth="1"/>
    <col min="9994" max="9994" width="11.7109375" style="2" bestFit="1" customWidth="1"/>
    <col min="9995" max="9995" width="14.42578125" style="2" customWidth="1"/>
    <col min="9996" max="9996" width="8.85546875" style="2"/>
    <col min="9997" max="9997" width="14.28515625" style="2" bestFit="1" customWidth="1"/>
    <col min="9998" max="9998" width="10" style="2" customWidth="1"/>
    <col min="9999" max="10230" width="8.85546875" style="2"/>
    <col min="10231" max="10231" width="1.140625" style="2" customWidth="1"/>
    <col min="10232" max="10232" width="3.28515625" style="2" customWidth="1"/>
    <col min="10233" max="10233" width="2.42578125" style="2" customWidth="1"/>
    <col min="10234" max="10234" width="2.5703125" style="2" customWidth="1"/>
    <col min="10235" max="10235" width="2.85546875" style="2" customWidth="1"/>
    <col min="10236" max="10236" width="3" style="2" customWidth="1"/>
    <col min="10237" max="10237" width="24.7109375" style="2" customWidth="1"/>
    <col min="10238" max="10238" width="7.85546875" style="2" customWidth="1"/>
    <col min="10239" max="10239" width="7.42578125" style="2" customWidth="1"/>
    <col min="10240" max="10240" width="11.140625" style="2" customWidth="1"/>
    <col min="10241" max="10241" width="14.42578125" style="2" customWidth="1"/>
    <col min="10242" max="10242" width="3.42578125" style="2" customWidth="1"/>
    <col min="10243" max="10243" width="3" style="2" customWidth="1"/>
    <col min="10244" max="10244" width="3.28515625" style="2" customWidth="1"/>
    <col min="10245" max="10245" width="3.140625" style="2" customWidth="1"/>
    <col min="10246" max="10246" width="3.42578125" style="2" customWidth="1"/>
    <col min="10247" max="10247" width="24.7109375" style="2" customWidth="1"/>
    <col min="10248" max="10248" width="7.85546875" style="2" customWidth="1"/>
    <col min="10249" max="10249" width="7.28515625" style="2" customWidth="1"/>
    <col min="10250" max="10250" width="11.7109375" style="2" bestFit="1" customWidth="1"/>
    <col min="10251" max="10251" width="14.42578125" style="2" customWidth="1"/>
    <col min="10252" max="10252" width="8.85546875" style="2"/>
    <col min="10253" max="10253" width="14.28515625" style="2" bestFit="1" customWidth="1"/>
    <col min="10254" max="10254" width="10" style="2" customWidth="1"/>
    <col min="10255" max="10486" width="8.85546875" style="2"/>
    <col min="10487" max="10487" width="1.140625" style="2" customWidth="1"/>
    <col min="10488" max="10488" width="3.28515625" style="2" customWidth="1"/>
    <col min="10489" max="10489" width="2.42578125" style="2" customWidth="1"/>
    <col min="10490" max="10490" width="2.5703125" style="2" customWidth="1"/>
    <col min="10491" max="10491" width="2.85546875" style="2" customWidth="1"/>
    <col min="10492" max="10492" width="3" style="2" customWidth="1"/>
    <col min="10493" max="10493" width="24.7109375" style="2" customWidth="1"/>
    <col min="10494" max="10494" width="7.85546875" style="2" customWidth="1"/>
    <col min="10495" max="10495" width="7.42578125" style="2" customWidth="1"/>
    <col min="10496" max="10496" width="11.140625" style="2" customWidth="1"/>
    <col min="10497" max="10497" width="14.42578125" style="2" customWidth="1"/>
    <col min="10498" max="10498" width="3.42578125" style="2" customWidth="1"/>
    <col min="10499" max="10499" width="3" style="2" customWidth="1"/>
    <col min="10500" max="10500" width="3.28515625" style="2" customWidth="1"/>
    <col min="10501" max="10501" width="3.140625" style="2" customWidth="1"/>
    <col min="10502" max="10502" width="3.42578125" style="2" customWidth="1"/>
    <col min="10503" max="10503" width="24.7109375" style="2" customWidth="1"/>
    <col min="10504" max="10504" width="7.85546875" style="2" customWidth="1"/>
    <col min="10505" max="10505" width="7.28515625" style="2" customWidth="1"/>
    <col min="10506" max="10506" width="11.7109375" style="2" bestFit="1" customWidth="1"/>
    <col min="10507" max="10507" width="14.42578125" style="2" customWidth="1"/>
    <col min="10508" max="10508" width="8.85546875" style="2"/>
    <col min="10509" max="10509" width="14.28515625" style="2" bestFit="1" customWidth="1"/>
    <col min="10510" max="10510" width="10" style="2" customWidth="1"/>
    <col min="10511" max="10742" width="8.85546875" style="2"/>
    <col min="10743" max="10743" width="1.140625" style="2" customWidth="1"/>
    <col min="10744" max="10744" width="3.28515625" style="2" customWidth="1"/>
    <col min="10745" max="10745" width="2.42578125" style="2" customWidth="1"/>
    <col min="10746" max="10746" width="2.5703125" style="2" customWidth="1"/>
    <col min="10747" max="10747" width="2.85546875" style="2" customWidth="1"/>
    <col min="10748" max="10748" width="3" style="2" customWidth="1"/>
    <col min="10749" max="10749" width="24.7109375" style="2" customWidth="1"/>
    <col min="10750" max="10750" width="7.85546875" style="2" customWidth="1"/>
    <col min="10751" max="10751" width="7.42578125" style="2" customWidth="1"/>
    <col min="10752" max="10752" width="11.140625" style="2" customWidth="1"/>
    <col min="10753" max="10753" width="14.42578125" style="2" customWidth="1"/>
    <col min="10754" max="10754" width="3.42578125" style="2" customWidth="1"/>
    <col min="10755" max="10755" width="3" style="2" customWidth="1"/>
    <col min="10756" max="10756" width="3.28515625" style="2" customWidth="1"/>
    <col min="10757" max="10757" width="3.140625" style="2" customWidth="1"/>
    <col min="10758" max="10758" width="3.42578125" style="2" customWidth="1"/>
    <col min="10759" max="10759" width="24.7109375" style="2" customWidth="1"/>
    <col min="10760" max="10760" width="7.85546875" style="2" customWidth="1"/>
    <col min="10761" max="10761" width="7.28515625" style="2" customWidth="1"/>
    <col min="10762" max="10762" width="11.7109375" style="2" bestFit="1" customWidth="1"/>
    <col min="10763" max="10763" width="14.42578125" style="2" customWidth="1"/>
    <col min="10764" max="10764" width="8.85546875" style="2"/>
    <col min="10765" max="10765" width="14.28515625" style="2" bestFit="1" customWidth="1"/>
    <col min="10766" max="10766" width="10" style="2" customWidth="1"/>
    <col min="10767" max="10998" width="8.85546875" style="2"/>
    <col min="10999" max="10999" width="1.140625" style="2" customWidth="1"/>
    <col min="11000" max="11000" width="3.28515625" style="2" customWidth="1"/>
    <col min="11001" max="11001" width="2.42578125" style="2" customWidth="1"/>
    <col min="11002" max="11002" width="2.5703125" style="2" customWidth="1"/>
    <col min="11003" max="11003" width="2.85546875" style="2" customWidth="1"/>
    <col min="11004" max="11004" width="3" style="2" customWidth="1"/>
    <col min="11005" max="11005" width="24.7109375" style="2" customWidth="1"/>
    <col min="11006" max="11006" width="7.85546875" style="2" customWidth="1"/>
    <col min="11007" max="11007" width="7.42578125" style="2" customWidth="1"/>
    <col min="11008" max="11008" width="11.140625" style="2" customWidth="1"/>
    <col min="11009" max="11009" width="14.42578125" style="2" customWidth="1"/>
    <col min="11010" max="11010" width="3.42578125" style="2" customWidth="1"/>
    <col min="11011" max="11011" width="3" style="2" customWidth="1"/>
    <col min="11012" max="11012" width="3.28515625" style="2" customWidth="1"/>
    <col min="11013" max="11013" width="3.140625" style="2" customWidth="1"/>
    <col min="11014" max="11014" width="3.42578125" style="2" customWidth="1"/>
    <col min="11015" max="11015" width="24.7109375" style="2" customWidth="1"/>
    <col min="11016" max="11016" width="7.85546875" style="2" customWidth="1"/>
    <col min="11017" max="11017" width="7.28515625" style="2" customWidth="1"/>
    <col min="11018" max="11018" width="11.7109375" style="2" bestFit="1" customWidth="1"/>
    <col min="11019" max="11019" width="14.42578125" style="2" customWidth="1"/>
    <col min="11020" max="11020" width="8.85546875" style="2"/>
    <col min="11021" max="11021" width="14.28515625" style="2" bestFit="1" customWidth="1"/>
    <col min="11022" max="11022" width="10" style="2" customWidth="1"/>
    <col min="11023" max="11254" width="8.85546875" style="2"/>
    <col min="11255" max="11255" width="1.140625" style="2" customWidth="1"/>
    <col min="11256" max="11256" width="3.28515625" style="2" customWidth="1"/>
    <col min="11257" max="11257" width="2.42578125" style="2" customWidth="1"/>
    <col min="11258" max="11258" width="2.5703125" style="2" customWidth="1"/>
    <col min="11259" max="11259" width="2.85546875" style="2" customWidth="1"/>
    <col min="11260" max="11260" width="3" style="2" customWidth="1"/>
    <col min="11261" max="11261" width="24.7109375" style="2" customWidth="1"/>
    <col min="11262" max="11262" width="7.85546875" style="2" customWidth="1"/>
    <col min="11263" max="11263" width="7.42578125" style="2" customWidth="1"/>
    <col min="11264" max="11264" width="11.140625" style="2" customWidth="1"/>
    <col min="11265" max="11265" width="14.42578125" style="2" customWidth="1"/>
    <col min="11266" max="11266" width="3.42578125" style="2" customWidth="1"/>
    <col min="11267" max="11267" width="3" style="2" customWidth="1"/>
    <col min="11268" max="11268" width="3.28515625" style="2" customWidth="1"/>
    <col min="11269" max="11269" width="3.140625" style="2" customWidth="1"/>
    <col min="11270" max="11270" width="3.42578125" style="2" customWidth="1"/>
    <col min="11271" max="11271" width="24.7109375" style="2" customWidth="1"/>
    <col min="11272" max="11272" width="7.85546875" style="2" customWidth="1"/>
    <col min="11273" max="11273" width="7.28515625" style="2" customWidth="1"/>
    <col min="11274" max="11274" width="11.7109375" style="2" bestFit="1" customWidth="1"/>
    <col min="11275" max="11275" width="14.42578125" style="2" customWidth="1"/>
    <col min="11276" max="11276" width="8.85546875" style="2"/>
    <col min="11277" max="11277" width="14.28515625" style="2" bestFit="1" customWidth="1"/>
    <col min="11278" max="11278" width="10" style="2" customWidth="1"/>
    <col min="11279" max="11510" width="8.85546875" style="2"/>
    <col min="11511" max="11511" width="1.140625" style="2" customWidth="1"/>
    <col min="11512" max="11512" width="3.28515625" style="2" customWidth="1"/>
    <col min="11513" max="11513" width="2.42578125" style="2" customWidth="1"/>
    <col min="11514" max="11514" width="2.5703125" style="2" customWidth="1"/>
    <col min="11515" max="11515" width="2.85546875" style="2" customWidth="1"/>
    <col min="11516" max="11516" width="3" style="2" customWidth="1"/>
    <col min="11517" max="11517" width="24.7109375" style="2" customWidth="1"/>
    <col min="11518" max="11518" width="7.85546875" style="2" customWidth="1"/>
    <col min="11519" max="11519" width="7.42578125" style="2" customWidth="1"/>
    <col min="11520" max="11520" width="11.140625" style="2" customWidth="1"/>
    <col min="11521" max="11521" width="14.42578125" style="2" customWidth="1"/>
    <col min="11522" max="11522" width="3.42578125" style="2" customWidth="1"/>
    <col min="11523" max="11523" width="3" style="2" customWidth="1"/>
    <col min="11524" max="11524" width="3.28515625" style="2" customWidth="1"/>
    <col min="11525" max="11525" width="3.140625" style="2" customWidth="1"/>
    <col min="11526" max="11526" width="3.42578125" style="2" customWidth="1"/>
    <col min="11527" max="11527" width="24.7109375" style="2" customWidth="1"/>
    <col min="11528" max="11528" width="7.85546875" style="2" customWidth="1"/>
    <col min="11529" max="11529" width="7.28515625" style="2" customWidth="1"/>
    <col min="11530" max="11530" width="11.7109375" style="2" bestFit="1" customWidth="1"/>
    <col min="11531" max="11531" width="14.42578125" style="2" customWidth="1"/>
    <col min="11532" max="11532" width="8.85546875" style="2"/>
    <col min="11533" max="11533" width="14.28515625" style="2" bestFit="1" customWidth="1"/>
    <col min="11534" max="11534" width="10" style="2" customWidth="1"/>
    <col min="11535" max="11766" width="8.85546875" style="2"/>
    <col min="11767" max="11767" width="1.140625" style="2" customWidth="1"/>
    <col min="11768" max="11768" width="3.28515625" style="2" customWidth="1"/>
    <col min="11769" max="11769" width="2.42578125" style="2" customWidth="1"/>
    <col min="11770" max="11770" width="2.5703125" style="2" customWidth="1"/>
    <col min="11771" max="11771" width="2.85546875" style="2" customWidth="1"/>
    <col min="11772" max="11772" width="3" style="2" customWidth="1"/>
    <col min="11773" max="11773" width="24.7109375" style="2" customWidth="1"/>
    <col min="11774" max="11774" width="7.85546875" style="2" customWidth="1"/>
    <col min="11775" max="11775" width="7.42578125" style="2" customWidth="1"/>
    <col min="11776" max="11776" width="11.140625" style="2" customWidth="1"/>
    <col min="11777" max="11777" width="14.42578125" style="2" customWidth="1"/>
    <col min="11778" max="11778" width="3.42578125" style="2" customWidth="1"/>
    <col min="11779" max="11779" width="3" style="2" customWidth="1"/>
    <col min="11780" max="11780" width="3.28515625" style="2" customWidth="1"/>
    <col min="11781" max="11781" width="3.140625" style="2" customWidth="1"/>
    <col min="11782" max="11782" width="3.42578125" style="2" customWidth="1"/>
    <col min="11783" max="11783" width="24.7109375" style="2" customWidth="1"/>
    <col min="11784" max="11784" width="7.85546875" style="2" customWidth="1"/>
    <col min="11785" max="11785" width="7.28515625" style="2" customWidth="1"/>
    <col min="11786" max="11786" width="11.7109375" style="2" bestFit="1" customWidth="1"/>
    <col min="11787" max="11787" width="14.42578125" style="2" customWidth="1"/>
    <col min="11788" max="11788" width="8.85546875" style="2"/>
    <col min="11789" max="11789" width="14.28515625" style="2" bestFit="1" customWidth="1"/>
    <col min="11790" max="11790" width="10" style="2" customWidth="1"/>
    <col min="11791" max="12022" width="8.85546875" style="2"/>
    <col min="12023" max="12023" width="1.140625" style="2" customWidth="1"/>
    <col min="12024" max="12024" width="3.28515625" style="2" customWidth="1"/>
    <col min="12025" max="12025" width="2.42578125" style="2" customWidth="1"/>
    <col min="12026" max="12026" width="2.5703125" style="2" customWidth="1"/>
    <col min="12027" max="12027" width="2.85546875" style="2" customWidth="1"/>
    <col min="12028" max="12028" width="3" style="2" customWidth="1"/>
    <col min="12029" max="12029" width="24.7109375" style="2" customWidth="1"/>
    <col min="12030" max="12030" width="7.85546875" style="2" customWidth="1"/>
    <col min="12031" max="12031" width="7.42578125" style="2" customWidth="1"/>
    <col min="12032" max="12032" width="11.140625" style="2" customWidth="1"/>
    <col min="12033" max="12033" width="14.42578125" style="2" customWidth="1"/>
    <col min="12034" max="12034" width="3.42578125" style="2" customWidth="1"/>
    <col min="12035" max="12035" width="3" style="2" customWidth="1"/>
    <col min="12036" max="12036" width="3.28515625" style="2" customWidth="1"/>
    <col min="12037" max="12037" width="3.140625" style="2" customWidth="1"/>
    <col min="12038" max="12038" width="3.42578125" style="2" customWidth="1"/>
    <col min="12039" max="12039" width="24.7109375" style="2" customWidth="1"/>
    <col min="12040" max="12040" width="7.85546875" style="2" customWidth="1"/>
    <col min="12041" max="12041" width="7.28515625" style="2" customWidth="1"/>
    <col min="12042" max="12042" width="11.7109375" style="2" bestFit="1" customWidth="1"/>
    <col min="12043" max="12043" width="14.42578125" style="2" customWidth="1"/>
    <col min="12044" max="12044" width="8.85546875" style="2"/>
    <col min="12045" max="12045" width="14.28515625" style="2" bestFit="1" customWidth="1"/>
    <col min="12046" max="12046" width="10" style="2" customWidth="1"/>
    <col min="12047" max="12278" width="8.85546875" style="2"/>
    <col min="12279" max="12279" width="1.140625" style="2" customWidth="1"/>
    <col min="12280" max="12280" width="3.28515625" style="2" customWidth="1"/>
    <col min="12281" max="12281" width="2.42578125" style="2" customWidth="1"/>
    <col min="12282" max="12282" width="2.5703125" style="2" customWidth="1"/>
    <col min="12283" max="12283" width="2.85546875" style="2" customWidth="1"/>
    <col min="12284" max="12284" width="3" style="2" customWidth="1"/>
    <col min="12285" max="12285" width="24.7109375" style="2" customWidth="1"/>
    <col min="12286" max="12286" width="7.85546875" style="2" customWidth="1"/>
    <col min="12287" max="12287" width="7.42578125" style="2" customWidth="1"/>
    <col min="12288" max="12288" width="11.140625" style="2" customWidth="1"/>
    <col min="12289" max="12289" width="14.42578125" style="2" customWidth="1"/>
    <col min="12290" max="12290" width="3.42578125" style="2" customWidth="1"/>
    <col min="12291" max="12291" width="3" style="2" customWidth="1"/>
    <col min="12292" max="12292" width="3.28515625" style="2" customWidth="1"/>
    <col min="12293" max="12293" width="3.140625" style="2" customWidth="1"/>
    <col min="12294" max="12294" width="3.42578125" style="2" customWidth="1"/>
    <col min="12295" max="12295" width="24.7109375" style="2" customWidth="1"/>
    <col min="12296" max="12296" width="7.85546875" style="2" customWidth="1"/>
    <col min="12297" max="12297" width="7.28515625" style="2" customWidth="1"/>
    <col min="12298" max="12298" width="11.7109375" style="2" bestFit="1" customWidth="1"/>
    <col min="12299" max="12299" width="14.42578125" style="2" customWidth="1"/>
    <col min="12300" max="12300" width="8.85546875" style="2"/>
    <col min="12301" max="12301" width="14.28515625" style="2" bestFit="1" customWidth="1"/>
    <col min="12302" max="12302" width="10" style="2" customWidth="1"/>
    <col min="12303" max="12534" width="8.85546875" style="2"/>
    <col min="12535" max="12535" width="1.140625" style="2" customWidth="1"/>
    <col min="12536" max="12536" width="3.28515625" style="2" customWidth="1"/>
    <col min="12537" max="12537" width="2.42578125" style="2" customWidth="1"/>
    <col min="12538" max="12538" width="2.5703125" style="2" customWidth="1"/>
    <col min="12539" max="12539" width="2.85546875" style="2" customWidth="1"/>
    <col min="12540" max="12540" width="3" style="2" customWidth="1"/>
    <col min="12541" max="12541" width="24.7109375" style="2" customWidth="1"/>
    <col min="12542" max="12542" width="7.85546875" style="2" customWidth="1"/>
    <col min="12543" max="12543" width="7.42578125" style="2" customWidth="1"/>
    <col min="12544" max="12544" width="11.140625" style="2" customWidth="1"/>
    <col min="12545" max="12545" width="14.42578125" style="2" customWidth="1"/>
    <col min="12546" max="12546" width="3.42578125" style="2" customWidth="1"/>
    <col min="12547" max="12547" width="3" style="2" customWidth="1"/>
    <col min="12548" max="12548" width="3.28515625" style="2" customWidth="1"/>
    <col min="12549" max="12549" width="3.140625" style="2" customWidth="1"/>
    <col min="12550" max="12550" width="3.42578125" style="2" customWidth="1"/>
    <col min="12551" max="12551" width="24.7109375" style="2" customWidth="1"/>
    <col min="12552" max="12552" width="7.85546875" style="2" customWidth="1"/>
    <col min="12553" max="12553" width="7.28515625" style="2" customWidth="1"/>
    <col min="12554" max="12554" width="11.7109375" style="2" bestFit="1" customWidth="1"/>
    <col min="12555" max="12555" width="14.42578125" style="2" customWidth="1"/>
    <col min="12556" max="12556" width="8.85546875" style="2"/>
    <col min="12557" max="12557" width="14.28515625" style="2" bestFit="1" customWidth="1"/>
    <col min="12558" max="12558" width="10" style="2" customWidth="1"/>
    <col min="12559" max="12790" width="8.85546875" style="2"/>
    <col min="12791" max="12791" width="1.140625" style="2" customWidth="1"/>
    <col min="12792" max="12792" width="3.28515625" style="2" customWidth="1"/>
    <col min="12793" max="12793" width="2.42578125" style="2" customWidth="1"/>
    <col min="12794" max="12794" width="2.5703125" style="2" customWidth="1"/>
    <col min="12795" max="12795" width="2.85546875" style="2" customWidth="1"/>
    <col min="12796" max="12796" width="3" style="2" customWidth="1"/>
    <col min="12797" max="12797" width="24.7109375" style="2" customWidth="1"/>
    <col min="12798" max="12798" width="7.85546875" style="2" customWidth="1"/>
    <col min="12799" max="12799" width="7.42578125" style="2" customWidth="1"/>
    <col min="12800" max="12800" width="11.140625" style="2" customWidth="1"/>
    <col min="12801" max="12801" width="14.42578125" style="2" customWidth="1"/>
    <col min="12802" max="12802" width="3.42578125" style="2" customWidth="1"/>
    <col min="12803" max="12803" width="3" style="2" customWidth="1"/>
    <col min="12804" max="12804" width="3.28515625" style="2" customWidth="1"/>
    <col min="12805" max="12805" width="3.140625" style="2" customWidth="1"/>
    <col min="12806" max="12806" width="3.42578125" style="2" customWidth="1"/>
    <col min="12807" max="12807" width="24.7109375" style="2" customWidth="1"/>
    <col min="12808" max="12808" width="7.85546875" style="2" customWidth="1"/>
    <col min="12809" max="12809" width="7.28515625" style="2" customWidth="1"/>
    <col min="12810" max="12810" width="11.7109375" style="2" bestFit="1" customWidth="1"/>
    <col min="12811" max="12811" width="14.42578125" style="2" customWidth="1"/>
    <col min="12812" max="12812" width="8.85546875" style="2"/>
    <col min="12813" max="12813" width="14.28515625" style="2" bestFit="1" customWidth="1"/>
    <col min="12814" max="12814" width="10" style="2" customWidth="1"/>
    <col min="12815" max="13046" width="8.85546875" style="2"/>
    <col min="13047" max="13047" width="1.140625" style="2" customWidth="1"/>
    <col min="13048" max="13048" width="3.28515625" style="2" customWidth="1"/>
    <col min="13049" max="13049" width="2.42578125" style="2" customWidth="1"/>
    <col min="13050" max="13050" width="2.5703125" style="2" customWidth="1"/>
    <col min="13051" max="13051" width="2.85546875" style="2" customWidth="1"/>
    <col min="13052" max="13052" width="3" style="2" customWidth="1"/>
    <col min="13053" max="13053" width="24.7109375" style="2" customWidth="1"/>
    <col min="13054" max="13054" width="7.85546875" style="2" customWidth="1"/>
    <col min="13055" max="13055" width="7.42578125" style="2" customWidth="1"/>
    <col min="13056" max="13056" width="11.140625" style="2" customWidth="1"/>
    <col min="13057" max="13057" width="14.42578125" style="2" customWidth="1"/>
    <col min="13058" max="13058" width="3.42578125" style="2" customWidth="1"/>
    <col min="13059" max="13059" width="3" style="2" customWidth="1"/>
    <col min="13060" max="13060" width="3.28515625" style="2" customWidth="1"/>
    <col min="13061" max="13061" width="3.140625" style="2" customWidth="1"/>
    <col min="13062" max="13062" width="3.42578125" style="2" customWidth="1"/>
    <col min="13063" max="13063" width="24.7109375" style="2" customWidth="1"/>
    <col min="13064" max="13064" width="7.85546875" style="2" customWidth="1"/>
    <col min="13065" max="13065" width="7.28515625" style="2" customWidth="1"/>
    <col min="13066" max="13066" width="11.7109375" style="2" bestFit="1" customWidth="1"/>
    <col min="13067" max="13067" width="14.42578125" style="2" customWidth="1"/>
    <col min="13068" max="13068" width="8.85546875" style="2"/>
    <col min="13069" max="13069" width="14.28515625" style="2" bestFit="1" customWidth="1"/>
    <col min="13070" max="13070" width="10" style="2" customWidth="1"/>
    <col min="13071" max="13302" width="8.85546875" style="2"/>
    <col min="13303" max="13303" width="1.140625" style="2" customWidth="1"/>
    <col min="13304" max="13304" width="3.28515625" style="2" customWidth="1"/>
    <col min="13305" max="13305" width="2.42578125" style="2" customWidth="1"/>
    <col min="13306" max="13306" width="2.5703125" style="2" customWidth="1"/>
    <col min="13307" max="13307" width="2.85546875" style="2" customWidth="1"/>
    <col min="13308" max="13308" width="3" style="2" customWidth="1"/>
    <col min="13309" max="13309" width="24.7109375" style="2" customWidth="1"/>
    <col min="13310" max="13310" width="7.85546875" style="2" customWidth="1"/>
    <col min="13311" max="13311" width="7.42578125" style="2" customWidth="1"/>
    <col min="13312" max="13312" width="11.140625" style="2" customWidth="1"/>
    <col min="13313" max="13313" width="14.42578125" style="2" customWidth="1"/>
    <col min="13314" max="13314" width="3.42578125" style="2" customWidth="1"/>
    <col min="13315" max="13315" width="3" style="2" customWidth="1"/>
    <col min="13316" max="13316" width="3.28515625" style="2" customWidth="1"/>
    <col min="13317" max="13317" width="3.140625" style="2" customWidth="1"/>
    <col min="13318" max="13318" width="3.42578125" style="2" customWidth="1"/>
    <col min="13319" max="13319" width="24.7109375" style="2" customWidth="1"/>
    <col min="13320" max="13320" width="7.85546875" style="2" customWidth="1"/>
    <col min="13321" max="13321" width="7.28515625" style="2" customWidth="1"/>
    <col min="13322" max="13322" width="11.7109375" style="2" bestFit="1" customWidth="1"/>
    <col min="13323" max="13323" width="14.42578125" style="2" customWidth="1"/>
    <col min="13324" max="13324" width="8.85546875" style="2"/>
    <col min="13325" max="13325" width="14.28515625" style="2" bestFit="1" customWidth="1"/>
    <col min="13326" max="13326" width="10" style="2" customWidth="1"/>
    <col min="13327" max="13558" width="8.85546875" style="2"/>
    <col min="13559" max="13559" width="1.140625" style="2" customWidth="1"/>
    <col min="13560" max="13560" width="3.28515625" style="2" customWidth="1"/>
    <col min="13561" max="13561" width="2.42578125" style="2" customWidth="1"/>
    <col min="13562" max="13562" width="2.5703125" style="2" customWidth="1"/>
    <col min="13563" max="13563" width="2.85546875" style="2" customWidth="1"/>
    <col min="13564" max="13564" width="3" style="2" customWidth="1"/>
    <col min="13565" max="13565" width="24.7109375" style="2" customWidth="1"/>
    <col min="13566" max="13566" width="7.85546875" style="2" customWidth="1"/>
    <col min="13567" max="13567" width="7.42578125" style="2" customWidth="1"/>
    <col min="13568" max="13568" width="11.140625" style="2" customWidth="1"/>
    <col min="13569" max="13569" width="14.42578125" style="2" customWidth="1"/>
    <col min="13570" max="13570" width="3.42578125" style="2" customWidth="1"/>
    <col min="13571" max="13571" width="3" style="2" customWidth="1"/>
    <col min="13572" max="13572" width="3.28515625" style="2" customWidth="1"/>
    <col min="13573" max="13573" width="3.140625" style="2" customWidth="1"/>
    <col min="13574" max="13574" width="3.42578125" style="2" customWidth="1"/>
    <col min="13575" max="13575" width="24.7109375" style="2" customWidth="1"/>
    <col min="13576" max="13576" width="7.85546875" style="2" customWidth="1"/>
    <col min="13577" max="13577" width="7.28515625" style="2" customWidth="1"/>
    <col min="13578" max="13578" width="11.7109375" style="2" bestFit="1" customWidth="1"/>
    <col min="13579" max="13579" width="14.42578125" style="2" customWidth="1"/>
    <col min="13580" max="13580" width="8.85546875" style="2"/>
    <col min="13581" max="13581" width="14.28515625" style="2" bestFit="1" customWidth="1"/>
    <col min="13582" max="13582" width="10" style="2" customWidth="1"/>
    <col min="13583" max="13814" width="8.85546875" style="2"/>
    <col min="13815" max="13815" width="1.140625" style="2" customWidth="1"/>
    <col min="13816" max="13816" width="3.28515625" style="2" customWidth="1"/>
    <col min="13817" max="13817" width="2.42578125" style="2" customWidth="1"/>
    <col min="13818" max="13818" width="2.5703125" style="2" customWidth="1"/>
    <col min="13819" max="13819" width="2.85546875" style="2" customWidth="1"/>
    <col min="13820" max="13820" width="3" style="2" customWidth="1"/>
    <col min="13821" max="13821" width="24.7109375" style="2" customWidth="1"/>
    <col min="13822" max="13822" width="7.85546875" style="2" customWidth="1"/>
    <col min="13823" max="13823" width="7.42578125" style="2" customWidth="1"/>
    <col min="13824" max="13824" width="11.140625" style="2" customWidth="1"/>
    <col min="13825" max="13825" width="14.42578125" style="2" customWidth="1"/>
    <col min="13826" max="13826" width="3.42578125" style="2" customWidth="1"/>
    <col min="13827" max="13827" width="3" style="2" customWidth="1"/>
    <col min="13828" max="13828" width="3.28515625" style="2" customWidth="1"/>
    <col min="13829" max="13829" width="3.140625" style="2" customWidth="1"/>
    <col min="13830" max="13830" width="3.42578125" style="2" customWidth="1"/>
    <col min="13831" max="13831" width="24.7109375" style="2" customWidth="1"/>
    <col min="13832" max="13832" width="7.85546875" style="2" customWidth="1"/>
    <col min="13833" max="13833" width="7.28515625" style="2" customWidth="1"/>
    <col min="13834" max="13834" width="11.7109375" style="2" bestFit="1" customWidth="1"/>
    <col min="13835" max="13835" width="14.42578125" style="2" customWidth="1"/>
    <col min="13836" max="13836" width="8.85546875" style="2"/>
    <col min="13837" max="13837" width="14.28515625" style="2" bestFit="1" customWidth="1"/>
    <col min="13838" max="13838" width="10" style="2" customWidth="1"/>
    <col min="13839" max="14070" width="8.85546875" style="2"/>
    <col min="14071" max="14071" width="1.140625" style="2" customWidth="1"/>
    <col min="14072" max="14072" width="3.28515625" style="2" customWidth="1"/>
    <col min="14073" max="14073" width="2.42578125" style="2" customWidth="1"/>
    <col min="14074" max="14074" width="2.5703125" style="2" customWidth="1"/>
    <col min="14075" max="14075" width="2.85546875" style="2" customWidth="1"/>
    <col min="14076" max="14076" width="3" style="2" customWidth="1"/>
    <col min="14077" max="14077" width="24.7109375" style="2" customWidth="1"/>
    <col min="14078" max="14078" width="7.85546875" style="2" customWidth="1"/>
    <col min="14079" max="14079" width="7.42578125" style="2" customWidth="1"/>
    <col min="14080" max="14080" width="11.140625" style="2" customWidth="1"/>
    <col min="14081" max="14081" width="14.42578125" style="2" customWidth="1"/>
    <col min="14082" max="14082" width="3.42578125" style="2" customWidth="1"/>
    <col min="14083" max="14083" width="3" style="2" customWidth="1"/>
    <col min="14084" max="14084" width="3.28515625" style="2" customWidth="1"/>
    <col min="14085" max="14085" width="3.140625" style="2" customWidth="1"/>
    <col min="14086" max="14086" width="3.42578125" style="2" customWidth="1"/>
    <col min="14087" max="14087" width="24.7109375" style="2" customWidth="1"/>
    <col min="14088" max="14088" width="7.85546875" style="2" customWidth="1"/>
    <col min="14089" max="14089" width="7.28515625" style="2" customWidth="1"/>
    <col min="14090" max="14090" width="11.7109375" style="2" bestFit="1" customWidth="1"/>
    <col min="14091" max="14091" width="14.42578125" style="2" customWidth="1"/>
    <col min="14092" max="14092" width="8.85546875" style="2"/>
    <col min="14093" max="14093" width="14.28515625" style="2" bestFit="1" customWidth="1"/>
    <col min="14094" max="14094" width="10" style="2" customWidth="1"/>
    <col min="14095" max="14326" width="8.85546875" style="2"/>
    <col min="14327" max="14327" width="1.140625" style="2" customWidth="1"/>
    <col min="14328" max="14328" width="3.28515625" style="2" customWidth="1"/>
    <col min="14329" max="14329" width="2.42578125" style="2" customWidth="1"/>
    <col min="14330" max="14330" width="2.5703125" style="2" customWidth="1"/>
    <col min="14331" max="14331" width="2.85546875" style="2" customWidth="1"/>
    <col min="14332" max="14332" width="3" style="2" customWidth="1"/>
    <col min="14333" max="14333" width="24.7109375" style="2" customWidth="1"/>
    <col min="14334" max="14334" width="7.85546875" style="2" customWidth="1"/>
    <col min="14335" max="14335" width="7.42578125" style="2" customWidth="1"/>
    <col min="14336" max="14336" width="11.140625" style="2" customWidth="1"/>
    <col min="14337" max="14337" width="14.42578125" style="2" customWidth="1"/>
    <col min="14338" max="14338" width="3.42578125" style="2" customWidth="1"/>
    <col min="14339" max="14339" width="3" style="2" customWidth="1"/>
    <col min="14340" max="14340" width="3.28515625" style="2" customWidth="1"/>
    <col min="14341" max="14341" width="3.140625" style="2" customWidth="1"/>
    <col min="14342" max="14342" width="3.42578125" style="2" customWidth="1"/>
    <col min="14343" max="14343" width="24.7109375" style="2" customWidth="1"/>
    <col min="14344" max="14344" width="7.85546875" style="2" customWidth="1"/>
    <col min="14345" max="14345" width="7.28515625" style="2" customWidth="1"/>
    <col min="14346" max="14346" width="11.7109375" style="2" bestFit="1" customWidth="1"/>
    <col min="14347" max="14347" width="14.42578125" style="2" customWidth="1"/>
    <col min="14348" max="14348" width="8.85546875" style="2"/>
    <col min="14349" max="14349" width="14.28515625" style="2" bestFit="1" customWidth="1"/>
    <col min="14350" max="14350" width="10" style="2" customWidth="1"/>
    <col min="14351" max="14582" width="8.85546875" style="2"/>
    <col min="14583" max="14583" width="1.140625" style="2" customWidth="1"/>
    <col min="14584" max="14584" width="3.28515625" style="2" customWidth="1"/>
    <col min="14585" max="14585" width="2.42578125" style="2" customWidth="1"/>
    <col min="14586" max="14586" width="2.5703125" style="2" customWidth="1"/>
    <col min="14587" max="14587" width="2.85546875" style="2" customWidth="1"/>
    <col min="14588" max="14588" width="3" style="2" customWidth="1"/>
    <col min="14589" max="14589" width="24.7109375" style="2" customWidth="1"/>
    <col min="14590" max="14590" width="7.85546875" style="2" customWidth="1"/>
    <col min="14591" max="14591" width="7.42578125" style="2" customWidth="1"/>
    <col min="14592" max="14592" width="11.140625" style="2" customWidth="1"/>
    <col min="14593" max="14593" width="14.42578125" style="2" customWidth="1"/>
    <col min="14594" max="14594" width="3.42578125" style="2" customWidth="1"/>
    <col min="14595" max="14595" width="3" style="2" customWidth="1"/>
    <col min="14596" max="14596" width="3.28515625" style="2" customWidth="1"/>
    <col min="14597" max="14597" width="3.140625" style="2" customWidth="1"/>
    <col min="14598" max="14598" width="3.42578125" style="2" customWidth="1"/>
    <col min="14599" max="14599" width="24.7109375" style="2" customWidth="1"/>
    <col min="14600" max="14600" width="7.85546875" style="2" customWidth="1"/>
    <col min="14601" max="14601" width="7.28515625" style="2" customWidth="1"/>
    <col min="14602" max="14602" width="11.7109375" style="2" bestFit="1" customWidth="1"/>
    <col min="14603" max="14603" width="14.42578125" style="2" customWidth="1"/>
    <col min="14604" max="14604" width="8.85546875" style="2"/>
    <col min="14605" max="14605" width="14.28515625" style="2" bestFit="1" customWidth="1"/>
    <col min="14606" max="14606" width="10" style="2" customWidth="1"/>
    <col min="14607" max="14838" width="8.85546875" style="2"/>
    <col min="14839" max="14839" width="1.140625" style="2" customWidth="1"/>
    <col min="14840" max="14840" width="3.28515625" style="2" customWidth="1"/>
    <col min="14841" max="14841" width="2.42578125" style="2" customWidth="1"/>
    <col min="14842" max="14842" width="2.5703125" style="2" customWidth="1"/>
    <col min="14843" max="14843" width="2.85546875" style="2" customWidth="1"/>
    <col min="14844" max="14844" width="3" style="2" customWidth="1"/>
    <col min="14845" max="14845" width="24.7109375" style="2" customWidth="1"/>
    <col min="14846" max="14846" width="7.85546875" style="2" customWidth="1"/>
    <col min="14847" max="14847" width="7.42578125" style="2" customWidth="1"/>
    <col min="14848" max="14848" width="11.140625" style="2" customWidth="1"/>
    <col min="14849" max="14849" width="14.42578125" style="2" customWidth="1"/>
    <col min="14850" max="14850" width="3.42578125" style="2" customWidth="1"/>
    <col min="14851" max="14851" width="3" style="2" customWidth="1"/>
    <col min="14852" max="14852" width="3.28515625" style="2" customWidth="1"/>
    <col min="14853" max="14853" width="3.140625" style="2" customWidth="1"/>
    <col min="14854" max="14854" width="3.42578125" style="2" customWidth="1"/>
    <col min="14855" max="14855" width="24.7109375" style="2" customWidth="1"/>
    <col min="14856" max="14856" width="7.85546875" style="2" customWidth="1"/>
    <col min="14857" max="14857" width="7.28515625" style="2" customWidth="1"/>
    <col min="14858" max="14858" width="11.7109375" style="2" bestFit="1" customWidth="1"/>
    <col min="14859" max="14859" width="14.42578125" style="2" customWidth="1"/>
    <col min="14860" max="14860" width="8.85546875" style="2"/>
    <col min="14861" max="14861" width="14.28515625" style="2" bestFit="1" customWidth="1"/>
    <col min="14862" max="14862" width="10" style="2" customWidth="1"/>
    <col min="14863" max="15094" width="8.85546875" style="2"/>
    <col min="15095" max="15095" width="1.140625" style="2" customWidth="1"/>
    <col min="15096" max="15096" width="3.28515625" style="2" customWidth="1"/>
    <col min="15097" max="15097" width="2.42578125" style="2" customWidth="1"/>
    <col min="15098" max="15098" width="2.5703125" style="2" customWidth="1"/>
    <col min="15099" max="15099" width="2.85546875" style="2" customWidth="1"/>
    <col min="15100" max="15100" width="3" style="2" customWidth="1"/>
    <col min="15101" max="15101" width="24.7109375" style="2" customWidth="1"/>
    <col min="15102" max="15102" width="7.85546875" style="2" customWidth="1"/>
    <col min="15103" max="15103" width="7.42578125" style="2" customWidth="1"/>
    <col min="15104" max="15104" width="11.140625" style="2" customWidth="1"/>
    <col min="15105" max="15105" width="14.42578125" style="2" customWidth="1"/>
    <col min="15106" max="15106" width="3.42578125" style="2" customWidth="1"/>
    <col min="15107" max="15107" width="3" style="2" customWidth="1"/>
    <col min="15108" max="15108" width="3.28515625" style="2" customWidth="1"/>
    <col min="15109" max="15109" width="3.140625" style="2" customWidth="1"/>
    <col min="15110" max="15110" width="3.42578125" style="2" customWidth="1"/>
    <col min="15111" max="15111" width="24.7109375" style="2" customWidth="1"/>
    <col min="15112" max="15112" width="7.85546875" style="2" customWidth="1"/>
    <col min="15113" max="15113" width="7.28515625" style="2" customWidth="1"/>
    <col min="15114" max="15114" width="11.7109375" style="2" bestFit="1" customWidth="1"/>
    <col min="15115" max="15115" width="14.42578125" style="2" customWidth="1"/>
    <col min="15116" max="15116" width="8.85546875" style="2"/>
    <col min="15117" max="15117" width="14.28515625" style="2" bestFit="1" customWidth="1"/>
    <col min="15118" max="15118" width="10" style="2" customWidth="1"/>
    <col min="15119" max="15350" width="8.85546875" style="2"/>
    <col min="15351" max="15351" width="1.140625" style="2" customWidth="1"/>
    <col min="15352" max="15352" width="3.28515625" style="2" customWidth="1"/>
    <col min="15353" max="15353" width="2.42578125" style="2" customWidth="1"/>
    <col min="15354" max="15354" width="2.5703125" style="2" customWidth="1"/>
    <col min="15355" max="15355" width="2.85546875" style="2" customWidth="1"/>
    <col min="15356" max="15356" width="3" style="2" customWidth="1"/>
    <col min="15357" max="15357" width="24.7109375" style="2" customWidth="1"/>
    <col min="15358" max="15358" width="7.85546875" style="2" customWidth="1"/>
    <col min="15359" max="15359" width="7.42578125" style="2" customWidth="1"/>
    <col min="15360" max="15360" width="11.140625" style="2" customWidth="1"/>
    <col min="15361" max="15361" width="14.42578125" style="2" customWidth="1"/>
    <col min="15362" max="15362" width="3.42578125" style="2" customWidth="1"/>
    <col min="15363" max="15363" width="3" style="2" customWidth="1"/>
    <col min="15364" max="15364" width="3.28515625" style="2" customWidth="1"/>
    <col min="15365" max="15365" width="3.140625" style="2" customWidth="1"/>
    <col min="15366" max="15366" width="3.42578125" style="2" customWidth="1"/>
    <col min="15367" max="15367" width="24.7109375" style="2" customWidth="1"/>
    <col min="15368" max="15368" width="7.85546875" style="2" customWidth="1"/>
    <col min="15369" max="15369" width="7.28515625" style="2" customWidth="1"/>
    <col min="15370" max="15370" width="11.7109375" style="2" bestFit="1" customWidth="1"/>
    <col min="15371" max="15371" width="14.42578125" style="2" customWidth="1"/>
    <col min="15372" max="15372" width="8.85546875" style="2"/>
    <col min="15373" max="15373" width="14.28515625" style="2" bestFit="1" customWidth="1"/>
    <col min="15374" max="15374" width="10" style="2" customWidth="1"/>
    <col min="15375" max="15606" width="8.85546875" style="2"/>
    <col min="15607" max="15607" width="1.140625" style="2" customWidth="1"/>
    <col min="15608" max="15608" width="3.28515625" style="2" customWidth="1"/>
    <col min="15609" max="15609" width="2.42578125" style="2" customWidth="1"/>
    <col min="15610" max="15610" width="2.5703125" style="2" customWidth="1"/>
    <col min="15611" max="15611" width="2.85546875" style="2" customWidth="1"/>
    <col min="15612" max="15612" width="3" style="2" customWidth="1"/>
    <col min="15613" max="15613" width="24.7109375" style="2" customWidth="1"/>
    <col min="15614" max="15614" width="7.85546875" style="2" customWidth="1"/>
    <col min="15615" max="15615" width="7.42578125" style="2" customWidth="1"/>
    <col min="15616" max="15616" width="11.140625" style="2" customWidth="1"/>
    <col min="15617" max="15617" width="14.42578125" style="2" customWidth="1"/>
    <col min="15618" max="15618" width="3.42578125" style="2" customWidth="1"/>
    <col min="15619" max="15619" width="3" style="2" customWidth="1"/>
    <col min="15620" max="15620" width="3.28515625" style="2" customWidth="1"/>
    <col min="15621" max="15621" width="3.140625" style="2" customWidth="1"/>
    <col min="15622" max="15622" width="3.42578125" style="2" customWidth="1"/>
    <col min="15623" max="15623" width="24.7109375" style="2" customWidth="1"/>
    <col min="15624" max="15624" width="7.85546875" style="2" customWidth="1"/>
    <col min="15625" max="15625" width="7.28515625" style="2" customWidth="1"/>
    <col min="15626" max="15626" width="11.7109375" style="2" bestFit="1" customWidth="1"/>
    <col min="15627" max="15627" width="14.42578125" style="2" customWidth="1"/>
    <col min="15628" max="15628" width="8.85546875" style="2"/>
    <col min="15629" max="15629" width="14.28515625" style="2" bestFit="1" customWidth="1"/>
    <col min="15630" max="15630" width="10" style="2" customWidth="1"/>
    <col min="15631" max="15862" width="8.85546875" style="2"/>
    <col min="15863" max="15863" width="1.140625" style="2" customWidth="1"/>
    <col min="15864" max="15864" width="3.28515625" style="2" customWidth="1"/>
    <col min="15865" max="15865" width="2.42578125" style="2" customWidth="1"/>
    <col min="15866" max="15866" width="2.5703125" style="2" customWidth="1"/>
    <col min="15867" max="15867" width="2.85546875" style="2" customWidth="1"/>
    <col min="15868" max="15868" width="3" style="2" customWidth="1"/>
    <col min="15869" max="15869" width="24.7109375" style="2" customWidth="1"/>
    <col min="15870" max="15870" width="7.85546875" style="2" customWidth="1"/>
    <col min="15871" max="15871" width="7.42578125" style="2" customWidth="1"/>
    <col min="15872" max="15872" width="11.140625" style="2" customWidth="1"/>
    <col min="15873" max="15873" width="14.42578125" style="2" customWidth="1"/>
    <col min="15874" max="15874" width="3.42578125" style="2" customWidth="1"/>
    <col min="15875" max="15875" width="3" style="2" customWidth="1"/>
    <col min="15876" max="15876" width="3.28515625" style="2" customWidth="1"/>
    <col min="15877" max="15877" width="3.140625" style="2" customWidth="1"/>
    <col min="15878" max="15878" width="3.42578125" style="2" customWidth="1"/>
    <col min="15879" max="15879" width="24.7109375" style="2" customWidth="1"/>
    <col min="15880" max="15880" width="7.85546875" style="2" customWidth="1"/>
    <col min="15881" max="15881" width="7.28515625" style="2" customWidth="1"/>
    <col min="15882" max="15882" width="11.7109375" style="2" bestFit="1" customWidth="1"/>
    <col min="15883" max="15883" width="14.42578125" style="2" customWidth="1"/>
    <col min="15884" max="15884" width="8.85546875" style="2"/>
    <col min="15885" max="15885" width="14.28515625" style="2" bestFit="1" customWidth="1"/>
    <col min="15886" max="15886" width="10" style="2" customWidth="1"/>
    <col min="15887" max="16118" width="8.85546875" style="2"/>
    <col min="16119" max="16119" width="1.140625" style="2" customWidth="1"/>
    <col min="16120" max="16120" width="3.28515625" style="2" customWidth="1"/>
    <col min="16121" max="16121" width="2.42578125" style="2" customWidth="1"/>
    <col min="16122" max="16122" width="2.5703125" style="2" customWidth="1"/>
    <col min="16123" max="16123" width="2.85546875" style="2" customWidth="1"/>
    <col min="16124" max="16124" width="3" style="2" customWidth="1"/>
    <col min="16125" max="16125" width="24.7109375" style="2" customWidth="1"/>
    <col min="16126" max="16126" width="7.85546875" style="2" customWidth="1"/>
    <col min="16127" max="16127" width="7.42578125" style="2" customWidth="1"/>
    <col min="16128" max="16128" width="11.140625" style="2" customWidth="1"/>
    <col min="16129" max="16129" width="14.42578125" style="2" customWidth="1"/>
    <col min="16130" max="16130" width="3.42578125" style="2" customWidth="1"/>
    <col min="16131" max="16131" width="3" style="2" customWidth="1"/>
    <col min="16132" max="16132" width="3.28515625" style="2" customWidth="1"/>
    <col min="16133" max="16133" width="3.140625" style="2" customWidth="1"/>
    <col min="16134" max="16134" width="3.42578125" style="2" customWidth="1"/>
    <col min="16135" max="16135" width="24.7109375" style="2" customWidth="1"/>
    <col min="16136" max="16136" width="7.85546875" style="2" customWidth="1"/>
    <col min="16137" max="16137" width="7.28515625" style="2" customWidth="1"/>
    <col min="16138" max="16138" width="11.7109375" style="2" bestFit="1" customWidth="1"/>
    <col min="16139" max="16139" width="14.42578125" style="2" customWidth="1"/>
    <col min="16140" max="16140" width="8.85546875" style="2"/>
    <col min="16141" max="16141" width="14.28515625" style="2" bestFit="1" customWidth="1"/>
    <col min="16142" max="16142" width="10" style="2" customWidth="1"/>
    <col min="16143" max="16384" width="8.85546875" style="2"/>
  </cols>
  <sheetData>
    <row r="1" spans="2:1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1" ht="16.5" customHeight="1">
      <c r="B3" s="3323"/>
      <c r="C3" s="3324"/>
      <c r="D3" s="3324"/>
      <c r="E3" s="3330" t="s">
        <v>2</v>
      </c>
      <c r="F3" s="3331"/>
      <c r="G3" s="3331"/>
      <c r="H3" s="3332"/>
      <c r="I3" s="3355"/>
      <c r="J3" s="3356"/>
      <c r="K3" s="12" t="s">
        <v>3</v>
      </c>
    </row>
    <row r="4" spans="2:1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1">
      <c r="B5" s="3490" t="s">
        <v>31</v>
      </c>
      <c r="C5" s="3362"/>
      <c r="D5" s="3362"/>
      <c r="E5" s="3362"/>
      <c r="F5" s="3362"/>
      <c r="G5" s="3362" t="s">
        <v>38</v>
      </c>
      <c r="H5" s="3362"/>
      <c r="I5" s="3362"/>
      <c r="J5" s="3362"/>
      <c r="K5" s="3363"/>
    </row>
    <row r="6" spans="2:1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1" s="113" customFormat="1" ht="30" customHeight="1">
      <c r="B7" s="3648" t="s">
        <v>33</v>
      </c>
      <c r="C7" s="3649"/>
      <c r="D7" s="3649"/>
      <c r="E7" s="3649"/>
      <c r="F7" s="3649"/>
      <c r="G7" s="3650" t="s">
        <v>83</v>
      </c>
      <c r="H7" s="3650"/>
      <c r="I7" s="3650"/>
      <c r="J7" s="3650"/>
      <c r="K7" s="3651"/>
    </row>
    <row r="8" spans="2:11" ht="15" customHeight="1">
      <c r="B8" s="3341" t="s">
        <v>34</v>
      </c>
      <c r="C8" s="3339"/>
      <c r="D8" s="3339"/>
      <c r="E8" s="3339"/>
      <c r="F8" s="3339"/>
      <c r="G8" s="3339" t="s">
        <v>84</v>
      </c>
      <c r="H8" s="3339"/>
      <c r="I8" s="3339"/>
      <c r="J8" s="3339"/>
      <c r="K8" s="3340"/>
    </row>
    <row r="9" spans="2:1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1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11">
      <c r="B11" s="3314" t="s">
        <v>37</v>
      </c>
      <c r="C11" s="3315"/>
      <c r="D11" s="3315"/>
      <c r="E11" s="3315"/>
      <c r="F11" s="3315"/>
      <c r="G11" s="3315" t="s">
        <v>273</v>
      </c>
      <c r="H11" s="3315"/>
      <c r="I11" s="3315"/>
      <c r="J11" s="3315"/>
      <c r="K11" s="3316"/>
    </row>
    <row r="12" spans="2:11">
      <c r="B12" s="3634" t="s">
        <v>89</v>
      </c>
      <c r="C12" s="3635"/>
      <c r="D12" s="3635"/>
      <c r="E12" s="3635"/>
      <c r="F12" s="3635"/>
      <c r="G12" s="3635"/>
      <c r="H12" s="3635"/>
      <c r="I12" s="3635"/>
      <c r="J12" s="3635"/>
      <c r="K12" s="3636"/>
    </row>
    <row r="13" spans="2:11">
      <c r="B13" s="3634" t="s">
        <v>5</v>
      </c>
      <c r="C13" s="3635"/>
      <c r="D13" s="3635"/>
      <c r="E13" s="3635"/>
      <c r="F13" s="3637"/>
      <c r="G13" s="3638" t="s">
        <v>90</v>
      </c>
      <c r="H13" s="3639"/>
      <c r="I13" s="3638" t="s">
        <v>7</v>
      </c>
      <c r="J13" s="3640"/>
      <c r="K13" s="3641"/>
    </row>
    <row r="14" spans="2:11" ht="16.5" customHeight="1">
      <c r="B14" s="3387" t="s">
        <v>8</v>
      </c>
      <c r="C14" s="3388"/>
      <c r="D14" s="3388"/>
      <c r="E14" s="3388"/>
      <c r="F14" s="3389"/>
      <c r="G14" s="3350" t="s">
        <v>1210</v>
      </c>
      <c r="H14" s="3351"/>
      <c r="I14" s="3390">
        <v>1</v>
      </c>
      <c r="J14" s="3348"/>
      <c r="K14" s="3391"/>
    </row>
    <row r="15" spans="2:11">
      <c r="B15" s="3397" t="s">
        <v>9</v>
      </c>
      <c r="C15" s="3348"/>
      <c r="D15" s="3348"/>
      <c r="E15" s="3348"/>
      <c r="F15" s="3349"/>
      <c r="G15" s="3398" t="s">
        <v>47</v>
      </c>
      <c r="H15" s="3353"/>
      <c r="I15" s="3344">
        <f>K24</f>
        <v>0</v>
      </c>
      <c r="J15" s="3345"/>
      <c r="K15" s="3346"/>
    </row>
    <row r="16" spans="2:11" ht="16.5" customHeight="1">
      <c r="B16" s="3347" t="s">
        <v>10</v>
      </c>
      <c r="C16" s="3348"/>
      <c r="D16" s="3348"/>
      <c r="E16" s="3348"/>
      <c r="F16" s="3349"/>
      <c r="G16" s="3350" t="s">
        <v>1211</v>
      </c>
      <c r="H16" s="3351"/>
      <c r="I16" s="3352">
        <v>1</v>
      </c>
      <c r="J16" s="3353"/>
      <c r="K16" s="3354"/>
    </row>
    <row r="17" spans="2:20" ht="15" customHeight="1">
      <c r="B17" s="3347" t="s">
        <v>11</v>
      </c>
      <c r="C17" s="3348"/>
      <c r="D17" s="3348"/>
      <c r="E17" s="3348"/>
      <c r="F17" s="3349"/>
      <c r="G17" s="3350" t="s">
        <v>1212</v>
      </c>
      <c r="H17" s="3351"/>
      <c r="I17" s="3352">
        <v>1</v>
      </c>
      <c r="J17" s="3353"/>
      <c r="K17" s="3354"/>
    </row>
    <row r="18" spans="2:20">
      <c r="B18" s="3486" t="s">
        <v>99</v>
      </c>
      <c r="C18" s="3487"/>
      <c r="D18" s="3487"/>
      <c r="E18" s="3487"/>
      <c r="F18" s="3487"/>
      <c r="G18" s="3487"/>
      <c r="H18" s="3487"/>
      <c r="I18" s="3487"/>
      <c r="J18" s="3487"/>
      <c r="K18" s="3488"/>
    </row>
    <row r="19" spans="2:20" ht="16.5" customHeight="1">
      <c r="B19" s="3645" t="s">
        <v>87</v>
      </c>
      <c r="C19" s="3646"/>
      <c r="D19" s="3646"/>
      <c r="E19" s="3646"/>
      <c r="F19" s="3646"/>
      <c r="G19" s="3646"/>
      <c r="H19" s="3646"/>
      <c r="I19" s="3646"/>
      <c r="J19" s="3646"/>
      <c r="K19" s="3647"/>
      <c r="L19" s="564"/>
      <c r="M19" s="305"/>
      <c r="N19" s="305"/>
      <c r="O19" s="305"/>
      <c r="P19" s="305"/>
      <c r="Q19" s="303"/>
      <c r="R19" s="303"/>
    </row>
    <row r="20" spans="2:20" ht="15" customHeight="1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  <c r="L20" s="3399" t="s">
        <v>158</v>
      </c>
      <c r="M20" s="3378"/>
      <c r="N20" s="3378"/>
      <c r="O20" s="3378"/>
      <c r="P20" s="3378"/>
      <c r="Q20" s="3378"/>
      <c r="R20" s="3378" t="s">
        <v>17</v>
      </c>
    </row>
    <row r="21" spans="2:20" ht="16.5" customHeight="1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608" t="s">
        <v>17</v>
      </c>
      <c r="L21" s="605"/>
      <c r="M21" s="1526"/>
      <c r="N21" s="1526"/>
      <c r="O21" s="1526"/>
      <c r="P21" s="1526"/>
      <c r="Q21" s="1526"/>
      <c r="R21" s="3378"/>
    </row>
    <row r="22" spans="2:20" ht="15" customHeight="1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1524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20">
      <c r="B23" s="3364">
        <v>1</v>
      </c>
      <c r="C23" s="3358"/>
      <c r="D23" s="3358"/>
      <c r="E23" s="3358"/>
      <c r="F23" s="3365"/>
      <c r="G23" s="425">
        <v>2</v>
      </c>
      <c r="H23" s="368">
        <v>3</v>
      </c>
      <c r="I23" s="368">
        <v>4</v>
      </c>
      <c r="J23" s="368">
        <v>5</v>
      </c>
      <c r="K23" s="426" t="s">
        <v>22</v>
      </c>
      <c r="L23" s="605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20" ht="12.75" customHeight="1">
      <c r="B24" s="429">
        <v>5</v>
      </c>
      <c r="C24" s="424">
        <v>2</v>
      </c>
      <c r="D24" s="424"/>
      <c r="E24" s="424"/>
      <c r="F24" s="424"/>
      <c r="G24" s="396" t="s">
        <v>23</v>
      </c>
      <c r="H24" s="591"/>
      <c r="I24" s="396"/>
      <c r="J24" s="396"/>
      <c r="K24" s="609">
        <f>K25+K30</f>
        <v>0</v>
      </c>
      <c r="L24" s="564"/>
      <c r="M24" s="305"/>
      <c r="N24" s="305"/>
      <c r="O24" s="305"/>
      <c r="P24" s="305"/>
      <c r="Q24" s="303"/>
      <c r="R24" s="303"/>
    </row>
    <row r="25" spans="2:20" ht="12.75" customHeight="1">
      <c r="B25" s="429">
        <v>5</v>
      </c>
      <c r="C25" s="424">
        <v>2</v>
      </c>
      <c r="D25" s="424">
        <v>2</v>
      </c>
      <c r="E25" s="430"/>
      <c r="F25" s="430"/>
      <c r="G25" s="396" t="s">
        <v>43</v>
      </c>
      <c r="H25" s="591"/>
      <c r="I25" s="396"/>
      <c r="J25" s="396"/>
      <c r="K25" s="609">
        <f>K26</f>
        <v>0</v>
      </c>
      <c r="L25" s="564"/>
      <c r="M25" s="564"/>
      <c r="N25" s="377"/>
      <c r="O25" s="377"/>
      <c r="P25" s="377"/>
      <c r="Q25" s="385"/>
      <c r="R25" s="385"/>
    </row>
    <row r="26" spans="2:20" ht="12.75" customHeight="1">
      <c r="B26" s="585">
        <v>5</v>
      </c>
      <c r="C26" s="371">
        <v>2</v>
      </c>
      <c r="D26" s="371">
        <v>2</v>
      </c>
      <c r="E26" s="372">
        <v>19</v>
      </c>
      <c r="F26" s="372"/>
      <c r="G26" s="381" t="s">
        <v>1074</v>
      </c>
      <c r="H26" s="591"/>
      <c r="I26" s="396"/>
      <c r="J26" s="396"/>
      <c r="K26" s="609">
        <f>K27</f>
        <v>0</v>
      </c>
      <c r="L26" s="564"/>
      <c r="M26" s="564"/>
      <c r="N26" s="377"/>
      <c r="O26" s="377"/>
      <c r="P26" s="377"/>
      <c r="Q26" s="385"/>
      <c r="R26" s="385"/>
    </row>
    <row r="27" spans="2:20" ht="12.75" customHeight="1">
      <c r="B27" s="585">
        <v>5</v>
      </c>
      <c r="C27" s="371">
        <v>2</v>
      </c>
      <c r="D27" s="371">
        <v>2</v>
      </c>
      <c r="E27" s="372">
        <v>19</v>
      </c>
      <c r="F27" s="372" t="s">
        <v>25</v>
      </c>
      <c r="G27" s="615" t="s">
        <v>1073</v>
      </c>
      <c r="H27" s="591"/>
      <c r="I27" s="396"/>
      <c r="J27" s="396"/>
      <c r="K27" s="609">
        <f>SUM(K28:K29)</f>
        <v>0</v>
      </c>
      <c r="L27" s="564"/>
      <c r="M27" s="564"/>
      <c r="N27" s="377"/>
      <c r="O27" s="377"/>
      <c r="P27" s="377"/>
      <c r="Q27" s="385"/>
      <c r="R27" s="385"/>
    </row>
    <row r="28" spans="2:20" ht="12.75" customHeight="1">
      <c r="B28" s="458"/>
      <c r="C28" s="380"/>
      <c r="D28" s="380"/>
      <c r="E28" s="380"/>
      <c r="F28" s="380"/>
      <c r="G28" s="391" t="s">
        <v>1457</v>
      </c>
      <c r="H28" s="599"/>
      <c r="I28" s="393" t="s">
        <v>29</v>
      </c>
      <c r="J28" s="599">
        <v>49500000</v>
      </c>
      <c r="K28" s="612">
        <f t="shared" ref="K28" si="0">H28*J28</f>
        <v>0</v>
      </c>
      <c r="L28" s="564"/>
      <c r="M28" s="564"/>
      <c r="N28" s="377">
        <f>K28</f>
        <v>0</v>
      </c>
      <c r="O28" s="377"/>
      <c r="P28" s="377"/>
      <c r="Q28" s="385"/>
      <c r="R28" s="385"/>
    </row>
    <row r="29" spans="2:20" ht="12.75" customHeight="1">
      <c r="B29" s="458"/>
      <c r="C29" s="380"/>
      <c r="D29" s="380"/>
      <c r="E29" s="380"/>
      <c r="F29" s="380"/>
      <c r="G29" s="391"/>
      <c r="H29" s="599"/>
      <c r="I29" s="391"/>
      <c r="J29" s="391"/>
      <c r="K29" s="1050"/>
      <c r="L29" s="564"/>
      <c r="M29" s="564"/>
      <c r="N29" s="377"/>
      <c r="O29" s="377"/>
      <c r="P29" s="377"/>
      <c r="Q29" s="385"/>
      <c r="R29" s="385"/>
    </row>
    <row r="30" spans="2:20" ht="15">
      <c r="B30" s="429">
        <v>5</v>
      </c>
      <c r="C30" s="424">
        <v>2</v>
      </c>
      <c r="D30" s="424">
        <v>3</v>
      </c>
      <c r="E30" s="430"/>
      <c r="F30" s="430"/>
      <c r="G30" s="396" t="s">
        <v>78</v>
      </c>
      <c r="H30" s="592"/>
      <c r="I30" s="424"/>
      <c r="J30" s="590"/>
      <c r="K30" s="611">
        <f>K31</f>
        <v>0</v>
      </c>
      <c r="L30" s="564"/>
      <c r="M30" s="569"/>
      <c r="N30" s="378"/>
      <c r="O30" s="378"/>
      <c r="P30" s="378"/>
      <c r="Q30" s="466"/>
      <c r="R30" s="378"/>
    </row>
    <row r="31" spans="2:20" ht="25.5">
      <c r="B31" s="585">
        <v>5</v>
      </c>
      <c r="C31" s="371">
        <v>2</v>
      </c>
      <c r="D31" s="371">
        <v>3</v>
      </c>
      <c r="E31" s="372">
        <v>49</v>
      </c>
      <c r="F31" s="372"/>
      <c r="G31" s="381" t="s">
        <v>605</v>
      </c>
      <c r="H31" s="594"/>
      <c r="I31" s="586"/>
      <c r="J31" s="587"/>
      <c r="K31" s="611">
        <f>K32</f>
        <v>0</v>
      </c>
      <c r="L31" s="564"/>
      <c r="M31" s="569"/>
      <c r="N31" s="378"/>
      <c r="O31" s="378"/>
      <c r="P31" s="378"/>
      <c r="Q31" s="466"/>
      <c r="R31" s="378"/>
      <c r="S31" s="193">
        <v>1310400000</v>
      </c>
      <c r="T31" s="1086">
        <f>S31-K31</f>
        <v>1310400000</v>
      </c>
    </row>
    <row r="32" spans="2:20" ht="15">
      <c r="B32" s="585">
        <v>5</v>
      </c>
      <c r="C32" s="371">
        <v>2</v>
      </c>
      <c r="D32" s="371">
        <v>3</v>
      </c>
      <c r="E32" s="372">
        <v>49</v>
      </c>
      <c r="F32" s="372" t="s">
        <v>25</v>
      </c>
      <c r="G32" s="615" t="s">
        <v>1447</v>
      </c>
      <c r="H32" s="594"/>
      <c r="I32" s="586"/>
      <c r="J32" s="587"/>
      <c r="K32" s="611">
        <f>SUM(K33:K35)</f>
        <v>0</v>
      </c>
      <c r="L32" s="564"/>
      <c r="M32" s="569"/>
      <c r="N32" s="378"/>
      <c r="O32" s="378"/>
      <c r="P32" s="378"/>
      <c r="Q32" s="466"/>
      <c r="R32" s="378"/>
    </row>
    <row r="33" spans="2:20" ht="15">
      <c r="B33" s="585"/>
      <c r="C33" s="371"/>
      <c r="D33" s="371"/>
      <c r="E33" s="372"/>
      <c r="F33" s="372"/>
      <c r="G33" s="433" t="s">
        <v>1446</v>
      </c>
      <c r="H33" s="953"/>
      <c r="I33" s="586" t="s">
        <v>29</v>
      </c>
      <c r="J33" s="954">
        <v>180000000</v>
      </c>
      <c r="K33" s="612">
        <f t="shared" ref="K33:K35" si="1">H33*J33</f>
        <v>0</v>
      </c>
      <c r="L33" s="564"/>
      <c r="M33" s="809">
        <f t="shared" ref="M33:M35" si="2">K33</f>
        <v>0</v>
      </c>
      <c r="N33" s="378"/>
      <c r="O33" s="378"/>
      <c r="P33" s="378"/>
      <c r="Q33" s="466"/>
      <c r="R33" s="378"/>
    </row>
    <row r="34" spans="2:20" ht="15">
      <c r="B34" s="585"/>
      <c r="C34" s="371"/>
      <c r="D34" s="371"/>
      <c r="E34" s="372"/>
      <c r="F34" s="372"/>
      <c r="G34" s="572" t="s">
        <v>601</v>
      </c>
      <c r="H34" s="953"/>
      <c r="I34" s="586" t="s">
        <v>29</v>
      </c>
      <c r="J34" s="604">
        <f>0.07*J33</f>
        <v>12600000.000000002</v>
      </c>
      <c r="K34" s="612">
        <f t="shared" si="1"/>
        <v>0</v>
      </c>
      <c r="L34" s="564"/>
      <c r="M34" s="809">
        <f t="shared" si="2"/>
        <v>0</v>
      </c>
      <c r="N34" s="378"/>
      <c r="O34" s="378"/>
      <c r="P34" s="378"/>
      <c r="Q34" s="466"/>
      <c r="R34" s="378"/>
    </row>
    <row r="35" spans="2:20" ht="15">
      <c r="B35" s="585"/>
      <c r="C35" s="371"/>
      <c r="D35" s="371"/>
      <c r="E35" s="372"/>
      <c r="F35" s="372"/>
      <c r="G35" s="572" t="s">
        <v>602</v>
      </c>
      <c r="H35" s="953"/>
      <c r="I35" s="586" t="s">
        <v>29</v>
      </c>
      <c r="J35" s="604">
        <f>0.05*J33</f>
        <v>9000000</v>
      </c>
      <c r="K35" s="612">
        <f t="shared" si="1"/>
        <v>0</v>
      </c>
      <c r="L35" s="564"/>
      <c r="M35" s="809">
        <f t="shared" si="2"/>
        <v>0</v>
      </c>
      <c r="N35" s="378"/>
      <c r="O35" s="378"/>
      <c r="P35" s="378"/>
      <c r="Q35" s="466"/>
      <c r="R35" s="378"/>
    </row>
    <row r="36" spans="2:20" ht="15">
      <c r="B36" s="585"/>
      <c r="C36" s="371"/>
      <c r="D36" s="371"/>
      <c r="E36" s="372"/>
      <c r="F36" s="372"/>
      <c r="G36" s="572"/>
      <c r="H36" s="594"/>
      <c r="I36" s="586"/>
      <c r="J36" s="587"/>
      <c r="K36" s="612"/>
      <c r="L36" s="564"/>
      <c r="M36" s="809"/>
      <c r="N36" s="378"/>
      <c r="O36" s="378"/>
      <c r="P36" s="378"/>
      <c r="Q36" s="466"/>
      <c r="R36" s="378"/>
    </row>
    <row r="37" spans="2:20" ht="14.45" customHeight="1" thickBot="1">
      <c r="B37" s="3642" t="s">
        <v>30</v>
      </c>
      <c r="C37" s="3643"/>
      <c r="D37" s="3643"/>
      <c r="E37" s="3643"/>
      <c r="F37" s="3643"/>
      <c r="G37" s="3643"/>
      <c r="H37" s="3643"/>
      <c r="I37" s="3643"/>
      <c r="J37" s="3644"/>
      <c r="K37" s="614">
        <f>K24</f>
        <v>0</v>
      </c>
      <c r="L37" s="564">
        <f t="shared" ref="L37:Q37" si="3">SUM(L24:L36)</f>
        <v>0</v>
      </c>
      <c r="M37" s="564">
        <f t="shared" si="3"/>
        <v>0</v>
      </c>
      <c r="N37" s="564">
        <f t="shared" si="3"/>
        <v>0</v>
      </c>
      <c r="O37" s="564">
        <f t="shared" si="3"/>
        <v>0</v>
      </c>
      <c r="P37" s="564">
        <f t="shared" si="3"/>
        <v>0</v>
      </c>
      <c r="Q37" s="564">
        <f t="shared" si="3"/>
        <v>0</v>
      </c>
      <c r="R37" s="314">
        <f>SUM(M37:Q37)</f>
        <v>0</v>
      </c>
      <c r="S37" s="193">
        <v>26261431064</v>
      </c>
      <c r="T37" s="1113">
        <f>S37-K37</f>
        <v>26261431064</v>
      </c>
    </row>
    <row r="38" spans="2:20" ht="15.75" thickTop="1">
      <c r="K38" s="193"/>
      <c r="L38" s="305"/>
      <c r="M38" s="313"/>
      <c r="N38" s="314"/>
      <c r="O38" s="314"/>
      <c r="P38" s="314"/>
      <c r="Q38" s="306"/>
      <c r="R38" s="306"/>
      <c r="S38" s="193">
        <v>238568936</v>
      </c>
    </row>
    <row r="39" spans="2:20" ht="15">
      <c r="K39" s="193"/>
      <c r="L39" s="564"/>
      <c r="M39" s="559"/>
      <c r="N39" s="561"/>
      <c r="O39" s="561"/>
      <c r="P39" s="561"/>
      <c r="Q39" s="378"/>
      <c r="R39" s="378"/>
      <c r="S39" s="193"/>
    </row>
    <row r="40" spans="2:20" ht="15">
      <c r="H40" s="3336" t="s">
        <v>1534</v>
      </c>
      <c r="I40" s="3336"/>
      <c r="J40" s="3336"/>
      <c r="K40" s="943"/>
      <c r="L40" s="564"/>
      <c r="M40" s="310"/>
      <c r="N40" s="306"/>
      <c r="O40" s="306"/>
      <c r="P40" s="306"/>
      <c r="Q40" s="306"/>
      <c r="R40" s="306"/>
    </row>
    <row r="41" spans="2:20" ht="15">
      <c r="H41" s="3337" t="s">
        <v>272</v>
      </c>
      <c r="I41" s="3337"/>
      <c r="J41" s="3485"/>
      <c r="K41" s="944"/>
      <c r="L41" s="564"/>
      <c r="M41" s="310"/>
      <c r="N41" s="306"/>
      <c r="O41" s="306"/>
      <c r="P41" s="306"/>
      <c r="Q41" s="306"/>
      <c r="R41" s="306"/>
    </row>
    <row r="42" spans="2:20" ht="15">
      <c r="H42" s="127"/>
      <c r="I42" s="127"/>
      <c r="J42" s="127"/>
      <c r="K42" s="1"/>
      <c r="L42" s="564"/>
      <c r="M42" s="310"/>
      <c r="N42" s="306"/>
      <c r="O42" s="306"/>
      <c r="P42" s="306"/>
      <c r="Q42" s="306"/>
      <c r="R42" s="306"/>
    </row>
    <row r="43" spans="2:20" ht="15">
      <c r="H43" s="127"/>
      <c r="I43" s="127"/>
      <c r="J43" s="127"/>
      <c r="K43" s="1"/>
      <c r="L43" s="564"/>
      <c r="M43" s="310"/>
      <c r="N43" s="306"/>
      <c r="O43" s="306"/>
      <c r="P43" s="306"/>
      <c r="Q43" s="306"/>
      <c r="R43" s="306"/>
    </row>
    <row r="44" spans="2:20" ht="15">
      <c r="H44" s="3434" t="s">
        <v>904</v>
      </c>
      <c r="I44" s="3434"/>
      <c r="J44" s="3434"/>
      <c r="K44" s="1"/>
      <c r="L44" s="564"/>
      <c r="M44" s="310"/>
      <c r="N44" s="306"/>
      <c r="O44" s="306"/>
      <c r="P44" s="306"/>
      <c r="Q44" s="306"/>
      <c r="R44" s="306"/>
    </row>
    <row r="45" spans="2:20" ht="15">
      <c r="H45" s="3434" t="s">
        <v>906</v>
      </c>
      <c r="I45" s="3434"/>
      <c r="J45" s="3434"/>
      <c r="K45" s="1"/>
      <c r="L45" s="564"/>
      <c r="M45" s="310"/>
      <c r="N45" s="306"/>
      <c r="O45" s="306"/>
      <c r="P45" s="306"/>
      <c r="Q45" s="306"/>
      <c r="R45" s="306"/>
    </row>
    <row r="46" spans="2:20" ht="15">
      <c r="L46" s="305"/>
      <c r="M46" s="310"/>
      <c r="N46" s="306"/>
      <c r="O46" s="306"/>
      <c r="P46" s="306"/>
      <c r="Q46" s="306"/>
      <c r="R46" s="306"/>
    </row>
    <row r="47" spans="2:20" ht="15">
      <c r="L47" s="305"/>
      <c r="M47" s="310"/>
      <c r="N47" s="306"/>
      <c r="O47" s="306"/>
      <c r="P47" s="306"/>
      <c r="Q47" s="306"/>
      <c r="R47" s="306"/>
    </row>
    <row r="48" spans="2:20" ht="15">
      <c r="L48" s="315"/>
      <c r="M48" s="310"/>
      <c r="N48" s="306"/>
      <c r="O48" s="306"/>
      <c r="P48" s="306"/>
      <c r="Q48" s="306"/>
      <c r="R48" s="306"/>
    </row>
    <row r="49" spans="12:18" ht="15">
      <c r="L49" s="305"/>
      <c r="M49" s="310"/>
      <c r="N49" s="306"/>
      <c r="O49" s="306"/>
      <c r="P49" s="306"/>
      <c r="Q49" s="306"/>
      <c r="R49" s="306"/>
    </row>
    <row r="50" spans="12:18" ht="15">
      <c r="L50" s="305"/>
      <c r="M50" s="310"/>
      <c r="N50" s="306"/>
      <c r="O50" s="306"/>
      <c r="P50" s="306"/>
      <c r="Q50" s="306"/>
      <c r="R50" s="306"/>
    </row>
    <row r="51" spans="12:18" ht="15">
      <c r="L51" s="305"/>
      <c r="M51" s="310"/>
      <c r="N51" s="306"/>
      <c r="O51" s="306"/>
      <c r="P51" s="306"/>
      <c r="Q51" s="306"/>
      <c r="R51" s="306"/>
    </row>
    <row r="52" spans="12:18" ht="15">
      <c r="L52" s="305"/>
      <c r="M52" s="310"/>
      <c r="N52" s="306"/>
      <c r="O52" s="306"/>
      <c r="P52" s="306"/>
      <c r="Q52" s="306"/>
      <c r="R52" s="306"/>
    </row>
    <row r="53" spans="12:18" ht="15">
      <c r="L53" s="305"/>
      <c r="M53" s="310"/>
      <c r="N53" s="306"/>
      <c r="O53" s="306"/>
      <c r="P53" s="306"/>
      <c r="Q53" s="306"/>
      <c r="R53" s="306"/>
    </row>
    <row r="54" spans="12:18" ht="15">
      <c r="L54" s="305"/>
      <c r="M54" s="310"/>
      <c r="N54" s="306"/>
      <c r="O54" s="306"/>
      <c r="P54" s="306"/>
      <c r="Q54" s="306"/>
      <c r="R54" s="306"/>
    </row>
    <row r="55" spans="12:18" ht="15">
      <c r="L55" s="305"/>
      <c r="M55" s="310"/>
      <c r="N55" s="306"/>
      <c r="O55" s="306"/>
      <c r="P55" s="306"/>
      <c r="Q55" s="306"/>
      <c r="R55" s="306"/>
    </row>
    <row r="56" spans="12:18" ht="15">
      <c r="L56" s="305"/>
      <c r="M56" s="310"/>
      <c r="N56" s="306"/>
      <c r="O56" s="306"/>
      <c r="P56" s="306"/>
      <c r="Q56" s="306"/>
      <c r="R56" s="306"/>
    </row>
    <row r="57" spans="12:18" ht="15">
      <c r="L57" s="305"/>
      <c r="M57" s="310"/>
      <c r="N57" s="306"/>
      <c r="O57" s="306"/>
      <c r="P57" s="306"/>
      <c r="Q57" s="306"/>
      <c r="R57" s="306"/>
    </row>
    <row r="58" spans="12:18" ht="15">
      <c r="L58" s="305"/>
      <c r="M58" s="310"/>
      <c r="N58" s="306"/>
      <c r="O58" s="306"/>
      <c r="P58" s="306"/>
      <c r="Q58" s="306"/>
      <c r="R58" s="306"/>
    </row>
    <row r="59" spans="12:18" ht="15">
      <c r="L59" s="305"/>
      <c r="M59" s="310"/>
      <c r="N59" s="306"/>
      <c r="O59" s="306"/>
      <c r="P59" s="306"/>
      <c r="Q59" s="306"/>
      <c r="R59" s="306"/>
    </row>
    <row r="60" spans="12:18" ht="15">
      <c r="L60" s="305"/>
      <c r="M60" s="310"/>
      <c r="N60" s="306"/>
      <c r="O60" s="306"/>
      <c r="P60" s="306"/>
      <c r="Q60" s="306"/>
      <c r="R60" s="306"/>
    </row>
    <row r="61" spans="12:18" ht="15">
      <c r="L61" s="305"/>
      <c r="M61" s="310"/>
      <c r="N61" s="306"/>
      <c r="O61" s="306"/>
      <c r="P61" s="306"/>
      <c r="Q61" s="306"/>
      <c r="R61" s="306"/>
    </row>
    <row r="62" spans="12:18" ht="15">
      <c r="L62" s="305"/>
      <c r="M62" s="310"/>
      <c r="N62" s="306"/>
      <c r="O62" s="306"/>
      <c r="P62" s="306"/>
      <c r="Q62" s="306"/>
      <c r="R62" s="306"/>
    </row>
    <row r="63" spans="12:18" ht="15">
      <c r="L63" s="305"/>
      <c r="M63" s="310"/>
      <c r="N63" s="306"/>
      <c r="O63" s="306"/>
      <c r="P63" s="306"/>
      <c r="Q63" s="306"/>
      <c r="R63" s="306"/>
    </row>
    <row r="64" spans="12:18" ht="15">
      <c r="L64" s="305"/>
      <c r="M64" s="310"/>
      <c r="N64" s="306"/>
      <c r="O64" s="306"/>
      <c r="P64" s="306"/>
      <c r="Q64" s="306"/>
      <c r="R64" s="306"/>
    </row>
    <row r="65" spans="12:18" ht="15">
      <c r="L65" s="305"/>
      <c r="M65" s="310"/>
      <c r="N65" s="306"/>
      <c r="O65" s="306"/>
      <c r="P65" s="306"/>
      <c r="Q65" s="306"/>
      <c r="R65" s="306"/>
    </row>
    <row r="66" spans="12:18" ht="15">
      <c r="L66" s="305"/>
      <c r="M66" s="310"/>
      <c r="N66" s="306"/>
      <c r="O66" s="306"/>
      <c r="P66" s="306"/>
      <c r="Q66" s="306"/>
      <c r="R66" s="306"/>
    </row>
    <row r="67" spans="12:18" ht="15">
      <c r="L67" s="305"/>
      <c r="M67" s="310"/>
      <c r="N67" s="306"/>
      <c r="O67" s="306"/>
      <c r="P67" s="306"/>
      <c r="Q67" s="306"/>
      <c r="R67" s="306"/>
    </row>
    <row r="68" spans="12:18" ht="15">
      <c r="L68" s="305"/>
      <c r="M68" s="310"/>
      <c r="N68" s="306"/>
      <c r="O68" s="306"/>
      <c r="P68" s="306"/>
      <c r="Q68" s="306"/>
      <c r="R68" s="306"/>
    </row>
    <row r="69" spans="12:18" ht="15">
      <c r="L69" s="305"/>
      <c r="M69" s="310"/>
      <c r="N69" s="306"/>
      <c r="O69" s="306"/>
      <c r="P69" s="306"/>
      <c r="Q69" s="306"/>
      <c r="R69" s="306"/>
    </row>
    <row r="70" spans="12:18" ht="15">
      <c r="L70" s="305"/>
      <c r="M70" s="310"/>
      <c r="N70" s="306"/>
      <c r="O70" s="306"/>
      <c r="P70" s="306"/>
      <c r="Q70" s="306"/>
      <c r="R70" s="306"/>
    </row>
    <row r="71" spans="12:18" ht="15">
      <c r="L71" s="305"/>
      <c r="M71" s="310"/>
      <c r="N71" s="306"/>
      <c r="O71" s="306"/>
      <c r="P71" s="306"/>
      <c r="Q71" s="306"/>
      <c r="R71" s="306"/>
    </row>
    <row r="72" spans="12:18" ht="15">
      <c r="L72" s="305"/>
      <c r="M72" s="310"/>
      <c r="N72" s="306"/>
      <c r="O72" s="306"/>
      <c r="P72" s="306"/>
      <c r="Q72" s="306"/>
      <c r="R72" s="306"/>
    </row>
    <row r="73" spans="12:18" ht="15">
      <c r="L73" s="305"/>
      <c r="M73" s="310"/>
      <c r="N73" s="306"/>
      <c r="O73" s="306"/>
      <c r="P73" s="306"/>
      <c r="Q73" s="306"/>
      <c r="R73" s="306"/>
    </row>
    <row r="74" spans="12:18" ht="15">
      <c r="L74" s="305"/>
      <c r="M74" s="310"/>
      <c r="N74" s="306"/>
      <c r="O74" s="306"/>
      <c r="P74" s="306"/>
      <c r="Q74" s="306"/>
      <c r="R74" s="306"/>
    </row>
    <row r="75" spans="12:18" ht="15">
      <c r="L75" s="305"/>
      <c r="M75" s="310"/>
      <c r="N75" s="306"/>
      <c r="O75" s="306"/>
      <c r="P75" s="306"/>
      <c r="Q75" s="306"/>
      <c r="R75" s="306"/>
    </row>
    <row r="76" spans="12:18" ht="15">
      <c r="L76" s="305"/>
      <c r="M76" s="310"/>
      <c r="N76" s="306"/>
      <c r="O76" s="306"/>
      <c r="P76" s="306"/>
      <c r="Q76" s="306"/>
      <c r="R76" s="306"/>
    </row>
    <row r="77" spans="12:18" ht="15">
      <c r="L77" s="305"/>
      <c r="M77" s="310"/>
      <c r="N77" s="306"/>
      <c r="O77" s="306"/>
      <c r="P77" s="306"/>
      <c r="Q77" s="306"/>
      <c r="R77" s="306"/>
    </row>
    <row r="78" spans="12:18" ht="15">
      <c r="L78" s="305"/>
      <c r="M78" s="310"/>
      <c r="N78" s="306"/>
      <c r="O78" s="306"/>
      <c r="P78" s="306"/>
      <c r="Q78" s="306"/>
      <c r="R78" s="306"/>
    </row>
    <row r="79" spans="12:18" ht="15">
      <c r="L79" s="305"/>
      <c r="M79" s="310"/>
      <c r="N79" s="306"/>
      <c r="O79" s="306"/>
      <c r="P79" s="306"/>
      <c r="Q79" s="306"/>
      <c r="R79" s="306"/>
    </row>
    <row r="80" spans="12:18" ht="15">
      <c r="L80" s="305"/>
      <c r="M80" s="310"/>
      <c r="N80" s="306"/>
      <c r="O80" s="306"/>
      <c r="P80" s="306"/>
      <c r="Q80" s="306"/>
      <c r="R80" s="306"/>
    </row>
    <row r="81" spans="12:18" ht="15">
      <c r="L81" s="305"/>
      <c r="M81" s="310"/>
      <c r="N81" s="306"/>
      <c r="O81" s="306"/>
      <c r="P81" s="306"/>
      <c r="Q81" s="306"/>
      <c r="R81" s="306"/>
    </row>
    <row r="82" spans="12:18" ht="15">
      <c r="L82" s="305"/>
      <c r="M82" s="310"/>
      <c r="N82" s="306"/>
      <c r="O82" s="306"/>
      <c r="P82" s="306"/>
      <c r="Q82" s="306"/>
      <c r="R82" s="306"/>
    </row>
    <row r="83" spans="12:18" ht="15">
      <c r="L83" s="305"/>
      <c r="M83" s="310"/>
      <c r="N83" s="306"/>
      <c r="O83" s="306"/>
      <c r="P83" s="306"/>
      <c r="Q83" s="306"/>
      <c r="R83" s="306"/>
    </row>
    <row r="84" spans="12:18" ht="15">
      <c r="L84" s="305"/>
      <c r="M84" s="310"/>
      <c r="N84" s="306"/>
      <c r="O84" s="306"/>
      <c r="P84" s="306"/>
      <c r="Q84" s="306"/>
      <c r="R84" s="306"/>
    </row>
    <row r="85" spans="12:18" ht="15">
      <c r="L85" s="305"/>
      <c r="M85" s="310"/>
      <c r="N85" s="306"/>
      <c r="O85" s="306"/>
      <c r="P85" s="306"/>
      <c r="Q85" s="306"/>
      <c r="R85" s="306"/>
    </row>
    <row r="86" spans="12:18" ht="15">
      <c r="L86" s="305"/>
      <c r="M86" s="310"/>
      <c r="N86" s="306"/>
      <c r="O86" s="306"/>
      <c r="P86" s="306"/>
      <c r="Q86" s="306"/>
      <c r="R86" s="306"/>
    </row>
    <row r="87" spans="12:18" ht="15">
      <c r="L87" s="305"/>
      <c r="M87" s="310"/>
      <c r="N87" s="306"/>
      <c r="O87" s="306"/>
      <c r="P87" s="306"/>
      <c r="Q87" s="306"/>
      <c r="R87" s="306"/>
    </row>
    <row r="88" spans="12:18" ht="15">
      <c r="L88" s="305"/>
      <c r="M88" s="310"/>
      <c r="N88" s="306"/>
      <c r="O88" s="306"/>
      <c r="P88" s="306"/>
      <c r="Q88" s="306"/>
      <c r="R88" s="306"/>
    </row>
    <row r="89" spans="12:18" ht="15">
      <c r="L89" s="305"/>
      <c r="M89" s="310"/>
      <c r="N89" s="306"/>
      <c r="O89" s="306"/>
      <c r="P89" s="306"/>
      <c r="Q89" s="306"/>
      <c r="R89" s="306"/>
    </row>
    <row r="90" spans="12:18" ht="15">
      <c r="L90" s="305"/>
      <c r="M90" s="310"/>
      <c r="N90" s="306"/>
      <c r="O90" s="306"/>
      <c r="P90" s="306"/>
      <c r="Q90" s="306"/>
      <c r="R90" s="306"/>
    </row>
    <row r="91" spans="12:18" ht="15">
      <c r="L91" s="305"/>
      <c r="M91" s="310"/>
      <c r="N91" s="306"/>
      <c r="O91" s="306"/>
      <c r="P91" s="306"/>
      <c r="Q91" s="306"/>
      <c r="R91" s="306"/>
    </row>
    <row r="92" spans="12:18" ht="15">
      <c r="L92" s="305"/>
      <c r="M92" s="310"/>
      <c r="N92" s="306"/>
      <c r="O92" s="306"/>
      <c r="P92" s="306"/>
      <c r="Q92" s="306"/>
      <c r="R92" s="306"/>
    </row>
    <row r="93" spans="12:18" ht="15">
      <c r="L93" s="305"/>
      <c r="M93" s="310"/>
      <c r="N93" s="306"/>
      <c r="O93" s="306"/>
      <c r="P93" s="306"/>
      <c r="Q93" s="306"/>
      <c r="R93" s="306"/>
    </row>
    <row r="94" spans="12:18" ht="15">
      <c r="L94" s="305"/>
      <c r="M94" s="310"/>
      <c r="N94" s="306"/>
      <c r="O94" s="306"/>
      <c r="P94" s="306"/>
      <c r="Q94" s="306"/>
      <c r="R94" s="306"/>
    </row>
    <row r="95" spans="12:18" ht="15">
      <c r="L95" s="305"/>
      <c r="M95" s="310"/>
      <c r="N95" s="306"/>
      <c r="O95" s="306"/>
      <c r="P95" s="306"/>
      <c r="Q95" s="306"/>
      <c r="R95" s="306"/>
    </row>
    <row r="96" spans="12:18" ht="15">
      <c r="L96" s="305"/>
      <c r="M96" s="310"/>
      <c r="N96" s="306"/>
      <c r="O96" s="306"/>
      <c r="P96" s="306"/>
      <c r="Q96" s="306"/>
      <c r="R96" s="306"/>
    </row>
    <row r="97" spans="12:18" ht="15">
      <c r="L97" s="305"/>
      <c r="M97" s="310"/>
      <c r="N97" s="306"/>
      <c r="O97" s="306"/>
      <c r="P97" s="306"/>
      <c r="Q97" s="306"/>
      <c r="R97" s="306"/>
    </row>
    <row r="98" spans="12:18" ht="15">
      <c r="L98" s="305"/>
      <c r="M98" s="310"/>
      <c r="N98" s="306"/>
      <c r="O98" s="306"/>
      <c r="P98" s="306"/>
      <c r="Q98" s="306"/>
      <c r="R98" s="306"/>
    </row>
    <row r="99" spans="12:18" ht="15">
      <c r="L99" s="305"/>
      <c r="M99" s="310"/>
      <c r="N99" s="306"/>
      <c r="O99" s="306"/>
      <c r="P99" s="306"/>
      <c r="Q99" s="306"/>
      <c r="R99" s="306"/>
    </row>
    <row r="100" spans="12:18" ht="15">
      <c r="L100" s="305"/>
      <c r="M100" s="310"/>
      <c r="N100" s="306"/>
      <c r="O100" s="306"/>
      <c r="P100" s="306"/>
      <c r="Q100" s="306"/>
      <c r="R100" s="306"/>
    </row>
    <row r="101" spans="12:18" ht="15">
      <c r="L101" s="305"/>
      <c r="M101" s="310"/>
      <c r="N101" s="306"/>
      <c r="O101" s="306"/>
      <c r="P101" s="306"/>
      <c r="Q101" s="306"/>
      <c r="R101" s="306"/>
    </row>
    <row r="102" spans="12:18" ht="15">
      <c r="L102" s="305"/>
      <c r="M102" s="310"/>
      <c r="N102" s="306"/>
      <c r="O102" s="306"/>
      <c r="P102" s="306"/>
      <c r="Q102" s="306"/>
      <c r="R102" s="306"/>
    </row>
    <row r="103" spans="12:18" ht="15">
      <c r="L103" s="305"/>
      <c r="M103" s="310"/>
      <c r="N103" s="306"/>
      <c r="O103" s="306"/>
      <c r="P103" s="306"/>
      <c r="Q103" s="306"/>
      <c r="R103" s="306"/>
    </row>
    <row r="104" spans="12:18" ht="15">
      <c r="L104" s="305"/>
      <c r="M104" s="310"/>
      <c r="N104" s="306"/>
      <c r="O104" s="306"/>
      <c r="P104" s="306"/>
      <c r="Q104" s="306"/>
      <c r="R104" s="306"/>
    </row>
    <row r="105" spans="12:18" ht="15">
      <c r="L105" s="305"/>
      <c r="M105" s="310"/>
      <c r="N105" s="306"/>
      <c r="O105" s="306"/>
      <c r="P105" s="306"/>
      <c r="Q105" s="306"/>
      <c r="R105" s="306"/>
    </row>
    <row r="106" spans="12:18" ht="15">
      <c r="L106" s="305"/>
      <c r="M106" s="310"/>
      <c r="N106" s="306"/>
      <c r="O106" s="306"/>
      <c r="P106" s="306"/>
      <c r="Q106" s="306"/>
      <c r="R106" s="306"/>
    </row>
    <row r="107" spans="12:18" ht="15">
      <c r="L107" s="305"/>
      <c r="M107" s="310"/>
      <c r="N107" s="306"/>
      <c r="O107" s="306"/>
      <c r="P107" s="306"/>
      <c r="Q107" s="306"/>
      <c r="R107" s="306"/>
    </row>
    <row r="108" spans="12:18" ht="15">
      <c r="L108" s="305"/>
      <c r="M108" s="310"/>
      <c r="N108" s="306"/>
      <c r="O108" s="306"/>
      <c r="P108" s="306"/>
      <c r="Q108" s="306"/>
      <c r="R108" s="306"/>
    </row>
    <row r="109" spans="12:18" ht="15">
      <c r="L109" s="305"/>
      <c r="M109" s="310"/>
      <c r="N109" s="306"/>
      <c r="O109" s="306"/>
      <c r="P109" s="306"/>
      <c r="Q109" s="306"/>
      <c r="R109" s="306"/>
    </row>
    <row r="110" spans="12:18" ht="15">
      <c r="L110" s="305"/>
      <c r="M110" s="310"/>
      <c r="N110" s="306"/>
      <c r="O110" s="306"/>
      <c r="P110" s="306"/>
      <c r="Q110" s="306"/>
      <c r="R110" s="306"/>
    </row>
    <row r="111" spans="12:18" ht="15">
      <c r="L111" s="305"/>
      <c r="M111" s="310"/>
      <c r="N111" s="306"/>
      <c r="O111" s="306"/>
      <c r="P111" s="306"/>
      <c r="Q111" s="306"/>
      <c r="R111" s="306"/>
    </row>
    <row r="112" spans="12:18" ht="15">
      <c r="L112" s="305"/>
      <c r="M112" s="310"/>
      <c r="N112" s="306"/>
      <c r="O112" s="306"/>
      <c r="P112" s="306"/>
      <c r="Q112" s="306"/>
      <c r="R112" s="306"/>
    </row>
    <row r="113" spans="12:18" ht="15">
      <c r="L113" s="305"/>
      <c r="M113" s="310"/>
      <c r="N113" s="306"/>
      <c r="O113" s="306"/>
      <c r="P113" s="306"/>
      <c r="Q113" s="306"/>
      <c r="R113" s="306"/>
    </row>
    <row r="114" spans="12:18" ht="15">
      <c r="L114" s="305"/>
      <c r="M114" s="310"/>
      <c r="N114" s="306"/>
      <c r="O114" s="306"/>
      <c r="P114" s="306"/>
      <c r="Q114" s="306"/>
      <c r="R114" s="306"/>
    </row>
    <row r="115" spans="12:18" ht="15">
      <c r="L115" s="305"/>
      <c r="M115" s="310"/>
      <c r="N115" s="306"/>
      <c r="O115" s="306"/>
      <c r="P115" s="306"/>
      <c r="Q115" s="306"/>
      <c r="R115" s="306"/>
    </row>
    <row r="116" spans="12:18" ht="15">
      <c r="L116" s="305"/>
      <c r="M116" s="310"/>
      <c r="N116" s="306"/>
      <c r="O116" s="306"/>
      <c r="P116" s="306"/>
      <c r="Q116" s="306"/>
      <c r="R116" s="306"/>
    </row>
    <row r="117" spans="12:18" ht="15">
      <c r="L117" s="305"/>
      <c r="M117" s="310"/>
      <c r="N117" s="306"/>
      <c r="O117" s="306"/>
      <c r="P117" s="306"/>
      <c r="Q117" s="306"/>
      <c r="R117" s="306"/>
    </row>
    <row r="118" spans="12:18" ht="15">
      <c r="L118" s="306"/>
      <c r="M118" s="306"/>
      <c r="N118" s="306"/>
      <c r="O118" s="306"/>
      <c r="P118" s="306"/>
      <c r="Q118" s="306"/>
      <c r="R118" s="306"/>
    </row>
  </sheetData>
  <mergeCells count="50">
    <mergeCell ref="L20:Q20"/>
    <mergeCell ref="R20:R22"/>
    <mergeCell ref="B1:K1"/>
    <mergeCell ref="B2:D3"/>
    <mergeCell ref="E2:H2"/>
    <mergeCell ref="I2:J2"/>
    <mergeCell ref="E3:H3"/>
    <mergeCell ref="I3:J3"/>
    <mergeCell ref="B6:F6"/>
    <mergeCell ref="G6:K6"/>
    <mergeCell ref="B7:F7"/>
    <mergeCell ref="G7:K7"/>
    <mergeCell ref="B4:K4"/>
    <mergeCell ref="B5:F5"/>
    <mergeCell ref="G5:K5"/>
    <mergeCell ref="G10:K10"/>
    <mergeCell ref="B11:F11"/>
    <mergeCell ref="B10:F10"/>
    <mergeCell ref="G11:K11"/>
    <mergeCell ref="G8:K8"/>
    <mergeCell ref="G9:K9"/>
    <mergeCell ref="B8:F8"/>
    <mergeCell ref="I16:K16"/>
    <mergeCell ref="B37:J37"/>
    <mergeCell ref="B17:F17"/>
    <mergeCell ref="G17:H17"/>
    <mergeCell ref="I17:K17"/>
    <mergeCell ref="B23:F23"/>
    <mergeCell ref="B21:F22"/>
    <mergeCell ref="G21:G22"/>
    <mergeCell ref="H21:J21"/>
    <mergeCell ref="B18:K18"/>
    <mergeCell ref="B19:K19"/>
    <mergeCell ref="B20:K20"/>
    <mergeCell ref="H40:J40"/>
    <mergeCell ref="H41:J41"/>
    <mergeCell ref="H44:J44"/>
    <mergeCell ref="H45:J45"/>
    <mergeCell ref="B12:K12"/>
    <mergeCell ref="B13:F13"/>
    <mergeCell ref="G13:H13"/>
    <mergeCell ref="I13:K13"/>
    <mergeCell ref="B14:F14"/>
    <mergeCell ref="G14:H14"/>
    <mergeCell ref="I14:K14"/>
    <mergeCell ref="B15:F15"/>
    <mergeCell ref="B16:F16"/>
    <mergeCell ref="G15:H15"/>
    <mergeCell ref="I15:K15"/>
    <mergeCell ref="G16:H16"/>
  </mergeCells>
  <pageMargins left="0.23622047244094491" right="0.19685039370078741" top="0.55118110236220474" bottom="1.8503937007874016" header="0.31496062992125984" footer="0.23622047244094491"/>
  <pageSetup paperSize="5" scale="92" orientation="portrait" horizontalDpi="4294967293" verticalDpi="4294967293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B1:T91"/>
  <sheetViews>
    <sheetView view="pageBreakPreview" topLeftCell="A16" zoomScale="110" zoomScaleNormal="120" zoomScaleSheetLayoutView="110" workbookViewId="0">
      <selection activeCell="H28" sqref="H28"/>
    </sheetView>
  </sheetViews>
  <sheetFormatPr defaultColWidth="8.85546875" defaultRowHeight="12.75"/>
  <cols>
    <col min="1" max="1" width="1.140625" style="9" customWidth="1"/>
    <col min="2" max="2" width="3.28515625" style="9" customWidth="1"/>
    <col min="3" max="4" width="3.140625" style="9" customWidth="1"/>
    <col min="5" max="5" width="3.28515625" style="9" customWidth="1"/>
    <col min="6" max="6" width="3.5703125" style="9" customWidth="1"/>
    <col min="7" max="7" width="44.28515625" style="9" customWidth="1"/>
    <col min="8" max="8" width="8" style="9" customWidth="1"/>
    <col min="9" max="9" width="8" style="9" bestFit="1" customWidth="1"/>
    <col min="10" max="10" width="13.42578125" style="9" bestFit="1" customWidth="1"/>
    <col min="11" max="11" width="14.28515625" style="9" customWidth="1"/>
    <col min="12" max="12" width="13.5703125" style="9" bestFit="1" customWidth="1"/>
    <col min="13" max="17" width="6.42578125" style="9" bestFit="1" customWidth="1"/>
    <col min="18" max="18" width="18.28515625" style="9" bestFit="1" customWidth="1"/>
    <col min="19" max="19" width="15.28515625" style="9" bestFit="1" customWidth="1"/>
    <col min="20" max="20" width="14.28515625" style="9" bestFit="1" customWidth="1"/>
    <col min="21" max="246" width="8.85546875" style="9"/>
    <col min="247" max="247" width="1.140625" style="9" customWidth="1"/>
    <col min="248" max="248" width="3.28515625" style="9" customWidth="1"/>
    <col min="249" max="249" width="2.42578125" style="9" customWidth="1"/>
    <col min="250" max="250" width="2.5703125" style="9" customWidth="1"/>
    <col min="251" max="251" width="2.85546875" style="9" customWidth="1"/>
    <col min="252" max="252" width="3" style="9" customWidth="1"/>
    <col min="253" max="253" width="24.7109375" style="9" customWidth="1"/>
    <col min="254" max="254" width="7.85546875" style="9" customWidth="1"/>
    <col min="255" max="255" width="7.42578125" style="9" customWidth="1"/>
    <col min="256" max="256" width="11.140625" style="9" customWidth="1"/>
    <col min="257" max="257" width="14.42578125" style="9" customWidth="1"/>
    <col min="258" max="258" width="3.42578125" style="9" customWidth="1"/>
    <col min="259" max="259" width="3" style="9" customWidth="1"/>
    <col min="260" max="260" width="3.28515625" style="9" customWidth="1"/>
    <col min="261" max="261" width="3.140625" style="9" customWidth="1"/>
    <col min="262" max="262" width="3.42578125" style="9" customWidth="1"/>
    <col min="263" max="263" width="24.7109375" style="9" customWidth="1"/>
    <col min="264" max="264" width="7.85546875" style="9" customWidth="1"/>
    <col min="265" max="265" width="7.28515625" style="9" customWidth="1"/>
    <col min="266" max="266" width="11.7109375" style="9" bestFit="1" customWidth="1"/>
    <col min="267" max="267" width="14.42578125" style="9" customWidth="1"/>
    <col min="268" max="268" width="8.85546875" style="9"/>
    <col min="269" max="269" width="14.28515625" style="9" bestFit="1" customWidth="1"/>
    <col min="270" max="270" width="10" style="9" customWidth="1"/>
    <col min="271" max="502" width="8.85546875" style="9"/>
    <col min="503" max="503" width="1.140625" style="9" customWidth="1"/>
    <col min="504" max="504" width="3.28515625" style="9" customWidth="1"/>
    <col min="505" max="505" width="2.42578125" style="9" customWidth="1"/>
    <col min="506" max="506" width="2.5703125" style="9" customWidth="1"/>
    <col min="507" max="507" width="2.85546875" style="9" customWidth="1"/>
    <col min="508" max="508" width="3" style="9" customWidth="1"/>
    <col min="509" max="509" width="24.7109375" style="9" customWidth="1"/>
    <col min="510" max="510" width="7.85546875" style="9" customWidth="1"/>
    <col min="511" max="511" width="7.42578125" style="9" customWidth="1"/>
    <col min="512" max="512" width="11.140625" style="9" customWidth="1"/>
    <col min="513" max="513" width="14.42578125" style="9" customWidth="1"/>
    <col min="514" max="514" width="3.42578125" style="9" customWidth="1"/>
    <col min="515" max="515" width="3" style="9" customWidth="1"/>
    <col min="516" max="516" width="3.28515625" style="9" customWidth="1"/>
    <col min="517" max="517" width="3.140625" style="9" customWidth="1"/>
    <col min="518" max="518" width="3.42578125" style="9" customWidth="1"/>
    <col min="519" max="519" width="24.7109375" style="9" customWidth="1"/>
    <col min="520" max="520" width="7.85546875" style="9" customWidth="1"/>
    <col min="521" max="521" width="7.28515625" style="9" customWidth="1"/>
    <col min="522" max="522" width="11.7109375" style="9" bestFit="1" customWidth="1"/>
    <col min="523" max="523" width="14.42578125" style="9" customWidth="1"/>
    <col min="524" max="524" width="8.85546875" style="9"/>
    <col min="525" max="525" width="14.28515625" style="9" bestFit="1" customWidth="1"/>
    <col min="526" max="526" width="10" style="9" customWidth="1"/>
    <col min="527" max="758" width="8.85546875" style="9"/>
    <col min="759" max="759" width="1.140625" style="9" customWidth="1"/>
    <col min="760" max="760" width="3.28515625" style="9" customWidth="1"/>
    <col min="761" max="761" width="2.42578125" style="9" customWidth="1"/>
    <col min="762" max="762" width="2.5703125" style="9" customWidth="1"/>
    <col min="763" max="763" width="2.85546875" style="9" customWidth="1"/>
    <col min="764" max="764" width="3" style="9" customWidth="1"/>
    <col min="765" max="765" width="24.7109375" style="9" customWidth="1"/>
    <col min="766" max="766" width="7.85546875" style="9" customWidth="1"/>
    <col min="767" max="767" width="7.42578125" style="9" customWidth="1"/>
    <col min="768" max="768" width="11.140625" style="9" customWidth="1"/>
    <col min="769" max="769" width="14.42578125" style="9" customWidth="1"/>
    <col min="770" max="770" width="3.42578125" style="9" customWidth="1"/>
    <col min="771" max="771" width="3" style="9" customWidth="1"/>
    <col min="772" max="772" width="3.28515625" style="9" customWidth="1"/>
    <col min="773" max="773" width="3.140625" style="9" customWidth="1"/>
    <col min="774" max="774" width="3.42578125" style="9" customWidth="1"/>
    <col min="775" max="775" width="24.7109375" style="9" customWidth="1"/>
    <col min="776" max="776" width="7.85546875" style="9" customWidth="1"/>
    <col min="777" max="777" width="7.28515625" style="9" customWidth="1"/>
    <col min="778" max="778" width="11.7109375" style="9" bestFit="1" customWidth="1"/>
    <col min="779" max="779" width="14.42578125" style="9" customWidth="1"/>
    <col min="780" max="780" width="8.85546875" style="9"/>
    <col min="781" max="781" width="14.28515625" style="9" bestFit="1" customWidth="1"/>
    <col min="782" max="782" width="10" style="9" customWidth="1"/>
    <col min="783" max="1014" width="8.85546875" style="9"/>
    <col min="1015" max="1015" width="1.140625" style="9" customWidth="1"/>
    <col min="1016" max="1016" width="3.28515625" style="9" customWidth="1"/>
    <col min="1017" max="1017" width="2.42578125" style="9" customWidth="1"/>
    <col min="1018" max="1018" width="2.5703125" style="9" customWidth="1"/>
    <col min="1019" max="1019" width="2.85546875" style="9" customWidth="1"/>
    <col min="1020" max="1020" width="3" style="9" customWidth="1"/>
    <col min="1021" max="1021" width="24.7109375" style="9" customWidth="1"/>
    <col min="1022" max="1022" width="7.85546875" style="9" customWidth="1"/>
    <col min="1023" max="1023" width="7.42578125" style="9" customWidth="1"/>
    <col min="1024" max="1024" width="11.140625" style="9" customWidth="1"/>
    <col min="1025" max="1025" width="14.42578125" style="9" customWidth="1"/>
    <col min="1026" max="1026" width="3.42578125" style="9" customWidth="1"/>
    <col min="1027" max="1027" width="3" style="9" customWidth="1"/>
    <col min="1028" max="1028" width="3.28515625" style="9" customWidth="1"/>
    <col min="1029" max="1029" width="3.140625" style="9" customWidth="1"/>
    <col min="1030" max="1030" width="3.42578125" style="9" customWidth="1"/>
    <col min="1031" max="1031" width="24.7109375" style="9" customWidth="1"/>
    <col min="1032" max="1032" width="7.85546875" style="9" customWidth="1"/>
    <col min="1033" max="1033" width="7.28515625" style="9" customWidth="1"/>
    <col min="1034" max="1034" width="11.7109375" style="9" bestFit="1" customWidth="1"/>
    <col min="1035" max="1035" width="14.42578125" style="9" customWidth="1"/>
    <col min="1036" max="1036" width="8.85546875" style="9"/>
    <col min="1037" max="1037" width="14.28515625" style="9" bestFit="1" customWidth="1"/>
    <col min="1038" max="1038" width="10" style="9" customWidth="1"/>
    <col min="1039" max="1270" width="8.85546875" style="9"/>
    <col min="1271" max="1271" width="1.140625" style="9" customWidth="1"/>
    <col min="1272" max="1272" width="3.28515625" style="9" customWidth="1"/>
    <col min="1273" max="1273" width="2.42578125" style="9" customWidth="1"/>
    <col min="1274" max="1274" width="2.5703125" style="9" customWidth="1"/>
    <col min="1275" max="1275" width="2.85546875" style="9" customWidth="1"/>
    <col min="1276" max="1276" width="3" style="9" customWidth="1"/>
    <col min="1277" max="1277" width="24.7109375" style="9" customWidth="1"/>
    <col min="1278" max="1278" width="7.85546875" style="9" customWidth="1"/>
    <col min="1279" max="1279" width="7.42578125" style="9" customWidth="1"/>
    <col min="1280" max="1280" width="11.140625" style="9" customWidth="1"/>
    <col min="1281" max="1281" width="14.42578125" style="9" customWidth="1"/>
    <col min="1282" max="1282" width="3.42578125" style="9" customWidth="1"/>
    <col min="1283" max="1283" width="3" style="9" customWidth="1"/>
    <col min="1284" max="1284" width="3.28515625" style="9" customWidth="1"/>
    <col min="1285" max="1285" width="3.140625" style="9" customWidth="1"/>
    <col min="1286" max="1286" width="3.42578125" style="9" customWidth="1"/>
    <col min="1287" max="1287" width="24.7109375" style="9" customWidth="1"/>
    <col min="1288" max="1288" width="7.85546875" style="9" customWidth="1"/>
    <col min="1289" max="1289" width="7.28515625" style="9" customWidth="1"/>
    <col min="1290" max="1290" width="11.7109375" style="9" bestFit="1" customWidth="1"/>
    <col min="1291" max="1291" width="14.42578125" style="9" customWidth="1"/>
    <col min="1292" max="1292" width="8.85546875" style="9"/>
    <col min="1293" max="1293" width="14.28515625" style="9" bestFit="1" customWidth="1"/>
    <col min="1294" max="1294" width="10" style="9" customWidth="1"/>
    <col min="1295" max="1526" width="8.85546875" style="9"/>
    <col min="1527" max="1527" width="1.140625" style="9" customWidth="1"/>
    <col min="1528" max="1528" width="3.28515625" style="9" customWidth="1"/>
    <col min="1529" max="1529" width="2.42578125" style="9" customWidth="1"/>
    <col min="1530" max="1530" width="2.5703125" style="9" customWidth="1"/>
    <col min="1531" max="1531" width="2.85546875" style="9" customWidth="1"/>
    <col min="1532" max="1532" width="3" style="9" customWidth="1"/>
    <col min="1533" max="1533" width="24.7109375" style="9" customWidth="1"/>
    <col min="1534" max="1534" width="7.85546875" style="9" customWidth="1"/>
    <col min="1535" max="1535" width="7.42578125" style="9" customWidth="1"/>
    <col min="1536" max="1536" width="11.140625" style="9" customWidth="1"/>
    <col min="1537" max="1537" width="14.42578125" style="9" customWidth="1"/>
    <col min="1538" max="1538" width="3.42578125" style="9" customWidth="1"/>
    <col min="1539" max="1539" width="3" style="9" customWidth="1"/>
    <col min="1540" max="1540" width="3.28515625" style="9" customWidth="1"/>
    <col min="1541" max="1541" width="3.140625" style="9" customWidth="1"/>
    <col min="1542" max="1542" width="3.42578125" style="9" customWidth="1"/>
    <col min="1543" max="1543" width="24.7109375" style="9" customWidth="1"/>
    <col min="1544" max="1544" width="7.85546875" style="9" customWidth="1"/>
    <col min="1545" max="1545" width="7.28515625" style="9" customWidth="1"/>
    <col min="1546" max="1546" width="11.7109375" style="9" bestFit="1" customWidth="1"/>
    <col min="1547" max="1547" width="14.42578125" style="9" customWidth="1"/>
    <col min="1548" max="1548" width="8.85546875" style="9"/>
    <col min="1549" max="1549" width="14.28515625" style="9" bestFit="1" customWidth="1"/>
    <col min="1550" max="1550" width="10" style="9" customWidth="1"/>
    <col min="1551" max="1782" width="8.85546875" style="9"/>
    <col min="1783" max="1783" width="1.140625" style="9" customWidth="1"/>
    <col min="1784" max="1784" width="3.28515625" style="9" customWidth="1"/>
    <col min="1785" max="1785" width="2.42578125" style="9" customWidth="1"/>
    <col min="1786" max="1786" width="2.5703125" style="9" customWidth="1"/>
    <col min="1787" max="1787" width="2.85546875" style="9" customWidth="1"/>
    <col min="1788" max="1788" width="3" style="9" customWidth="1"/>
    <col min="1789" max="1789" width="24.7109375" style="9" customWidth="1"/>
    <col min="1790" max="1790" width="7.85546875" style="9" customWidth="1"/>
    <col min="1791" max="1791" width="7.42578125" style="9" customWidth="1"/>
    <col min="1792" max="1792" width="11.140625" style="9" customWidth="1"/>
    <col min="1793" max="1793" width="14.42578125" style="9" customWidth="1"/>
    <col min="1794" max="1794" width="3.42578125" style="9" customWidth="1"/>
    <col min="1795" max="1795" width="3" style="9" customWidth="1"/>
    <col min="1796" max="1796" width="3.28515625" style="9" customWidth="1"/>
    <col min="1797" max="1797" width="3.140625" style="9" customWidth="1"/>
    <col min="1798" max="1798" width="3.42578125" style="9" customWidth="1"/>
    <col min="1799" max="1799" width="24.7109375" style="9" customWidth="1"/>
    <col min="1800" max="1800" width="7.85546875" style="9" customWidth="1"/>
    <col min="1801" max="1801" width="7.28515625" style="9" customWidth="1"/>
    <col min="1802" max="1802" width="11.7109375" style="9" bestFit="1" customWidth="1"/>
    <col min="1803" max="1803" width="14.42578125" style="9" customWidth="1"/>
    <col min="1804" max="1804" width="8.85546875" style="9"/>
    <col min="1805" max="1805" width="14.28515625" style="9" bestFit="1" customWidth="1"/>
    <col min="1806" max="1806" width="10" style="9" customWidth="1"/>
    <col min="1807" max="2038" width="8.85546875" style="9"/>
    <col min="2039" max="2039" width="1.140625" style="9" customWidth="1"/>
    <col min="2040" max="2040" width="3.28515625" style="9" customWidth="1"/>
    <col min="2041" max="2041" width="2.42578125" style="9" customWidth="1"/>
    <col min="2042" max="2042" width="2.5703125" style="9" customWidth="1"/>
    <col min="2043" max="2043" width="2.85546875" style="9" customWidth="1"/>
    <col min="2044" max="2044" width="3" style="9" customWidth="1"/>
    <col min="2045" max="2045" width="24.7109375" style="9" customWidth="1"/>
    <col min="2046" max="2046" width="7.85546875" style="9" customWidth="1"/>
    <col min="2047" max="2047" width="7.42578125" style="9" customWidth="1"/>
    <col min="2048" max="2048" width="11.140625" style="9" customWidth="1"/>
    <col min="2049" max="2049" width="14.42578125" style="9" customWidth="1"/>
    <col min="2050" max="2050" width="3.42578125" style="9" customWidth="1"/>
    <col min="2051" max="2051" width="3" style="9" customWidth="1"/>
    <col min="2052" max="2052" width="3.28515625" style="9" customWidth="1"/>
    <col min="2053" max="2053" width="3.140625" style="9" customWidth="1"/>
    <col min="2054" max="2054" width="3.42578125" style="9" customWidth="1"/>
    <col min="2055" max="2055" width="24.7109375" style="9" customWidth="1"/>
    <col min="2056" max="2056" width="7.85546875" style="9" customWidth="1"/>
    <col min="2057" max="2057" width="7.28515625" style="9" customWidth="1"/>
    <col min="2058" max="2058" width="11.7109375" style="9" bestFit="1" customWidth="1"/>
    <col min="2059" max="2059" width="14.42578125" style="9" customWidth="1"/>
    <col min="2060" max="2060" width="8.85546875" style="9"/>
    <col min="2061" max="2061" width="14.28515625" style="9" bestFit="1" customWidth="1"/>
    <col min="2062" max="2062" width="10" style="9" customWidth="1"/>
    <col min="2063" max="2294" width="8.85546875" style="9"/>
    <col min="2295" max="2295" width="1.140625" style="9" customWidth="1"/>
    <col min="2296" max="2296" width="3.28515625" style="9" customWidth="1"/>
    <col min="2297" max="2297" width="2.42578125" style="9" customWidth="1"/>
    <col min="2298" max="2298" width="2.5703125" style="9" customWidth="1"/>
    <col min="2299" max="2299" width="2.85546875" style="9" customWidth="1"/>
    <col min="2300" max="2300" width="3" style="9" customWidth="1"/>
    <col min="2301" max="2301" width="24.7109375" style="9" customWidth="1"/>
    <col min="2302" max="2302" width="7.85546875" style="9" customWidth="1"/>
    <col min="2303" max="2303" width="7.42578125" style="9" customWidth="1"/>
    <col min="2304" max="2304" width="11.140625" style="9" customWidth="1"/>
    <col min="2305" max="2305" width="14.42578125" style="9" customWidth="1"/>
    <col min="2306" max="2306" width="3.42578125" style="9" customWidth="1"/>
    <col min="2307" max="2307" width="3" style="9" customWidth="1"/>
    <col min="2308" max="2308" width="3.28515625" style="9" customWidth="1"/>
    <col min="2309" max="2309" width="3.140625" style="9" customWidth="1"/>
    <col min="2310" max="2310" width="3.42578125" style="9" customWidth="1"/>
    <col min="2311" max="2311" width="24.7109375" style="9" customWidth="1"/>
    <col min="2312" max="2312" width="7.85546875" style="9" customWidth="1"/>
    <col min="2313" max="2313" width="7.28515625" style="9" customWidth="1"/>
    <col min="2314" max="2314" width="11.7109375" style="9" bestFit="1" customWidth="1"/>
    <col min="2315" max="2315" width="14.42578125" style="9" customWidth="1"/>
    <col min="2316" max="2316" width="8.85546875" style="9"/>
    <col min="2317" max="2317" width="14.28515625" style="9" bestFit="1" customWidth="1"/>
    <col min="2318" max="2318" width="10" style="9" customWidth="1"/>
    <col min="2319" max="2550" width="8.85546875" style="9"/>
    <col min="2551" max="2551" width="1.140625" style="9" customWidth="1"/>
    <col min="2552" max="2552" width="3.28515625" style="9" customWidth="1"/>
    <col min="2553" max="2553" width="2.42578125" style="9" customWidth="1"/>
    <col min="2554" max="2554" width="2.5703125" style="9" customWidth="1"/>
    <col min="2555" max="2555" width="2.85546875" style="9" customWidth="1"/>
    <col min="2556" max="2556" width="3" style="9" customWidth="1"/>
    <col min="2557" max="2557" width="24.7109375" style="9" customWidth="1"/>
    <col min="2558" max="2558" width="7.85546875" style="9" customWidth="1"/>
    <col min="2559" max="2559" width="7.42578125" style="9" customWidth="1"/>
    <col min="2560" max="2560" width="11.140625" style="9" customWidth="1"/>
    <col min="2561" max="2561" width="14.42578125" style="9" customWidth="1"/>
    <col min="2562" max="2562" width="3.42578125" style="9" customWidth="1"/>
    <col min="2563" max="2563" width="3" style="9" customWidth="1"/>
    <col min="2564" max="2564" width="3.28515625" style="9" customWidth="1"/>
    <col min="2565" max="2565" width="3.140625" style="9" customWidth="1"/>
    <col min="2566" max="2566" width="3.42578125" style="9" customWidth="1"/>
    <col min="2567" max="2567" width="24.7109375" style="9" customWidth="1"/>
    <col min="2568" max="2568" width="7.85546875" style="9" customWidth="1"/>
    <col min="2569" max="2569" width="7.28515625" style="9" customWidth="1"/>
    <col min="2570" max="2570" width="11.7109375" style="9" bestFit="1" customWidth="1"/>
    <col min="2571" max="2571" width="14.42578125" style="9" customWidth="1"/>
    <col min="2572" max="2572" width="8.85546875" style="9"/>
    <col min="2573" max="2573" width="14.28515625" style="9" bestFit="1" customWidth="1"/>
    <col min="2574" max="2574" width="10" style="9" customWidth="1"/>
    <col min="2575" max="2806" width="8.85546875" style="9"/>
    <col min="2807" max="2807" width="1.140625" style="9" customWidth="1"/>
    <col min="2808" max="2808" width="3.28515625" style="9" customWidth="1"/>
    <col min="2809" max="2809" width="2.42578125" style="9" customWidth="1"/>
    <col min="2810" max="2810" width="2.5703125" style="9" customWidth="1"/>
    <col min="2811" max="2811" width="2.85546875" style="9" customWidth="1"/>
    <col min="2812" max="2812" width="3" style="9" customWidth="1"/>
    <col min="2813" max="2813" width="24.7109375" style="9" customWidth="1"/>
    <col min="2814" max="2814" width="7.85546875" style="9" customWidth="1"/>
    <col min="2815" max="2815" width="7.42578125" style="9" customWidth="1"/>
    <col min="2816" max="2816" width="11.140625" style="9" customWidth="1"/>
    <col min="2817" max="2817" width="14.42578125" style="9" customWidth="1"/>
    <col min="2818" max="2818" width="3.42578125" style="9" customWidth="1"/>
    <col min="2819" max="2819" width="3" style="9" customWidth="1"/>
    <col min="2820" max="2820" width="3.28515625" style="9" customWidth="1"/>
    <col min="2821" max="2821" width="3.140625" style="9" customWidth="1"/>
    <col min="2822" max="2822" width="3.42578125" style="9" customWidth="1"/>
    <col min="2823" max="2823" width="24.7109375" style="9" customWidth="1"/>
    <col min="2824" max="2824" width="7.85546875" style="9" customWidth="1"/>
    <col min="2825" max="2825" width="7.28515625" style="9" customWidth="1"/>
    <col min="2826" max="2826" width="11.7109375" style="9" bestFit="1" customWidth="1"/>
    <col min="2827" max="2827" width="14.42578125" style="9" customWidth="1"/>
    <col min="2828" max="2828" width="8.85546875" style="9"/>
    <col min="2829" max="2829" width="14.28515625" style="9" bestFit="1" customWidth="1"/>
    <col min="2830" max="2830" width="10" style="9" customWidth="1"/>
    <col min="2831" max="3062" width="8.85546875" style="9"/>
    <col min="3063" max="3063" width="1.140625" style="9" customWidth="1"/>
    <col min="3064" max="3064" width="3.28515625" style="9" customWidth="1"/>
    <col min="3065" max="3065" width="2.42578125" style="9" customWidth="1"/>
    <col min="3066" max="3066" width="2.5703125" style="9" customWidth="1"/>
    <col min="3067" max="3067" width="2.85546875" style="9" customWidth="1"/>
    <col min="3068" max="3068" width="3" style="9" customWidth="1"/>
    <col min="3069" max="3069" width="24.7109375" style="9" customWidth="1"/>
    <col min="3070" max="3070" width="7.85546875" style="9" customWidth="1"/>
    <col min="3071" max="3071" width="7.42578125" style="9" customWidth="1"/>
    <col min="3072" max="3072" width="11.140625" style="9" customWidth="1"/>
    <col min="3073" max="3073" width="14.42578125" style="9" customWidth="1"/>
    <col min="3074" max="3074" width="3.42578125" style="9" customWidth="1"/>
    <col min="3075" max="3075" width="3" style="9" customWidth="1"/>
    <col min="3076" max="3076" width="3.28515625" style="9" customWidth="1"/>
    <col min="3077" max="3077" width="3.140625" style="9" customWidth="1"/>
    <col min="3078" max="3078" width="3.42578125" style="9" customWidth="1"/>
    <col min="3079" max="3079" width="24.7109375" style="9" customWidth="1"/>
    <col min="3080" max="3080" width="7.85546875" style="9" customWidth="1"/>
    <col min="3081" max="3081" width="7.28515625" style="9" customWidth="1"/>
    <col min="3082" max="3082" width="11.7109375" style="9" bestFit="1" customWidth="1"/>
    <col min="3083" max="3083" width="14.42578125" style="9" customWidth="1"/>
    <col min="3084" max="3084" width="8.85546875" style="9"/>
    <col min="3085" max="3085" width="14.28515625" style="9" bestFit="1" customWidth="1"/>
    <col min="3086" max="3086" width="10" style="9" customWidth="1"/>
    <col min="3087" max="3318" width="8.85546875" style="9"/>
    <col min="3319" max="3319" width="1.140625" style="9" customWidth="1"/>
    <col min="3320" max="3320" width="3.28515625" style="9" customWidth="1"/>
    <col min="3321" max="3321" width="2.42578125" style="9" customWidth="1"/>
    <col min="3322" max="3322" width="2.5703125" style="9" customWidth="1"/>
    <col min="3323" max="3323" width="2.85546875" style="9" customWidth="1"/>
    <col min="3324" max="3324" width="3" style="9" customWidth="1"/>
    <col min="3325" max="3325" width="24.7109375" style="9" customWidth="1"/>
    <col min="3326" max="3326" width="7.85546875" style="9" customWidth="1"/>
    <col min="3327" max="3327" width="7.42578125" style="9" customWidth="1"/>
    <col min="3328" max="3328" width="11.140625" style="9" customWidth="1"/>
    <col min="3329" max="3329" width="14.42578125" style="9" customWidth="1"/>
    <col min="3330" max="3330" width="3.42578125" style="9" customWidth="1"/>
    <col min="3331" max="3331" width="3" style="9" customWidth="1"/>
    <col min="3332" max="3332" width="3.28515625" style="9" customWidth="1"/>
    <col min="3333" max="3333" width="3.140625" style="9" customWidth="1"/>
    <col min="3334" max="3334" width="3.42578125" style="9" customWidth="1"/>
    <col min="3335" max="3335" width="24.7109375" style="9" customWidth="1"/>
    <col min="3336" max="3336" width="7.85546875" style="9" customWidth="1"/>
    <col min="3337" max="3337" width="7.28515625" style="9" customWidth="1"/>
    <col min="3338" max="3338" width="11.7109375" style="9" bestFit="1" customWidth="1"/>
    <col min="3339" max="3339" width="14.42578125" style="9" customWidth="1"/>
    <col min="3340" max="3340" width="8.85546875" style="9"/>
    <col min="3341" max="3341" width="14.28515625" style="9" bestFit="1" customWidth="1"/>
    <col min="3342" max="3342" width="10" style="9" customWidth="1"/>
    <col min="3343" max="3574" width="8.85546875" style="9"/>
    <col min="3575" max="3575" width="1.140625" style="9" customWidth="1"/>
    <col min="3576" max="3576" width="3.28515625" style="9" customWidth="1"/>
    <col min="3577" max="3577" width="2.42578125" style="9" customWidth="1"/>
    <col min="3578" max="3578" width="2.5703125" style="9" customWidth="1"/>
    <col min="3579" max="3579" width="2.85546875" style="9" customWidth="1"/>
    <col min="3580" max="3580" width="3" style="9" customWidth="1"/>
    <col min="3581" max="3581" width="24.7109375" style="9" customWidth="1"/>
    <col min="3582" max="3582" width="7.85546875" style="9" customWidth="1"/>
    <col min="3583" max="3583" width="7.42578125" style="9" customWidth="1"/>
    <col min="3584" max="3584" width="11.140625" style="9" customWidth="1"/>
    <col min="3585" max="3585" width="14.42578125" style="9" customWidth="1"/>
    <col min="3586" max="3586" width="3.42578125" style="9" customWidth="1"/>
    <col min="3587" max="3587" width="3" style="9" customWidth="1"/>
    <col min="3588" max="3588" width="3.28515625" style="9" customWidth="1"/>
    <col min="3589" max="3589" width="3.140625" style="9" customWidth="1"/>
    <col min="3590" max="3590" width="3.42578125" style="9" customWidth="1"/>
    <col min="3591" max="3591" width="24.7109375" style="9" customWidth="1"/>
    <col min="3592" max="3592" width="7.85546875" style="9" customWidth="1"/>
    <col min="3593" max="3593" width="7.28515625" style="9" customWidth="1"/>
    <col min="3594" max="3594" width="11.7109375" style="9" bestFit="1" customWidth="1"/>
    <col min="3595" max="3595" width="14.42578125" style="9" customWidth="1"/>
    <col min="3596" max="3596" width="8.85546875" style="9"/>
    <col min="3597" max="3597" width="14.28515625" style="9" bestFit="1" customWidth="1"/>
    <col min="3598" max="3598" width="10" style="9" customWidth="1"/>
    <col min="3599" max="3830" width="8.85546875" style="9"/>
    <col min="3831" max="3831" width="1.140625" style="9" customWidth="1"/>
    <col min="3832" max="3832" width="3.28515625" style="9" customWidth="1"/>
    <col min="3833" max="3833" width="2.42578125" style="9" customWidth="1"/>
    <col min="3834" max="3834" width="2.5703125" style="9" customWidth="1"/>
    <col min="3835" max="3835" width="2.85546875" style="9" customWidth="1"/>
    <col min="3836" max="3836" width="3" style="9" customWidth="1"/>
    <col min="3837" max="3837" width="24.7109375" style="9" customWidth="1"/>
    <col min="3838" max="3838" width="7.85546875" style="9" customWidth="1"/>
    <col min="3839" max="3839" width="7.42578125" style="9" customWidth="1"/>
    <col min="3840" max="3840" width="11.140625" style="9" customWidth="1"/>
    <col min="3841" max="3841" width="14.42578125" style="9" customWidth="1"/>
    <col min="3842" max="3842" width="3.42578125" style="9" customWidth="1"/>
    <col min="3843" max="3843" width="3" style="9" customWidth="1"/>
    <col min="3844" max="3844" width="3.28515625" style="9" customWidth="1"/>
    <col min="3845" max="3845" width="3.140625" style="9" customWidth="1"/>
    <col min="3846" max="3846" width="3.42578125" style="9" customWidth="1"/>
    <col min="3847" max="3847" width="24.7109375" style="9" customWidth="1"/>
    <col min="3848" max="3848" width="7.85546875" style="9" customWidth="1"/>
    <col min="3849" max="3849" width="7.28515625" style="9" customWidth="1"/>
    <col min="3850" max="3850" width="11.7109375" style="9" bestFit="1" customWidth="1"/>
    <col min="3851" max="3851" width="14.42578125" style="9" customWidth="1"/>
    <col min="3852" max="3852" width="8.85546875" style="9"/>
    <col min="3853" max="3853" width="14.28515625" style="9" bestFit="1" customWidth="1"/>
    <col min="3854" max="3854" width="10" style="9" customWidth="1"/>
    <col min="3855" max="4086" width="8.85546875" style="9"/>
    <col min="4087" max="4087" width="1.140625" style="9" customWidth="1"/>
    <col min="4088" max="4088" width="3.28515625" style="9" customWidth="1"/>
    <col min="4089" max="4089" width="2.42578125" style="9" customWidth="1"/>
    <col min="4090" max="4090" width="2.5703125" style="9" customWidth="1"/>
    <col min="4091" max="4091" width="2.85546875" style="9" customWidth="1"/>
    <col min="4092" max="4092" width="3" style="9" customWidth="1"/>
    <col min="4093" max="4093" width="24.7109375" style="9" customWidth="1"/>
    <col min="4094" max="4094" width="7.85546875" style="9" customWidth="1"/>
    <col min="4095" max="4095" width="7.42578125" style="9" customWidth="1"/>
    <col min="4096" max="4096" width="11.140625" style="9" customWidth="1"/>
    <col min="4097" max="4097" width="14.42578125" style="9" customWidth="1"/>
    <col min="4098" max="4098" width="3.42578125" style="9" customWidth="1"/>
    <col min="4099" max="4099" width="3" style="9" customWidth="1"/>
    <col min="4100" max="4100" width="3.28515625" style="9" customWidth="1"/>
    <col min="4101" max="4101" width="3.140625" style="9" customWidth="1"/>
    <col min="4102" max="4102" width="3.42578125" style="9" customWidth="1"/>
    <col min="4103" max="4103" width="24.7109375" style="9" customWidth="1"/>
    <col min="4104" max="4104" width="7.85546875" style="9" customWidth="1"/>
    <col min="4105" max="4105" width="7.28515625" style="9" customWidth="1"/>
    <col min="4106" max="4106" width="11.7109375" style="9" bestFit="1" customWidth="1"/>
    <col min="4107" max="4107" width="14.42578125" style="9" customWidth="1"/>
    <col min="4108" max="4108" width="8.85546875" style="9"/>
    <col min="4109" max="4109" width="14.28515625" style="9" bestFit="1" customWidth="1"/>
    <col min="4110" max="4110" width="10" style="9" customWidth="1"/>
    <col min="4111" max="4342" width="8.85546875" style="9"/>
    <col min="4343" max="4343" width="1.140625" style="9" customWidth="1"/>
    <col min="4344" max="4344" width="3.28515625" style="9" customWidth="1"/>
    <col min="4345" max="4345" width="2.42578125" style="9" customWidth="1"/>
    <col min="4346" max="4346" width="2.5703125" style="9" customWidth="1"/>
    <col min="4347" max="4347" width="2.85546875" style="9" customWidth="1"/>
    <col min="4348" max="4348" width="3" style="9" customWidth="1"/>
    <col min="4349" max="4349" width="24.7109375" style="9" customWidth="1"/>
    <col min="4350" max="4350" width="7.85546875" style="9" customWidth="1"/>
    <col min="4351" max="4351" width="7.42578125" style="9" customWidth="1"/>
    <col min="4352" max="4352" width="11.140625" style="9" customWidth="1"/>
    <col min="4353" max="4353" width="14.42578125" style="9" customWidth="1"/>
    <col min="4354" max="4354" width="3.42578125" style="9" customWidth="1"/>
    <col min="4355" max="4355" width="3" style="9" customWidth="1"/>
    <col min="4356" max="4356" width="3.28515625" style="9" customWidth="1"/>
    <col min="4357" max="4357" width="3.140625" style="9" customWidth="1"/>
    <col min="4358" max="4358" width="3.42578125" style="9" customWidth="1"/>
    <col min="4359" max="4359" width="24.7109375" style="9" customWidth="1"/>
    <col min="4360" max="4360" width="7.85546875" style="9" customWidth="1"/>
    <col min="4361" max="4361" width="7.28515625" style="9" customWidth="1"/>
    <col min="4362" max="4362" width="11.7109375" style="9" bestFit="1" customWidth="1"/>
    <col min="4363" max="4363" width="14.42578125" style="9" customWidth="1"/>
    <col min="4364" max="4364" width="8.85546875" style="9"/>
    <col min="4365" max="4365" width="14.28515625" style="9" bestFit="1" customWidth="1"/>
    <col min="4366" max="4366" width="10" style="9" customWidth="1"/>
    <col min="4367" max="4598" width="8.85546875" style="9"/>
    <col min="4599" max="4599" width="1.140625" style="9" customWidth="1"/>
    <col min="4600" max="4600" width="3.28515625" style="9" customWidth="1"/>
    <col min="4601" max="4601" width="2.42578125" style="9" customWidth="1"/>
    <col min="4602" max="4602" width="2.5703125" style="9" customWidth="1"/>
    <col min="4603" max="4603" width="2.85546875" style="9" customWidth="1"/>
    <col min="4604" max="4604" width="3" style="9" customWidth="1"/>
    <col min="4605" max="4605" width="24.7109375" style="9" customWidth="1"/>
    <col min="4606" max="4606" width="7.85546875" style="9" customWidth="1"/>
    <col min="4607" max="4607" width="7.42578125" style="9" customWidth="1"/>
    <col min="4608" max="4608" width="11.140625" style="9" customWidth="1"/>
    <col min="4609" max="4609" width="14.42578125" style="9" customWidth="1"/>
    <col min="4610" max="4610" width="3.42578125" style="9" customWidth="1"/>
    <col min="4611" max="4611" width="3" style="9" customWidth="1"/>
    <col min="4612" max="4612" width="3.28515625" style="9" customWidth="1"/>
    <col min="4613" max="4613" width="3.140625" style="9" customWidth="1"/>
    <col min="4614" max="4614" width="3.42578125" style="9" customWidth="1"/>
    <col min="4615" max="4615" width="24.7109375" style="9" customWidth="1"/>
    <col min="4616" max="4616" width="7.85546875" style="9" customWidth="1"/>
    <col min="4617" max="4617" width="7.28515625" style="9" customWidth="1"/>
    <col min="4618" max="4618" width="11.7109375" style="9" bestFit="1" customWidth="1"/>
    <col min="4619" max="4619" width="14.42578125" style="9" customWidth="1"/>
    <col min="4620" max="4620" width="8.85546875" style="9"/>
    <col min="4621" max="4621" width="14.28515625" style="9" bestFit="1" customWidth="1"/>
    <col min="4622" max="4622" width="10" style="9" customWidth="1"/>
    <col min="4623" max="4854" width="8.85546875" style="9"/>
    <col min="4855" max="4855" width="1.140625" style="9" customWidth="1"/>
    <col min="4856" max="4856" width="3.28515625" style="9" customWidth="1"/>
    <col min="4857" max="4857" width="2.42578125" style="9" customWidth="1"/>
    <col min="4858" max="4858" width="2.5703125" style="9" customWidth="1"/>
    <col min="4859" max="4859" width="2.85546875" style="9" customWidth="1"/>
    <col min="4860" max="4860" width="3" style="9" customWidth="1"/>
    <col min="4861" max="4861" width="24.7109375" style="9" customWidth="1"/>
    <col min="4862" max="4862" width="7.85546875" style="9" customWidth="1"/>
    <col min="4863" max="4863" width="7.42578125" style="9" customWidth="1"/>
    <col min="4864" max="4864" width="11.140625" style="9" customWidth="1"/>
    <col min="4865" max="4865" width="14.42578125" style="9" customWidth="1"/>
    <col min="4866" max="4866" width="3.42578125" style="9" customWidth="1"/>
    <col min="4867" max="4867" width="3" style="9" customWidth="1"/>
    <col min="4868" max="4868" width="3.28515625" style="9" customWidth="1"/>
    <col min="4869" max="4869" width="3.140625" style="9" customWidth="1"/>
    <col min="4870" max="4870" width="3.42578125" style="9" customWidth="1"/>
    <col min="4871" max="4871" width="24.7109375" style="9" customWidth="1"/>
    <col min="4872" max="4872" width="7.85546875" style="9" customWidth="1"/>
    <col min="4873" max="4873" width="7.28515625" style="9" customWidth="1"/>
    <col min="4874" max="4874" width="11.7109375" style="9" bestFit="1" customWidth="1"/>
    <col min="4875" max="4875" width="14.42578125" style="9" customWidth="1"/>
    <col min="4876" max="4876" width="8.85546875" style="9"/>
    <col min="4877" max="4877" width="14.28515625" style="9" bestFit="1" customWidth="1"/>
    <col min="4878" max="4878" width="10" style="9" customWidth="1"/>
    <col min="4879" max="5110" width="8.85546875" style="9"/>
    <col min="5111" max="5111" width="1.140625" style="9" customWidth="1"/>
    <col min="5112" max="5112" width="3.28515625" style="9" customWidth="1"/>
    <col min="5113" max="5113" width="2.42578125" style="9" customWidth="1"/>
    <col min="5114" max="5114" width="2.5703125" style="9" customWidth="1"/>
    <col min="5115" max="5115" width="2.85546875" style="9" customWidth="1"/>
    <col min="5116" max="5116" width="3" style="9" customWidth="1"/>
    <col min="5117" max="5117" width="24.7109375" style="9" customWidth="1"/>
    <col min="5118" max="5118" width="7.85546875" style="9" customWidth="1"/>
    <col min="5119" max="5119" width="7.42578125" style="9" customWidth="1"/>
    <col min="5120" max="5120" width="11.140625" style="9" customWidth="1"/>
    <col min="5121" max="5121" width="14.42578125" style="9" customWidth="1"/>
    <col min="5122" max="5122" width="3.42578125" style="9" customWidth="1"/>
    <col min="5123" max="5123" width="3" style="9" customWidth="1"/>
    <col min="5124" max="5124" width="3.28515625" style="9" customWidth="1"/>
    <col min="5125" max="5125" width="3.140625" style="9" customWidth="1"/>
    <col min="5126" max="5126" width="3.42578125" style="9" customWidth="1"/>
    <col min="5127" max="5127" width="24.7109375" style="9" customWidth="1"/>
    <col min="5128" max="5128" width="7.85546875" style="9" customWidth="1"/>
    <col min="5129" max="5129" width="7.28515625" style="9" customWidth="1"/>
    <col min="5130" max="5130" width="11.7109375" style="9" bestFit="1" customWidth="1"/>
    <col min="5131" max="5131" width="14.42578125" style="9" customWidth="1"/>
    <col min="5132" max="5132" width="8.85546875" style="9"/>
    <col min="5133" max="5133" width="14.28515625" style="9" bestFit="1" customWidth="1"/>
    <col min="5134" max="5134" width="10" style="9" customWidth="1"/>
    <col min="5135" max="5366" width="8.85546875" style="9"/>
    <col min="5367" max="5367" width="1.140625" style="9" customWidth="1"/>
    <col min="5368" max="5368" width="3.28515625" style="9" customWidth="1"/>
    <col min="5369" max="5369" width="2.42578125" style="9" customWidth="1"/>
    <col min="5370" max="5370" width="2.5703125" style="9" customWidth="1"/>
    <col min="5371" max="5371" width="2.85546875" style="9" customWidth="1"/>
    <col min="5372" max="5372" width="3" style="9" customWidth="1"/>
    <col min="5373" max="5373" width="24.7109375" style="9" customWidth="1"/>
    <col min="5374" max="5374" width="7.85546875" style="9" customWidth="1"/>
    <col min="5375" max="5375" width="7.42578125" style="9" customWidth="1"/>
    <col min="5376" max="5376" width="11.140625" style="9" customWidth="1"/>
    <col min="5377" max="5377" width="14.42578125" style="9" customWidth="1"/>
    <col min="5378" max="5378" width="3.42578125" style="9" customWidth="1"/>
    <col min="5379" max="5379" width="3" style="9" customWidth="1"/>
    <col min="5380" max="5380" width="3.28515625" style="9" customWidth="1"/>
    <col min="5381" max="5381" width="3.140625" style="9" customWidth="1"/>
    <col min="5382" max="5382" width="3.42578125" style="9" customWidth="1"/>
    <col min="5383" max="5383" width="24.7109375" style="9" customWidth="1"/>
    <col min="5384" max="5384" width="7.85546875" style="9" customWidth="1"/>
    <col min="5385" max="5385" width="7.28515625" style="9" customWidth="1"/>
    <col min="5386" max="5386" width="11.7109375" style="9" bestFit="1" customWidth="1"/>
    <col min="5387" max="5387" width="14.42578125" style="9" customWidth="1"/>
    <col min="5388" max="5388" width="8.85546875" style="9"/>
    <col min="5389" max="5389" width="14.28515625" style="9" bestFit="1" customWidth="1"/>
    <col min="5390" max="5390" width="10" style="9" customWidth="1"/>
    <col min="5391" max="5622" width="8.85546875" style="9"/>
    <col min="5623" max="5623" width="1.140625" style="9" customWidth="1"/>
    <col min="5624" max="5624" width="3.28515625" style="9" customWidth="1"/>
    <col min="5625" max="5625" width="2.42578125" style="9" customWidth="1"/>
    <col min="5626" max="5626" width="2.5703125" style="9" customWidth="1"/>
    <col min="5627" max="5627" width="2.85546875" style="9" customWidth="1"/>
    <col min="5628" max="5628" width="3" style="9" customWidth="1"/>
    <col min="5629" max="5629" width="24.7109375" style="9" customWidth="1"/>
    <col min="5630" max="5630" width="7.85546875" style="9" customWidth="1"/>
    <col min="5631" max="5631" width="7.42578125" style="9" customWidth="1"/>
    <col min="5632" max="5632" width="11.140625" style="9" customWidth="1"/>
    <col min="5633" max="5633" width="14.42578125" style="9" customWidth="1"/>
    <col min="5634" max="5634" width="3.42578125" style="9" customWidth="1"/>
    <col min="5635" max="5635" width="3" style="9" customWidth="1"/>
    <col min="5636" max="5636" width="3.28515625" style="9" customWidth="1"/>
    <col min="5637" max="5637" width="3.140625" style="9" customWidth="1"/>
    <col min="5638" max="5638" width="3.42578125" style="9" customWidth="1"/>
    <col min="5639" max="5639" width="24.7109375" style="9" customWidth="1"/>
    <col min="5640" max="5640" width="7.85546875" style="9" customWidth="1"/>
    <col min="5641" max="5641" width="7.28515625" style="9" customWidth="1"/>
    <col min="5642" max="5642" width="11.7109375" style="9" bestFit="1" customWidth="1"/>
    <col min="5643" max="5643" width="14.42578125" style="9" customWidth="1"/>
    <col min="5644" max="5644" width="8.85546875" style="9"/>
    <col min="5645" max="5645" width="14.28515625" style="9" bestFit="1" customWidth="1"/>
    <col min="5646" max="5646" width="10" style="9" customWidth="1"/>
    <col min="5647" max="5878" width="8.85546875" style="9"/>
    <col min="5879" max="5879" width="1.140625" style="9" customWidth="1"/>
    <col min="5880" max="5880" width="3.28515625" style="9" customWidth="1"/>
    <col min="5881" max="5881" width="2.42578125" style="9" customWidth="1"/>
    <col min="5882" max="5882" width="2.5703125" style="9" customWidth="1"/>
    <col min="5883" max="5883" width="2.85546875" style="9" customWidth="1"/>
    <col min="5884" max="5884" width="3" style="9" customWidth="1"/>
    <col min="5885" max="5885" width="24.7109375" style="9" customWidth="1"/>
    <col min="5886" max="5886" width="7.85546875" style="9" customWidth="1"/>
    <col min="5887" max="5887" width="7.42578125" style="9" customWidth="1"/>
    <col min="5888" max="5888" width="11.140625" style="9" customWidth="1"/>
    <col min="5889" max="5889" width="14.42578125" style="9" customWidth="1"/>
    <col min="5890" max="5890" width="3.42578125" style="9" customWidth="1"/>
    <col min="5891" max="5891" width="3" style="9" customWidth="1"/>
    <col min="5892" max="5892" width="3.28515625" style="9" customWidth="1"/>
    <col min="5893" max="5893" width="3.140625" style="9" customWidth="1"/>
    <col min="5894" max="5894" width="3.42578125" style="9" customWidth="1"/>
    <col min="5895" max="5895" width="24.7109375" style="9" customWidth="1"/>
    <col min="5896" max="5896" width="7.85546875" style="9" customWidth="1"/>
    <col min="5897" max="5897" width="7.28515625" style="9" customWidth="1"/>
    <col min="5898" max="5898" width="11.7109375" style="9" bestFit="1" customWidth="1"/>
    <col min="5899" max="5899" width="14.42578125" style="9" customWidth="1"/>
    <col min="5900" max="5900" width="8.85546875" style="9"/>
    <col min="5901" max="5901" width="14.28515625" style="9" bestFit="1" customWidth="1"/>
    <col min="5902" max="5902" width="10" style="9" customWidth="1"/>
    <col min="5903" max="6134" width="8.85546875" style="9"/>
    <col min="6135" max="6135" width="1.140625" style="9" customWidth="1"/>
    <col min="6136" max="6136" width="3.28515625" style="9" customWidth="1"/>
    <col min="6137" max="6137" width="2.42578125" style="9" customWidth="1"/>
    <col min="6138" max="6138" width="2.5703125" style="9" customWidth="1"/>
    <col min="6139" max="6139" width="2.85546875" style="9" customWidth="1"/>
    <col min="6140" max="6140" width="3" style="9" customWidth="1"/>
    <col min="6141" max="6141" width="24.7109375" style="9" customWidth="1"/>
    <col min="6142" max="6142" width="7.85546875" style="9" customWidth="1"/>
    <col min="6143" max="6143" width="7.42578125" style="9" customWidth="1"/>
    <col min="6144" max="6144" width="11.140625" style="9" customWidth="1"/>
    <col min="6145" max="6145" width="14.42578125" style="9" customWidth="1"/>
    <col min="6146" max="6146" width="3.42578125" style="9" customWidth="1"/>
    <col min="6147" max="6147" width="3" style="9" customWidth="1"/>
    <col min="6148" max="6148" width="3.28515625" style="9" customWidth="1"/>
    <col min="6149" max="6149" width="3.140625" style="9" customWidth="1"/>
    <col min="6150" max="6150" width="3.42578125" style="9" customWidth="1"/>
    <col min="6151" max="6151" width="24.7109375" style="9" customWidth="1"/>
    <col min="6152" max="6152" width="7.85546875" style="9" customWidth="1"/>
    <col min="6153" max="6153" width="7.28515625" style="9" customWidth="1"/>
    <col min="6154" max="6154" width="11.7109375" style="9" bestFit="1" customWidth="1"/>
    <col min="6155" max="6155" width="14.42578125" style="9" customWidth="1"/>
    <col min="6156" max="6156" width="8.85546875" style="9"/>
    <col min="6157" max="6157" width="14.28515625" style="9" bestFit="1" customWidth="1"/>
    <col min="6158" max="6158" width="10" style="9" customWidth="1"/>
    <col min="6159" max="6390" width="8.85546875" style="9"/>
    <col min="6391" max="6391" width="1.140625" style="9" customWidth="1"/>
    <col min="6392" max="6392" width="3.28515625" style="9" customWidth="1"/>
    <col min="6393" max="6393" width="2.42578125" style="9" customWidth="1"/>
    <col min="6394" max="6394" width="2.5703125" style="9" customWidth="1"/>
    <col min="6395" max="6395" width="2.85546875" style="9" customWidth="1"/>
    <col min="6396" max="6396" width="3" style="9" customWidth="1"/>
    <col min="6397" max="6397" width="24.7109375" style="9" customWidth="1"/>
    <col min="6398" max="6398" width="7.85546875" style="9" customWidth="1"/>
    <col min="6399" max="6399" width="7.42578125" style="9" customWidth="1"/>
    <col min="6400" max="6400" width="11.140625" style="9" customWidth="1"/>
    <col min="6401" max="6401" width="14.42578125" style="9" customWidth="1"/>
    <col min="6402" max="6402" width="3.42578125" style="9" customWidth="1"/>
    <col min="6403" max="6403" width="3" style="9" customWidth="1"/>
    <col min="6404" max="6404" width="3.28515625" style="9" customWidth="1"/>
    <col min="6405" max="6405" width="3.140625" style="9" customWidth="1"/>
    <col min="6406" max="6406" width="3.42578125" style="9" customWidth="1"/>
    <col min="6407" max="6407" width="24.7109375" style="9" customWidth="1"/>
    <col min="6408" max="6408" width="7.85546875" style="9" customWidth="1"/>
    <col min="6409" max="6409" width="7.28515625" style="9" customWidth="1"/>
    <col min="6410" max="6410" width="11.7109375" style="9" bestFit="1" customWidth="1"/>
    <col min="6411" max="6411" width="14.42578125" style="9" customWidth="1"/>
    <col min="6412" max="6412" width="8.85546875" style="9"/>
    <col min="6413" max="6413" width="14.28515625" style="9" bestFit="1" customWidth="1"/>
    <col min="6414" max="6414" width="10" style="9" customWidth="1"/>
    <col min="6415" max="6646" width="8.85546875" style="9"/>
    <col min="6647" max="6647" width="1.140625" style="9" customWidth="1"/>
    <col min="6648" max="6648" width="3.28515625" style="9" customWidth="1"/>
    <col min="6649" max="6649" width="2.42578125" style="9" customWidth="1"/>
    <col min="6650" max="6650" width="2.5703125" style="9" customWidth="1"/>
    <col min="6651" max="6651" width="2.85546875" style="9" customWidth="1"/>
    <col min="6652" max="6652" width="3" style="9" customWidth="1"/>
    <col min="6653" max="6653" width="24.7109375" style="9" customWidth="1"/>
    <col min="6654" max="6654" width="7.85546875" style="9" customWidth="1"/>
    <col min="6655" max="6655" width="7.42578125" style="9" customWidth="1"/>
    <col min="6656" max="6656" width="11.140625" style="9" customWidth="1"/>
    <col min="6657" max="6657" width="14.42578125" style="9" customWidth="1"/>
    <col min="6658" max="6658" width="3.42578125" style="9" customWidth="1"/>
    <col min="6659" max="6659" width="3" style="9" customWidth="1"/>
    <col min="6660" max="6660" width="3.28515625" style="9" customWidth="1"/>
    <col min="6661" max="6661" width="3.140625" style="9" customWidth="1"/>
    <col min="6662" max="6662" width="3.42578125" style="9" customWidth="1"/>
    <col min="6663" max="6663" width="24.7109375" style="9" customWidth="1"/>
    <col min="6664" max="6664" width="7.85546875" style="9" customWidth="1"/>
    <col min="6665" max="6665" width="7.28515625" style="9" customWidth="1"/>
    <col min="6666" max="6666" width="11.7109375" style="9" bestFit="1" customWidth="1"/>
    <col min="6667" max="6667" width="14.42578125" style="9" customWidth="1"/>
    <col min="6668" max="6668" width="8.85546875" style="9"/>
    <col min="6669" max="6669" width="14.28515625" style="9" bestFit="1" customWidth="1"/>
    <col min="6670" max="6670" width="10" style="9" customWidth="1"/>
    <col min="6671" max="6902" width="8.85546875" style="9"/>
    <col min="6903" max="6903" width="1.140625" style="9" customWidth="1"/>
    <col min="6904" max="6904" width="3.28515625" style="9" customWidth="1"/>
    <col min="6905" max="6905" width="2.42578125" style="9" customWidth="1"/>
    <col min="6906" max="6906" width="2.5703125" style="9" customWidth="1"/>
    <col min="6907" max="6907" width="2.85546875" style="9" customWidth="1"/>
    <col min="6908" max="6908" width="3" style="9" customWidth="1"/>
    <col min="6909" max="6909" width="24.7109375" style="9" customWidth="1"/>
    <col min="6910" max="6910" width="7.85546875" style="9" customWidth="1"/>
    <col min="6911" max="6911" width="7.42578125" style="9" customWidth="1"/>
    <col min="6912" max="6912" width="11.140625" style="9" customWidth="1"/>
    <col min="6913" max="6913" width="14.42578125" style="9" customWidth="1"/>
    <col min="6914" max="6914" width="3.42578125" style="9" customWidth="1"/>
    <col min="6915" max="6915" width="3" style="9" customWidth="1"/>
    <col min="6916" max="6916" width="3.28515625" style="9" customWidth="1"/>
    <col min="6917" max="6917" width="3.140625" style="9" customWidth="1"/>
    <col min="6918" max="6918" width="3.42578125" style="9" customWidth="1"/>
    <col min="6919" max="6919" width="24.7109375" style="9" customWidth="1"/>
    <col min="6920" max="6920" width="7.85546875" style="9" customWidth="1"/>
    <col min="6921" max="6921" width="7.28515625" style="9" customWidth="1"/>
    <col min="6922" max="6922" width="11.7109375" style="9" bestFit="1" customWidth="1"/>
    <col min="6923" max="6923" width="14.42578125" style="9" customWidth="1"/>
    <col min="6924" max="6924" width="8.85546875" style="9"/>
    <col min="6925" max="6925" width="14.28515625" style="9" bestFit="1" customWidth="1"/>
    <col min="6926" max="6926" width="10" style="9" customWidth="1"/>
    <col min="6927" max="7158" width="8.85546875" style="9"/>
    <col min="7159" max="7159" width="1.140625" style="9" customWidth="1"/>
    <col min="7160" max="7160" width="3.28515625" style="9" customWidth="1"/>
    <col min="7161" max="7161" width="2.42578125" style="9" customWidth="1"/>
    <col min="7162" max="7162" width="2.5703125" style="9" customWidth="1"/>
    <col min="7163" max="7163" width="2.85546875" style="9" customWidth="1"/>
    <col min="7164" max="7164" width="3" style="9" customWidth="1"/>
    <col min="7165" max="7165" width="24.7109375" style="9" customWidth="1"/>
    <col min="7166" max="7166" width="7.85546875" style="9" customWidth="1"/>
    <col min="7167" max="7167" width="7.42578125" style="9" customWidth="1"/>
    <col min="7168" max="7168" width="11.140625" style="9" customWidth="1"/>
    <col min="7169" max="7169" width="14.42578125" style="9" customWidth="1"/>
    <col min="7170" max="7170" width="3.42578125" style="9" customWidth="1"/>
    <col min="7171" max="7171" width="3" style="9" customWidth="1"/>
    <col min="7172" max="7172" width="3.28515625" style="9" customWidth="1"/>
    <col min="7173" max="7173" width="3.140625" style="9" customWidth="1"/>
    <col min="7174" max="7174" width="3.42578125" style="9" customWidth="1"/>
    <col min="7175" max="7175" width="24.7109375" style="9" customWidth="1"/>
    <col min="7176" max="7176" width="7.85546875" style="9" customWidth="1"/>
    <col min="7177" max="7177" width="7.28515625" style="9" customWidth="1"/>
    <col min="7178" max="7178" width="11.7109375" style="9" bestFit="1" customWidth="1"/>
    <col min="7179" max="7179" width="14.42578125" style="9" customWidth="1"/>
    <col min="7180" max="7180" width="8.85546875" style="9"/>
    <col min="7181" max="7181" width="14.28515625" style="9" bestFit="1" customWidth="1"/>
    <col min="7182" max="7182" width="10" style="9" customWidth="1"/>
    <col min="7183" max="7414" width="8.85546875" style="9"/>
    <col min="7415" max="7415" width="1.140625" style="9" customWidth="1"/>
    <col min="7416" max="7416" width="3.28515625" style="9" customWidth="1"/>
    <col min="7417" max="7417" width="2.42578125" style="9" customWidth="1"/>
    <col min="7418" max="7418" width="2.5703125" style="9" customWidth="1"/>
    <col min="7419" max="7419" width="2.85546875" style="9" customWidth="1"/>
    <col min="7420" max="7420" width="3" style="9" customWidth="1"/>
    <col min="7421" max="7421" width="24.7109375" style="9" customWidth="1"/>
    <col min="7422" max="7422" width="7.85546875" style="9" customWidth="1"/>
    <col min="7423" max="7423" width="7.42578125" style="9" customWidth="1"/>
    <col min="7424" max="7424" width="11.140625" style="9" customWidth="1"/>
    <col min="7425" max="7425" width="14.42578125" style="9" customWidth="1"/>
    <col min="7426" max="7426" width="3.42578125" style="9" customWidth="1"/>
    <col min="7427" max="7427" width="3" style="9" customWidth="1"/>
    <col min="7428" max="7428" width="3.28515625" style="9" customWidth="1"/>
    <col min="7429" max="7429" width="3.140625" style="9" customWidth="1"/>
    <col min="7430" max="7430" width="3.42578125" style="9" customWidth="1"/>
    <col min="7431" max="7431" width="24.7109375" style="9" customWidth="1"/>
    <col min="7432" max="7432" width="7.85546875" style="9" customWidth="1"/>
    <col min="7433" max="7433" width="7.28515625" style="9" customWidth="1"/>
    <col min="7434" max="7434" width="11.7109375" style="9" bestFit="1" customWidth="1"/>
    <col min="7435" max="7435" width="14.42578125" style="9" customWidth="1"/>
    <col min="7436" max="7436" width="8.85546875" style="9"/>
    <col min="7437" max="7437" width="14.28515625" style="9" bestFit="1" customWidth="1"/>
    <col min="7438" max="7438" width="10" style="9" customWidth="1"/>
    <col min="7439" max="7670" width="8.85546875" style="9"/>
    <col min="7671" max="7671" width="1.140625" style="9" customWidth="1"/>
    <col min="7672" max="7672" width="3.28515625" style="9" customWidth="1"/>
    <col min="7673" max="7673" width="2.42578125" style="9" customWidth="1"/>
    <col min="7674" max="7674" width="2.5703125" style="9" customWidth="1"/>
    <col min="7675" max="7675" width="2.85546875" style="9" customWidth="1"/>
    <col min="7676" max="7676" width="3" style="9" customWidth="1"/>
    <col min="7677" max="7677" width="24.7109375" style="9" customWidth="1"/>
    <col min="7678" max="7678" width="7.85546875" style="9" customWidth="1"/>
    <col min="7679" max="7679" width="7.42578125" style="9" customWidth="1"/>
    <col min="7680" max="7680" width="11.140625" style="9" customWidth="1"/>
    <col min="7681" max="7681" width="14.42578125" style="9" customWidth="1"/>
    <col min="7682" max="7682" width="3.42578125" style="9" customWidth="1"/>
    <col min="7683" max="7683" width="3" style="9" customWidth="1"/>
    <col min="7684" max="7684" width="3.28515625" style="9" customWidth="1"/>
    <col min="7685" max="7685" width="3.140625" style="9" customWidth="1"/>
    <col min="7686" max="7686" width="3.42578125" style="9" customWidth="1"/>
    <col min="7687" max="7687" width="24.7109375" style="9" customWidth="1"/>
    <col min="7688" max="7688" width="7.85546875" style="9" customWidth="1"/>
    <col min="7689" max="7689" width="7.28515625" style="9" customWidth="1"/>
    <col min="7690" max="7690" width="11.7109375" style="9" bestFit="1" customWidth="1"/>
    <col min="7691" max="7691" width="14.42578125" style="9" customWidth="1"/>
    <col min="7692" max="7692" width="8.85546875" style="9"/>
    <col min="7693" max="7693" width="14.28515625" style="9" bestFit="1" customWidth="1"/>
    <col min="7694" max="7694" width="10" style="9" customWidth="1"/>
    <col min="7695" max="7926" width="8.85546875" style="9"/>
    <col min="7927" max="7927" width="1.140625" style="9" customWidth="1"/>
    <col min="7928" max="7928" width="3.28515625" style="9" customWidth="1"/>
    <col min="7929" max="7929" width="2.42578125" style="9" customWidth="1"/>
    <col min="7930" max="7930" width="2.5703125" style="9" customWidth="1"/>
    <col min="7931" max="7931" width="2.85546875" style="9" customWidth="1"/>
    <col min="7932" max="7932" width="3" style="9" customWidth="1"/>
    <col min="7933" max="7933" width="24.7109375" style="9" customWidth="1"/>
    <col min="7934" max="7934" width="7.85546875" style="9" customWidth="1"/>
    <col min="7935" max="7935" width="7.42578125" style="9" customWidth="1"/>
    <col min="7936" max="7936" width="11.140625" style="9" customWidth="1"/>
    <col min="7937" max="7937" width="14.42578125" style="9" customWidth="1"/>
    <col min="7938" max="7938" width="3.42578125" style="9" customWidth="1"/>
    <col min="7939" max="7939" width="3" style="9" customWidth="1"/>
    <col min="7940" max="7940" width="3.28515625" style="9" customWidth="1"/>
    <col min="7941" max="7941" width="3.140625" style="9" customWidth="1"/>
    <col min="7942" max="7942" width="3.42578125" style="9" customWidth="1"/>
    <col min="7943" max="7943" width="24.7109375" style="9" customWidth="1"/>
    <col min="7944" max="7944" width="7.85546875" style="9" customWidth="1"/>
    <col min="7945" max="7945" width="7.28515625" style="9" customWidth="1"/>
    <col min="7946" max="7946" width="11.7109375" style="9" bestFit="1" customWidth="1"/>
    <col min="7947" max="7947" width="14.42578125" style="9" customWidth="1"/>
    <col min="7948" max="7948" width="8.85546875" style="9"/>
    <col min="7949" max="7949" width="14.28515625" style="9" bestFit="1" customWidth="1"/>
    <col min="7950" max="7950" width="10" style="9" customWidth="1"/>
    <col min="7951" max="8182" width="8.85546875" style="9"/>
    <col min="8183" max="8183" width="1.140625" style="9" customWidth="1"/>
    <col min="8184" max="8184" width="3.28515625" style="9" customWidth="1"/>
    <col min="8185" max="8185" width="2.42578125" style="9" customWidth="1"/>
    <col min="8186" max="8186" width="2.5703125" style="9" customWidth="1"/>
    <col min="8187" max="8187" width="2.85546875" style="9" customWidth="1"/>
    <col min="8188" max="8188" width="3" style="9" customWidth="1"/>
    <col min="8189" max="8189" width="24.7109375" style="9" customWidth="1"/>
    <col min="8190" max="8190" width="7.85546875" style="9" customWidth="1"/>
    <col min="8191" max="8191" width="7.42578125" style="9" customWidth="1"/>
    <col min="8192" max="8192" width="11.140625" style="9" customWidth="1"/>
    <col min="8193" max="8193" width="14.42578125" style="9" customWidth="1"/>
    <col min="8194" max="8194" width="3.42578125" style="9" customWidth="1"/>
    <col min="8195" max="8195" width="3" style="9" customWidth="1"/>
    <col min="8196" max="8196" width="3.28515625" style="9" customWidth="1"/>
    <col min="8197" max="8197" width="3.140625" style="9" customWidth="1"/>
    <col min="8198" max="8198" width="3.42578125" style="9" customWidth="1"/>
    <col min="8199" max="8199" width="24.7109375" style="9" customWidth="1"/>
    <col min="8200" max="8200" width="7.85546875" style="9" customWidth="1"/>
    <col min="8201" max="8201" width="7.28515625" style="9" customWidth="1"/>
    <col min="8202" max="8202" width="11.7109375" style="9" bestFit="1" customWidth="1"/>
    <col min="8203" max="8203" width="14.42578125" style="9" customWidth="1"/>
    <col min="8204" max="8204" width="8.85546875" style="9"/>
    <col min="8205" max="8205" width="14.28515625" style="9" bestFit="1" customWidth="1"/>
    <col min="8206" max="8206" width="10" style="9" customWidth="1"/>
    <col min="8207" max="8438" width="8.85546875" style="9"/>
    <col min="8439" max="8439" width="1.140625" style="9" customWidth="1"/>
    <col min="8440" max="8440" width="3.28515625" style="9" customWidth="1"/>
    <col min="8441" max="8441" width="2.42578125" style="9" customWidth="1"/>
    <col min="8442" max="8442" width="2.5703125" style="9" customWidth="1"/>
    <col min="8443" max="8443" width="2.85546875" style="9" customWidth="1"/>
    <col min="8444" max="8444" width="3" style="9" customWidth="1"/>
    <col min="8445" max="8445" width="24.7109375" style="9" customWidth="1"/>
    <col min="8446" max="8446" width="7.85546875" style="9" customWidth="1"/>
    <col min="8447" max="8447" width="7.42578125" style="9" customWidth="1"/>
    <col min="8448" max="8448" width="11.140625" style="9" customWidth="1"/>
    <col min="8449" max="8449" width="14.42578125" style="9" customWidth="1"/>
    <col min="8450" max="8450" width="3.42578125" style="9" customWidth="1"/>
    <col min="8451" max="8451" width="3" style="9" customWidth="1"/>
    <col min="8452" max="8452" width="3.28515625" style="9" customWidth="1"/>
    <col min="8453" max="8453" width="3.140625" style="9" customWidth="1"/>
    <col min="8454" max="8454" width="3.42578125" style="9" customWidth="1"/>
    <col min="8455" max="8455" width="24.7109375" style="9" customWidth="1"/>
    <col min="8456" max="8456" width="7.85546875" style="9" customWidth="1"/>
    <col min="8457" max="8457" width="7.28515625" style="9" customWidth="1"/>
    <col min="8458" max="8458" width="11.7109375" style="9" bestFit="1" customWidth="1"/>
    <col min="8459" max="8459" width="14.42578125" style="9" customWidth="1"/>
    <col min="8460" max="8460" width="8.85546875" style="9"/>
    <col min="8461" max="8461" width="14.28515625" style="9" bestFit="1" customWidth="1"/>
    <col min="8462" max="8462" width="10" style="9" customWidth="1"/>
    <col min="8463" max="8694" width="8.85546875" style="9"/>
    <col min="8695" max="8695" width="1.140625" style="9" customWidth="1"/>
    <col min="8696" max="8696" width="3.28515625" style="9" customWidth="1"/>
    <col min="8697" max="8697" width="2.42578125" style="9" customWidth="1"/>
    <col min="8698" max="8698" width="2.5703125" style="9" customWidth="1"/>
    <col min="8699" max="8699" width="2.85546875" style="9" customWidth="1"/>
    <col min="8700" max="8700" width="3" style="9" customWidth="1"/>
    <col min="8701" max="8701" width="24.7109375" style="9" customWidth="1"/>
    <col min="8702" max="8702" width="7.85546875" style="9" customWidth="1"/>
    <col min="8703" max="8703" width="7.42578125" style="9" customWidth="1"/>
    <col min="8704" max="8704" width="11.140625" style="9" customWidth="1"/>
    <col min="8705" max="8705" width="14.42578125" style="9" customWidth="1"/>
    <col min="8706" max="8706" width="3.42578125" style="9" customWidth="1"/>
    <col min="8707" max="8707" width="3" style="9" customWidth="1"/>
    <col min="8708" max="8708" width="3.28515625" style="9" customWidth="1"/>
    <col min="8709" max="8709" width="3.140625" style="9" customWidth="1"/>
    <col min="8710" max="8710" width="3.42578125" style="9" customWidth="1"/>
    <col min="8711" max="8711" width="24.7109375" style="9" customWidth="1"/>
    <col min="8712" max="8712" width="7.85546875" style="9" customWidth="1"/>
    <col min="8713" max="8713" width="7.28515625" style="9" customWidth="1"/>
    <col min="8714" max="8714" width="11.7109375" style="9" bestFit="1" customWidth="1"/>
    <col min="8715" max="8715" width="14.42578125" style="9" customWidth="1"/>
    <col min="8716" max="8716" width="8.85546875" style="9"/>
    <col min="8717" max="8717" width="14.28515625" style="9" bestFit="1" customWidth="1"/>
    <col min="8718" max="8718" width="10" style="9" customWidth="1"/>
    <col min="8719" max="8950" width="8.85546875" style="9"/>
    <col min="8951" max="8951" width="1.140625" style="9" customWidth="1"/>
    <col min="8952" max="8952" width="3.28515625" style="9" customWidth="1"/>
    <col min="8953" max="8953" width="2.42578125" style="9" customWidth="1"/>
    <col min="8954" max="8954" width="2.5703125" style="9" customWidth="1"/>
    <col min="8955" max="8955" width="2.85546875" style="9" customWidth="1"/>
    <col min="8956" max="8956" width="3" style="9" customWidth="1"/>
    <col min="8957" max="8957" width="24.7109375" style="9" customWidth="1"/>
    <col min="8958" max="8958" width="7.85546875" style="9" customWidth="1"/>
    <col min="8959" max="8959" width="7.42578125" style="9" customWidth="1"/>
    <col min="8960" max="8960" width="11.140625" style="9" customWidth="1"/>
    <col min="8961" max="8961" width="14.42578125" style="9" customWidth="1"/>
    <col min="8962" max="8962" width="3.42578125" style="9" customWidth="1"/>
    <col min="8963" max="8963" width="3" style="9" customWidth="1"/>
    <col min="8964" max="8964" width="3.28515625" style="9" customWidth="1"/>
    <col min="8965" max="8965" width="3.140625" style="9" customWidth="1"/>
    <col min="8966" max="8966" width="3.42578125" style="9" customWidth="1"/>
    <col min="8967" max="8967" width="24.7109375" style="9" customWidth="1"/>
    <col min="8968" max="8968" width="7.85546875" style="9" customWidth="1"/>
    <col min="8969" max="8969" width="7.28515625" style="9" customWidth="1"/>
    <col min="8970" max="8970" width="11.7109375" style="9" bestFit="1" customWidth="1"/>
    <col min="8971" max="8971" width="14.42578125" style="9" customWidth="1"/>
    <col min="8972" max="8972" width="8.85546875" style="9"/>
    <col min="8973" max="8973" width="14.28515625" style="9" bestFit="1" customWidth="1"/>
    <col min="8974" max="8974" width="10" style="9" customWidth="1"/>
    <col min="8975" max="9206" width="8.85546875" style="9"/>
    <col min="9207" max="9207" width="1.140625" style="9" customWidth="1"/>
    <col min="9208" max="9208" width="3.28515625" style="9" customWidth="1"/>
    <col min="9209" max="9209" width="2.42578125" style="9" customWidth="1"/>
    <col min="9210" max="9210" width="2.5703125" style="9" customWidth="1"/>
    <col min="9211" max="9211" width="2.85546875" style="9" customWidth="1"/>
    <col min="9212" max="9212" width="3" style="9" customWidth="1"/>
    <col min="9213" max="9213" width="24.7109375" style="9" customWidth="1"/>
    <col min="9214" max="9214" width="7.85546875" style="9" customWidth="1"/>
    <col min="9215" max="9215" width="7.42578125" style="9" customWidth="1"/>
    <col min="9216" max="9216" width="11.140625" style="9" customWidth="1"/>
    <col min="9217" max="9217" width="14.42578125" style="9" customWidth="1"/>
    <col min="9218" max="9218" width="3.42578125" style="9" customWidth="1"/>
    <col min="9219" max="9219" width="3" style="9" customWidth="1"/>
    <col min="9220" max="9220" width="3.28515625" style="9" customWidth="1"/>
    <col min="9221" max="9221" width="3.140625" style="9" customWidth="1"/>
    <col min="9222" max="9222" width="3.42578125" style="9" customWidth="1"/>
    <col min="9223" max="9223" width="24.7109375" style="9" customWidth="1"/>
    <col min="9224" max="9224" width="7.85546875" style="9" customWidth="1"/>
    <col min="9225" max="9225" width="7.28515625" style="9" customWidth="1"/>
    <col min="9226" max="9226" width="11.7109375" style="9" bestFit="1" customWidth="1"/>
    <col min="9227" max="9227" width="14.42578125" style="9" customWidth="1"/>
    <col min="9228" max="9228" width="8.85546875" style="9"/>
    <col min="9229" max="9229" width="14.28515625" style="9" bestFit="1" customWidth="1"/>
    <col min="9230" max="9230" width="10" style="9" customWidth="1"/>
    <col min="9231" max="9462" width="8.85546875" style="9"/>
    <col min="9463" max="9463" width="1.140625" style="9" customWidth="1"/>
    <col min="9464" max="9464" width="3.28515625" style="9" customWidth="1"/>
    <col min="9465" max="9465" width="2.42578125" style="9" customWidth="1"/>
    <col min="9466" max="9466" width="2.5703125" style="9" customWidth="1"/>
    <col min="9467" max="9467" width="2.85546875" style="9" customWidth="1"/>
    <col min="9468" max="9468" width="3" style="9" customWidth="1"/>
    <col min="9469" max="9469" width="24.7109375" style="9" customWidth="1"/>
    <col min="9470" max="9470" width="7.85546875" style="9" customWidth="1"/>
    <col min="9471" max="9471" width="7.42578125" style="9" customWidth="1"/>
    <col min="9472" max="9472" width="11.140625" style="9" customWidth="1"/>
    <col min="9473" max="9473" width="14.42578125" style="9" customWidth="1"/>
    <col min="9474" max="9474" width="3.42578125" style="9" customWidth="1"/>
    <col min="9475" max="9475" width="3" style="9" customWidth="1"/>
    <col min="9476" max="9476" width="3.28515625" style="9" customWidth="1"/>
    <col min="9477" max="9477" width="3.140625" style="9" customWidth="1"/>
    <col min="9478" max="9478" width="3.42578125" style="9" customWidth="1"/>
    <col min="9479" max="9479" width="24.7109375" style="9" customWidth="1"/>
    <col min="9480" max="9480" width="7.85546875" style="9" customWidth="1"/>
    <col min="9481" max="9481" width="7.28515625" style="9" customWidth="1"/>
    <col min="9482" max="9482" width="11.7109375" style="9" bestFit="1" customWidth="1"/>
    <col min="9483" max="9483" width="14.42578125" style="9" customWidth="1"/>
    <col min="9484" max="9484" width="8.85546875" style="9"/>
    <col min="9485" max="9485" width="14.28515625" style="9" bestFit="1" customWidth="1"/>
    <col min="9486" max="9486" width="10" style="9" customWidth="1"/>
    <col min="9487" max="9718" width="8.85546875" style="9"/>
    <col min="9719" max="9719" width="1.140625" style="9" customWidth="1"/>
    <col min="9720" max="9720" width="3.28515625" style="9" customWidth="1"/>
    <col min="9721" max="9721" width="2.42578125" style="9" customWidth="1"/>
    <col min="9722" max="9722" width="2.5703125" style="9" customWidth="1"/>
    <col min="9723" max="9723" width="2.85546875" style="9" customWidth="1"/>
    <col min="9724" max="9724" width="3" style="9" customWidth="1"/>
    <col min="9725" max="9725" width="24.7109375" style="9" customWidth="1"/>
    <col min="9726" max="9726" width="7.85546875" style="9" customWidth="1"/>
    <col min="9727" max="9727" width="7.42578125" style="9" customWidth="1"/>
    <col min="9728" max="9728" width="11.140625" style="9" customWidth="1"/>
    <col min="9729" max="9729" width="14.42578125" style="9" customWidth="1"/>
    <col min="9730" max="9730" width="3.42578125" style="9" customWidth="1"/>
    <col min="9731" max="9731" width="3" style="9" customWidth="1"/>
    <col min="9732" max="9732" width="3.28515625" style="9" customWidth="1"/>
    <col min="9733" max="9733" width="3.140625" style="9" customWidth="1"/>
    <col min="9734" max="9734" width="3.42578125" style="9" customWidth="1"/>
    <col min="9735" max="9735" width="24.7109375" style="9" customWidth="1"/>
    <col min="9736" max="9736" width="7.85546875" style="9" customWidth="1"/>
    <col min="9737" max="9737" width="7.28515625" style="9" customWidth="1"/>
    <col min="9738" max="9738" width="11.7109375" style="9" bestFit="1" customWidth="1"/>
    <col min="9739" max="9739" width="14.42578125" style="9" customWidth="1"/>
    <col min="9740" max="9740" width="8.85546875" style="9"/>
    <col min="9741" max="9741" width="14.28515625" style="9" bestFit="1" customWidth="1"/>
    <col min="9742" max="9742" width="10" style="9" customWidth="1"/>
    <col min="9743" max="9974" width="8.85546875" style="9"/>
    <col min="9975" max="9975" width="1.140625" style="9" customWidth="1"/>
    <col min="9976" max="9976" width="3.28515625" style="9" customWidth="1"/>
    <col min="9977" max="9977" width="2.42578125" style="9" customWidth="1"/>
    <col min="9978" max="9978" width="2.5703125" style="9" customWidth="1"/>
    <col min="9979" max="9979" width="2.85546875" style="9" customWidth="1"/>
    <col min="9980" max="9980" width="3" style="9" customWidth="1"/>
    <col min="9981" max="9981" width="24.7109375" style="9" customWidth="1"/>
    <col min="9982" max="9982" width="7.85546875" style="9" customWidth="1"/>
    <col min="9983" max="9983" width="7.42578125" style="9" customWidth="1"/>
    <col min="9984" max="9984" width="11.140625" style="9" customWidth="1"/>
    <col min="9985" max="9985" width="14.42578125" style="9" customWidth="1"/>
    <col min="9986" max="9986" width="3.42578125" style="9" customWidth="1"/>
    <col min="9987" max="9987" width="3" style="9" customWidth="1"/>
    <col min="9988" max="9988" width="3.28515625" style="9" customWidth="1"/>
    <col min="9989" max="9989" width="3.140625" style="9" customWidth="1"/>
    <col min="9990" max="9990" width="3.42578125" style="9" customWidth="1"/>
    <col min="9991" max="9991" width="24.7109375" style="9" customWidth="1"/>
    <col min="9992" max="9992" width="7.85546875" style="9" customWidth="1"/>
    <col min="9993" max="9993" width="7.28515625" style="9" customWidth="1"/>
    <col min="9994" max="9994" width="11.7109375" style="9" bestFit="1" customWidth="1"/>
    <col min="9995" max="9995" width="14.42578125" style="9" customWidth="1"/>
    <col min="9996" max="9996" width="8.85546875" style="9"/>
    <col min="9997" max="9997" width="14.28515625" style="9" bestFit="1" customWidth="1"/>
    <col min="9998" max="9998" width="10" style="9" customWidth="1"/>
    <col min="9999" max="10230" width="8.85546875" style="9"/>
    <col min="10231" max="10231" width="1.140625" style="9" customWidth="1"/>
    <col min="10232" max="10232" width="3.28515625" style="9" customWidth="1"/>
    <col min="10233" max="10233" width="2.42578125" style="9" customWidth="1"/>
    <col min="10234" max="10234" width="2.5703125" style="9" customWidth="1"/>
    <col min="10235" max="10235" width="2.85546875" style="9" customWidth="1"/>
    <col min="10236" max="10236" width="3" style="9" customWidth="1"/>
    <col min="10237" max="10237" width="24.7109375" style="9" customWidth="1"/>
    <col min="10238" max="10238" width="7.85546875" style="9" customWidth="1"/>
    <col min="10239" max="10239" width="7.42578125" style="9" customWidth="1"/>
    <col min="10240" max="10240" width="11.140625" style="9" customWidth="1"/>
    <col min="10241" max="10241" width="14.42578125" style="9" customWidth="1"/>
    <col min="10242" max="10242" width="3.42578125" style="9" customWidth="1"/>
    <col min="10243" max="10243" width="3" style="9" customWidth="1"/>
    <col min="10244" max="10244" width="3.28515625" style="9" customWidth="1"/>
    <col min="10245" max="10245" width="3.140625" style="9" customWidth="1"/>
    <col min="10246" max="10246" width="3.42578125" style="9" customWidth="1"/>
    <col min="10247" max="10247" width="24.7109375" style="9" customWidth="1"/>
    <col min="10248" max="10248" width="7.85546875" style="9" customWidth="1"/>
    <col min="10249" max="10249" width="7.28515625" style="9" customWidth="1"/>
    <col min="10250" max="10250" width="11.7109375" style="9" bestFit="1" customWidth="1"/>
    <col min="10251" max="10251" width="14.42578125" style="9" customWidth="1"/>
    <col min="10252" max="10252" width="8.85546875" style="9"/>
    <col min="10253" max="10253" width="14.28515625" style="9" bestFit="1" customWidth="1"/>
    <col min="10254" max="10254" width="10" style="9" customWidth="1"/>
    <col min="10255" max="10486" width="8.85546875" style="9"/>
    <col min="10487" max="10487" width="1.140625" style="9" customWidth="1"/>
    <col min="10488" max="10488" width="3.28515625" style="9" customWidth="1"/>
    <col min="10489" max="10489" width="2.42578125" style="9" customWidth="1"/>
    <col min="10490" max="10490" width="2.5703125" style="9" customWidth="1"/>
    <col min="10491" max="10491" width="2.85546875" style="9" customWidth="1"/>
    <col min="10492" max="10492" width="3" style="9" customWidth="1"/>
    <col min="10493" max="10493" width="24.7109375" style="9" customWidth="1"/>
    <col min="10494" max="10494" width="7.85546875" style="9" customWidth="1"/>
    <col min="10495" max="10495" width="7.42578125" style="9" customWidth="1"/>
    <col min="10496" max="10496" width="11.140625" style="9" customWidth="1"/>
    <col min="10497" max="10497" width="14.42578125" style="9" customWidth="1"/>
    <col min="10498" max="10498" width="3.42578125" style="9" customWidth="1"/>
    <col min="10499" max="10499" width="3" style="9" customWidth="1"/>
    <col min="10500" max="10500" width="3.28515625" style="9" customWidth="1"/>
    <col min="10501" max="10501" width="3.140625" style="9" customWidth="1"/>
    <col min="10502" max="10502" width="3.42578125" style="9" customWidth="1"/>
    <col min="10503" max="10503" width="24.7109375" style="9" customWidth="1"/>
    <col min="10504" max="10504" width="7.85546875" style="9" customWidth="1"/>
    <col min="10505" max="10505" width="7.28515625" style="9" customWidth="1"/>
    <col min="10506" max="10506" width="11.7109375" style="9" bestFit="1" customWidth="1"/>
    <col min="10507" max="10507" width="14.42578125" style="9" customWidth="1"/>
    <col min="10508" max="10508" width="8.85546875" style="9"/>
    <col min="10509" max="10509" width="14.28515625" style="9" bestFit="1" customWidth="1"/>
    <col min="10510" max="10510" width="10" style="9" customWidth="1"/>
    <col min="10511" max="10742" width="8.85546875" style="9"/>
    <col min="10743" max="10743" width="1.140625" style="9" customWidth="1"/>
    <col min="10744" max="10744" width="3.28515625" style="9" customWidth="1"/>
    <col min="10745" max="10745" width="2.42578125" style="9" customWidth="1"/>
    <col min="10746" max="10746" width="2.5703125" style="9" customWidth="1"/>
    <col min="10747" max="10747" width="2.85546875" style="9" customWidth="1"/>
    <col min="10748" max="10748" width="3" style="9" customWidth="1"/>
    <col min="10749" max="10749" width="24.7109375" style="9" customWidth="1"/>
    <col min="10750" max="10750" width="7.85546875" style="9" customWidth="1"/>
    <col min="10751" max="10751" width="7.42578125" style="9" customWidth="1"/>
    <col min="10752" max="10752" width="11.140625" style="9" customWidth="1"/>
    <col min="10753" max="10753" width="14.42578125" style="9" customWidth="1"/>
    <col min="10754" max="10754" width="3.42578125" style="9" customWidth="1"/>
    <col min="10755" max="10755" width="3" style="9" customWidth="1"/>
    <col min="10756" max="10756" width="3.28515625" style="9" customWidth="1"/>
    <col min="10757" max="10757" width="3.140625" style="9" customWidth="1"/>
    <col min="10758" max="10758" width="3.42578125" style="9" customWidth="1"/>
    <col min="10759" max="10759" width="24.7109375" style="9" customWidth="1"/>
    <col min="10760" max="10760" width="7.85546875" style="9" customWidth="1"/>
    <col min="10761" max="10761" width="7.28515625" style="9" customWidth="1"/>
    <col min="10762" max="10762" width="11.7109375" style="9" bestFit="1" customWidth="1"/>
    <col min="10763" max="10763" width="14.42578125" style="9" customWidth="1"/>
    <col min="10764" max="10764" width="8.85546875" style="9"/>
    <col min="10765" max="10765" width="14.28515625" style="9" bestFit="1" customWidth="1"/>
    <col min="10766" max="10766" width="10" style="9" customWidth="1"/>
    <col min="10767" max="10998" width="8.85546875" style="9"/>
    <col min="10999" max="10999" width="1.140625" style="9" customWidth="1"/>
    <col min="11000" max="11000" width="3.28515625" style="9" customWidth="1"/>
    <col min="11001" max="11001" width="2.42578125" style="9" customWidth="1"/>
    <col min="11002" max="11002" width="2.5703125" style="9" customWidth="1"/>
    <col min="11003" max="11003" width="2.85546875" style="9" customWidth="1"/>
    <col min="11004" max="11004" width="3" style="9" customWidth="1"/>
    <col min="11005" max="11005" width="24.7109375" style="9" customWidth="1"/>
    <col min="11006" max="11006" width="7.85546875" style="9" customWidth="1"/>
    <col min="11007" max="11007" width="7.42578125" style="9" customWidth="1"/>
    <col min="11008" max="11008" width="11.140625" style="9" customWidth="1"/>
    <col min="11009" max="11009" width="14.42578125" style="9" customWidth="1"/>
    <col min="11010" max="11010" width="3.42578125" style="9" customWidth="1"/>
    <col min="11011" max="11011" width="3" style="9" customWidth="1"/>
    <col min="11012" max="11012" width="3.28515625" style="9" customWidth="1"/>
    <col min="11013" max="11013" width="3.140625" style="9" customWidth="1"/>
    <col min="11014" max="11014" width="3.42578125" style="9" customWidth="1"/>
    <col min="11015" max="11015" width="24.7109375" style="9" customWidth="1"/>
    <col min="11016" max="11016" width="7.85546875" style="9" customWidth="1"/>
    <col min="11017" max="11017" width="7.28515625" style="9" customWidth="1"/>
    <col min="11018" max="11018" width="11.7109375" style="9" bestFit="1" customWidth="1"/>
    <col min="11019" max="11019" width="14.42578125" style="9" customWidth="1"/>
    <col min="11020" max="11020" width="8.85546875" style="9"/>
    <col min="11021" max="11021" width="14.28515625" style="9" bestFit="1" customWidth="1"/>
    <col min="11022" max="11022" width="10" style="9" customWidth="1"/>
    <col min="11023" max="11254" width="8.85546875" style="9"/>
    <col min="11255" max="11255" width="1.140625" style="9" customWidth="1"/>
    <col min="11256" max="11256" width="3.28515625" style="9" customWidth="1"/>
    <col min="11257" max="11257" width="2.42578125" style="9" customWidth="1"/>
    <col min="11258" max="11258" width="2.5703125" style="9" customWidth="1"/>
    <col min="11259" max="11259" width="2.85546875" style="9" customWidth="1"/>
    <col min="11260" max="11260" width="3" style="9" customWidth="1"/>
    <col min="11261" max="11261" width="24.7109375" style="9" customWidth="1"/>
    <col min="11262" max="11262" width="7.85546875" style="9" customWidth="1"/>
    <col min="11263" max="11263" width="7.42578125" style="9" customWidth="1"/>
    <col min="11264" max="11264" width="11.140625" style="9" customWidth="1"/>
    <col min="11265" max="11265" width="14.42578125" style="9" customWidth="1"/>
    <col min="11266" max="11266" width="3.42578125" style="9" customWidth="1"/>
    <col min="11267" max="11267" width="3" style="9" customWidth="1"/>
    <col min="11268" max="11268" width="3.28515625" style="9" customWidth="1"/>
    <col min="11269" max="11269" width="3.140625" style="9" customWidth="1"/>
    <col min="11270" max="11270" width="3.42578125" style="9" customWidth="1"/>
    <col min="11271" max="11271" width="24.7109375" style="9" customWidth="1"/>
    <col min="11272" max="11272" width="7.85546875" style="9" customWidth="1"/>
    <col min="11273" max="11273" width="7.28515625" style="9" customWidth="1"/>
    <col min="11274" max="11274" width="11.7109375" style="9" bestFit="1" customWidth="1"/>
    <col min="11275" max="11275" width="14.42578125" style="9" customWidth="1"/>
    <col min="11276" max="11276" width="8.85546875" style="9"/>
    <col min="11277" max="11277" width="14.28515625" style="9" bestFit="1" customWidth="1"/>
    <col min="11278" max="11278" width="10" style="9" customWidth="1"/>
    <col min="11279" max="11510" width="8.85546875" style="9"/>
    <col min="11511" max="11511" width="1.140625" style="9" customWidth="1"/>
    <col min="11512" max="11512" width="3.28515625" style="9" customWidth="1"/>
    <col min="11513" max="11513" width="2.42578125" style="9" customWidth="1"/>
    <col min="11514" max="11514" width="2.5703125" style="9" customWidth="1"/>
    <col min="11515" max="11515" width="2.85546875" style="9" customWidth="1"/>
    <col min="11516" max="11516" width="3" style="9" customWidth="1"/>
    <col min="11517" max="11517" width="24.7109375" style="9" customWidth="1"/>
    <col min="11518" max="11518" width="7.85546875" style="9" customWidth="1"/>
    <col min="11519" max="11519" width="7.42578125" style="9" customWidth="1"/>
    <col min="11520" max="11520" width="11.140625" style="9" customWidth="1"/>
    <col min="11521" max="11521" width="14.42578125" style="9" customWidth="1"/>
    <col min="11522" max="11522" width="3.42578125" style="9" customWidth="1"/>
    <col min="11523" max="11523" width="3" style="9" customWidth="1"/>
    <col min="11524" max="11524" width="3.28515625" style="9" customWidth="1"/>
    <col min="11525" max="11525" width="3.140625" style="9" customWidth="1"/>
    <col min="11526" max="11526" width="3.42578125" style="9" customWidth="1"/>
    <col min="11527" max="11527" width="24.7109375" style="9" customWidth="1"/>
    <col min="11528" max="11528" width="7.85546875" style="9" customWidth="1"/>
    <col min="11529" max="11529" width="7.28515625" style="9" customWidth="1"/>
    <col min="11530" max="11530" width="11.7109375" style="9" bestFit="1" customWidth="1"/>
    <col min="11531" max="11531" width="14.42578125" style="9" customWidth="1"/>
    <col min="11532" max="11532" width="8.85546875" style="9"/>
    <col min="11533" max="11533" width="14.28515625" style="9" bestFit="1" customWidth="1"/>
    <col min="11534" max="11534" width="10" style="9" customWidth="1"/>
    <col min="11535" max="11766" width="8.85546875" style="9"/>
    <col min="11767" max="11767" width="1.140625" style="9" customWidth="1"/>
    <col min="11768" max="11768" width="3.28515625" style="9" customWidth="1"/>
    <col min="11769" max="11769" width="2.42578125" style="9" customWidth="1"/>
    <col min="11770" max="11770" width="2.5703125" style="9" customWidth="1"/>
    <col min="11771" max="11771" width="2.85546875" style="9" customWidth="1"/>
    <col min="11772" max="11772" width="3" style="9" customWidth="1"/>
    <col min="11773" max="11773" width="24.7109375" style="9" customWidth="1"/>
    <col min="11774" max="11774" width="7.85546875" style="9" customWidth="1"/>
    <col min="11775" max="11775" width="7.42578125" style="9" customWidth="1"/>
    <col min="11776" max="11776" width="11.140625" style="9" customWidth="1"/>
    <col min="11777" max="11777" width="14.42578125" style="9" customWidth="1"/>
    <col min="11778" max="11778" width="3.42578125" style="9" customWidth="1"/>
    <col min="11779" max="11779" width="3" style="9" customWidth="1"/>
    <col min="11780" max="11780" width="3.28515625" style="9" customWidth="1"/>
    <col min="11781" max="11781" width="3.140625" style="9" customWidth="1"/>
    <col min="11782" max="11782" width="3.42578125" style="9" customWidth="1"/>
    <col min="11783" max="11783" width="24.7109375" style="9" customWidth="1"/>
    <col min="11784" max="11784" width="7.85546875" style="9" customWidth="1"/>
    <col min="11785" max="11785" width="7.28515625" style="9" customWidth="1"/>
    <col min="11786" max="11786" width="11.7109375" style="9" bestFit="1" customWidth="1"/>
    <col min="11787" max="11787" width="14.42578125" style="9" customWidth="1"/>
    <col min="11788" max="11788" width="8.85546875" style="9"/>
    <col min="11789" max="11789" width="14.28515625" style="9" bestFit="1" customWidth="1"/>
    <col min="11790" max="11790" width="10" style="9" customWidth="1"/>
    <col min="11791" max="12022" width="8.85546875" style="9"/>
    <col min="12023" max="12023" width="1.140625" style="9" customWidth="1"/>
    <col min="12024" max="12024" width="3.28515625" style="9" customWidth="1"/>
    <col min="12025" max="12025" width="2.42578125" style="9" customWidth="1"/>
    <col min="12026" max="12026" width="2.5703125" style="9" customWidth="1"/>
    <col min="12027" max="12027" width="2.85546875" style="9" customWidth="1"/>
    <col min="12028" max="12028" width="3" style="9" customWidth="1"/>
    <col min="12029" max="12029" width="24.7109375" style="9" customWidth="1"/>
    <col min="12030" max="12030" width="7.85546875" style="9" customWidth="1"/>
    <col min="12031" max="12031" width="7.42578125" style="9" customWidth="1"/>
    <col min="12032" max="12032" width="11.140625" style="9" customWidth="1"/>
    <col min="12033" max="12033" width="14.42578125" style="9" customWidth="1"/>
    <col min="12034" max="12034" width="3.42578125" style="9" customWidth="1"/>
    <col min="12035" max="12035" width="3" style="9" customWidth="1"/>
    <col min="12036" max="12036" width="3.28515625" style="9" customWidth="1"/>
    <col min="12037" max="12037" width="3.140625" style="9" customWidth="1"/>
    <col min="12038" max="12038" width="3.42578125" style="9" customWidth="1"/>
    <col min="12039" max="12039" width="24.7109375" style="9" customWidth="1"/>
    <col min="12040" max="12040" width="7.85546875" style="9" customWidth="1"/>
    <col min="12041" max="12041" width="7.28515625" style="9" customWidth="1"/>
    <col min="12042" max="12042" width="11.7109375" style="9" bestFit="1" customWidth="1"/>
    <col min="12043" max="12043" width="14.42578125" style="9" customWidth="1"/>
    <col min="12044" max="12044" width="8.85546875" style="9"/>
    <col min="12045" max="12045" width="14.28515625" style="9" bestFit="1" customWidth="1"/>
    <col min="12046" max="12046" width="10" style="9" customWidth="1"/>
    <col min="12047" max="12278" width="8.85546875" style="9"/>
    <col min="12279" max="12279" width="1.140625" style="9" customWidth="1"/>
    <col min="12280" max="12280" width="3.28515625" style="9" customWidth="1"/>
    <col min="12281" max="12281" width="2.42578125" style="9" customWidth="1"/>
    <col min="12282" max="12282" width="2.5703125" style="9" customWidth="1"/>
    <col min="12283" max="12283" width="2.85546875" style="9" customWidth="1"/>
    <col min="12284" max="12284" width="3" style="9" customWidth="1"/>
    <col min="12285" max="12285" width="24.7109375" style="9" customWidth="1"/>
    <col min="12286" max="12286" width="7.85546875" style="9" customWidth="1"/>
    <col min="12287" max="12287" width="7.42578125" style="9" customWidth="1"/>
    <col min="12288" max="12288" width="11.140625" style="9" customWidth="1"/>
    <col min="12289" max="12289" width="14.42578125" style="9" customWidth="1"/>
    <col min="12290" max="12290" width="3.42578125" style="9" customWidth="1"/>
    <col min="12291" max="12291" width="3" style="9" customWidth="1"/>
    <col min="12292" max="12292" width="3.28515625" style="9" customWidth="1"/>
    <col min="12293" max="12293" width="3.140625" style="9" customWidth="1"/>
    <col min="12294" max="12294" width="3.42578125" style="9" customWidth="1"/>
    <col min="12295" max="12295" width="24.7109375" style="9" customWidth="1"/>
    <col min="12296" max="12296" width="7.85546875" style="9" customWidth="1"/>
    <col min="12297" max="12297" width="7.28515625" style="9" customWidth="1"/>
    <col min="12298" max="12298" width="11.7109375" style="9" bestFit="1" customWidth="1"/>
    <col min="12299" max="12299" width="14.42578125" style="9" customWidth="1"/>
    <col min="12300" max="12300" width="8.85546875" style="9"/>
    <col min="12301" max="12301" width="14.28515625" style="9" bestFit="1" customWidth="1"/>
    <col min="12302" max="12302" width="10" style="9" customWidth="1"/>
    <col min="12303" max="12534" width="8.85546875" style="9"/>
    <col min="12535" max="12535" width="1.140625" style="9" customWidth="1"/>
    <col min="12536" max="12536" width="3.28515625" style="9" customWidth="1"/>
    <col min="12537" max="12537" width="2.42578125" style="9" customWidth="1"/>
    <col min="12538" max="12538" width="2.5703125" style="9" customWidth="1"/>
    <col min="12539" max="12539" width="2.85546875" style="9" customWidth="1"/>
    <col min="12540" max="12540" width="3" style="9" customWidth="1"/>
    <col min="12541" max="12541" width="24.7109375" style="9" customWidth="1"/>
    <col min="12542" max="12542" width="7.85546875" style="9" customWidth="1"/>
    <col min="12543" max="12543" width="7.42578125" style="9" customWidth="1"/>
    <col min="12544" max="12544" width="11.140625" style="9" customWidth="1"/>
    <col min="12545" max="12545" width="14.42578125" style="9" customWidth="1"/>
    <col min="12546" max="12546" width="3.42578125" style="9" customWidth="1"/>
    <col min="12547" max="12547" width="3" style="9" customWidth="1"/>
    <col min="12548" max="12548" width="3.28515625" style="9" customWidth="1"/>
    <col min="12549" max="12549" width="3.140625" style="9" customWidth="1"/>
    <col min="12550" max="12550" width="3.42578125" style="9" customWidth="1"/>
    <col min="12551" max="12551" width="24.7109375" style="9" customWidth="1"/>
    <col min="12552" max="12552" width="7.85546875" style="9" customWidth="1"/>
    <col min="12553" max="12553" width="7.28515625" style="9" customWidth="1"/>
    <col min="12554" max="12554" width="11.7109375" style="9" bestFit="1" customWidth="1"/>
    <col min="12555" max="12555" width="14.42578125" style="9" customWidth="1"/>
    <col min="12556" max="12556" width="8.85546875" style="9"/>
    <col min="12557" max="12557" width="14.28515625" style="9" bestFit="1" customWidth="1"/>
    <col min="12558" max="12558" width="10" style="9" customWidth="1"/>
    <col min="12559" max="12790" width="8.85546875" style="9"/>
    <col min="12791" max="12791" width="1.140625" style="9" customWidth="1"/>
    <col min="12792" max="12792" width="3.28515625" style="9" customWidth="1"/>
    <col min="12793" max="12793" width="2.42578125" style="9" customWidth="1"/>
    <col min="12794" max="12794" width="2.5703125" style="9" customWidth="1"/>
    <col min="12795" max="12795" width="2.85546875" style="9" customWidth="1"/>
    <col min="12796" max="12796" width="3" style="9" customWidth="1"/>
    <col min="12797" max="12797" width="24.7109375" style="9" customWidth="1"/>
    <col min="12798" max="12798" width="7.85546875" style="9" customWidth="1"/>
    <col min="12799" max="12799" width="7.42578125" style="9" customWidth="1"/>
    <col min="12800" max="12800" width="11.140625" style="9" customWidth="1"/>
    <col min="12801" max="12801" width="14.42578125" style="9" customWidth="1"/>
    <col min="12802" max="12802" width="3.42578125" style="9" customWidth="1"/>
    <col min="12803" max="12803" width="3" style="9" customWidth="1"/>
    <col min="12804" max="12804" width="3.28515625" style="9" customWidth="1"/>
    <col min="12805" max="12805" width="3.140625" style="9" customWidth="1"/>
    <col min="12806" max="12806" width="3.42578125" style="9" customWidth="1"/>
    <col min="12807" max="12807" width="24.7109375" style="9" customWidth="1"/>
    <col min="12808" max="12808" width="7.85546875" style="9" customWidth="1"/>
    <col min="12809" max="12809" width="7.28515625" style="9" customWidth="1"/>
    <col min="12810" max="12810" width="11.7109375" style="9" bestFit="1" customWidth="1"/>
    <col min="12811" max="12811" width="14.42578125" style="9" customWidth="1"/>
    <col min="12812" max="12812" width="8.85546875" style="9"/>
    <col min="12813" max="12813" width="14.28515625" style="9" bestFit="1" customWidth="1"/>
    <col min="12814" max="12814" width="10" style="9" customWidth="1"/>
    <col min="12815" max="13046" width="8.85546875" style="9"/>
    <col min="13047" max="13047" width="1.140625" style="9" customWidth="1"/>
    <col min="13048" max="13048" width="3.28515625" style="9" customWidth="1"/>
    <col min="13049" max="13049" width="2.42578125" style="9" customWidth="1"/>
    <col min="13050" max="13050" width="2.5703125" style="9" customWidth="1"/>
    <col min="13051" max="13051" width="2.85546875" style="9" customWidth="1"/>
    <col min="13052" max="13052" width="3" style="9" customWidth="1"/>
    <col min="13053" max="13053" width="24.7109375" style="9" customWidth="1"/>
    <col min="13054" max="13054" width="7.85546875" style="9" customWidth="1"/>
    <col min="13055" max="13055" width="7.42578125" style="9" customWidth="1"/>
    <col min="13056" max="13056" width="11.140625" style="9" customWidth="1"/>
    <col min="13057" max="13057" width="14.42578125" style="9" customWidth="1"/>
    <col min="13058" max="13058" width="3.42578125" style="9" customWidth="1"/>
    <col min="13059" max="13059" width="3" style="9" customWidth="1"/>
    <col min="13060" max="13060" width="3.28515625" style="9" customWidth="1"/>
    <col min="13061" max="13061" width="3.140625" style="9" customWidth="1"/>
    <col min="13062" max="13062" width="3.42578125" style="9" customWidth="1"/>
    <col min="13063" max="13063" width="24.7109375" style="9" customWidth="1"/>
    <col min="13064" max="13064" width="7.85546875" style="9" customWidth="1"/>
    <col min="13065" max="13065" width="7.28515625" style="9" customWidth="1"/>
    <col min="13066" max="13066" width="11.7109375" style="9" bestFit="1" customWidth="1"/>
    <col min="13067" max="13067" width="14.42578125" style="9" customWidth="1"/>
    <col min="13068" max="13068" width="8.85546875" style="9"/>
    <col min="13069" max="13069" width="14.28515625" style="9" bestFit="1" customWidth="1"/>
    <col min="13070" max="13070" width="10" style="9" customWidth="1"/>
    <col min="13071" max="13302" width="8.85546875" style="9"/>
    <col min="13303" max="13303" width="1.140625" style="9" customWidth="1"/>
    <col min="13304" max="13304" width="3.28515625" style="9" customWidth="1"/>
    <col min="13305" max="13305" width="2.42578125" style="9" customWidth="1"/>
    <col min="13306" max="13306" width="2.5703125" style="9" customWidth="1"/>
    <col min="13307" max="13307" width="2.85546875" style="9" customWidth="1"/>
    <col min="13308" max="13308" width="3" style="9" customWidth="1"/>
    <col min="13309" max="13309" width="24.7109375" style="9" customWidth="1"/>
    <col min="13310" max="13310" width="7.85546875" style="9" customWidth="1"/>
    <col min="13311" max="13311" width="7.42578125" style="9" customWidth="1"/>
    <col min="13312" max="13312" width="11.140625" style="9" customWidth="1"/>
    <col min="13313" max="13313" width="14.42578125" style="9" customWidth="1"/>
    <col min="13314" max="13314" width="3.42578125" style="9" customWidth="1"/>
    <col min="13315" max="13315" width="3" style="9" customWidth="1"/>
    <col min="13316" max="13316" width="3.28515625" style="9" customWidth="1"/>
    <col min="13317" max="13317" width="3.140625" style="9" customWidth="1"/>
    <col min="13318" max="13318" width="3.42578125" style="9" customWidth="1"/>
    <col min="13319" max="13319" width="24.7109375" style="9" customWidth="1"/>
    <col min="13320" max="13320" width="7.85546875" style="9" customWidth="1"/>
    <col min="13321" max="13321" width="7.28515625" style="9" customWidth="1"/>
    <col min="13322" max="13322" width="11.7109375" style="9" bestFit="1" customWidth="1"/>
    <col min="13323" max="13323" width="14.42578125" style="9" customWidth="1"/>
    <col min="13324" max="13324" width="8.85546875" style="9"/>
    <col min="13325" max="13325" width="14.28515625" style="9" bestFit="1" customWidth="1"/>
    <col min="13326" max="13326" width="10" style="9" customWidth="1"/>
    <col min="13327" max="13558" width="8.85546875" style="9"/>
    <col min="13559" max="13559" width="1.140625" style="9" customWidth="1"/>
    <col min="13560" max="13560" width="3.28515625" style="9" customWidth="1"/>
    <col min="13561" max="13561" width="2.42578125" style="9" customWidth="1"/>
    <col min="13562" max="13562" width="2.5703125" style="9" customWidth="1"/>
    <col min="13563" max="13563" width="2.85546875" style="9" customWidth="1"/>
    <col min="13564" max="13564" width="3" style="9" customWidth="1"/>
    <col min="13565" max="13565" width="24.7109375" style="9" customWidth="1"/>
    <col min="13566" max="13566" width="7.85546875" style="9" customWidth="1"/>
    <col min="13567" max="13567" width="7.42578125" style="9" customWidth="1"/>
    <col min="13568" max="13568" width="11.140625" style="9" customWidth="1"/>
    <col min="13569" max="13569" width="14.42578125" style="9" customWidth="1"/>
    <col min="13570" max="13570" width="3.42578125" style="9" customWidth="1"/>
    <col min="13571" max="13571" width="3" style="9" customWidth="1"/>
    <col min="13572" max="13572" width="3.28515625" style="9" customWidth="1"/>
    <col min="13573" max="13573" width="3.140625" style="9" customWidth="1"/>
    <col min="13574" max="13574" width="3.42578125" style="9" customWidth="1"/>
    <col min="13575" max="13575" width="24.7109375" style="9" customWidth="1"/>
    <col min="13576" max="13576" width="7.85546875" style="9" customWidth="1"/>
    <col min="13577" max="13577" width="7.28515625" style="9" customWidth="1"/>
    <col min="13578" max="13578" width="11.7109375" style="9" bestFit="1" customWidth="1"/>
    <col min="13579" max="13579" width="14.42578125" style="9" customWidth="1"/>
    <col min="13580" max="13580" width="8.85546875" style="9"/>
    <col min="13581" max="13581" width="14.28515625" style="9" bestFit="1" customWidth="1"/>
    <col min="13582" max="13582" width="10" style="9" customWidth="1"/>
    <col min="13583" max="13814" width="8.85546875" style="9"/>
    <col min="13815" max="13815" width="1.140625" style="9" customWidth="1"/>
    <col min="13816" max="13816" width="3.28515625" style="9" customWidth="1"/>
    <col min="13817" max="13817" width="2.42578125" style="9" customWidth="1"/>
    <col min="13818" max="13818" width="2.5703125" style="9" customWidth="1"/>
    <col min="13819" max="13819" width="2.85546875" style="9" customWidth="1"/>
    <col min="13820" max="13820" width="3" style="9" customWidth="1"/>
    <col min="13821" max="13821" width="24.7109375" style="9" customWidth="1"/>
    <col min="13822" max="13822" width="7.85546875" style="9" customWidth="1"/>
    <col min="13823" max="13823" width="7.42578125" style="9" customWidth="1"/>
    <col min="13824" max="13824" width="11.140625" style="9" customWidth="1"/>
    <col min="13825" max="13825" width="14.42578125" style="9" customWidth="1"/>
    <col min="13826" max="13826" width="3.42578125" style="9" customWidth="1"/>
    <col min="13827" max="13827" width="3" style="9" customWidth="1"/>
    <col min="13828" max="13828" width="3.28515625" style="9" customWidth="1"/>
    <col min="13829" max="13829" width="3.140625" style="9" customWidth="1"/>
    <col min="13830" max="13830" width="3.42578125" style="9" customWidth="1"/>
    <col min="13831" max="13831" width="24.7109375" style="9" customWidth="1"/>
    <col min="13832" max="13832" width="7.85546875" style="9" customWidth="1"/>
    <col min="13833" max="13833" width="7.28515625" style="9" customWidth="1"/>
    <col min="13834" max="13834" width="11.7109375" style="9" bestFit="1" customWidth="1"/>
    <col min="13835" max="13835" width="14.42578125" style="9" customWidth="1"/>
    <col min="13836" max="13836" width="8.85546875" style="9"/>
    <col min="13837" max="13837" width="14.28515625" style="9" bestFit="1" customWidth="1"/>
    <col min="13838" max="13838" width="10" style="9" customWidth="1"/>
    <col min="13839" max="14070" width="8.85546875" style="9"/>
    <col min="14071" max="14071" width="1.140625" style="9" customWidth="1"/>
    <col min="14072" max="14072" width="3.28515625" style="9" customWidth="1"/>
    <col min="14073" max="14073" width="2.42578125" style="9" customWidth="1"/>
    <col min="14074" max="14074" width="2.5703125" style="9" customWidth="1"/>
    <col min="14075" max="14075" width="2.85546875" style="9" customWidth="1"/>
    <col min="14076" max="14076" width="3" style="9" customWidth="1"/>
    <col min="14077" max="14077" width="24.7109375" style="9" customWidth="1"/>
    <col min="14078" max="14078" width="7.85546875" style="9" customWidth="1"/>
    <col min="14079" max="14079" width="7.42578125" style="9" customWidth="1"/>
    <col min="14080" max="14080" width="11.140625" style="9" customWidth="1"/>
    <col min="14081" max="14081" width="14.42578125" style="9" customWidth="1"/>
    <col min="14082" max="14082" width="3.42578125" style="9" customWidth="1"/>
    <col min="14083" max="14083" width="3" style="9" customWidth="1"/>
    <col min="14084" max="14084" width="3.28515625" style="9" customWidth="1"/>
    <col min="14085" max="14085" width="3.140625" style="9" customWidth="1"/>
    <col min="14086" max="14086" width="3.42578125" style="9" customWidth="1"/>
    <col min="14087" max="14087" width="24.7109375" style="9" customWidth="1"/>
    <col min="14088" max="14088" width="7.85546875" style="9" customWidth="1"/>
    <col min="14089" max="14089" width="7.28515625" style="9" customWidth="1"/>
    <col min="14090" max="14090" width="11.7109375" style="9" bestFit="1" customWidth="1"/>
    <col min="14091" max="14091" width="14.42578125" style="9" customWidth="1"/>
    <col min="14092" max="14092" width="8.85546875" style="9"/>
    <col min="14093" max="14093" width="14.28515625" style="9" bestFit="1" customWidth="1"/>
    <col min="14094" max="14094" width="10" style="9" customWidth="1"/>
    <col min="14095" max="14326" width="8.85546875" style="9"/>
    <col min="14327" max="14327" width="1.140625" style="9" customWidth="1"/>
    <col min="14328" max="14328" width="3.28515625" style="9" customWidth="1"/>
    <col min="14329" max="14329" width="2.42578125" style="9" customWidth="1"/>
    <col min="14330" max="14330" width="2.5703125" style="9" customWidth="1"/>
    <col min="14331" max="14331" width="2.85546875" style="9" customWidth="1"/>
    <col min="14332" max="14332" width="3" style="9" customWidth="1"/>
    <col min="14333" max="14333" width="24.7109375" style="9" customWidth="1"/>
    <col min="14334" max="14334" width="7.85546875" style="9" customWidth="1"/>
    <col min="14335" max="14335" width="7.42578125" style="9" customWidth="1"/>
    <col min="14336" max="14336" width="11.140625" style="9" customWidth="1"/>
    <col min="14337" max="14337" width="14.42578125" style="9" customWidth="1"/>
    <col min="14338" max="14338" width="3.42578125" style="9" customWidth="1"/>
    <col min="14339" max="14339" width="3" style="9" customWidth="1"/>
    <col min="14340" max="14340" width="3.28515625" style="9" customWidth="1"/>
    <col min="14341" max="14341" width="3.140625" style="9" customWidth="1"/>
    <col min="14342" max="14342" width="3.42578125" style="9" customWidth="1"/>
    <col min="14343" max="14343" width="24.7109375" style="9" customWidth="1"/>
    <col min="14344" max="14344" width="7.85546875" style="9" customWidth="1"/>
    <col min="14345" max="14345" width="7.28515625" style="9" customWidth="1"/>
    <col min="14346" max="14346" width="11.7109375" style="9" bestFit="1" customWidth="1"/>
    <col min="14347" max="14347" width="14.42578125" style="9" customWidth="1"/>
    <col min="14348" max="14348" width="8.85546875" style="9"/>
    <col min="14349" max="14349" width="14.28515625" style="9" bestFit="1" customWidth="1"/>
    <col min="14350" max="14350" width="10" style="9" customWidth="1"/>
    <col min="14351" max="14582" width="8.85546875" style="9"/>
    <col min="14583" max="14583" width="1.140625" style="9" customWidth="1"/>
    <col min="14584" max="14584" width="3.28515625" style="9" customWidth="1"/>
    <col min="14585" max="14585" width="2.42578125" style="9" customWidth="1"/>
    <col min="14586" max="14586" width="2.5703125" style="9" customWidth="1"/>
    <col min="14587" max="14587" width="2.85546875" style="9" customWidth="1"/>
    <col min="14588" max="14588" width="3" style="9" customWidth="1"/>
    <col min="14589" max="14589" width="24.7109375" style="9" customWidth="1"/>
    <col min="14590" max="14590" width="7.85546875" style="9" customWidth="1"/>
    <col min="14591" max="14591" width="7.42578125" style="9" customWidth="1"/>
    <col min="14592" max="14592" width="11.140625" style="9" customWidth="1"/>
    <col min="14593" max="14593" width="14.42578125" style="9" customWidth="1"/>
    <col min="14594" max="14594" width="3.42578125" style="9" customWidth="1"/>
    <col min="14595" max="14595" width="3" style="9" customWidth="1"/>
    <col min="14596" max="14596" width="3.28515625" style="9" customWidth="1"/>
    <col min="14597" max="14597" width="3.140625" style="9" customWidth="1"/>
    <col min="14598" max="14598" width="3.42578125" style="9" customWidth="1"/>
    <col min="14599" max="14599" width="24.7109375" style="9" customWidth="1"/>
    <col min="14600" max="14600" width="7.85546875" style="9" customWidth="1"/>
    <col min="14601" max="14601" width="7.28515625" style="9" customWidth="1"/>
    <col min="14602" max="14602" width="11.7109375" style="9" bestFit="1" customWidth="1"/>
    <col min="14603" max="14603" width="14.42578125" style="9" customWidth="1"/>
    <col min="14604" max="14604" width="8.85546875" style="9"/>
    <col min="14605" max="14605" width="14.28515625" style="9" bestFit="1" customWidth="1"/>
    <col min="14606" max="14606" width="10" style="9" customWidth="1"/>
    <col min="14607" max="14838" width="8.85546875" style="9"/>
    <col min="14839" max="14839" width="1.140625" style="9" customWidth="1"/>
    <col min="14840" max="14840" width="3.28515625" style="9" customWidth="1"/>
    <col min="14841" max="14841" width="2.42578125" style="9" customWidth="1"/>
    <col min="14842" max="14842" width="2.5703125" style="9" customWidth="1"/>
    <col min="14843" max="14843" width="2.85546875" style="9" customWidth="1"/>
    <col min="14844" max="14844" width="3" style="9" customWidth="1"/>
    <col min="14845" max="14845" width="24.7109375" style="9" customWidth="1"/>
    <col min="14846" max="14846" width="7.85546875" style="9" customWidth="1"/>
    <col min="14847" max="14847" width="7.42578125" style="9" customWidth="1"/>
    <col min="14848" max="14848" width="11.140625" style="9" customWidth="1"/>
    <col min="14849" max="14849" width="14.42578125" style="9" customWidth="1"/>
    <col min="14850" max="14850" width="3.42578125" style="9" customWidth="1"/>
    <col min="14851" max="14851" width="3" style="9" customWidth="1"/>
    <col min="14852" max="14852" width="3.28515625" style="9" customWidth="1"/>
    <col min="14853" max="14853" width="3.140625" style="9" customWidth="1"/>
    <col min="14854" max="14854" width="3.42578125" style="9" customWidth="1"/>
    <col min="14855" max="14855" width="24.7109375" style="9" customWidth="1"/>
    <col min="14856" max="14856" width="7.85546875" style="9" customWidth="1"/>
    <col min="14857" max="14857" width="7.28515625" style="9" customWidth="1"/>
    <col min="14858" max="14858" width="11.7109375" style="9" bestFit="1" customWidth="1"/>
    <col min="14859" max="14859" width="14.42578125" style="9" customWidth="1"/>
    <col min="14860" max="14860" width="8.85546875" style="9"/>
    <col min="14861" max="14861" width="14.28515625" style="9" bestFit="1" customWidth="1"/>
    <col min="14862" max="14862" width="10" style="9" customWidth="1"/>
    <col min="14863" max="15094" width="8.85546875" style="9"/>
    <col min="15095" max="15095" width="1.140625" style="9" customWidth="1"/>
    <col min="15096" max="15096" width="3.28515625" style="9" customWidth="1"/>
    <col min="15097" max="15097" width="2.42578125" style="9" customWidth="1"/>
    <col min="15098" max="15098" width="2.5703125" style="9" customWidth="1"/>
    <col min="15099" max="15099" width="2.85546875" style="9" customWidth="1"/>
    <col min="15100" max="15100" width="3" style="9" customWidth="1"/>
    <col min="15101" max="15101" width="24.7109375" style="9" customWidth="1"/>
    <col min="15102" max="15102" width="7.85546875" style="9" customWidth="1"/>
    <col min="15103" max="15103" width="7.42578125" style="9" customWidth="1"/>
    <col min="15104" max="15104" width="11.140625" style="9" customWidth="1"/>
    <col min="15105" max="15105" width="14.42578125" style="9" customWidth="1"/>
    <col min="15106" max="15106" width="3.42578125" style="9" customWidth="1"/>
    <col min="15107" max="15107" width="3" style="9" customWidth="1"/>
    <col min="15108" max="15108" width="3.28515625" style="9" customWidth="1"/>
    <col min="15109" max="15109" width="3.140625" style="9" customWidth="1"/>
    <col min="15110" max="15110" width="3.42578125" style="9" customWidth="1"/>
    <col min="15111" max="15111" width="24.7109375" style="9" customWidth="1"/>
    <col min="15112" max="15112" width="7.85546875" style="9" customWidth="1"/>
    <col min="15113" max="15113" width="7.28515625" style="9" customWidth="1"/>
    <col min="15114" max="15114" width="11.7109375" style="9" bestFit="1" customWidth="1"/>
    <col min="15115" max="15115" width="14.42578125" style="9" customWidth="1"/>
    <col min="15116" max="15116" width="8.85546875" style="9"/>
    <col min="15117" max="15117" width="14.28515625" style="9" bestFit="1" customWidth="1"/>
    <col min="15118" max="15118" width="10" style="9" customWidth="1"/>
    <col min="15119" max="15350" width="8.85546875" style="9"/>
    <col min="15351" max="15351" width="1.140625" style="9" customWidth="1"/>
    <col min="15352" max="15352" width="3.28515625" style="9" customWidth="1"/>
    <col min="15353" max="15353" width="2.42578125" style="9" customWidth="1"/>
    <col min="15354" max="15354" width="2.5703125" style="9" customWidth="1"/>
    <col min="15355" max="15355" width="2.85546875" style="9" customWidth="1"/>
    <col min="15356" max="15356" width="3" style="9" customWidth="1"/>
    <col min="15357" max="15357" width="24.7109375" style="9" customWidth="1"/>
    <col min="15358" max="15358" width="7.85546875" style="9" customWidth="1"/>
    <col min="15359" max="15359" width="7.42578125" style="9" customWidth="1"/>
    <col min="15360" max="15360" width="11.140625" style="9" customWidth="1"/>
    <col min="15361" max="15361" width="14.42578125" style="9" customWidth="1"/>
    <col min="15362" max="15362" width="3.42578125" style="9" customWidth="1"/>
    <col min="15363" max="15363" width="3" style="9" customWidth="1"/>
    <col min="15364" max="15364" width="3.28515625" style="9" customWidth="1"/>
    <col min="15365" max="15365" width="3.140625" style="9" customWidth="1"/>
    <col min="15366" max="15366" width="3.42578125" style="9" customWidth="1"/>
    <col min="15367" max="15367" width="24.7109375" style="9" customWidth="1"/>
    <col min="15368" max="15368" width="7.85546875" style="9" customWidth="1"/>
    <col min="15369" max="15369" width="7.28515625" style="9" customWidth="1"/>
    <col min="15370" max="15370" width="11.7109375" style="9" bestFit="1" customWidth="1"/>
    <col min="15371" max="15371" width="14.42578125" style="9" customWidth="1"/>
    <col min="15372" max="15372" width="8.85546875" style="9"/>
    <col min="15373" max="15373" width="14.28515625" style="9" bestFit="1" customWidth="1"/>
    <col min="15374" max="15374" width="10" style="9" customWidth="1"/>
    <col min="15375" max="15606" width="8.85546875" style="9"/>
    <col min="15607" max="15607" width="1.140625" style="9" customWidth="1"/>
    <col min="15608" max="15608" width="3.28515625" style="9" customWidth="1"/>
    <col min="15609" max="15609" width="2.42578125" style="9" customWidth="1"/>
    <col min="15610" max="15610" width="2.5703125" style="9" customWidth="1"/>
    <col min="15611" max="15611" width="2.85546875" style="9" customWidth="1"/>
    <col min="15612" max="15612" width="3" style="9" customWidth="1"/>
    <col min="15613" max="15613" width="24.7109375" style="9" customWidth="1"/>
    <col min="15614" max="15614" width="7.85546875" style="9" customWidth="1"/>
    <col min="15615" max="15615" width="7.42578125" style="9" customWidth="1"/>
    <col min="15616" max="15616" width="11.140625" style="9" customWidth="1"/>
    <col min="15617" max="15617" width="14.42578125" style="9" customWidth="1"/>
    <col min="15618" max="15618" width="3.42578125" style="9" customWidth="1"/>
    <col min="15619" max="15619" width="3" style="9" customWidth="1"/>
    <col min="15620" max="15620" width="3.28515625" style="9" customWidth="1"/>
    <col min="15621" max="15621" width="3.140625" style="9" customWidth="1"/>
    <col min="15622" max="15622" width="3.42578125" style="9" customWidth="1"/>
    <col min="15623" max="15623" width="24.7109375" style="9" customWidth="1"/>
    <col min="15624" max="15624" width="7.85546875" style="9" customWidth="1"/>
    <col min="15625" max="15625" width="7.28515625" style="9" customWidth="1"/>
    <col min="15626" max="15626" width="11.7109375" style="9" bestFit="1" customWidth="1"/>
    <col min="15627" max="15627" width="14.42578125" style="9" customWidth="1"/>
    <col min="15628" max="15628" width="8.85546875" style="9"/>
    <col min="15629" max="15629" width="14.28515625" style="9" bestFit="1" customWidth="1"/>
    <col min="15630" max="15630" width="10" style="9" customWidth="1"/>
    <col min="15631" max="15862" width="8.85546875" style="9"/>
    <col min="15863" max="15863" width="1.140625" style="9" customWidth="1"/>
    <col min="15864" max="15864" width="3.28515625" style="9" customWidth="1"/>
    <col min="15865" max="15865" width="2.42578125" style="9" customWidth="1"/>
    <col min="15866" max="15866" width="2.5703125" style="9" customWidth="1"/>
    <col min="15867" max="15867" width="2.85546875" style="9" customWidth="1"/>
    <col min="15868" max="15868" width="3" style="9" customWidth="1"/>
    <col min="15869" max="15869" width="24.7109375" style="9" customWidth="1"/>
    <col min="15870" max="15870" width="7.85546875" style="9" customWidth="1"/>
    <col min="15871" max="15871" width="7.42578125" style="9" customWidth="1"/>
    <col min="15872" max="15872" width="11.140625" style="9" customWidth="1"/>
    <col min="15873" max="15873" width="14.42578125" style="9" customWidth="1"/>
    <col min="15874" max="15874" width="3.42578125" style="9" customWidth="1"/>
    <col min="15875" max="15875" width="3" style="9" customWidth="1"/>
    <col min="15876" max="15876" width="3.28515625" style="9" customWidth="1"/>
    <col min="15877" max="15877" width="3.140625" style="9" customWidth="1"/>
    <col min="15878" max="15878" width="3.42578125" style="9" customWidth="1"/>
    <col min="15879" max="15879" width="24.7109375" style="9" customWidth="1"/>
    <col min="15880" max="15880" width="7.85546875" style="9" customWidth="1"/>
    <col min="15881" max="15881" width="7.28515625" style="9" customWidth="1"/>
    <col min="15882" max="15882" width="11.7109375" style="9" bestFit="1" customWidth="1"/>
    <col min="15883" max="15883" width="14.42578125" style="9" customWidth="1"/>
    <col min="15884" max="15884" width="8.85546875" style="9"/>
    <col min="15885" max="15885" width="14.28515625" style="9" bestFit="1" customWidth="1"/>
    <col min="15886" max="15886" width="10" style="9" customWidth="1"/>
    <col min="15887" max="16118" width="8.85546875" style="9"/>
    <col min="16119" max="16119" width="1.140625" style="9" customWidth="1"/>
    <col min="16120" max="16120" width="3.28515625" style="9" customWidth="1"/>
    <col min="16121" max="16121" width="2.42578125" style="9" customWidth="1"/>
    <col min="16122" max="16122" width="2.5703125" style="9" customWidth="1"/>
    <col min="16123" max="16123" width="2.85546875" style="9" customWidth="1"/>
    <col min="16124" max="16124" width="3" style="9" customWidth="1"/>
    <col min="16125" max="16125" width="24.7109375" style="9" customWidth="1"/>
    <col min="16126" max="16126" width="7.85546875" style="9" customWidth="1"/>
    <col min="16127" max="16127" width="7.42578125" style="9" customWidth="1"/>
    <col min="16128" max="16128" width="11.140625" style="9" customWidth="1"/>
    <col min="16129" max="16129" width="14.42578125" style="9" customWidth="1"/>
    <col min="16130" max="16130" width="3.42578125" style="9" customWidth="1"/>
    <col min="16131" max="16131" width="3" style="9" customWidth="1"/>
    <col min="16132" max="16132" width="3.28515625" style="9" customWidth="1"/>
    <col min="16133" max="16133" width="3.140625" style="9" customWidth="1"/>
    <col min="16134" max="16134" width="3.42578125" style="9" customWidth="1"/>
    <col min="16135" max="16135" width="24.7109375" style="9" customWidth="1"/>
    <col min="16136" max="16136" width="7.85546875" style="9" customWidth="1"/>
    <col min="16137" max="16137" width="7.28515625" style="9" customWidth="1"/>
    <col min="16138" max="16138" width="11.7109375" style="9" bestFit="1" customWidth="1"/>
    <col min="16139" max="16139" width="14.42578125" style="9" customWidth="1"/>
    <col min="16140" max="16140" width="8.85546875" style="9"/>
    <col min="16141" max="16141" width="14.28515625" style="9" bestFit="1" customWidth="1"/>
    <col min="16142" max="16142" width="10" style="9" customWidth="1"/>
    <col min="16143" max="16384" width="8.85546875" style="9"/>
  </cols>
  <sheetData>
    <row r="1" spans="2:1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1" ht="16.5" customHeight="1">
      <c r="B3" s="3323"/>
      <c r="C3" s="3324"/>
      <c r="D3" s="3324"/>
      <c r="E3" s="3330" t="s">
        <v>2</v>
      </c>
      <c r="F3" s="3331"/>
      <c r="G3" s="3331"/>
      <c r="H3" s="3332"/>
      <c r="I3" s="3355"/>
      <c r="J3" s="3356"/>
      <c r="K3" s="12" t="s">
        <v>3</v>
      </c>
    </row>
    <row r="4" spans="2:1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1">
      <c r="B5" s="3490" t="s">
        <v>31</v>
      </c>
      <c r="C5" s="3362"/>
      <c r="D5" s="3362"/>
      <c r="E5" s="3362"/>
      <c r="F5" s="3362"/>
      <c r="G5" s="3362" t="s">
        <v>38</v>
      </c>
      <c r="H5" s="3362"/>
      <c r="I5" s="3362"/>
      <c r="J5" s="3362"/>
      <c r="K5" s="3363"/>
    </row>
    <row r="6" spans="2:1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1" s="13" customFormat="1" ht="30" customHeight="1">
      <c r="B7" s="3648" t="s">
        <v>33</v>
      </c>
      <c r="C7" s="3649"/>
      <c r="D7" s="3649"/>
      <c r="E7" s="3649"/>
      <c r="F7" s="3649"/>
      <c r="G7" s="3650" t="s">
        <v>83</v>
      </c>
      <c r="H7" s="3650"/>
      <c r="I7" s="3650"/>
      <c r="J7" s="3650"/>
      <c r="K7" s="3651"/>
    </row>
    <row r="8" spans="2:11" ht="15" customHeight="1">
      <c r="B8" s="3341" t="s">
        <v>34</v>
      </c>
      <c r="C8" s="3339"/>
      <c r="D8" s="3339"/>
      <c r="E8" s="3339"/>
      <c r="F8" s="3339"/>
      <c r="G8" s="3339" t="s">
        <v>1193</v>
      </c>
      <c r="H8" s="3339"/>
      <c r="I8" s="3339"/>
      <c r="J8" s="3339"/>
      <c r="K8" s="3340"/>
    </row>
    <row r="9" spans="2:1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1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11">
      <c r="B11" s="3314" t="s">
        <v>37</v>
      </c>
      <c r="C11" s="3315"/>
      <c r="D11" s="3315"/>
      <c r="E11" s="3315"/>
      <c r="F11" s="3315"/>
      <c r="G11" s="3315" t="s">
        <v>108</v>
      </c>
      <c r="H11" s="3315"/>
      <c r="I11" s="3315"/>
      <c r="J11" s="3315"/>
      <c r="K11" s="3316"/>
    </row>
    <row r="12" spans="2:11">
      <c r="B12" s="3634" t="s">
        <v>89</v>
      </c>
      <c r="C12" s="3635"/>
      <c r="D12" s="3635"/>
      <c r="E12" s="3635"/>
      <c r="F12" s="3635"/>
      <c r="G12" s="3635"/>
      <c r="H12" s="3635"/>
      <c r="I12" s="3635"/>
      <c r="J12" s="3635"/>
      <c r="K12" s="3636"/>
    </row>
    <row r="13" spans="2:11">
      <c r="B13" s="3634" t="s">
        <v>5</v>
      </c>
      <c r="C13" s="3635"/>
      <c r="D13" s="3635"/>
      <c r="E13" s="3635"/>
      <c r="F13" s="3637"/>
      <c r="G13" s="3638" t="s">
        <v>90</v>
      </c>
      <c r="H13" s="3639"/>
      <c r="I13" s="3638" t="s">
        <v>7</v>
      </c>
      <c r="J13" s="3640"/>
      <c r="K13" s="3641"/>
    </row>
    <row r="14" spans="2:11" ht="16.5" customHeight="1">
      <c r="B14" s="3387" t="s">
        <v>8</v>
      </c>
      <c r="C14" s="3388"/>
      <c r="D14" s="3388"/>
      <c r="E14" s="3388"/>
      <c r="F14" s="3389"/>
      <c r="G14" s="3350" t="s">
        <v>1214</v>
      </c>
      <c r="H14" s="3351"/>
      <c r="I14" s="3390">
        <v>1</v>
      </c>
      <c r="J14" s="3348"/>
      <c r="K14" s="3391"/>
    </row>
    <row r="15" spans="2:11">
      <c r="B15" s="3397" t="s">
        <v>9</v>
      </c>
      <c r="C15" s="3348"/>
      <c r="D15" s="3348"/>
      <c r="E15" s="3348"/>
      <c r="F15" s="3349"/>
      <c r="G15" s="3398" t="s">
        <v>47</v>
      </c>
      <c r="H15" s="3353"/>
      <c r="I15" s="3344">
        <f>K24</f>
        <v>0</v>
      </c>
      <c r="J15" s="3345"/>
      <c r="K15" s="3346"/>
    </row>
    <row r="16" spans="2:11" ht="16.5" customHeight="1">
      <c r="B16" s="3347" t="s">
        <v>10</v>
      </c>
      <c r="C16" s="3348"/>
      <c r="D16" s="3348"/>
      <c r="E16" s="3348"/>
      <c r="F16" s="3349"/>
      <c r="G16" s="3350" t="s">
        <v>1213</v>
      </c>
      <c r="H16" s="3351"/>
      <c r="I16" s="3352">
        <v>1</v>
      </c>
      <c r="J16" s="3353"/>
      <c r="K16" s="3354"/>
    </row>
    <row r="17" spans="2:20" ht="15" customHeight="1">
      <c r="B17" s="3347" t="s">
        <v>11</v>
      </c>
      <c r="C17" s="3348"/>
      <c r="D17" s="3348"/>
      <c r="E17" s="3348"/>
      <c r="F17" s="3349"/>
      <c r="G17" s="3350" t="s">
        <v>1215</v>
      </c>
      <c r="H17" s="3351"/>
      <c r="I17" s="3352">
        <v>1</v>
      </c>
      <c r="J17" s="3353"/>
      <c r="K17" s="3354"/>
    </row>
    <row r="18" spans="2:20">
      <c r="B18" s="3486" t="s">
        <v>149</v>
      </c>
      <c r="C18" s="3487"/>
      <c r="D18" s="3487"/>
      <c r="E18" s="3487"/>
      <c r="F18" s="3487"/>
      <c r="G18" s="3487"/>
      <c r="H18" s="3487"/>
      <c r="I18" s="3487"/>
      <c r="J18" s="3487"/>
      <c r="K18" s="3488"/>
    </row>
    <row r="19" spans="2:20" ht="16.5" customHeight="1">
      <c r="B19" s="3645" t="s">
        <v>87</v>
      </c>
      <c r="C19" s="3646"/>
      <c r="D19" s="3646"/>
      <c r="E19" s="3646"/>
      <c r="F19" s="3646"/>
      <c r="G19" s="3646"/>
      <c r="H19" s="3646"/>
      <c r="I19" s="3646"/>
      <c r="J19" s="3646"/>
      <c r="K19" s="3647"/>
      <c r="L19" s="564"/>
      <c r="M19" s="305"/>
      <c r="N19" s="305"/>
      <c r="O19" s="305"/>
      <c r="P19" s="305"/>
      <c r="Q19" s="303"/>
      <c r="R19" s="303"/>
    </row>
    <row r="20" spans="2:20" ht="15" customHeight="1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  <c r="L20" s="3399" t="s">
        <v>158</v>
      </c>
      <c r="M20" s="3378"/>
      <c r="N20" s="3378"/>
      <c r="O20" s="3378"/>
      <c r="P20" s="3378"/>
      <c r="Q20" s="3378"/>
      <c r="R20" s="3378" t="s">
        <v>17</v>
      </c>
    </row>
    <row r="21" spans="2:20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608" t="s">
        <v>17</v>
      </c>
      <c r="L21" s="605"/>
      <c r="M21" s="1181"/>
      <c r="N21" s="1181"/>
      <c r="O21" s="1181"/>
      <c r="P21" s="1181"/>
      <c r="Q21" s="1181"/>
      <c r="R21" s="3378"/>
    </row>
    <row r="22" spans="2:20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1179" t="s">
        <v>177</v>
      </c>
      <c r="M22" s="1180" t="s">
        <v>594</v>
      </c>
      <c r="N22" s="1180" t="s">
        <v>651</v>
      </c>
      <c r="O22" s="1180" t="s">
        <v>595</v>
      </c>
      <c r="P22" s="1180" t="s">
        <v>652</v>
      </c>
      <c r="Q22" s="1180" t="s">
        <v>593</v>
      </c>
      <c r="R22" s="3379"/>
    </row>
    <row r="23" spans="2:20">
      <c r="B23" s="3364">
        <v>1</v>
      </c>
      <c r="C23" s="3358"/>
      <c r="D23" s="3358"/>
      <c r="E23" s="3358"/>
      <c r="F23" s="3365"/>
      <c r="G23" s="425">
        <v>2</v>
      </c>
      <c r="H23" s="368">
        <v>3</v>
      </c>
      <c r="I23" s="368">
        <v>4</v>
      </c>
      <c r="J23" s="368">
        <v>5</v>
      </c>
      <c r="K23" s="426" t="s">
        <v>22</v>
      </c>
      <c r="L23" s="605">
        <v>6</v>
      </c>
      <c r="M23" s="1181">
        <v>7</v>
      </c>
      <c r="N23" s="1181">
        <v>8</v>
      </c>
      <c r="O23" s="1181">
        <v>9</v>
      </c>
      <c r="P23" s="1181">
        <v>10</v>
      </c>
      <c r="Q23" s="1181">
        <v>11</v>
      </c>
      <c r="R23" s="1181">
        <v>12</v>
      </c>
    </row>
    <row r="24" spans="2:20" ht="12.75" customHeight="1">
      <c r="B24" s="429">
        <v>5</v>
      </c>
      <c r="C24" s="424">
        <v>2</v>
      </c>
      <c r="D24" s="424"/>
      <c r="E24" s="424"/>
      <c r="F24" s="424"/>
      <c r="G24" s="396" t="s">
        <v>23</v>
      </c>
      <c r="H24" s="591"/>
      <c r="I24" s="396"/>
      <c r="J24" s="396"/>
      <c r="K24" s="648">
        <f>+K25</f>
        <v>0</v>
      </c>
      <c r="L24" s="564"/>
      <c r="M24" s="305"/>
      <c r="N24" s="305"/>
      <c r="O24" s="305"/>
      <c r="P24" s="305"/>
      <c r="Q24" s="303"/>
      <c r="R24" s="303"/>
    </row>
    <row r="25" spans="2:20" ht="12.75" customHeight="1">
      <c r="B25" s="429">
        <v>5</v>
      </c>
      <c r="C25" s="424">
        <v>2</v>
      </c>
      <c r="D25" s="424">
        <v>2</v>
      </c>
      <c r="E25" s="430"/>
      <c r="F25" s="430"/>
      <c r="G25" s="1919" t="s">
        <v>43</v>
      </c>
      <c r="H25" s="599"/>
      <c r="I25" s="391"/>
      <c r="J25" s="391"/>
      <c r="K25" s="648">
        <f>K26</f>
        <v>0</v>
      </c>
      <c r="L25" s="564"/>
      <c r="M25" s="305"/>
      <c r="N25" s="305"/>
      <c r="O25" s="305"/>
      <c r="P25" s="305"/>
      <c r="Q25" s="306"/>
      <c r="R25" s="306"/>
    </row>
    <row r="26" spans="2:20" s="27" customFormat="1" ht="15">
      <c r="B26" s="585">
        <v>5</v>
      </c>
      <c r="C26" s="371">
        <v>2</v>
      </c>
      <c r="D26" s="371">
        <v>2</v>
      </c>
      <c r="E26" s="372">
        <v>19</v>
      </c>
      <c r="F26" s="372"/>
      <c r="G26" s="2245" t="s">
        <v>1074</v>
      </c>
      <c r="H26" s="652"/>
      <c r="I26" s="586"/>
      <c r="J26" s="587"/>
      <c r="K26" s="653">
        <f>+K27</f>
        <v>0</v>
      </c>
      <c r="L26" s="386"/>
      <c r="M26" s="329"/>
      <c r="N26" s="330"/>
      <c r="O26" s="330"/>
      <c r="P26" s="330"/>
      <c r="Q26" s="319"/>
      <c r="R26" s="306"/>
    </row>
    <row r="27" spans="2:20" ht="15">
      <c r="B27" s="585">
        <v>5</v>
      </c>
      <c r="C27" s="371">
        <v>2</v>
      </c>
      <c r="D27" s="371">
        <v>2</v>
      </c>
      <c r="E27" s="372">
        <v>19</v>
      </c>
      <c r="F27" s="372" t="s">
        <v>25</v>
      </c>
      <c r="G27" s="2246" t="s">
        <v>1073</v>
      </c>
      <c r="H27" s="599"/>
      <c r="I27" s="380"/>
      <c r="J27" s="438"/>
      <c r="K27" s="653">
        <f>SUM(K28:K29)</f>
        <v>0</v>
      </c>
      <c r="L27" s="564"/>
      <c r="M27" s="308"/>
      <c r="N27" s="309"/>
      <c r="O27" s="309"/>
      <c r="P27" s="309"/>
      <c r="Q27" s="306"/>
      <c r="R27" s="306"/>
    </row>
    <row r="28" spans="2:20" ht="12.75" customHeight="1">
      <c r="B28" s="429"/>
      <c r="C28" s="424"/>
      <c r="D28" s="424"/>
      <c r="E28" s="424"/>
      <c r="F28" s="424"/>
      <c r="G28" s="572" t="s">
        <v>1560</v>
      </c>
      <c r="H28" s="602"/>
      <c r="I28" s="603" t="s">
        <v>29</v>
      </c>
      <c r="J28" s="604">
        <v>48354000</v>
      </c>
      <c r="K28" s="598">
        <f>H28*J28</f>
        <v>0</v>
      </c>
      <c r="L28" s="564">
        <f>K28</f>
        <v>0</v>
      </c>
      <c r="M28" s="667"/>
      <c r="N28" s="377"/>
      <c r="O28" s="385"/>
      <c r="P28" s="385"/>
      <c r="Q28" s="385"/>
      <c r="R28" s="385"/>
    </row>
    <row r="29" spans="2:20" ht="12.75" customHeight="1">
      <c r="B29" s="429"/>
      <c r="C29" s="424"/>
      <c r="D29" s="424"/>
      <c r="E29" s="424"/>
      <c r="F29" s="424"/>
      <c r="G29" s="572"/>
      <c r="H29" s="602"/>
      <c r="I29" s="603"/>
      <c r="J29" s="604"/>
      <c r="K29" s="896"/>
      <c r="L29" s="564"/>
      <c r="M29" s="668"/>
      <c r="N29" s="377"/>
      <c r="O29" s="385"/>
      <c r="P29" s="385"/>
      <c r="Q29" s="385"/>
      <c r="R29" s="385"/>
    </row>
    <row r="30" spans="2:20" ht="14.45" customHeight="1" thickBot="1">
      <c r="B30" s="3642" t="s">
        <v>30</v>
      </c>
      <c r="C30" s="3643"/>
      <c r="D30" s="3643"/>
      <c r="E30" s="3643"/>
      <c r="F30" s="3643"/>
      <c r="G30" s="3643"/>
      <c r="H30" s="3643"/>
      <c r="I30" s="3643"/>
      <c r="J30" s="3644"/>
      <c r="K30" s="655">
        <f>K24</f>
        <v>0</v>
      </c>
      <c r="L30" s="564">
        <f t="shared" ref="L30:Q30" si="0">SUM(L24:L29)</f>
        <v>0</v>
      </c>
      <c r="M30" s="564">
        <f t="shared" si="0"/>
        <v>0</v>
      </c>
      <c r="N30" s="564">
        <f t="shared" si="0"/>
        <v>0</v>
      </c>
      <c r="O30" s="564">
        <f t="shared" si="0"/>
        <v>0</v>
      </c>
      <c r="P30" s="564">
        <f t="shared" si="0"/>
        <v>0</v>
      </c>
      <c r="Q30" s="564">
        <f t="shared" si="0"/>
        <v>0</v>
      </c>
      <c r="R30" s="314">
        <f>SUM(L30:Q30)</f>
        <v>0</v>
      </c>
      <c r="S30" s="41">
        <v>675000000</v>
      </c>
      <c r="T30" s="158">
        <f>S30-K30</f>
        <v>675000000</v>
      </c>
    </row>
    <row r="31" spans="2:20" ht="15.75" thickTop="1">
      <c r="K31" s="41"/>
      <c r="L31" s="305"/>
      <c r="M31" s="310"/>
      <c r="N31" s="306"/>
      <c r="O31" s="306"/>
      <c r="P31" s="306"/>
      <c r="Q31" s="306"/>
      <c r="R31" s="306"/>
    </row>
    <row r="32" spans="2:20" ht="15">
      <c r="K32" s="41"/>
      <c r="L32" s="564"/>
      <c r="M32" s="569"/>
      <c r="N32" s="378"/>
      <c r="O32" s="378"/>
      <c r="P32" s="378"/>
      <c r="Q32" s="378"/>
      <c r="R32" s="378"/>
    </row>
    <row r="33" spans="7:18" ht="15">
      <c r="H33" s="3336" t="s">
        <v>1534</v>
      </c>
      <c r="I33" s="3336"/>
      <c r="J33" s="3336"/>
      <c r="K33" s="945"/>
      <c r="L33" s="564"/>
      <c r="M33" s="310"/>
      <c r="N33" s="306"/>
      <c r="O33" s="306"/>
      <c r="P33" s="306"/>
      <c r="Q33" s="306"/>
      <c r="R33" s="306"/>
    </row>
    <row r="34" spans="7:18" ht="15">
      <c r="H34" s="3337" t="s">
        <v>272</v>
      </c>
      <c r="I34" s="3337"/>
      <c r="J34" s="3485"/>
      <c r="K34" s="8"/>
      <c r="L34" s="564"/>
      <c r="M34" s="310"/>
      <c r="N34" s="306"/>
      <c r="O34" s="306"/>
      <c r="P34" s="306"/>
      <c r="Q34" s="306"/>
      <c r="R34" s="306"/>
    </row>
    <row r="35" spans="7:18" ht="15">
      <c r="H35" s="127"/>
      <c r="I35" s="127"/>
      <c r="J35" s="127"/>
      <c r="K35" s="8"/>
      <c r="L35" s="564"/>
      <c r="M35" s="310"/>
      <c r="N35" s="306"/>
      <c r="O35" s="306"/>
      <c r="P35" s="306"/>
      <c r="Q35" s="306"/>
      <c r="R35" s="306"/>
    </row>
    <row r="36" spans="7:18" ht="15">
      <c r="H36" s="127"/>
      <c r="I36" s="127"/>
      <c r="J36" s="127"/>
      <c r="K36" s="936"/>
      <c r="L36" s="564"/>
      <c r="M36" s="310"/>
      <c r="N36" s="306"/>
      <c r="O36" s="306"/>
      <c r="P36" s="306"/>
      <c r="Q36" s="306"/>
      <c r="R36" s="306"/>
    </row>
    <row r="37" spans="7:18" ht="15">
      <c r="H37" s="3434" t="s">
        <v>904</v>
      </c>
      <c r="I37" s="3434"/>
      <c r="J37" s="3434"/>
      <c r="K37" s="8"/>
      <c r="L37" s="564"/>
      <c r="M37" s="310"/>
      <c r="N37" s="306"/>
      <c r="O37" s="306"/>
      <c r="P37" s="306"/>
      <c r="Q37" s="306"/>
      <c r="R37" s="306"/>
    </row>
    <row r="38" spans="7:18" ht="15">
      <c r="H38" s="3434" t="s">
        <v>906</v>
      </c>
      <c r="I38" s="3434"/>
      <c r="J38" s="3434"/>
      <c r="K38" s="8"/>
      <c r="L38" s="564"/>
      <c r="M38" s="310"/>
      <c r="N38" s="306"/>
      <c r="O38" s="306"/>
      <c r="P38" s="306"/>
      <c r="Q38" s="306"/>
      <c r="R38" s="306"/>
    </row>
    <row r="39" spans="7:18" ht="15">
      <c r="L39" s="305"/>
      <c r="M39" s="310"/>
      <c r="N39" s="306"/>
      <c r="O39" s="306"/>
      <c r="P39" s="306"/>
      <c r="Q39" s="306"/>
      <c r="R39" s="306"/>
    </row>
    <row r="40" spans="7:18" ht="15">
      <c r="G40" s="9" t="s">
        <v>848</v>
      </c>
      <c r="J40" s="9">
        <v>156900000</v>
      </c>
      <c r="K40" s="9">
        <v>896000000</v>
      </c>
      <c r="L40" s="305"/>
      <c r="M40" s="310"/>
      <c r="N40" s="306"/>
      <c r="O40" s="306"/>
      <c r="P40" s="306"/>
      <c r="Q40" s="306"/>
      <c r="R40" s="306"/>
    </row>
    <row r="41" spans="7:18" ht="15">
      <c r="G41" s="9" t="s">
        <v>849</v>
      </c>
      <c r="J41" s="9">
        <v>130240000</v>
      </c>
      <c r="K41" s="142">
        <f>K40-K30</f>
        <v>896000000</v>
      </c>
      <c r="L41" s="305"/>
      <c r="M41" s="310"/>
      <c r="N41" s="306"/>
      <c r="O41" s="306"/>
      <c r="P41" s="306"/>
      <c r="Q41" s="306"/>
      <c r="R41" s="306"/>
    </row>
    <row r="42" spans="7:18" ht="15">
      <c r="J42" s="9">
        <f>SUM(J40:J41)</f>
        <v>287140000</v>
      </c>
      <c r="L42" s="305"/>
      <c r="M42" s="310"/>
      <c r="N42" s="306"/>
      <c r="O42" s="306"/>
      <c r="P42" s="306"/>
      <c r="Q42" s="306"/>
      <c r="R42" s="306"/>
    </row>
    <row r="43" spans="7:18" ht="15">
      <c r="L43" s="305"/>
      <c r="M43" s="310"/>
      <c r="N43" s="306"/>
      <c r="O43" s="306"/>
      <c r="P43" s="306"/>
      <c r="Q43" s="306"/>
      <c r="R43" s="306"/>
    </row>
    <row r="44" spans="7:18" ht="15">
      <c r="L44" s="305"/>
      <c r="M44" s="310"/>
      <c r="N44" s="306"/>
      <c r="O44" s="306"/>
      <c r="P44" s="306"/>
      <c r="Q44" s="306"/>
      <c r="R44" s="306"/>
    </row>
    <row r="45" spans="7:18" ht="15">
      <c r="L45" s="305"/>
      <c r="M45" s="310"/>
      <c r="N45" s="306"/>
      <c r="O45" s="306"/>
      <c r="P45" s="306"/>
      <c r="Q45" s="306"/>
      <c r="R45" s="306"/>
    </row>
    <row r="46" spans="7:18" ht="15">
      <c r="L46" s="305"/>
      <c r="M46" s="310"/>
      <c r="N46" s="306"/>
      <c r="O46" s="306"/>
      <c r="P46" s="306"/>
      <c r="Q46" s="306"/>
      <c r="R46" s="306"/>
    </row>
    <row r="47" spans="7:18" ht="15">
      <c r="L47" s="305"/>
      <c r="M47" s="310"/>
      <c r="N47" s="306"/>
      <c r="O47" s="306"/>
      <c r="P47" s="306"/>
      <c r="Q47" s="306"/>
      <c r="R47" s="306"/>
    </row>
    <row r="48" spans="7:18" ht="15">
      <c r="L48" s="305"/>
      <c r="M48" s="310"/>
      <c r="N48" s="306"/>
      <c r="O48" s="306"/>
      <c r="P48" s="306"/>
      <c r="Q48" s="306"/>
      <c r="R48" s="306"/>
    </row>
    <row r="49" spans="12:18" ht="15">
      <c r="L49" s="305"/>
      <c r="M49" s="310"/>
      <c r="N49" s="306"/>
      <c r="O49" s="306"/>
      <c r="P49" s="306"/>
      <c r="Q49" s="306"/>
      <c r="R49" s="306"/>
    </row>
    <row r="50" spans="12:18" ht="15">
      <c r="L50" s="305"/>
      <c r="M50" s="310"/>
      <c r="N50" s="306"/>
      <c r="O50" s="306"/>
      <c r="P50" s="306"/>
      <c r="Q50" s="306"/>
      <c r="R50" s="306"/>
    </row>
    <row r="51" spans="12:18" ht="15">
      <c r="L51" s="305"/>
      <c r="M51" s="310"/>
      <c r="N51" s="306"/>
      <c r="O51" s="306"/>
      <c r="P51" s="306"/>
      <c r="Q51" s="306"/>
      <c r="R51" s="306"/>
    </row>
    <row r="52" spans="12:18" ht="15">
      <c r="L52" s="305"/>
      <c r="M52" s="310"/>
      <c r="N52" s="306"/>
      <c r="O52" s="306"/>
      <c r="P52" s="306"/>
      <c r="Q52" s="306"/>
      <c r="R52" s="306"/>
    </row>
    <row r="53" spans="12:18" ht="15">
      <c r="L53" s="305"/>
      <c r="M53" s="310"/>
      <c r="N53" s="306"/>
      <c r="O53" s="306"/>
      <c r="P53" s="306"/>
      <c r="Q53" s="306"/>
      <c r="R53" s="306"/>
    </row>
    <row r="54" spans="12:18" ht="15">
      <c r="L54" s="305"/>
      <c r="M54" s="310"/>
      <c r="N54" s="306"/>
      <c r="O54" s="306"/>
      <c r="P54" s="306"/>
      <c r="Q54" s="306"/>
      <c r="R54" s="306"/>
    </row>
    <row r="55" spans="12:18" ht="15">
      <c r="L55" s="305"/>
      <c r="M55" s="310"/>
      <c r="N55" s="306"/>
      <c r="O55" s="306"/>
      <c r="P55" s="306"/>
      <c r="Q55" s="306"/>
      <c r="R55" s="306"/>
    </row>
    <row r="56" spans="12:18" ht="15">
      <c r="L56" s="305"/>
      <c r="M56" s="310"/>
      <c r="N56" s="306"/>
      <c r="O56" s="306"/>
      <c r="P56" s="306"/>
      <c r="Q56" s="306"/>
      <c r="R56" s="306"/>
    </row>
    <row r="57" spans="12:18" ht="15">
      <c r="L57" s="305"/>
      <c r="M57" s="310"/>
      <c r="N57" s="306"/>
      <c r="O57" s="306"/>
      <c r="P57" s="306"/>
      <c r="Q57" s="306"/>
      <c r="R57" s="306"/>
    </row>
    <row r="58" spans="12:18" ht="15">
      <c r="L58" s="305"/>
      <c r="M58" s="310"/>
      <c r="N58" s="306"/>
      <c r="O58" s="306"/>
      <c r="P58" s="306"/>
      <c r="Q58" s="306"/>
      <c r="R58" s="306"/>
    </row>
    <row r="59" spans="12:18" ht="15">
      <c r="L59" s="305"/>
      <c r="M59" s="310"/>
      <c r="N59" s="306"/>
      <c r="O59" s="306"/>
      <c r="P59" s="306"/>
      <c r="Q59" s="306"/>
      <c r="R59" s="306"/>
    </row>
    <row r="60" spans="12:18" ht="15">
      <c r="L60" s="305"/>
      <c r="M60" s="310"/>
      <c r="N60" s="306"/>
      <c r="O60" s="306"/>
      <c r="P60" s="306"/>
      <c r="Q60" s="306"/>
      <c r="R60" s="306"/>
    </row>
    <row r="61" spans="12:18" ht="15">
      <c r="L61" s="305"/>
      <c r="M61" s="310"/>
      <c r="N61" s="306"/>
      <c r="O61" s="306"/>
      <c r="P61" s="306"/>
      <c r="Q61" s="306"/>
      <c r="R61" s="306"/>
    </row>
    <row r="62" spans="12:18" ht="15">
      <c r="L62" s="305"/>
      <c r="M62" s="310"/>
      <c r="N62" s="306"/>
      <c r="O62" s="306"/>
      <c r="P62" s="306"/>
      <c r="Q62" s="306"/>
      <c r="R62" s="306"/>
    </row>
    <row r="63" spans="12:18" ht="15">
      <c r="L63" s="305"/>
      <c r="M63" s="310"/>
      <c r="N63" s="306"/>
      <c r="O63" s="306"/>
      <c r="P63" s="306"/>
      <c r="Q63" s="306"/>
      <c r="R63" s="306"/>
    </row>
    <row r="64" spans="12:18" ht="15">
      <c r="L64" s="305"/>
      <c r="M64" s="310"/>
      <c r="N64" s="306"/>
      <c r="O64" s="306"/>
      <c r="P64" s="306"/>
      <c r="Q64" s="306"/>
      <c r="R64" s="306"/>
    </row>
    <row r="65" spans="12:18" ht="15">
      <c r="L65" s="305"/>
      <c r="M65" s="310"/>
      <c r="N65" s="306"/>
      <c r="O65" s="306"/>
      <c r="P65" s="306"/>
      <c r="Q65" s="306"/>
      <c r="R65" s="306"/>
    </row>
    <row r="66" spans="12:18" ht="15">
      <c r="L66" s="305"/>
      <c r="M66" s="310"/>
      <c r="N66" s="306"/>
      <c r="O66" s="306"/>
      <c r="P66" s="306"/>
      <c r="Q66" s="306"/>
      <c r="R66" s="306"/>
    </row>
    <row r="67" spans="12:18" ht="15">
      <c r="L67" s="305"/>
      <c r="M67" s="310"/>
      <c r="N67" s="306"/>
      <c r="O67" s="306"/>
      <c r="P67" s="306"/>
      <c r="Q67" s="306"/>
      <c r="R67" s="306"/>
    </row>
    <row r="68" spans="12:18" ht="15">
      <c r="L68" s="305"/>
      <c r="M68" s="310"/>
      <c r="N68" s="306"/>
      <c r="O68" s="306"/>
      <c r="P68" s="306"/>
      <c r="Q68" s="306"/>
      <c r="R68" s="306"/>
    </row>
    <row r="69" spans="12:18" ht="15">
      <c r="L69" s="305"/>
      <c r="M69" s="310"/>
      <c r="N69" s="306"/>
      <c r="O69" s="306"/>
      <c r="P69" s="306"/>
      <c r="Q69" s="306"/>
      <c r="R69" s="306"/>
    </row>
    <row r="70" spans="12:18" ht="15">
      <c r="L70" s="305"/>
      <c r="M70" s="310"/>
      <c r="N70" s="306"/>
      <c r="O70" s="306"/>
      <c r="P70" s="306"/>
      <c r="Q70" s="306"/>
      <c r="R70" s="306"/>
    </row>
    <row r="71" spans="12:18" ht="15">
      <c r="L71" s="305"/>
      <c r="M71" s="310"/>
      <c r="N71" s="306"/>
      <c r="O71" s="306"/>
      <c r="P71" s="306"/>
      <c r="Q71" s="306"/>
      <c r="R71" s="306"/>
    </row>
    <row r="72" spans="12:18" ht="15">
      <c r="L72" s="305"/>
      <c r="M72" s="310"/>
      <c r="N72" s="306"/>
      <c r="O72" s="306"/>
      <c r="P72" s="306"/>
      <c r="Q72" s="306"/>
      <c r="R72" s="306"/>
    </row>
    <row r="73" spans="12:18" ht="15">
      <c r="L73" s="305"/>
      <c r="M73" s="310"/>
      <c r="N73" s="306"/>
      <c r="O73" s="306"/>
      <c r="P73" s="306"/>
      <c r="Q73" s="306"/>
      <c r="R73" s="306"/>
    </row>
    <row r="74" spans="12:18" ht="15">
      <c r="L74" s="305"/>
      <c r="M74" s="310"/>
      <c r="N74" s="306"/>
      <c r="O74" s="306"/>
      <c r="P74" s="306"/>
      <c r="Q74" s="306"/>
      <c r="R74" s="306"/>
    </row>
    <row r="75" spans="12:18" ht="15">
      <c r="L75" s="305"/>
      <c r="M75" s="310"/>
      <c r="N75" s="306"/>
      <c r="O75" s="306"/>
      <c r="P75" s="306"/>
      <c r="Q75" s="306"/>
      <c r="R75" s="306"/>
    </row>
    <row r="76" spans="12:18" ht="15">
      <c r="L76" s="305"/>
      <c r="M76" s="310"/>
      <c r="N76" s="306"/>
      <c r="O76" s="306"/>
      <c r="P76" s="306"/>
      <c r="Q76" s="306"/>
      <c r="R76" s="306"/>
    </row>
    <row r="77" spans="12:18" ht="15">
      <c r="L77" s="305"/>
      <c r="M77" s="310"/>
      <c r="N77" s="306"/>
      <c r="O77" s="306"/>
      <c r="P77" s="306"/>
      <c r="Q77" s="306"/>
      <c r="R77" s="306"/>
    </row>
    <row r="78" spans="12:18" ht="15">
      <c r="L78" s="305"/>
      <c r="M78" s="310"/>
      <c r="N78" s="306"/>
      <c r="O78" s="306"/>
      <c r="P78" s="306"/>
      <c r="Q78" s="306"/>
      <c r="R78" s="306"/>
    </row>
    <row r="79" spans="12:18" ht="15">
      <c r="L79" s="305"/>
      <c r="M79" s="310"/>
      <c r="N79" s="306"/>
      <c r="O79" s="306"/>
      <c r="P79" s="306"/>
      <c r="Q79" s="306"/>
      <c r="R79" s="306"/>
    </row>
    <row r="80" spans="12:18" ht="15">
      <c r="L80" s="305"/>
      <c r="M80" s="310"/>
      <c r="N80" s="306"/>
      <c r="O80" s="306"/>
      <c r="P80" s="306"/>
      <c r="Q80" s="306"/>
      <c r="R80" s="306"/>
    </row>
    <row r="81" spans="12:18" ht="15">
      <c r="L81" s="305"/>
      <c r="M81" s="310"/>
      <c r="N81" s="306"/>
      <c r="O81" s="306"/>
      <c r="P81" s="306"/>
      <c r="Q81" s="306"/>
      <c r="R81" s="306"/>
    </row>
    <row r="82" spans="12:18" ht="15">
      <c r="L82" s="305"/>
      <c r="M82" s="310"/>
      <c r="N82" s="306"/>
      <c r="O82" s="306"/>
      <c r="P82" s="306"/>
      <c r="Q82" s="306"/>
      <c r="R82" s="306"/>
    </row>
    <row r="83" spans="12:18" ht="15">
      <c r="L83" s="305"/>
      <c r="M83" s="310"/>
      <c r="N83" s="306"/>
      <c r="O83" s="306"/>
      <c r="P83" s="306"/>
      <c r="Q83" s="306"/>
      <c r="R83" s="306"/>
    </row>
    <row r="84" spans="12:18" ht="15">
      <c r="L84" s="305"/>
      <c r="M84" s="310"/>
      <c r="N84" s="306"/>
      <c r="O84" s="306"/>
      <c r="P84" s="306"/>
      <c r="Q84" s="306"/>
      <c r="R84" s="306"/>
    </row>
    <row r="85" spans="12:18" ht="15">
      <c r="L85" s="305"/>
      <c r="M85" s="310"/>
      <c r="N85" s="306"/>
      <c r="O85" s="306"/>
      <c r="P85" s="306"/>
      <c r="Q85" s="306"/>
      <c r="R85" s="306"/>
    </row>
    <row r="86" spans="12:18" ht="15">
      <c r="L86" s="305"/>
      <c r="M86" s="310"/>
      <c r="N86" s="306"/>
      <c r="O86" s="306"/>
      <c r="P86" s="306"/>
      <c r="Q86" s="306"/>
      <c r="R86" s="306"/>
    </row>
    <row r="87" spans="12:18" ht="15">
      <c r="L87" s="305"/>
      <c r="M87" s="310"/>
      <c r="N87" s="306"/>
      <c r="O87" s="306"/>
      <c r="P87" s="306"/>
      <c r="Q87" s="306"/>
      <c r="R87" s="306"/>
    </row>
    <row r="88" spans="12:18" ht="15">
      <c r="L88" s="305"/>
      <c r="M88" s="310"/>
      <c r="N88" s="306"/>
      <c r="O88" s="306"/>
      <c r="P88" s="306"/>
      <c r="Q88" s="306"/>
      <c r="R88" s="306"/>
    </row>
    <row r="89" spans="12:18" ht="15">
      <c r="L89" s="305"/>
      <c r="M89" s="310"/>
      <c r="N89" s="306"/>
      <c r="O89" s="306"/>
      <c r="P89" s="306"/>
      <c r="Q89" s="306"/>
      <c r="R89" s="306"/>
    </row>
    <row r="90" spans="12:18" ht="15">
      <c r="L90" s="305"/>
      <c r="M90" s="310"/>
      <c r="N90" s="306"/>
      <c r="O90" s="306"/>
      <c r="P90" s="306"/>
      <c r="Q90" s="306"/>
      <c r="R90" s="306"/>
    </row>
    <row r="91" spans="12:18" ht="15">
      <c r="L91" s="306"/>
      <c r="M91" s="306"/>
      <c r="N91" s="306"/>
      <c r="O91" s="306"/>
      <c r="P91" s="306"/>
      <c r="Q91" s="306"/>
      <c r="R91" s="306"/>
    </row>
  </sheetData>
  <mergeCells count="50">
    <mergeCell ref="B30:J30"/>
    <mergeCell ref="H33:J33"/>
    <mergeCell ref="H34:J34"/>
    <mergeCell ref="H37:J37"/>
    <mergeCell ref="H38:J38"/>
    <mergeCell ref="L20:Q20"/>
    <mergeCell ref="R20:R22"/>
    <mergeCell ref="B21:F22"/>
    <mergeCell ref="G21:G22"/>
    <mergeCell ref="H21:J21"/>
    <mergeCell ref="B23:F23"/>
    <mergeCell ref="B17:F17"/>
    <mergeCell ref="G17:H17"/>
    <mergeCell ref="I17:K17"/>
    <mergeCell ref="B18:K18"/>
    <mergeCell ref="B19:K19"/>
    <mergeCell ref="B20:K20"/>
    <mergeCell ref="B15:F15"/>
    <mergeCell ref="G15:H15"/>
    <mergeCell ref="I15:K15"/>
    <mergeCell ref="B16:F16"/>
    <mergeCell ref="G16:H16"/>
    <mergeCell ref="I16:K16"/>
    <mergeCell ref="B12:K12"/>
    <mergeCell ref="B13:F13"/>
    <mergeCell ref="G13:H13"/>
    <mergeCell ref="I13:K13"/>
    <mergeCell ref="B14:F14"/>
    <mergeCell ref="G14:H14"/>
    <mergeCell ref="I14:K14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:K1"/>
    <mergeCell ref="B2:D3"/>
    <mergeCell ref="E2:H2"/>
    <mergeCell ref="I2:J2"/>
    <mergeCell ref="E3:H3"/>
    <mergeCell ref="I3:J3"/>
  </mergeCells>
  <pageMargins left="0.23622047244094491" right="0.19685039370078741" top="0.55118110236220474" bottom="0.51181102362204722" header="0.31496062992125984" footer="0.23622047244094491"/>
  <pageSetup paperSize="5" scale="95" orientation="portrait" horizontalDpi="4294967293" verticalDpi="4294967293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7030A0"/>
  </sheetPr>
  <dimension ref="B1:T118"/>
  <sheetViews>
    <sheetView view="pageBreakPreview" topLeftCell="A9" zoomScaleNormal="120" zoomScaleSheetLayoutView="100" workbookViewId="0">
      <selection activeCell="B26" sqref="B26:K29"/>
    </sheetView>
  </sheetViews>
  <sheetFormatPr defaultColWidth="8.85546875" defaultRowHeight="12.75"/>
  <cols>
    <col min="1" max="1" width="1.140625" style="9" customWidth="1"/>
    <col min="2" max="2" width="3.28515625" style="9" customWidth="1"/>
    <col min="3" max="4" width="3.140625" style="9" customWidth="1"/>
    <col min="5" max="5" width="3.28515625" style="9" customWidth="1"/>
    <col min="6" max="6" width="3.5703125" style="9" customWidth="1"/>
    <col min="7" max="7" width="44.28515625" style="9" customWidth="1"/>
    <col min="8" max="8" width="8" style="9" customWidth="1"/>
    <col min="9" max="9" width="8.28515625" style="9" customWidth="1"/>
    <col min="10" max="10" width="14.28515625" style="9" bestFit="1" customWidth="1"/>
    <col min="11" max="11" width="14.28515625" style="9" customWidth="1"/>
    <col min="12" max="12" width="13.42578125" style="9" bestFit="1" customWidth="1"/>
    <col min="13" max="13" width="15.5703125" style="9" bestFit="1" customWidth="1"/>
    <col min="14" max="14" width="13.42578125" style="9" bestFit="1" customWidth="1"/>
    <col min="15" max="17" width="6.42578125" style="9" bestFit="1" customWidth="1"/>
    <col min="18" max="18" width="18.28515625" style="9" bestFit="1" customWidth="1"/>
    <col min="19" max="19" width="15.28515625" style="9" bestFit="1" customWidth="1"/>
    <col min="20" max="20" width="14.28515625" style="9" bestFit="1" customWidth="1"/>
    <col min="21" max="246" width="8.85546875" style="9"/>
    <col min="247" max="247" width="1.140625" style="9" customWidth="1"/>
    <col min="248" max="248" width="3.28515625" style="9" customWidth="1"/>
    <col min="249" max="249" width="2.42578125" style="9" customWidth="1"/>
    <col min="250" max="250" width="2.5703125" style="9" customWidth="1"/>
    <col min="251" max="251" width="2.85546875" style="9" customWidth="1"/>
    <col min="252" max="252" width="3" style="9" customWidth="1"/>
    <col min="253" max="253" width="24.7109375" style="9" customWidth="1"/>
    <col min="254" max="254" width="7.85546875" style="9" customWidth="1"/>
    <col min="255" max="255" width="7.42578125" style="9" customWidth="1"/>
    <col min="256" max="256" width="11.140625" style="9" customWidth="1"/>
    <col min="257" max="257" width="14.42578125" style="9" customWidth="1"/>
    <col min="258" max="258" width="3.42578125" style="9" customWidth="1"/>
    <col min="259" max="259" width="3" style="9" customWidth="1"/>
    <col min="260" max="260" width="3.28515625" style="9" customWidth="1"/>
    <col min="261" max="261" width="3.140625" style="9" customWidth="1"/>
    <col min="262" max="262" width="3.42578125" style="9" customWidth="1"/>
    <col min="263" max="263" width="24.7109375" style="9" customWidth="1"/>
    <col min="264" max="264" width="7.85546875" style="9" customWidth="1"/>
    <col min="265" max="265" width="7.28515625" style="9" customWidth="1"/>
    <col min="266" max="266" width="11.7109375" style="9" bestFit="1" customWidth="1"/>
    <col min="267" max="267" width="14.42578125" style="9" customWidth="1"/>
    <col min="268" max="268" width="8.85546875" style="9"/>
    <col min="269" max="269" width="14.28515625" style="9" bestFit="1" customWidth="1"/>
    <col min="270" max="270" width="10" style="9" customWidth="1"/>
    <col min="271" max="502" width="8.85546875" style="9"/>
    <col min="503" max="503" width="1.140625" style="9" customWidth="1"/>
    <col min="504" max="504" width="3.28515625" style="9" customWidth="1"/>
    <col min="505" max="505" width="2.42578125" style="9" customWidth="1"/>
    <col min="506" max="506" width="2.5703125" style="9" customWidth="1"/>
    <col min="507" max="507" width="2.85546875" style="9" customWidth="1"/>
    <col min="508" max="508" width="3" style="9" customWidth="1"/>
    <col min="509" max="509" width="24.7109375" style="9" customWidth="1"/>
    <col min="510" max="510" width="7.85546875" style="9" customWidth="1"/>
    <col min="511" max="511" width="7.42578125" style="9" customWidth="1"/>
    <col min="512" max="512" width="11.140625" style="9" customWidth="1"/>
    <col min="513" max="513" width="14.42578125" style="9" customWidth="1"/>
    <col min="514" max="514" width="3.42578125" style="9" customWidth="1"/>
    <col min="515" max="515" width="3" style="9" customWidth="1"/>
    <col min="516" max="516" width="3.28515625" style="9" customWidth="1"/>
    <col min="517" max="517" width="3.140625" style="9" customWidth="1"/>
    <col min="518" max="518" width="3.42578125" style="9" customWidth="1"/>
    <col min="519" max="519" width="24.7109375" style="9" customWidth="1"/>
    <col min="520" max="520" width="7.85546875" style="9" customWidth="1"/>
    <col min="521" max="521" width="7.28515625" style="9" customWidth="1"/>
    <col min="522" max="522" width="11.7109375" style="9" bestFit="1" customWidth="1"/>
    <col min="523" max="523" width="14.42578125" style="9" customWidth="1"/>
    <col min="524" max="524" width="8.85546875" style="9"/>
    <col min="525" max="525" width="14.28515625" style="9" bestFit="1" customWidth="1"/>
    <col min="526" max="526" width="10" style="9" customWidth="1"/>
    <col min="527" max="758" width="8.85546875" style="9"/>
    <col min="759" max="759" width="1.140625" style="9" customWidth="1"/>
    <col min="760" max="760" width="3.28515625" style="9" customWidth="1"/>
    <col min="761" max="761" width="2.42578125" style="9" customWidth="1"/>
    <col min="762" max="762" width="2.5703125" style="9" customWidth="1"/>
    <col min="763" max="763" width="2.85546875" style="9" customWidth="1"/>
    <col min="764" max="764" width="3" style="9" customWidth="1"/>
    <col min="765" max="765" width="24.7109375" style="9" customWidth="1"/>
    <col min="766" max="766" width="7.85546875" style="9" customWidth="1"/>
    <col min="767" max="767" width="7.42578125" style="9" customWidth="1"/>
    <col min="768" max="768" width="11.140625" style="9" customWidth="1"/>
    <col min="769" max="769" width="14.42578125" style="9" customWidth="1"/>
    <col min="770" max="770" width="3.42578125" style="9" customWidth="1"/>
    <col min="771" max="771" width="3" style="9" customWidth="1"/>
    <col min="772" max="772" width="3.28515625" style="9" customWidth="1"/>
    <col min="773" max="773" width="3.140625" style="9" customWidth="1"/>
    <col min="774" max="774" width="3.42578125" style="9" customWidth="1"/>
    <col min="775" max="775" width="24.7109375" style="9" customWidth="1"/>
    <col min="776" max="776" width="7.85546875" style="9" customWidth="1"/>
    <col min="777" max="777" width="7.28515625" style="9" customWidth="1"/>
    <col min="778" max="778" width="11.7109375" style="9" bestFit="1" customWidth="1"/>
    <col min="779" max="779" width="14.42578125" style="9" customWidth="1"/>
    <col min="780" max="780" width="8.85546875" style="9"/>
    <col min="781" max="781" width="14.28515625" style="9" bestFit="1" customWidth="1"/>
    <col min="782" max="782" width="10" style="9" customWidth="1"/>
    <col min="783" max="1014" width="8.85546875" style="9"/>
    <col min="1015" max="1015" width="1.140625" style="9" customWidth="1"/>
    <col min="1016" max="1016" width="3.28515625" style="9" customWidth="1"/>
    <col min="1017" max="1017" width="2.42578125" style="9" customWidth="1"/>
    <col min="1018" max="1018" width="2.5703125" style="9" customWidth="1"/>
    <col min="1019" max="1019" width="2.85546875" style="9" customWidth="1"/>
    <col min="1020" max="1020" width="3" style="9" customWidth="1"/>
    <col min="1021" max="1021" width="24.7109375" style="9" customWidth="1"/>
    <col min="1022" max="1022" width="7.85546875" style="9" customWidth="1"/>
    <col min="1023" max="1023" width="7.42578125" style="9" customWidth="1"/>
    <col min="1024" max="1024" width="11.140625" style="9" customWidth="1"/>
    <col min="1025" max="1025" width="14.42578125" style="9" customWidth="1"/>
    <col min="1026" max="1026" width="3.42578125" style="9" customWidth="1"/>
    <col min="1027" max="1027" width="3" style="9" customWidth="1"/>
    <col min="1028" max="1028" width="3.28515625" style="9" customWidth="1"/>
    <col min="1029" max="1029" width="3.140625" style="9" customWidth="1"/>
    <col min="1030" max="1030" width="3.42578125" style="9" customWidth="1"/>
    <col min="1031" max="1031" width="24.7109375" style="9" customWidth="1"/>
    <col min="1032" max="1032" width="7.85546875" style="9" customWidth="1"/>
    <col min="1033" max="1033" width="7.28515625" style="9" customWidth="1"/>
    <col min="1034" max="1034" width="11.7109375" style="9" bestFit="1" customWidth="1"/>
    <col min="1035" max="1035" width="14.42578125" style="9" customWidth="1"/>
    <col min="1036" max="1036" width="8.85546875" style="9"/>
    <col min="1037" max="1037" width="14.28515625" style="9" bestFit="1" customWidth="1"/>
    <col min="1038" max="1038" width="10" style="9" customWidth="1"/>
    <col min="1039" max="1270" width="8.85546875" style="9"/>
    <col min="1271" max="1271" width="1.140625" style="9" customWidth="1"/>
    <col min="1272" max="1272" width="3.28515625" style="9" customWidth="1"/>
    <col min="1273" max="1273" width="2.42578125" style="9" customWidth="1"/>
    <col min="1274" max="1274" width="2.5703125" style="9" customWidth="1"/>
    <col min="1275" max="1275" width="2.85546875" style="9" customWidth="1"/>
    <col min="1276" max="1276" width="3" style="9" customWidth="1"/>
    <col min="1277" max="1277" width="24.7109375" style="9" customWidth="1"/>
    <col min="1278" max="1278" width="7.85546875" style="9" customWidth="1"/>
    <col min="1279" max="1279" width="7.42578125" style="9" customWidth="1"/>
    <col min="1280" max="1280" width="11.140625" style="9" customWidth="1"/>
    <col min="1281" max="1281" width="14.42578125" style="9" customWidth="1"/>
    <col min="1282" max="1282" width="3.42578125" style="9" customWidth="1"/>
    <col min="1283" max="1283" width="3" style="9" customWidth="1"/>
    <col min="1284" max="1284" width="3.28515625" style="9" customWidth="1"/>
    <col min="1285" max="1285" width="3.140625" style="9" customWidth="1"/>
    <col min="1286" max="1286" width="3.42578125" style="9" customWidth="1"/>
    <col min="1287" max="1287" width="24.7109375" style="9" customWidth="1"/>
    <col min="1288" max="1288" width="7.85546875" style="9" customWidth="1"/>
    <col min="1289" max="1289" width="7.28515625" style="9" customWidth="1"/>
    <col min="1290" max="1290" width="11.7109375" style="9" bestFit="1" customWidth="1"/>
    <col min="1291" max="1291" width="14.42578125" style="9" customWidth="1"/>
    <col min="1292" max="1292" width="8.85546875" style="9"/>
    <col min="1293" max="1293" width="14.28515625" style="9" bestFit="1" customWidth="1"/>
    <col min="1294" max="1294" width="10" style="9" customWidth="1"/>
    <col min="1295" max="1526" width="8.85546875" style="9"/>
    <col min="1527" max="1527" width="1.140625" style="9" customWidth="1"/>
    <col min="1528" max="1528" width="3.28515625" style="9" customWidth="1"/>
    <col min="1529" max="1529" width="2.42578125" style="9" customWidth="1"/>
    <col min="1530" max="1530" width="2.5703125" style="9" customWidth="1"/>
    <col min="1531" max="1531" width="2.85546875" style="9" customWidth="1"/>
    <col min="1532" max="1532" width="3" style="9" customWidth="1"/>
    <col min="1533" max="1533" width="24.7109375" style="9" customWidth="1"/>
    <col min="1534" max="1534" width="7.85546875" style="9" customWidth="1"/>
    <col min="1535" max="1535" width="7.42578125" style="9" customWidth="1"/>
    <col min="1536" max="1536" width="11.140625" style="9" customWidth="1"/>
    <col min="1537" max="1537" width="14.42578125" style="9" customWidth="1"/>
    <col min="1538" max="1538" width="3.42578125" style="9" customWidth="1"/>
    <col min="1539" max="1539" width="3" style="9" customWidth="1"/>
    <col min="1540" max="1540" width="3.28515625" style="9" customWidth="1"/>
    <col min="1541" max="1541" width="3.140625" style="9" customWidth="1"/>
    <col min="1542" max="1542" width="3.42578125" style="9" customWidth="1"/>
    <col min="1543" max="1543" width="24.7109375" style="9" customWidth="1"/>
    <col min="1544" max="1544" width="7.85546875" style="9" customWidth="1"/>
    <col min="1545" max="1545" width="7.28515625" style="9" customWidth="1"/>
    <col min="1546" max="1546" width="11.7109375" style="9" bestFit="1" customWidth="1"/>
    <col min="1547" max="1547" width="14.42578125" style="9" customWidth="1"/>
    <col min="1548" max="1548" width="8.85546875" style="9"/>
    <col min="1549" max="1549" width="14.28515625" style="9" bestFit="1" customWidth="1"/>
    <col min="1550" max="1550" width="10" style="9" customWidth="1"/>
    <col min="1551" max="1782" width="8.85546875" style="9"/>
    <col min="1783" max="1783" width="1.140625" style="9" customWidth="1"/>
    <col min="1784" max="1784" width="3.28515625" style="9" customWidth="1"/>
    <col min="1785" max="1785" width="2.42578125" style="9" customWidth="1"/>
    <col min="1786" max="1786" width="2.5703125" style="9" customWidth="1"/>
    <col min="1787" max="1787" width="2.85546875" style="9" customWidth="1"/>
    <col min="1788" max="1788" width="3" style="9" customWidth="1"/>
    <col min="1789" max="1789" width="24.7109375" style="9" customWidth="1"/>
    <col min="1790" max="1790" width="7.85546875" style="9" customWidth="1"/>
    <col min="1791" max="1791" width="7.42578125" style="9" customWidth="1"/>
    <col min="1792" max="1792" width="11.140625" style="9" customWidth="1"/>
    <col min="1793" max="1793" width="14.42578125" style="9" customWidth="1"/>
    <col min="1794" max="1794" width="3.42578125" style="9" customWidth="1"/>
    <col min="1795" max="1795" width="3" style="9" customWidth="1"/>
    <col min="1796" max="1796" width="3.28515625" style="9" customWidth="1"/>
    <col min="1797" max="1797" width="3.140625" style="9" customWidth="1"/>
    <col min="1798" max="1798" width="3.42578125" style="9" customWidth="1"/>
    <col min="1799" max="1799" width="24.7109375" style="9" customWidth="1"/>
    <col min="1800" max="1800" width="7.85546875" style="9" customWidth="1"/>
    <col min="1801" max="1801" width="7.28515625" style="9" customWidth="1"/>
    <col min="1802" max="1802" width="11.7109375" style="9" bestFit="1" customWidth="1"/>
    <col min="1803" max="1803" width="14.42578125" style="9" customWidth="1"/>
    <col min="1804" max="1804" width="8.85546875" style="9"/>
    <col min="1805" max="1805" width="14.28515625" style="9" bestFit="1" customWidth="1"/>
    <col min="1806" max="1806" width="10" style="9" customWidth="1"/>
    <col min="1807" max="2038" width="8.85546875" style="9"/>
    <col min="2039" max="2039" width="1.140625" style="9" customWidth="1"/>
    <col min="2040" max="2040" width="3.28515625" style="9" customWidth="1"/>
    <col min="2041" max="2041" width="2.42578125" style="9" customWidth="1"/>
    <col min="2042" max="2042" width="2.5703125" style="9" customWidth="1"/>
    <col min="2043" max="2043" width="2.85546875" style="9" customWidth="1"/>
    <col min="2044" max="2044" width="3" style="9" customWidth="1"/>
    <col min="2045" max="2045" width="24.7109375" style="9" customWidth="1"/>
    <col min="2046" max="2046" width="7.85546875" style="9" customWidth="1"/>
    <col min="2047" max="2047" width="7.42578125" style="9" customWidth="1"/>
    <col min="2048" max="2048" width="11.140625" style="9" customWidth="1"/>
    <col min="2049" max="2049" width="14.42578125" style="9" customWidth="1"/>
    <col min="2050" max="2050" width="3.42578125" style="9" customWidth="1"/>
    <col min="2051" max="2051" width="3" style="9" customWidth="1"/>
    <col min="2052" max="2052" width="3.28515625" style="9" customWidth="1"/>
    <col min="2053" max="2053" width="3.140625" style="9" customWidth="1"/>
    <col min="2054" max="2054" width="3.42578125" style="9" customWidth="1"/>
    <col min="2055" max="2055" width="24.7109375" style="9" customWidth="1"/>
    <col min="2056" max="2056" width="7.85546875" style="9" customWidth="1"/>
    <col min="2057" max="2057" width="7.28515625" style="9" customWidth="1"/>
    <col min="2058" max="2058" width="11.7109375" style="9" bestFit="1" customWidth="1"/>
    <col min="2059" max="2059" width="14.42578125" style="9" customWidth="1"/>
    <col min="2060" max="2060" width="8.85546875" style="9"/>
    <col min="2061" max="2061" width="14.28515625" style="9" bestFit="1" customWidth="1"/>
    <col min="2062" max="2062" width="10" style="9" customWidth="1"/>
    <col min="2063" max="2294" width="8.85546875" style="9"/>
    <col min="2295" max="2295" width="1.140625" style="9" customWidth="1"/>
    <col min="2296" max="2296" width="3.28515625" style="9" customWidth="1"/>
    <col min="2297" max="2297" width="2.42578125" style="9" customWidth="1"/>
    <col min="2298" max="2298" width="2.5703125" style="9" customWidth="1"/>
    <col min="2299" max="2299" width="2.85546875" style="9" customWidth="1"/>
    <col min="2300" max="2300" width="3" style="9" customWidth="1"/>
    <col min="2301" max="2301" width="24.7109375" style="9" customWidth="1"/>
    <col min="2302" max="2302" width="7.85546875" style="9" customWidth="1"/>
    <col min="2303" max="2303" width="7.42578125" style="9" customWidth="1"/>
    <col min="2304" max="2304" width="11.140625" style="9" customWidth="1"/>
    <col min="2305" max="2305" width="14.42578125" style="9" customWidth="1"/>
    <col min="2306" max="2306" width="3.42578125" style="9" customWidth="1"/>
    <col min="2307" max="2307" width="3" style="9" customWidth="1"/>
    <col min="2308" max="2308" width="3.28515625" style="9" customWidth="1"/>
    <col min="2309" max="2309" width="3.140625" style="9" customWidth="1"/>
    <col min="2310" max="2310" width="3.42578125" style="9" customWidth="1"/>
    <col min="2311" max="2311" width="24.7109375" style="9" customWidth="1"/>
    <col min="2312" max="2312" width="7.85546875" style="9" customWidth="1"/>
    <col min="2313" max="2313" width="7.28515625" style="9" customWidth="1"/>
    <col min="2314" max="2314" width="11.7109375" style="9" bestFit="1" customWidth="1"/>
    <col min="2315" max="2315" width="14.42578125" style="9" customWidth="1"/>
    <col min="2316" max="2316" width="8.85546875" style="9"/>
    <col min="2317" max="2317" width="14.28515625" style="9" bestFit="1" customWidth="1"/>
    <col min="2318" max="2318" width="10" style="9" customWidth="1"/>
    <col min="2319" max="2550" width="8.85546875" style="9"/>
    <col min="2551" max="2551" width="1.140625" style="9" customWidth="1"/>
    <col min="2552" max="2552" width="3.28515625" style="9" customWidth="1"/>
    <col min="2553" max="2553" width="2.42578125" style="9" customWidth="1"/>
    <col min="2554" max="2554" width="2.5703125" style="9" customWidth="1"/>
    <col min="2555" max="2555" width="2.85546875" style="9" customWidth="1"/>
    <col min="2556" max="2556" width="3" style="9" customWidth="1"/>
    <col min="2557" max="2557" width="24.7109375" style="9" customWidth="1"/>
    <col min="2558" max="2558" width="7.85546875" style="9" customWidth="1"/>
    <col min="2559" max="2559" width="7.42578125" style="9" customWidth="1"/>
    <col min="2560" max="2560" width="11.140625" style="9" customWidth="1"/>
    <col min="2561" max="2561" width="14.42578125" style="9" customWidth="1"/>
    <col min="2562" max="2562" width="3.42578125" style="9" customWidth="1"/>
    <col min="2563" max="2563" width="3" style="9" customWidth="1"/>
    <col min="2564" max="2564" width="3.28515625" style="9" customWidth="1"/>
    <col min="2565" max="2565" width="3.140625" style="9" customWidth="1"/>
    <col min="2566" max="2566" width="3.42578125" style="9" customWidth="1"/>
    <col min="2567" max="2567" width="24.7109375" style="9" customWidth="1"/>
    <col min="2568" max="2568" width="7.85546875" style="9" customWidth="1"/>
    <col min="2569" max="2569" width="7.28515625" style="9" customWidth="1"/>
    <col min="2570" max="2570" width="11.7109375" style="9" bestFit="1" customWidth="1"/>
    <col min="2571" max="2571" width="14.42578125" style="9" customWidth="1"/>
    <col min="2572" max="2572" width="8.85546875" style="9"/>
    <col min="2573" max="2573" width="14.28515625" style="9" bestFit="1" customWidth="1"/>
    <col min="2574" max="2574" width="10" style="9" customWidth="1"/>
    <col min="2575" max="2806" width="8.85546875" style="9"/>
    <col min="2807" max="2807" width="1.140625" style="9" customWidth="1"/>
    <col min="2808" max="2808" width="3.28515625" style="9" customWidth="1"/>
    <col min="2809" max="2809" width="2.42578125" style="9" customWidth="1"/>
    <col min="2810" max="2810" width="2.5703125" style="9" customWidth="1"/>
    <col min="2811" max="2811" width="2.85546875" style="9" customWidth="1"/>
    <col min="2812" max="2812" width="3" style="9" customWidth="1"/>
    <col min="2813" max="2813" width="24.7109375" style="9" customWidth="1"/>
    <col min="2814" max="2814" width="7.85546875" style="9" customWidth="1"/>
    <col min="2815" max="2815" width="7.42578125" style="9" customWidth="1"/>
    <col min="2816" max="2816" width="11.140625" style="9" customWidth="1"/>
    <col min="2817" max="2817" width="14.42578125" style="9" customWidth="1"/>
    <col min="2818" max="2818" width="3.42578125" style="9" customWidth="1"/>
    <col min="2819" max="2819" width="3" style="9" customWidth="1"/>
    <col min="2820" max="2820" width="3.28515625" style="9" customWidth="1"/>
    <col min="2821" max="2821" width="3.140625" style="9" customWidth="1"/>
    <col min="2822" max="2822" width="3.42578125" style="9" customWidth="1"/>
    <col min="2823" max="2823" width="24.7109375" style="9" customWidth="1"/>
    <col min="2824" max="2824" width="7.85546875" style="9" customWidth="1"/>
    <col min="2825" max="2825" width="7.28515625" style="9" customWidth="1"/>
    <col min="2826" max="2826" width="11.7109375" style="9" bestFit="1" customWidth="1"/>
    <col min="2827" max="2827" width="14.42578125" style="9" customWidth="1"/>
    <col min="2828" max="2828" width="8.85546875" style="9"/>
    <col min="2829" max="2829" width="14.28515625" style="9" bestFit="1" customWidth="1"/>
    <col min="2830" max="2830" width="10" style="9" customWidth="1"/>
    <col min="2831" max="3062" width="8.85546875" style="9"/>
    <col min="3063" max="3063" width="1.140625" style="9" customWidth="1"/>
    <col min="3064" max="3064" width="3.28515625" style="9" customWidth="1"/>
    <col min="3065" max="3065" width="2.42578125" style="9" customWidth="1"/>
    <col min="3066" max="3066" width="2.5703125" style="9" customWidth="1"/>
    <col min="3067" max="3067" width="2.85546875" style="9" customWidth="1"/>
    <col min="3068" max="3068" width="3" style="9" customWidth="1"/>
    <col min="3069" max="3069" width="24.7109375" style="9" customWidth="1"/>
    <col min="3070" max="3070" width="7.85546875" style="9" customWidth="1"/>
    <col min="3071" max="3071" width="7.42578125" style="9" customWidth="1"/>
    <col min="3072" max="3072" width="11.140625" style="9" customWidth="1"/>
    <col min="3073" max="3073" width="14.42578125" style="9" customWidth="1"/>
    <col min="3074" max="3074" width="3.42578125" style="9" customWidth="1"/>
    <col min="3075" max="3075" width="3" style="9" customWidth="1"/>
    <col min="3076" max="3076" width="3.28515625" style="9" customWidth="1"/>
    <col min="3077" max="3077" width="3.140625" style="9" customWidth="1"/>
    <col min="3078" max="3078" width="3.42578125" style="9" customWidth="1"/>
    <col min="3079" max="3079" width="24.7109375" style="9" customWidth="1"/>
    <col min="3080" max="3080" width="7.85546875" style="9" customWidth="1"/>
    <col min="3081" max="3081" width="7.28515625" style="9" customWidth="1"/>
    <col min="3082" max="3082" width="11.7109375" style="9" bestFit="1" customWidth="1"/>
    <col min="3083" max="3083" width="14.42578125" style="9" customWidth="1"/>
    <col min="3084" max="3084" width="8.85546875" style="9"/>
    <col min="3085" max="3085" width="14.28515625" style="9" bestFit="1" customWidth="1"/>
    <col min="3086" max="3086" width="10" style="9" customWidth="1"/>
    <col min="3087" max="3318" width="8.85546875" style="9"/>
    <col min="3319" max="3319" width="1.140625" style="9" customWidth="1"/>
    <col min="3320" max="3320" width="3.28515625" style="9" customWidth="1"/>
    <col min="3321" max="3321" width="2.42578125" style="9" customWidth="1"/>
    <col min="3322" max="3322" width="2.5703125" style="9" customWidth="1"/>
    <col min="3323" max="3323" width="2.85546875" style="9" customWidth="1"/>
    <col min="3324" max="3324" width="3" style="9" customWidth="1"/>
    <col min="3325" max="3325" width="24.7109375" style="9" customWidth="1"/>
    <col min="3326" max="3326" width="7.85546875" style="9" customWidth="1"/>
    <col min="3327" max="3327" width="7.42578125" style="9" customWidth="1"/>
    <col min="3328" max="3328" width="11.140625" style="9" customWidth="1"/>
    <col min="3329" max="3329" width="14.42578125" style="9" customWidth="1"/>
    <col min="3330" max="3330" width="3.42578125" style="9" customWidth="1"/>
    <col min="3331" max="3331" width="3" style="9" customWidth="1"/>
    <col min="3332" max="3332" width="3.28515625" style="9" customWidth="1"/>
    <col min="3333" max="3333" width="3.140625" style="9" customWidth="1"/>
    <col min="3334" max="3334" width="3.42578125" style="9" customWidth="1"/>
    <col min="3335" max="3335" width="24.7109375" style="9" customWidth="1"/>
    <col min="3336" max="3336" width="7.85546875" style="9" customWidth="1"/>
    <col min="3337" max="3337" width="7.28515625" style="9" customWidth="1"/>
    <col min="3338" max="3338" width="11.7109375" style="9" bestFit="1" customWidth="1"/>
    <col min="3339" max="3339" width="14.42578125" style="9" customWidth="1"/>
    <col min="3340" max="3340" width="8.85546875" style="9"/>
    <col min="3341" max="3341" width="14.28515625" style="9" bestFit="1" customWidth="1"/>
    <col min="3342" max="3342" width="10" style="9" customWidth="1"/>
    <col min="3343" max="3574" width="8.85546875" style="9"/>
    <col min="3575" max="3575" width="1.140625" style="9" customWidth="1"/>
    <col min="3576" max="3576" width="3.28515625" style="9" customWidth="1"/>
    <col min="3577" max="3577" width="2.42578125" style="9" customWidth="1"/>
    <col min="3578" max="3578" width="2.5703125" style="9" customWidth="1"/>
    <col min="3579" max="3579" width="2.85546875" style="9" customWidth="1"/>
    <col min="3580" max="3580" width="3" style="9" customWidth="1"/>
    <col min="3581" max="3581" width="24.7109375" style="9" customWidth="1"/>
    <col min="3582" max="3582" width="7.85546875" style="9" customWidth="1"/>
    <col min="3583" max="3583" width="7.42578125" style="9" customWidth="1"/>
    <col min="3584" max="3584" width="11.140625" style="9" customWidth="1"/>
    <col min="3585" max="3585" width="14.42578125" style="9" customWidth="1"/>
    <col min="3586" max="3586" width="3.42578125" style="9" customWidth="1"/>
    <col min="3587" max="3587" width="3" style="9" customWidth="1"/>
    <col min="3588" max="3588" width="3.28515625" style="9" customWidth="1"/>
    <col min="3589" max="3589" width="3.140625" style="9" customWidth="1"/>
    <col min="3590" max="3590" width="3.42578125" style="9" customWidth="1"/>
    <col min="3591" max="3591" width="24.7109375" style="9" customWidth="1"/>
    <col min="3592" max="3592" width="7.85546875" style="9" customWidth="1"/>
    <col min="3593" max="3593" width="7.28515625" style="9" customWidth="1"/>
    <col min="3594" max="3594" width="11.7109375" style="9" bestFit="1" customWidth="1"/>
    <col min="3595" max="3595" width="14.42578125" style="9" customWidth="1"/>
    <col min="3596" max="3596" width="8.85546875" style="9"/>
    <col min="3597" max="3597" width="14.28515625" style="9" bestFit="1" customWidth="1"/>
    <col min="3598" max="3598" width="10" style="9" customWidth="1"/>
    <col min="3599" max="3830" width="8.85546875" style="9"/>
    <col min="3831" max="3831" width="1.140625" style="9" customWidth="1"/>
    <col min="3832" max="3832" width="3.28515625" style="9" customWidth="1"/>
    <col min="3833" max="3833" width="2.42578125" style="9" customWidth="1"/>
    <col min="3834" max="3834" width="2.5703125" style="9" customWidth="1"/>
    <col min="3835" max="3835" width="2.85546875" style="9" customWidth="1"/>
    <col min="3836" max="3836" width="3" style="9" customWidth="1"/>
    <col min="3837" max="3837" width="24.7109375" style="9" customWidth="1"/>
    <col min="3838" max="3838" width="7.85546875" style="9" customWidth="1"/>
    <col min="3839" max="3839" width="7.42578125" style="9" customWidth="1"/>
    <col min="3840" max="3840" width="11.140625" style="9" customWidth="1"/>
    <col min="3841" max="3841" width="14.42578125" style="9" customWidth="1"/>
    <col min="3842" max="3842" width="3.42578125" style="9" customWidth="1"/>
    <col min="3843" max="3843" width="3" style="9" customWidth="1"/>
    <col min="3844" max="3844" width="3.28515625" style="9" customWidth="1"/>
    <col min="3845" max="3845" width="3.140625" style="9" customWidth="1"/>
    <col min="3846" max="3846" width="3.42578125" style="9" customWidth="1"/>
    <col min="3847" max="3847" width="24.7109375" style="9" customWidth="1"/>
    <col min="3848" max="3848" width="7.85546875" style="9" customWidth="1"/>
    <col min="3849" max="3849" width="7.28515625" style="9" customWidth="1"/>
    <col min="3850" max="3850" width="11.7109375" style="9" bestFit="1" customWidth="1"/>
    <col min="3851" max="3851" width="14.42578125" style="9" customWidth="1"/>
    <col min="3852" max="3852" width="8.85546875" style="9"/>
    <col min="3853" max="3853" width="14.28515625" style="9" bestFit="1" customWidth="1"/>
    <col min="3854" max="3854" width="10" style="9" customWidth="1"/>
    <col min="3855" max="4086" width="8.85546875" style="9"/>
    <col min="4087" max="4087" width="1.140625" style="9" customWidth="1"/>
    <col min="4088" max="4088" width="3.28515625" style="9" customWidth="1"/>
    <col min="4089" max="4089" width="2.42578125" style="9" customWidth="1"/>
    <col min="4090" max="4090" width="2.5703125" style="9" customWidth="1"/>
    <col min="4091" max="4091" width="2.85546875" style="9" customWidth="1"/>
    <col min="4092" max="4092" width="3" style="9" customWidth="1"/>
    <col min="4093" max="4093" width="24.7109375" style="9" customWidth="1"/>
    <col min="4094" max="4094" width="7.85546875" style="9" customWidth="1"/>
    <col min="4095" max="4095" width="7.42578125" style="9" customWidth="1"/>
    <col min="4096" max="4096" width="11.140625" style="9" customWidth="1"/>
    <col min="4097" max="4097" width="14.42578125" style="9" customWidth="1"/>
    <col min="4098" max="4098" width="3.42578125" style="9" customWidth="1"/>
    <col min="4099" max="4099" width="3" style="9" customWidth="1"/>
    <col min="4100" max="4100" width="3.28515625" style="9" customWidth="1"/>
    <col min="4101" max="4101" width="3.140625" style="9" customWidth="1"/>
    <col min="4102" max="4102" width="3.42578125" style="9" customWidth="1"/>
    <col min="4103" max="4103" width="24.7109375" style="9" customWidth="1"/>
    <col min="4104" max="4104" width="7.85546875" style="9" customWidth="1"/>
    <col min="4105" max="4105" width="7.28515625" style="9" customWidth="1"/>
    <col min="4106" max="4106" width="11.7109375" style="9" bestFit="1" customWidth="1"/>
    <col min="4107" max="4107" width="14.42578125" style="9" customWidth="1"/>
    <col min="4108" max="4108" width="8.85546875" style="9"/>
    <col min="4109" max="4109" width="14.28515625" style="9" bestFit="1" customWidth="1"/>
    <col min="4110" max="4110" width="10" style="9" customWidth="1"/>
    <col min="4111" max="4342" width="8.85546875" style="9"/>
    <col min="4343" max="4343" width="1.140625" style="9" customWidth="1"/>
    <col min="4344" max="4344" width="3.28515625" style="9" customWidth="1"/>
    <col min="4345" max="4345" width="2.42578125" style="9" customWidth="1"/>
    <col min="4346" max="4346" width="2.5703125" style="9" customWidth="1"/>
    <col min="4347" max="4347" width="2.85546875" style="9" customWidth="1"/>
    <col min="4348" max="4348" width="3" style="9" customWidth="1"/>
    <col min="4349" max="4349" width="24.7109375" style="9" customWidth="1"/>
    <col min="4350" max="4350" width="7.85546875" style="9" customWidth="1"/>
    <col min="4351" max="4351" width="7.42578125" style="9" customWidth="1"/>
    <col min="4352" max="4352" width="11.140625" style="9" customWidth="1"/>
    <col min="4353" max="4353" width="14.42578125" style="9" customWidth="1"/>
    <col min="4354" max="4354" width="3.42578125" style="9" customWidth="1"/>
    <col min="4355" max="4355" width="3" style="9" customWidth="1"/>
    <col min="4356" max="4356" width="3.28515625" style="9" customWidth="1"/>
    <col min="4357" max="4357" width="3.140625" style="9" customWidth="1"/>
    <col min="4358" max="4358" width="3.42578125" style="9" customWidth="1"/>
    <col min="4359" max="4359" width="24.7109375" style="9" customWidth="1"/>
    <col min="4360" max="4360" width="7.85546875" style="9" customWidth="1"/>
    <col min="4361" max="4361" width="7.28515625" style="9" customWidth="1"/>
    <col min="4362" max="4362" width="11.7109375" style="9" bestFit="1" customWidth="1"/>
    <col min="4363" max="4363" width="14.42578125" style="9" customWidth="1"/>
    <col min="4364" max="4364" width="8.85546875" style="9"/>
    <col min="4365" max="4365" width="14.28515625" style="9" bestFit="1" customWidth="1"/>
    <col min="4366" max="4366" width="10" style="9" customWidth="1"/>
    <col min="4367" max="4598" width="8.85546875" style="9"/>
    <col min="4599" max="4599" width="1.140625" style="9" customWidth="1"/>
    <col min="4600" max="4600" width="3.28515625" style="9" customWidth="1"/>
    <col min="4601" max="4601" width="2.42578125" style="9" customWidth="1"/>
    <col min="4602" max="4602" width="2.5703125" style="9" customWidth="1"/>
    <col min="4603" max="4603" width="2.85546875" style="9" customWidth="1"/>
    <col min="4604" max="4604" width="3" style="9" customWidth="1"/>
    <col min="4605" max="4605" width="24.7109375" style="9" customWidth="1"/>
    <col min="4606" max="4606" width="7.85546875" style="9" customWidth="1"/>
    <col min="4607" max="4607" width="7.42578125" style="9" customWidth="1"/>
    <col min="4608" max="4608" width="11.140625" style="9" customWidth="1"/>
    <col min="4609" max="4609" width="14.42578125" style="9" customWidth="1"/>
    <col min="4610" max="4610" width="3.42578125" style="9" customWidth="1"/>
    <col min="4611" max="4611" width="3" style="9" customWidth="1"/>
    <col min="4612" max="4612" width="3.28515625" style="9" customWidth="1"/>
    <col min="4613" max="4613" width="3.140625" style="9" customWidth="1"/>
    <col min="4614" max="4614" width="3.42578125" style="9" customWidth="1"/>
    <col min="4615" max="4615" width="24.7109375" style="9" customWidth="1"/>
    <col min="4616" max="4616" width="7.85546875" style="9" customWidth="1"/>
    <col min="4617" max="4617" width="7.28515625" style="9" customWidth="1"/>
    <col min="4618" max="4618" width="11.7109375" style="9" bestFit="1" customWidth="1"/>
    <col min="4619" max="4619" width="14.42578125" style="9" customWidth="1"/>
    <col min="4620" max="4620" width="8.85546875" style="9"/>
    <col min="4621" max="4621" width="14.28515625" style="9" bestFit="1" customWidth="1"/>
    <col min="4622" max="4622" width="10" style="9" customWidth="1"/>
    <col min="4623" max="4854" width="8.85546875" style="9"/>
    <col min="4855" max="4855" width="1.140625" style="9" customWidth="1"/>
    <col min="4856" max="4856" width="3.28515625" style="9" customWidth="1"/>
    <col min="4857" max="4857" width="2.42578125" style="9" customWidth="1"/>
    <col min="4858" max="4858" width="2.5703125" style="9" customWidth="1"/>
    <col min="4859" max="4859" width="2.85546875" style="9" customWidth="1"/>
    <col min="4860" max="4860" width="3" style="9" customWidth="1"/>
    <col min="4861" max="4861" width="24.7109375" style="9" customWidth="1"/>
    <col min="4862" max="4862" width="7.85546875" style="9" customWidth="1"/>
    <col min="4863" max="4863" width="7.42578125" style="9" customWidth="1"/>
    <col min="4864" max="4864" width="11.140625" style="9" customWidth="1"/>
    <col min="4865" max="4865" width="14.42578125" style="9" customWidth="1"/>
    <col min="4866" max="4866" width="3.42578125" style="9" customWidth="1"/>
    <col min="4867" max="4867" width="3" style="9" customWidth="1"/>
    <col min="4868" max="4868" width="3.28515625" style="9" customWidth="1"/>
    <col min="4869" max="4869" width="3.140625" style="9" customWidth="1"/>
    <col min="4870" max="4870" width="3.42578125" style="9" customWidth="1"/>
    <col min="4871" max="4871" width="24.7109375" style="9" customWidth="1"/>
    <col min="4872" max="4872" width="7.85546875" style="9" customWidth="1"/>
    <col min="4873" max="4873" width="7.28515625" style="9" customWidth="1"/>
    <col min="4874" max="4874" width="11.7109375" style="9" bestFit="1" customWidth="1"/>
    <col min="4875" max="4875" width="14.42578125" style="9" customWidth="1"/>
    <col min="4876" max="4876" width="8.85546875" style="9"/>
    <col min="4877" max="4877" width="14.28515625" style="9" bestFit="1" customWidth="1"/>
    <col min="4878" max="4878" width="10" style="9" customWidth="1"/>
    <col min="4879" max="5110" width="8.85546875" style="9"/>
    <col min="5111" max="5111" width="1.140625" style="9" customWidth="1"/>
    <col min="5112" max="5112" width="3.28515625" style="9" customWidth="1"/>
    <col min="5113" max="5113" width="2.42578125" style="9" customWidth="1"/>
    <col min="5114" max="5114" width="2.5703125" style="9" customWidth="1"/>
    <col min="5115" max="5115" width="2.85546875" style="9" customWidth="1"/>
    <col min="5116" max="5116" width="3" style="9" customWidth="1"/>
    <col min="5117" max="5117" width="24.7109375" style="9" customWidth="1"/>
    <col min="5118" max="5118" width="7.85546875" style="9" customWidth="1"/>
    <col min="5119" max="5119" width="7.42578125" style="9" customWidth="1"/>
    <col min="5120" max="5120" width="11.140625" style="9" customWidth="1"/>
    <col min="5121" max="5121" width="14.42578125" style="9" customWidth="1"/>
    <col min="5122" max="5122" width="3.42578125" style="9" customWidth="1"/>
    <col min="5123" max="5123" width="3" style="9" customWidth="1"/>
    <col min="5124" max="5124" width="3.28515625" style="9" customWidth="1"/>
    <col min="5125" max="5125" width="3.140625" style="9" customWidth="1"/>
    <col min="5126" max="5126" width="3.42578125" style="9" customWidth="1"/>
    <col min="5127" max="5127" width="24.7109375" style="9" customWidth="1"/>
    <col min="5128" max="5128" width="7.85546875" style="9" customWidth="1"/>
    <col min="5129" max="5129" width="7.28515625" style="9" customWidth="1"/>
    <col min="5130" max="5130" width="11.7109375" style="9" bestFit="1" customWidth="1"/>
    <col min="5131" max="5131" width="14.42578125" style="9" customWidth="1"/>
    <col min="5132" max="5132" width="8.85546875" style="9"/>
    <col min="5133" max="5133" width="14.28515625" style="9" bestFit="1" customWidth="1"/>
    <col min="5134" max="5134" width="10" style="9" customWidth="1"/>
    <col min="5135" max="5366" width="8.85546875" style="9"/>
    <col min="5367" max="5367" width="1.140625" style="9" customWidth="1"/>
    <col min="5368" max="5368" width="3.28515625" style="9" customWidth="1"/>
    <col min="5369" max="5369" width="2.42578125" style="9" customWidth="1"/>
    <col min="5370" max="5370" width="2.5703125" style="9" customWidth="1"/>
    <col min="5371" max="5371" width="2.85546875" style="9" customWidth="1"/>
    <col min="5372" max="5372" width="3" style="9" customWidth="1"/>
    <col min="5373" max="5373" width="24.7109375" style="9" customWidth="1"/>
    <col min="5374" max="5374" width="7.85546875" style="9" customWidth="1"/>
    <col min="5375" max="5375" width="7.42578125" style="9" customWidth="1"/>
    <col min="5376" max="5376" width="11.140625" style="9" customWidth="1"/>
    <col min="5377" max="5377" width="14.42578125" style="9" customWidth="1"/>
    <col min="5378" max="5378" width="3.42578125" style="9" customWidth="1"/>
    <col min="5379" max="5379" width="3" style="9" customWidth="1"/>
    <col min="5380" max="5380" width="3.28515625" style="9" customWidth="1"/>
    <col min="5381" max="5381" width="3.140625" style="9" customWidth="1"/>
    <col min="5382" max="5382" width="3.42578125" style="9" customWidth="1"/>
    <col min="5383" max="5383" width="24.7109375" style="9" customWidth="1"/>
    <col min="5384" max="5384" width="7.85546875" style="9" customWidth="1"/>
    <col min="5385" max="5385" width="7.28515625" style="9" customWidth="1"/>
    <col min="5386" max="5386" width="11.7109375" style="9" bestFit="1" customWidth="1"/>
    <col min="5387" max="5387" width="14.42578125" style="9" customWidth="1"/>
    <col min="5388" max="5388" width="8.85546875" style="9"/>
    <col min="5389" max="5389" width="14.28515625" style="9" bestFit="1" customWidth="1"/>
    <col min="5390" max="5390" width="10" style="9" customWidth="1"/>
    <col min="5391" max="5622" width="8.85546875" style="9"/>
    <col min="5623" max="5623" width="1.140625" style="9" customWidth="1"/>
    <col min="5624" max="5624" width="3.28515625" style="9" customWidth="1"/>
    <col min="5625" max="5625" width="2.42578125" style="9" customWidth="1"/>
    <col min="5626" max="5626" width="2.5703125" style="9" customWidth="1"/>
    <col min="5627" max="5627" width="2.85546875" style="9" customWidth="1"/>
    <col min="5628" max="5628" width="3" style="9" customWidth="1"/>
    <col min="5629" max="5629" width="24.7109375" style="9" customWidth="1"/>
    <col min="5630" max="5630" width="7.85546875" style="9" customWidth="1"/>
    <col min="5631" max="5631" width="7.42578125" style="9" customWidth="1"/>
    <col min="5632" max="5632" width="11.140625" style="9" customWidth="1"/>
    <col min="5633" max="5633" width="14.42578125" style="9" customWidth="1"/>
    <col min="5634" max="5634" width="3.42578125" style="9" customWidth="1"/>
    <col min="5635" max="5635" width="3" style="9" customWidth="1"/>
    <col min="5636" max="5636" width="3.28515625" style="9" customWidth="1"/>
    <col min="5637" max="5637" width="3.140625" style="9" customWidth="1"/>
    <col min="5638" max="5638" width="3.42578125" style="9" customWidth="1"/>
    <col min="5639" max="5639" width="24.7109375" style="9" customWidth="1"/>
    <col min="5640" max="5640" width="7.85546875" style="9" customWidth="1"/>
    <col min="5641" max="5641" width="7.28515625" style="9" customWidth="1"/>
    <col min="5642" max="5642" width="11.7109375" style="9" bestFit="1" customWidth="1"/>
    <col min="5643" max="5643" width="14.42578125" style="9" customWidth="1"/>
    <col min="5644" max="5644" width="8.85546875" style="9"/>
    <col min="5645" max="5645" width="14.28515625" style="9" bestFit="1" customWidth="1"/>
    <col min="5646" max="5646" width="10" style="9" customWidth="1"/>
    <col min="5647" max="5878" width="8.85546875" style="9"/>
    <col min="5879" max="5879" width="1.140625" style="9" customWidth="1"/>
    <col min="5880" max="5880" width="3.28515625" style="9" customWidth="1"/>
    <col min="5881" max="5881" width="2.42578125" style="9" customWidth="1"/>
    <col min="5882" max="5882" width="2.5703125" style="9" customWidth="1"/>
    <col min="5883" max="5883" width="2.85546875" style="9" customWidth="1"/>
    <col min="5884" max="5884" width="3" style="9" customWidth="1"/>
    <col min="5885" max="5885" width="24.7109375" style="9" customWidth="1"/>
    <col min="5886" max="5886" width="7.85546875" style="9" customWidth="1"/>
    <col min="5887" max="5887" width="7.42578125" style="9" customWidth="1"/>
    <col min="5888" max="5888" width="11.140625" style="9" customWidth="1"/>
    <col min="5889" max="5889" width="14.42578125" style="9" customWidth="1"/>
    <col min="5890" max="5890" width="3.42578125" style="9" customWidth="1"/>
    <col min="5891" max="5891" width="3" style="9" customWidth="1"/>
    <col min="5892" max="5892" width="3.28515625" style="9" customWidth="1"/>
    <col min="5893" max="5893" width="3.140625" style="9" customWidth="1"/>
    <col min="5894" max="5894" width="3.42578125" style="9" customWidth="1"/>
    <col min="5895" max="5895" width="24.7109375" style="9" customWidth="1"/>
    <col min="5896" max="5896" width="7.85546875" style="9" customWidth="1"/>
    <col min="5897" max="5897" width="7.28515625" style="9" customWidth="1"/>
    <col min="5898" max="5898" width="11.7109375" style="9" bestFit="1" customWidth="1"/>
    <col min="5899" max="5899" width="14.42578125" style="9" customWidth="1"/>
    <col min="5900" max="5900" width="8.85546875" style="9"/>
    <col min="5901" max="5901" width="14.28515625" style="9" bestFit="1" customWidth="1"/>
    <col min="5902" max="5902" width="10" style="9" customWidth="1"/>
    <col min="5903" max="6134" width="8.85546875" style="9"/>
    <col min="6135" max="6135" width="1.140625" style="9" customWidth="1"/>
    <col min="6136" max="6136" width="3.28515625" style="9" customWidth="1"/>
    <col min="6137" max="6137" width="2.42578125" style="9" customWidth="1"/>
    <col min="6138" max="6138" width="2.5703125" style="9" customWidth="1"/>
    <col min="6139" max="6139" width="2.85546875" style="9" customWidth="1"/>
    <col min="6140" max="6140" width="3" style="9" customWidth="1"/>
    <col min="6141" max="6141" width="24.7109375" style="9" customWidth="1"/>
    <col min="6142" max="6142" width="7.85546875" style="9" customWidth="1"/>
    <col min="6143" max="6143" width="7.42578125" style="9" customWidth="1"/>
    <col min="6144" max="6144" width="11.140625" style="9" customWidth="1"/>
    <col min="6145" max="6145" width="14.42578125" style="9" customWidth="1"/>
    <col min="6146" max="6146" width="3.42578125" style="9" customWidth="1"/>
    <col min="6147" max="6147" width="3" style="9" customWidth="1"/>
    <col min="6148" max="6148" width="3.28515625" style="9" customWidth="1"/>
    <col min="6149" max="6149" width="3.140625" style="9" customWidth="1"/>
    <col min="6150" max="6150" width="3.42578125" style="9" customWidth="1"/>
    <col min="6151" max="6151" width="24.7109375" style="9" customWidth="1"/>
    <col min="6152" max="6152" width="7.85546875" style="9" customWidth="1"/>
    <col min="6153" max="6153" width="7.28515625" style="9" customWidth="1"/>
    <col min="6154" max="6154" width="11.7109375" style="9" bestFit="1" customWidth="1"/>
    <col min="6155" max="6155" width="14.42578125" style="9" customWidth="1"/>
    <col min="6156" max="6156" width="8.85546875" style="9"/>
    <col min="6157" max="6157" width="14.28515625" style="9" bestFit="1" customWidth="1"/>
    <col min="6158" max="6158" width="10" style="9" customWidth="1"/>
    <col min="6159" max="6390" width="8.85546875" style="9"/>
    <col min="6391" max="6391" width="1.140625" style="9" customWidth="1"/>
    <col min="6392" max="6392" width="3.28515625" style="9" customWidth="1"/>
    <col min="6393" max="6393" width="2.42578125" style="9" customWidth="1"/>
    <col min="6394" max="6394" width="2.5703125" style="9" customWidth="1"/>
    <col min="6395" max="6395" width="2.85546875" style="9" customWidth="1"/>
    <col min="6396" max="6396" width="3" style="9" customWidth="1"/>
    <col min="6397" max="6397" width="24.7109375" style="9" customWidth="1"/>
    <col min="6398" max="6398" width="7.85546875" style="9" customWidth="1"/>
    <col min="6399" max="6399" width="7.42578125" style="9" customWidth="1"/>
    <col min="6400" max="6400" width="11.140625" style="9" customWidth="1"/>
    <col min="6401" max="6401" width="14.42578125" style="9" customWidth="1"/>
    <col min="6402" max="6402" width="3.42578125" style="9" customWidth="1"/>
    <col min="6403" max="6403" width="3" style="9" customWidth="1"/>
    <col min="6404" max="6404" width="3.28515625" style="9" customWidth="1"/>
    <col min="6405" max="6405" width="3.140625" style="9" customWidth="1"/>
    <col min="6406" max="6406" width="3.42578125" style="9" customWidth="1"/>
    <col min="6407" max="6407" width="24.7109375" style="9" customWidth="1"/>
    <col min="6408" max="6408" width="7.85546875" style="9" customWidth="1"/>
    <col min="6409" max="6409" width="7.28515625" style="9" customWidth="1"/>
    <col min="6410" max="6410" width="11.7109375" style="9" bestFit="1" customWidth="1"/>
    <col min="6411" max="6411" width="14.42578125" style="9" customWidth="1"/>
    <col min="6412" max="6412" width="8.85546875" style="9"/>
    <col min="6413" max="6413" width="14.28515625" style="9" bestFit="1" customWidth="1"/>
    <col min="6414" max="6414" width="10" style="9" customWidth="1"/>
    <col min="6415" max="6646" width="8.85546875" style="9"/>
    <col min="6647" max="6647" width="1.140625" style="9" customWidth="1"/>
    <col min="6648" max="6648" width="3.28515625" style="9" customWidth="1"/>
    <col min="6649" max="6649" width="2.42578125" style="9" customWidth="1"/>
    <col min="6650" max="6650" width="2.5703125" style="9" customWidth="1"/>
    <col min="6651" max="6651" width="2.85546875" style="9" customWidth="1"/>
    <col min="6652" max="6652" width="3" style="9" customWidth="1"/>
    <col min="6653" max="6653" width="24.7109375" style="9" customWidth="1"/>
    <col min="6654" max="6654" width="7.85546875" style="9" customWidth="1"/>
    <col min="6655" max="6655" width="7.42578125" style="9" customWidth="1"/>
    <col min="6656" max="6656" width="11.140625" style="9" customWidth="1"/>
    <col min="6657" max="6657" width="14.42578125" style="9" customWidth="1"/>
    <col min="6658" max="6658" width="3.42578125" style="9" customWidth="1"/>
    <col min="6659" max="6659" width="3" style="9" customWidth="1"/>
    <col min="6660" max="6660" width="3.28515625" style="9" customWidth="1"/>
    <col min="6661" max="6661" width="3.140625" style="9" customWidth="1"/>
    <col min="6662" max="6662" width="3.42578125" style="9" customWidth="1"/>
    <col min="6663" max="6663" width="24.7109375" style="9" customWidth="1"/>
    <col min="6664" max="6664" width="7.85546875" style="9" customWidth="1"/>
    <col min="6665" max="6665" width="7.28515625" style="9" customWidth="1"/>
    <col min="6666" max="6666" width="11.7109375" style="9" bestFit="1" customWidth="1"/>
    <col min="6667" max="6667" width="14.42578125" style="9" customWidth="1"/>
    <col min="6668" max="6668" width="8.85546875" style="9"/>
    <col min="6669" max="6669" width="14.28515625" style="9" bestFit="1" customWidth="1"/>
    <col min="6670" max="6670" width="10" style="9" customWidth="1"/>
    <col min="6671" max="6902" width="8.85546875" style="9"/>
    <col min="6903" max="6903" width="1.140625" style="9" customWidth="1"/>
    <col min="6904" max="6904" width="3.28515625" style="9" customWidth="1"/>
    <col min="6905" max="6905" width="2.42578125" style="9" customWidth="1"/>
    <col min="6906" max="6906" width="2.5703125" style="9" customWidth="1"/>
    <col min="6907" max="6907" width="2.85546875" style="9" customWidth="1"/>
    <col min="6908" max="6908" width="3" style="9" customWidth="1"/>
    <col min="6909" max="6909" width="24.7109375" style="9" customWidth="1"/>
    <col min="6910" max="6910" width="7.85546875" style="9" customWidth="1"/>
    <col min="6911" max="6911" width="7.42578125" style="9" customWidth="1"/>
    <col min="6912" max="6912" width="11.140625" style="9" customWidth="1"/>
    <col min="6913" max="6913" width="14.42578125" style="9" customWidth="1"/>
    <col min="6914" max="6914" width="3.42578125" style="9" customWidth="1"/>
    <col min="6915" max="6915" width="3" style="9" customWidth="1"/>
    <col min="6916" max="6916" width="3.28515625" style="9" customWidth="1"/>
    <col min="6917" max="6917" width="3.140625" style="9" customWidth="1"/>
    <col min="6918" max="6918" width="3.42578125" style="9" customWidth="1"/>
    <col min="6919" max="6919" width="24.7109375" style="9" customWidth="1"/>
    <col min="6920" max="6920" width="7.85546875" style="9" customWidth="1"/>
    <col min="6921" max="6921" width="7.28515625" style="9" customWidth="1"/>
    <col min="6922" max="6922" width="11.7109375" style="9" bestFit="1" customWidth="1"/>
    <col min="6923" max="6923" width="14.42578125" style="9" customWidth="1"/>
    <col min="6924" max="6924" width="8.85546875" style="9"/>
    <col min="6925" max="6925" width="14.28515625" style="9" bestFit="1" customWidth="1"/>
    <col min="6926" max="6926" width="10" style="9" customWidth="1"/>
    <col min="6927" max="7158" width="8.85546875" style="9"/>
    <col min="7159" max="7159" width="1.140625" style="9" customWidth="1"/>
    <col min="7160" max="7160" width="3.28515625" style="9" customWidth="1"/>
    <col min="7161" max="7161" width="2.42578125" style="9" customWidth="1"/>
    <col min="7162" max="7162" width="2.5703125" style="9" customWidth="1"/>
    <col min="7163" max="7163" width="2.85546875" style="9" customWidth="1"/>
    <col min="7164" max="7164" width="3" style="9" customWidth="1"/>
    <col min="7165" max="7165" width="24.7109375" style="9" customWidth="1"/>
    <col min="7166" max="7166" width="7.85546875" style="9" customWidth="1"/>
    <col min="7167" max="7167" width="7.42578125" style="9" customWidth="1"/>
    <col min="7168" max="7168" width="11.140625" style="9" customWidth="1"/>
    <col min="7169" max="7169" width="14.42578125" style="9" customWidth="1"/>
    <col min="7170" max="7170" width="3.42578125" style="9" customWidth="1"/>
    <col min="7171" max="7171" width="3" style="9" customWidth="1"/>
    <col min="7172" max="7172" width="3.28515625" style="9" customWidth="1"/>
    <col min="7173" max="7173" width="3.140625" style="9" customWidth="1"/>
    <col min="7174" max="7174" width="3.42578125" style="9" customWidth="1"/>
    <col min="7175" max="7175" width="24.7109375" style="9" customWidth="1"/>
    <col min="7176" max="7176" width="7.85546875" style="9" customWidth="1"/>
    <col min="7177" max="7177" width="7.28515625" style="9" customWidth="1"/>
    <col min="7178" max="7178" width="11.7109375" style="9" bestFit="1" customWidth="1"/>
    <col min="7179" max="7179" width="14.42578125" style="9" customWidth="1"/>
    <col min="7180" max="7180" width="8.85546875" style="9"/>
    <col min="7181" max="7181" width="14.28515625" style="9" bestFit="1" customWidth="1"/>
    <col min="7182" max="7182" width="10" style="9" customWidth="1"/>
    <col min="7183" max="7414" width="8.85546875" style="9"/>
    <col min="7415" max="7415" width="1.140625" style="9" customWidth="1"/>
    <col min="7416" max="7416" width="3.28515625" style="9" customWidth="1"/>
    <col min="7417" max="7417" width="2.42578125" style="9" customWidth="1"/>
    <col min="7418" max="7418" width="2.5703125" style="9" customWidth="1"/>
    <col min="7419" max="7419" width="2.85546875" style="9" customWidth="1"/>
    <col min="7420" max="7420" width="3" style="9" customWidth="1"/>
    <col min="7421" max="7421" width="24.7109375" style="9" customWidth="1"/>
    <col min="7422" max="7422" width="7.85546875" style="9" customWidth="1"/>
    <col min="7423" max="7423" width="7.42578125" style="9" customWidth="1"/>
    <col min="7424" max="7424" width="11.140625" style="9" customWidth="1"/>
    <col min="7425" max="7425" width="14.42578125" style="9" customWidth="1"/>
    <col min="7426" max="7426" width="3.42578125" style="9" customWidth="1"/>
    <col min="7427" max="7427" width="3" style="9" customWidth="1"/>
    <col min="7428" max="7428" width="3.28515625" style="9" customWidth="1"/>
    <col min="7429" max="7429" width="3.140625" style="9" customWidth="1"/>
    <col min="7430" max="7430" width="3.42578125" style="9" customWidth="1"/>
    <col min="7431" max="7431" width="24.7109375" style="9" customWidth="1"/>
    <col min="7432" max="7432" width="7.85546875" style="9" customWidth="1"/>
    <col min="7433" max="7433" width="7.28515625" style="9" customWidth="1"/>
    <col min="7434" max="7434" width="11.7109375" style="9" bestFit="1" customWidth="1"/>
    <col min="7435" max="7435" width="14.42578125" style="9" customWidth="1"/>
    <col min="7436" max="7436" width="8.85546875" style="9"/>
    <col min="7437" max="7437" width="14.28515625" style="9" bestFit="1" customWidth="1"/>
    <col min="7438" max="7438" width="10" style="9" customWidth="1"/>
    <col min="7439" max="7670" width="8.85546875" style="9"/>
    <col min="7671" max="7671" width="1.140625" style="9" customWidth="1"/>
    <col min="7672" max="7672" width="3.28515625" style="9" customWidth="1"/>
    <col min="7673" max="7673" width="2.42578125" style="9" customWidth="1"/>
    <col min="7674" max="7674" width="2.5703125" style="9" customWidth="1"/>
    <col min="7675" max="7675" width="2.85546875" style="9" customWidth="1"/>
    <col min="7676" max="7676" width="3" style="9" customWidth="1"/>
    <col min="7677" max="7677" width="24.7109375" style="9" customWidth="1"/>
    <col min="7678" max="7678" width="7.85546875" style="9" customWidth="1"/>
    <col min="7679" max="7679" width="7.42578125" style="9" customWidth="1"/>
    <col min="7680" max="7680" width="11.140625" style="9" customWidth="1"/>
    <col min="7681" max="7681" width="14.42578125" style="9" customWidth="1"/>
    <col min="7682" max="7682" width="3.42578125" style="9" customWidth="1"/>
    <col min="7683" max="7683" width="3" style="9" customWidth="1"/>
    <col min="7684" max="7684" width="3.28515625" style="9" customWidth="1"/>
    <col min="7685" max="7685" width="3.140625" style="9" customWidth="1"/>
    <col min="7686" max="7686" width="3.42578125" style="9" customWidth="1"/>
    <col min="7687" max="7687" width="24.7109375" style="9" customWidth="1"/>
    <col min="7688" max="7688" width="7.85546875" style="9" customWidth="1"/>
    <col min="7689" max="7689" width="7.28515625" style="9" customWidth="1"/>
    <col min="7690" max="7690" width="11.7109375" style="9" bestFit="1" customWidth="1"/>
    <col min="7691" max="7691" width="14.42578125" style="9" customWidth="1"/>
    <col min="7692" max="7692" width="8.85546875" style="9"/>
    <col min="7693" max="7693" width="14.28515625" style="9" bestFit="1" customWidth="1"/>
    <col min="7694" max="7694" width="10" style="9" customWidth="1"/>
    <col min="7695" max="7926" width="8.85546875" style="9"/>
    <col min="7927" max="7927" width="1.140625" style="9" customWidth="1"/>
    <col min="7928" max="7928" width="3.28515625" style="9" customWidth="1"/>
    <col min="7929" max="7929" width="2.42578125" style="9" customWidth="1"/>
    <col min="7930" max="7930" width="2.5703125" style="9" customWidth="1"/>
    <col min="7931" max="7931" width="2.85546875" style="9" customWidth="1"/>
    <col min="7932" max="7932" width="3" style="9" customWidth="1"/>
    <col min="7933" max="7933" width="24.7109375" style="9" customWidth="1"/>
    <col min="7934" max="7934" width="7.85546875" style="9" customWidth="1"/>
    <col min="7935" max="7935" width="7.42578125" style="9" customWidth="1"/>
    <col min="7936" max="7936" width="11.140625" style="9" customWidth="1"/>
    <col min="7937" max="7937" width="14.42578125" style="9" customWidth="1"/>
    <col min="7938" max="7938" width="3.42578125" style="9" customWidth="1"/>
    <col min="7939" max="7939" width="3" style="9" customWidth="1"/>
    <col min="7940" max="7940" width="3.28515625" style="9" customWidth="1"/>
    <col min="7941" max="7941" width="3.140625" style="9" customWidth="1"/>
    <col min="7942" max="7942" width="3.42578125" style="9" customWidth="1"/>
    <col min="7943" max="7943" width="24.7109375" style="9" customWidth="1"/>
    <col min="7944" max="7944" width="7.85546875" style="9" customWidth="1"/>
    <col min="7945" max="7945" width="7.28515625" style="9" customWidth="1"/>
    <col min="7946" max="7946" width="11.7109375" style="9" bestFit="1" customWidth="1"/>
    <col min="7947" max="7947" width="14.42578125" style="9" customWidth="1"/>
    <col min="7948" max="7948" width="8.85546875" style="9"/>
    <col min="7949" max="7949" width="14.28515625" style="9" bestFit="1" customWidth="1"/>
    <col min="7950" max="7950" width="10" style="9" customWidth="1"/>
    <col min="7951" max="8182" width="8.85546875" style="9"/>
    <col min="8183" max="8183" width="1.140625" style="9" customWidth="1"/>
    <col min="8184" max="8184" width="3.28515625" style="9" customWidth="1"/>
    <col min="8185" max="8185" width="2.42578125" style="9" customWidth="1"/>
    <col min="8186" max="8186" width="2.5703125" style="9" customWidth="1"/>
    <col min="8187" max="8187" width="2.85546875" style="9" customWidth="1"/>
    <col min="8188" max="8188" width="3" style="9" customWidth="1"/>
    <col min="8189" max="8189" width="24.7109375" style="9" customWidth="1"/>
    <col min="8190" max="8190" width="7.85546875" style="9" customWidth="1"/>
    <col min="8191" max="8191" width="7.42578125" style="9" customWidth="1"/>
    <col min="8192" max="8192" width="11.140625" style="9" customWidth="1"/>
    <col min="8193" max="8193" width="14.42578125" style="9" customWidth="1"/>
    <col min="8194" max="8194" width="3.42578125" style="9" customWidth="1"/>
    <col min="8195" max="8195" width="3" style="9" customWidth="1"/>
    <col min="8196" max="8196" width="3.28515625" style="9" customWidth="1"/>
    <col min="8197" max="8197" width="3.140625" style="9" customWidth="1"/>
    <col min="8198" max="8198" width="3.42578125" style="9" customWidth="1"/>
    <col min="8199" max="8199" width="24.7109375" style="9" customWidth="1"/>
    <col min="8200" max="8200" width="7.85546875" style="9" customWidth="1"/>
    <col min="8201" max="8201" width="7.28515625" style="9" customWidth="1"/>
    <col min="8202" max="8202" width="11.7109375" style="9" bestFit="1" customWidth="1"/>
    <col min="8203" max="8203" width="14.42578125" style="9" customWidth="1"/>
    <col min="8204" max="8204" width="8.85546875" style="9"/>
    <col min="8205" max="8205" width="14.28515625" style="9" bestFit="1" customWidth="1"/>
    <col min="8206" max="8206" width="10" style="9" customWidth="1"/>
    <col min="8207" max="8438" width="8.85546875" style="9"/>
    <col min="8439" max="8439" width="1.140625" style="9" customWidth="1"/>
    <col min="8440" max="8440" width="3.28515625" style="9" customWidth="1"/>
    <col min="8441" max="8441" width="2.42578125" style="9" customWidth="1"/>
    <col min="8442" max="8442" width="2.5703125" style="9" customWidth="1"/>
    <col min="8443" max="8443" width="2.85546875" style="9" customWidth="1"/>
    <col min="8444" max="8444" width="3" style="9" customWidth="1"/>
    <col min="8445" max="8445" width="24.7109375" style="9" customWidth="1"/>
    <col min="8446" max="8446" width="7.85546875" style="9" customWidth="1"/>
    <col min="8447" max="8447" width="7.42578125" style="9" customWidth="1"/>
    <col min="8448" max="8448" width="11.140625" style="9" customWidth="1"/>
    <col min="8449" max="8449" width="14.42578125" style="9" customWidth="1"/>
    <col min="8450" max="8450" width="3.42578125" style="9" customWidth="1"/>
    <col min="8451" max="8451" width="3" style="9" customWidth="1"/>
    <col min="8452" max="8452" width="3.28515625" style="9" customWidth="1"/>
    <col min="8453" max="8453" width="3.140625" style="9" customWidth="1"/>
    <col min="8454" max="8454" width="3.42578125" style="9" customWidth="1"/>
    <col min="8455" max="8455" width="24.7109375" style="9" customWidth="1"/>
    <col min="8456" max="8456" width="7.85546875" style="9" customWidth="1"/>
    <col min="8457" max="8457" width="7.28515625" style="9" customWidth="1"/>
    <col min="8458" max="8458" width="11.7109375" style="9" bestFit="1" customWidth="1"/>
    <col min="8459" max="8459" width="14.42578125" style="9" customWidth="1"/>
    <col min="8460" max="8460" width="8.85546875" style="9"/>
    <col min="8461" max="8461" width="14.28515625" style="9" bestFit="1" customWidth="1"/>
    <col min="8462" max="8462" width="10" style="9" customWidth="1"/>
    <col min="8463" max="8694" width="8.85546875" style="9"/>
    <col min="8695" max="8695" width="1.140625" style="9" customWidth="1"/>
    <col min="8696" max="8696" width="3.28515625" style="9" customWidth="1"/>
    <col min="8697" max="8697" width="2.42578125" style="9" customWidth="1"/>
    <col min="8698" max="8698" width="2.5703125" style="9" customWidth="1"/>
    <col min="8699" max="8699" width="2.85546875" style="9" customWidth="1"/>
    <col min="8700" max="8700" width="3" style="9" customWidth="1"/>
    <col min="8701" max="8701" width="24.7109375" style="9" customWidth="1"/>
    <col min="8702" max="8702" width="7.85546875" style="9" customWidth="1"/>
    <col min="8703" max="8703" width="7.42578125" style="9" customWidth="1"/>
    <col min="8704" max="8704" width="11.140625" style="9" customWidth="1"/>
    <col min="8705" max="8705" width="14.42578125" style="9" customWidth="1"/>
    <col min="8706" max="8706" width="3.42578125" style="9" customWidth="1"/>
    <col min="8707" max="8707" width="3" style="9" customWidth="1"/>
    <col min="8708" max="8708" width="3.28515625" style="9" customWidth="1"/>
    <col min="8709" max="8709" width="3.140625" style="9" customWidth="1"/>
    <col min="8710" max="8710" width="3.42578125" style="9" customWidth="1"/>
    <col min="8711" max="8711" width="24.7109375" style="9" customWidth="1"/>
    <col min="8712" max="8712" width="7.85546875" style="9" customWidth="1"/>
    <col min="8713" max="8713" width="7.28515625" style="9" customWidth="1"/>
    <col min="8714" max="8714" width="11.7109375" style="9" bestFit="1" customWidth="1"/>
    <col min="8715" max="8715" width="14.42578125" style="9" customWidth="1"/>
    <col min="8716" max="8716" width="8.85546875" style="9"/>
    <col min="8717" max="8717" width="14.28515625" style="9" bestFit="1" customWidth="1"/>
    <col min="8718" max="8718" width="10" style="9" customWidth="1"/>
    <col min="8719" max="8950" width="8.85546875" style="9"/>
    <col min="8951" max="8951" width="1.140625" style="9" customWidth="1"/>
    <col min="8952" max="8952" width="3.28515625" style="9" customWidth="1"/>
    <col min="8953" max="8953" width="2.42578125" style="9" customWidth="1"/>
    <col min="8954" max="8954" width="2.5703125" style="9" customWidth="1"/>
    <col min="8955" max="8955" width="2.85546875" style="9" customWidth="1"/>
    <col min="8956" max="8956" width="3" style="9" customWidth="1"/>
    <col min="8957" max="8957" width="24.7109375" style="9" customWidth="1"/>
    <col min="8958" max="8958" width="7.85546875" style="9" customWidth="1"/>
    <col min="8959" max="8959" width="7.42578125" style="9" customWidth="1"/>
    <col min="8960" max="8960" width="11.140625" style="9" customWidth="1"/>
    <col min="8961" max="8961" width="14.42578125" style="9" customWidth="1"/>
    <col min="8962" max="8962" width="3.42578125" style="9" customWidth="1"/>
    <col min="8963" max="8963" width="3" style="9" customWidth="1"/>
    <col min="8964" max="8964" width="3.28515625" style="9" customWidth="1"/>
    <col min="8965" max="8965" width="3.140625" style="9" customWidth="1"/>
    <col min="8966" max="8966" width="3.42578125" style="9" customWidth="1"/>
    <col min="8967" max="8967" width="24.7109375" style="9" customWidth="1"/>
    <col min="8968" max="8968" width="7.85546875" style="9" customWidth="1"/>
    <col min="8969" max="8969" width="7.28515625" style="9" customWidth="1"/>
    <col min="8970" max="8970" width="11.7109375" style="9" bestFit="1" customWidth="1"/>
    <col min="8971" max="8971" width="14.42578125" style="9" customWidth="1"/>
    <col min="8972" max="8972" width="8.85546875" style="9"/>
    <col min="8973" max="8973" width="14.28515625" style="9" bestFit="1" customWidth="1"/>
    <col min="8974" max="8974" width="10" style="9" customWidth="1"/>
    <col min="8975" max="9206" width="8.85546875" style="9"/>
    <col min="9207" max="9207" width="1.140625" style="9" customWidth="1"/>
    <col min="9208" max="9208" width="3.28515625" style="9" customWidth="1"/>
    <col min="9209" max="9209" width="2.42578125" style="9" customWidth="1"/>
    <col min="9210" max="9210" width="2.5703125" style="9" customWidth="1"/>
    <col min="9211" max="9211" width="2.85546875" style="9" customWidth="1"/>
    <col min="9212" max="9212" width="3" style="9" customWidth="1"/>
    <col min="9213" max="9213" width="24.7109375" style="9" customWidth="1"/>
    <col min="9214" max="9214" width="7.85546875" style="9" customWidth="1"/>
    <col min="9215" max="9215" width="7.42578125" style="9" customWidth="1"/>
    <col min="9216" max="9216" width="11.140625" style="9" customWidth="1"/>
    <col min="9217" max="9217" width="14.42578125" style="9" customWidth="1"/>
    <col min="9218" max="9218" width="3.42578125" style="9" customWidth="1"/>
    <col min="9219" max="9219" width="3" style="9" customWidth="1"/>
    <col min="9220" max="9220" width="3.28515625" style="9" customWidth="1"/>
    <col min="9221" max="9221" width="3.140625" style="9" customWidth="1"/>
    <col min="9222" max="9222" width="3.42578125" style="9" customWidth="1"/>
    <col min="9223" max="9223" width="24.7109375" style="9" customWidth="1"/>
    <col min="9224" max="9224" width="7.85546875" style="9" customWidth="1"/>
    <col min="9225" max="9225" width="7.28515625" style="9" customWidth="1"/>
    <col min="9226" max="9226" width="11.7109375" style="9" bestFit="1" customWidth="1"/>
    <col min="9227" max="9227" width="14.42578125" style="9" customWidth="1"/>
    <col min="9228" max="9228" width="8.85546875" style="9"/>
    <col min="9229" max="9229" width="14.28515625" style="9" bestFit="1" customWidth="1"/>
    <col min="9230" max="9230" width="10" style="9" customWidth="1"/>
    <col min="9231" max="9462" width="8.85546875" style="9"/>
    <col min="9463" max="9463" width="1.140625" style="9" customWidth="1"/>
    <col min="9464" max="9464" width="3.28515625" style="9" customWidth="1"/>
    <col min="9465" max="9465" width="2.42578125" style="9" customWidth="1"/>
    <col min="9466" max="9466" width="2.5703125" style="9" customWidth="1"/>
    <col min="9467" max="9467" width="2.85546875" style="9" customWidth="1"/>
    <col min="9468" max="9468" width="3" style="9" customWidth="1"/>
    <col min="9469" max="9469" width="24.7109375" style="9" customWidth="1"/>
    <col min="9470" max="9470" width="7.85546875" style="9" customWidth="1"/>
    <col min="9471" max="9471" width="7.42578125" style="9" customWidth="1"/>
    <col min="9472" max="9472" width="11.140625" style="9" customWidth="1"/>
    <col min="9473" max="9473" width="14.42578125" style="9" customWidth="1"/>
    <col min="9474" max="9474" width="3.42578125" style="9" customWidth="1"/>
    <col min="9475" max="9475" width="3" style="9" customWidth="1"/>
    <col min="9476" max="9476" width="3.28515625" style="9" customWidth="1"/>
    <col min="9477" max="9477" width="3.140625" style="9" customWidth="1"/>
    <col min="9478" max="9478" width="3.42578125" style="9" customWidth="1"/>
    <col min="9479" max="9479" width="24.7109375" style="9" customWidth="1"/>
    <col min="9480" max="9480" width="7.85546875" style="9" customWidth="1"/>
    <col min="9481" max="9481" width="7.28515625" style="9" customWidth="1"/>
    <col min="9482" max="9482" width="11.7109375" style="9" bestFit="1" customWidth="1"/>
    <col min="9483" max="9483" width="14.42578125" style="9" customWidth="1"/>
    <col min="9484" max="9484" width="8.85546875" style="9"/>
    <col min="9485" max="9485" width="14.28515625" style="9" bestFit="1" customWidth="1"/>
    <col min="9486" max="9486" width="10" style="9" customWidth="1"/>
    <col min="9487" max="9718" width="8.85546875" style="9"/>
    <col min="9719" max="9719" width="1.140625" style="9" customWidth="1"/>
    <col min="9720" max="9720" width="3.28515625" style="9" customWidth="1"/>
    <col min="9721" max="9721" width="2.42578125" style="9" customWidth="1"/>
    <col min="9722" max="9722" width="2.5703125" style="9" customWidth="1"/>
    <col min="9723" max="9723" width="2.85546875" style="9" customWidth="1"/>
    <col min="9724" max="9724" width="3" style="9" customWidth="1"/>
    <col min="9725" max="9725" width="24.7109375" style="9" customWidth="1"/>
    <col min="9726" max="9726" width="7.85546875" style="9" customWidth="1"/>
    <col min="9727" max="9727" width="7.42578125" style="9" customWidth="1"/>
    <col min="9728" max="9728" width="11.140625" style="9" customWidth="1"/>
    <col min="9729" max="9729" width="14.42578125" style="9" customWidth="1"/>
    <col min="9730" max="9730" width="3.42578125" style="9" customWidth="1"/>
    <col min="9731" max="9731" width="3" style="9" customWidth="1"/>
    <col min="9732" max="9732" width="3.28515625" style="9" customWidth="1"/>
    <col min="9733" max="9733" width="3.140625" style="9" customWidth="1"/>
    <col min="9734" max="9734" width="3.42578125" style="9" customWidth="1"/>
    <col min="9735" max="9735" width="24.7109375" style="9" customWidth="1"/>
    <col min="9736" max="9736" width="7.85546875" style="9" customWidth="1"/>
    <col min="9737" max="9737" width="7.28515625" style="9" customWidth="1"/>
    <col min="9738" max="9738" width="11.7109375" style="9" bestFit="1" customWidth="1"/>
    <col min="9739" max="9739" width="14.42578125" style="9" customWidth="1"/>
    <col min="9740" max="9740" width="8.85546875" style="9"/>
    <col min="9741" max="9741" width="14.28515625" style="9" bestFit="1" customWidth="1"/>
    <col min="9742" max="9742" width="10" style="9" customWidth="1"/>
    <col min="9743" max="9974" width="8.85546875" style="9"/>
    <col min="9975" max="9975" width="1.140625" style="9" customWidth="1"/>
    <col min="9976" max="9976" width="3.28515625" style="9" customWidth="1"/>
    <col min="9977" max="9977" width="2.42578125" style="9" customWidth="1"/>
    <col min="9978" max="9978" width="2.5703125" style="9" customWidth="1"/>
    <col min="9979" max="9979" width="2.85546875" style="9" customWidth="1"/>
    <col min="9980" max="9980" width="3" style="9" customWidth="1"/>
    <col min="9981" max="9981" width="24.7109375" style="9" customWidth="1"/>
    <col min="9982" max="9982" width="7.85546875" style="9" customWidth="1"/>
    <col min="9983" max="9983" width="7.42578125" style="9" customWidth="1"/>
    <col min="9984" max="9984" width="11.140625" style="9" customWidth="1"/>
    <col min="9985" max="9985" width="14.42578125" style="9" customWidth="1"/>
    <col min="9986" max="9986" width="3.42578125" style="9" customWidth="1"/>
    <col min="9987" max="9987" width="3" style="9" customWidth="1"/>
    <col min="9988" max="9988" width="3.28515625" style="9" customWidth="1"/>
    <col min="9989" max="9989" width="3.140625" style="9" customWidth="1"/>
    <col min="9990" max="9990" width="3.42578125" style="9" customWidth="1"/>
    <col min="9991" max="9991" width="24.7109375" style="9" customWidth="1"/>
    <col min="9992" max="9992" width="7.85546875" style="9" customWidth="1"/>
    <col min="9993" max="9993" width="7.28515625" style="9" customWidth="1"/>
    <col min="9994" max="9994" width="11.7109375" style="9" bestFit="1" customWidth="1"/>
    <col min="9995" max="9995" width="14.42578125" style="9" customWidth="1"/>
    <col min="9996" max="9996" width="8.85546875" style="9"/>
    <col min="9997" max="9997" width="14.28515625" style="9" bestFit="1" customWidth="1"/>
    <col min="9998" max="9998" width="10" style="9" customWidth="1"/>
    <col min="9999" max="10230" width="8.85546875" style="9"/>
    <col min="10231" max="10231" width="1.140625" style="9" customWidth="1"/>
    <col min="10232" max="10232" width="3.28515625" style="9" customWidth="1"/>
    <col min="10233" max="10233" width="2.42578125" style="9" customWidth="1"/>
    <col min="10234" max="10234" width="2.5703125" style="9" customWidth="1"/>
    <col min="10235" max="10235" width="2.85546875" style="9" customWidth="1"/>
    <col min="10236" max="10236" width="3" style="9" customWidth="1"/>
    <col min="10237" max="10237" width="24.7109375" style="9" customWidth="1"/>
    <col min="10238" max="10238" width="7.85546875" style="9" customWidth="1"/>
    <col min="10239" max="10239" width="7.42578125" style="9" customWidth="1"/>
    <col min="10240" max="10240" width="11.140625" style="9" customWidth="1"/>
    <col min="10241" max="10241" width="14.42578125" style="9" customWidth="1"/>
    <col min="10242" max="10242" width="3.42578125" style="9" customWidth="1"/>
    <col min="10243" max="10243" width="3" style="9" customWidth="1"/>
    <col min="10244" max="10244" width="3.28515625" style="9" customWidth="1"/>
    <col min="10245" max="10245" width="3.140625" style="9" customWidth="1"/>
    <col min="10246" max="10246" width="3.42578125" style="9" customWidth="1"/>
    <col min="10247" max="10247" width="24.7109375" style="9" customWidth="1"/>
    <col min="10248" max="10248" width="7.85546875" style="9" customWidth="1"/>
    <col min="10249" max="10249" width="7.28515625" style="9" customWidth="1"/>
    <col min="10250" max="10250" width="11.7109375" style="9" bestFit="1" customWidth="1"/>
    <col min="10251" max="10251" width="14.42578125" style="9" customWidth="1"/>
    <col min="10252" max="10252" width="8.85546875" style="9"/>
    <col min="10253" max="10253" width="14.28515625" style="9" bestFit="1" customWidth="1"/>
    <col min="10254" max="10254" width="10" style="9" customWidth="1"/>
    <col min="10255" max="10486" width="8.85546875" style="9"/>
    <col min="10487" max="10487" width="1.140625" style="9" customWidth="1"/>
    <col min="10488" max="10488" width="3.28515625" style="9" customWidth="1"/>
    <col min="10489" max="10489" width="2.42578125" style="9" customWidth="1"/>
    <col min="10490" max="10490" width="2.5703125" style="9" customWidth="1"/>
    <col min="10491" max="10491" width="2.85546875" style="9" customWidth="1"/>
    <col min="10492" max="10492" width="3" style="9" customWidth="1"/>
    <col min="10493" max="10493" width="24.7109375" style="9" customWidth="1"/>
    <col min="10494" max="10494" width="7.85546875" style="9" customWidth="1"/>
    <col min="10495" max="10495" width="7.42578125" style="9" customWidth="1"/>
    <col min="10496" max="10496" width="11.140625" style="9" customWidth="1"/>
    <col min="10497" max="10497" width="14.42578125" style="9" customWidth="1"/>
    <col min="10498" max="10498" width="3.42578125" style="9" customWidth="1"/>
    <col min="10499" max="10499" width="3" style="9" customWidth="1"/>
    <col min="10500" max="10500" width="3.28515625" style="9" customWidth="1"/>
    <col min="10501" max="10501" width="3.140625" style="9" customWidth="1"/>
    <col min="10502" max="10502" width="3.42578125" style="9" customWidth="1"/>
    <col min="10503" max="10503" width="24.7109375" style="9" customWidth="1"/>
    <col min="10504" max="10504" width="7.85546875" style="9" customWidth="1"/>
    <col min="10505" max="10505" width="7.28515625" style="9" customWidth="1"/>
    <col min="10506" max="10506" width="11.7109375" style="9" bestFit="1" customWidth="1"/>
    <col min="10507" max="10507" width="14.42578125" style="9" customWidth="1"/>
    <col min="10508" max="10508" width="8.85546875" style="9"/>
    <col min="10509" max="10509" width="14.28515625" style="9" bestFit="1" customWidth="1"/>
    <col min="10510" max="10510" width="10" style="9" customWidth="1"/>
    <col min="10511" max="10742" width="8.85546875" style="9"/>
    <col min="10743" max="10743" width="1.140625" style="9" customWidth="1"/>
    <col min="10744" max="10744" width="3.28515625" style="9" customWidth="1"/>
    <col min="10745" max="10745" width="2.42578125" style="9" customWidth="1"/>
    <col min="10746" max="10746" width="2.5703125" style="9" customWidth="1"/>
    <col min="10747" max="10747" width="2.85546875" style="9" customWidth="1"/>
    <col min="10748" max="10748" width="3" style="9" customWidth="1"/>
    <col min="10749" max="10749" width="24.7109375" style="9" customWidth="1"/>
    <col min="10750" max="10750" width="7.85546875" style="9" customWidth="1"/>
    <col min="10751" max="10751" width="7.42578125" style="9" customWidth="1"/>
    <col min="10752" max="10752" width="11.140625" style="9" customWidth="1"/>
    <col min="10753" max="10753" width="14.42578125" style="9" customWidth="1"/>
    <col min="10754" max="10754" width="3.42578125" style="9" customWidth="1"/>
    <col min="10755" max="10755" width="3" style="9" customWidth="1"/>
    <col min="10756" max="10756" width="3.28515625" style="9" customWidth="1"/>
    <col min="10757" max="10757" width="3.140625" style="9" customWidth="1"/>
    <col min="10758" max="10758" width="3.42578125" style="9" customWidth="1"/>
    <col min="10759" max="10759" width="24.7109375" style="9" customWidth="1"/>
    <col min="10760" max="10760" width="7.85546875" style="9" customWidth="1"/>
    <col min="10761" max="10761" width="7.28515625" style="9" customWidth="1"/>
    <col min="10762" max="10762" width="11.7109375" style="9" bestFit="1" customWidth="1"/>
    <col min="10763" max="10763" width="14.42578125" style="9" customWidth="1"/>
    <col min="10764" max="10764" width="8.85546875" style="9"/>
    <col min="10765" max="10765" width="14.28515625" style="9" bestFit="1" customWidth="1"/>
    <col min="10766" max="10766" width="10" style="9" customWidth="1"/>
    <col min="10767" max="10998" width="8.85546875" style="9"/>
    <col min="10999" max="10999" width="1.140625" style="9" customWidth="1"/>
    <col min="11000" max="11000" width="3.28515625" style="9" customWidth="1"/>
    <col min="11001" max="11001" width="2.42578125" style="9" customWidth="1"/>
    <col min="11002" max="11002" width="2.5703125" style="9" customWidth="1"/>
    <col min="11003" max="11003" width="2.85546875" style="9" customWidth="1"/>
    <col min="11004" max="11004" width="3" style="9" customWidth="1"/>
    <col min="11005" max="11005" width="24.7109375" style="9" customWidth="1"/>
    <col min="11006" max="11006" width="7.85546875" style="9" customWidth="1"/>
    <col min="11007" max="11007" width="7.42578125" style="9" customWidth="1"/>
    <col min="11008" max="11008" width="11.140625" style="9" customWidth="1"/>
    <col min="11009" max="11009" width="14.42578125" style="9" customWidth="1"/>
    <col min="11010" max="11010" width="3.42578125" style="9" customWidth="1"/>
    <col min="11011" max="11011" width="3" style="9" customWidth="1"/>
    <col min="11012" max="11012" width="3.28515625" style="9" customWidth="1"/>
    <col min="11013" max="11013" width="3.140625" style="9" customWidth="1"/>
    <col min="11014" max="11014" width="3.42578125" style="9" customWidth="1"/>
    <col min="11015" max="11015" width="24.7109375" style="9" customWidth="1"/>
    <col min="11016" max="11016" width="7.85546875" style="9" customWidth="1"/>
    <col min="11017" max="11017" width="7.28515625" style="9" customWidth="1"/>
    <col min="11018" max="11018" width="11.7109375" style="9" bestFit="1" customWidth="1"/>
    <col min="11019" max="11019" width="14.42578125" style="9" customWidth="1"/>
    <col min="11020" max="11020" width="8.85546875" style="9"/>
    <col min="11021" max="11021" width="14.28515625" style="9" bestFit="1" customWidth="1"/>
    <col min="11022" max="11022" width="10" style="9" customWidth="1"/>
    <col min="11023" max="11254" width="8.85546875" style="9"/>
    <col min="11255" max="11255" width="1.140625" style="9" customWidth="1"/>
    <col min="11256" max="11256" width="3.28515625" style="9" customWidth="1"/>
    <col min="11257" max="11257" width="2.42578125" style="9" customWidth="1"/>
    <col min="11258" max="11258" width="2.5703125" style="9" customWidth="1"/>
    <col min="11259" max="11259" width="2.85546875" style="9" customWidth="1"/>
    <col min="11260" max="11260" width="3" style="9" customWidth="1"/>
    <col min="11261" max="11261" width="24.7109375" style="9" customWidth="1"/>
    <col min="11262" max="11262" width="7.85546875" style="9" customWidth="1"/>
    <col min="11263" max="11263" width="7.42578125" style="9" customWidth="1"/>
    <col min="11264" max="11264" width="11.140625" style="9" customWidth="1"/>
    <col min="11265" max="11265" width="14.42578125" style="9" customWidth="1"/>
    <col min="11266" max="11266" width="3.42578125" style="9" customWidth="1"/>
    <col min="11267" max="11267" width="3" style="9" customWidth="1"/>
    <col min="11268" max="11268" width="3.28515625" style="9" customWidth="1"/>
    <col min="11269" max="11269" width="3.140625" style="9" customWidth="1"/>
    <col min="11270" max="11270" width="3.42578125" style="9" customWidth="1"/>
    <col min="11271" max="11271" width="24.7109375" style="9" customWidth="1"/>
    <col min="11272" max="11272" width="7.85546875" style="9" customWidth="1"/>
    <col min="11273" max="11273" width="7.28515625" style="9" customWidth="1"/>
    <col min="11274" max="11274" width="11.7109375" style="9" bestFit="1" customWidth="1"/>
    <col min="11275" max="11275" width="14.42578125" style="9" customWidth="1"/>
    <col min="11276" max="11276" width="8.85546875" style="9"/>
    <col min="11277" max="11277" width="14.28515625" style="9" bestFit="1" customWidth="1"/>
    <col min="11278" max="11278" width="10" style="9" customWidth="1"/>
    <col min="11279" max="11510" width="8.85546875" style="9"/>
    <col min="11511" max="11511" width="1.140625" style="9" customWidth="1"/>
    <col min="11512" max="11512" width="3.28515625" style="9" customWidth="1"/>
    <col min="11513" max="11513" width="2.42578125" style="9" customWidth="1"/>
    <col min="11514" max="11514" width="2.5703125" style="9" customWidth="1"/>
    <col min="11515" max="11515" width="2.85546875" style="9" customWidth="1"/>
    <col min="11516" max="11516" width="3" style="9" customWidth="1"/>
    <col min="11517" max="11517" width="24.7109375" style="9" customWidth="1"/>
    <col min="11518" max="11518" width="7.85546875" style="9" customWidth="1"/>
    <col min="11519" max="11519" width="7.42578125" style="9" customWidth="1"/>
    <col min="11520" max="11520" width="11.140625" style="9" customWidth="1"/>
    <col min="11521" max="11521" width="14.42578125" style="9" customWidth="1"/>
    <col min="11522" max="11522" width="3.42578125" style="9" customWidth="1"/>
    <col min="11523" max="11523" width="3" style="9" customWidth="1"/>
    <col min="11524" max="11524" width="3.28515625" style="9" customWidth="1"/>
    <col min="11525" max="11525" width="3.140625" style="9" customWidth="1"/>
    <col min="11526" max="11526" width="3.42578125" style="9" customWidth="1"/>
    <col min="11527" max="11527" width="24.7109375" style="9" customWidth="1"/>
    <col min="11528" max="11528" width="7.85546875" style="9" customWidth="1"/>
    <col min="11529" max="11529" width="7.28515625" style="9" customWidth="1"/>
    <col min="11530" max="11530" width="11.7109375" style="9" bestFit="1" customWidth="1"/>
    <col min="11531" max="11531" width="14.42578125" style="9" customWidth="1"/>
    <col min="11532" max="11532" width="8.85546875" style="9"/>
    <col min="11533" max="11533" width="14.28515625" style="9" bestFit="1" customWidth="1"/>
    <col min="11534" max="11534" width="10" style="9" customWidth="1"/>
    <col min="11535" max="11766" width="8.85546875" style="9"/>
    <col min="11767" max="11767" width="1.140625" style="9" customWidth="1"/>
    <col min="11768" max="11768" width="3.28515625" style="9" customWidth="1"/>
    <col min="11769" max="11769" width="2.42578125" style="9" customWidth="1"/>
    <col min="11770" max="11770" width="2.5703125" style="9" customWidth="1"/>
    <col min="11771" max="11771" width="2.85546875" style="9" customWidth="1"/>
    <col min="11772" max="11772" width="3" style="9" customWidth="1"/>
    <col min="11773" max="11773" width="24.7109375" style="9" customWidth="1"/>
    <col min="11774" max="11774" width="7.85546875" style="9" customWidth="1"/>
    <col min="11775" max="11775" width="7.42578125" style="9" customWidth="1"/>
    <col min="11776" max="11776" width="11.140625" style="9" customWidth="1"/>
    <col min="11777" max="11777" width="14.42578125" style="9" customWidth="1"/>
    <col min="11778" max="11778" width="3.42578125" style="9" customWidth="1"/>
    <col min="11779" max="11779" width="3" style="9" customWidth="1"/>
    <col min="11780" max="11780" width="3.28515625" style="9" customWidth="1"/>
    <col min="11781" max="11781" width="3.140625" style="9" customWidth="1"/>
    <col min="11782" max="11782" width="3.42578125" style="9" customWidth="1"/>
    <col min="11783" max="11783" width="24.7109375" style="9" customWidth="1"/>
    <col min="11784" max="11784" width="7.85546875" style="9" customWidth="1"/>
    <col min="11785" max="11785" width="7.28515625" style="9" customWidth="1"/>
    <col min="11786" max="11786" width="11.7109375" style="9" bestFit="1" customWidth="1"/>
    <col min="11787" max="11787" width="14.42578125" style="9" customWidth="1"/>
    <col min="11788" max="11788" width="8.85546875" style="9"/>
    <col min="11789" max="11789" width="14.28515625" style="9" bestFit="1" customWidth="1"/>
    <col min="11790" max="11790" width="10" style="9" customWidth="1"/>
    <col min="11791" max="12022" width="8.85546875" style="9"/>
    <col min="12023" max="12023" width="1.140625" style="9" customWidth="1"/>
    <col min="12024" max="12024" width="3.28515625" style="9" customWidth="1"/>
    <col min="12025" max="12025" width="2.42578125" style="9" customWidth="1"/>
    <col min="12026" max="12026" width="2.5703125" style="9" customWidth="1"/>
    <col min="12027" max="12027" width="2.85546875" style="9" customWidth="1"/>
    <col min="12028" max="12028" width="3" style="9" customWidth="1"/>
    <col min="12029" max="12029" width="24.7109375" style="9" customWidth="1"/>
    <col min="12030" max="12030" width="7.85546875" style="9" customWidth="1"/>
    <col min="12031" max="12031" width="7.42578125" style="9" customWidth="1"/>
    <col min="12032" max="12032" width="11.140625" style="9" customWidth="1"/>
    <col min="12033" max="12033" width="14.42578125" style="9" customWidth="1"/>
    <col min="12034" max="12034" width="3.42578125" style="9" customWidth="1"/>
    <col min="12035" max="12035" width="3" style="9" customWidth="1"/>
    <col min="12036" max="12036" width="3.28515625" style="9" customWidth="1"/>
    <col min="12037" max="12037" width="3.140625" style="9" customWidth="1"/>
    <col min="12038" max="12038" width="3.42578125" style="9" customWidth="1"/>
    <col min="12039" max="12039" width="24.7109375" style="9" customWidth="1"/>
    <col min="12040" max="12040" width="7.85546875" style="9" customWidth="1"/>
    <col min="12041" max="12041" width="7.28515625" style="9" customWidth="1"/>
    <col min="12042" max="12042" width="11.7109375" style="9" bestFit="1" customWidth="1"/>
    <col min="12043" max="12043" width="14.42578125" style="9" customWidth="1"/>
    <col min="12044" max="12044" width="8.85546875" style="9"/>
    <col min="12045" max="12045" width="14.28515625" style="9" bestFit="1" customWidth="1"/>
    <col min="12046" max="12046" width="10" style="9" customWidth="1"/>
    <col min="12047" max="12278" width="8.85546875" style="9"/>
    <col min="12279" max="12279" width="1.140625" style="9" customWidth="1"/>
    <col min="12280" max="12280" width="3.28515625" style="9" customWidth="1"/>
    <col min="12281" max="12281" width="2.42578125" style="9" customWidth="1"/>
    <col min="12282" max="12282" width="2.5703125" style="9" customWidth="1"/>
    <col min="12283" max="12283" width="2.85546875" style="9" customWidth="1"/>
    <col min="12284" max="12284" width="3" style="9" customWidth="1"/>
    <col min="12285" max="12285" width="24.7109375" style="9" customWidth="1"/>
    <col min="12286" max="12286" width="7.85546875" style="9" customWidth="1"/>
    <col min="12287" max="12287" width="7.42578125" style="9" customWidth="1"/>
    <col min="12288" max="12288" width="11.140625" style="9" customWidth="1"/>
    <col min="12289" max="12289" width="14.42578125" style="9" customWidth="1"/>
    <col min="12290" max="12290" width="3.42578125" style="9" customWidth="1"/>
    <col min="12291" max="12291" width="3" style="9" customWidth="1"/>
    <col min="12292" max="12292" width="3.28515625" style="9" customWidth="1"/>
    <col min="12293" max="12293" width="3.140625" style="9" customWidth="1"/>
    <col min="12294" max="12294" width="3.42578125" style="9" customWidth="1"/>
    <col min="12295" max="12295" width="24.7109375" style="9" customWidth="1"/>
    <col min="12296" max="12296" width="7.85546875" style="9" customWidth="1"/>
    <col min="12297" max="12297" width="7.28515625" style="9" customWidth="1"/>
    <col min="12298" max="12298" width="11.7109375" style="9" bestFit="1" customWidth="1"/>
    <col min="12299" max="12299" width="14.42578125" style="9" customWidth="1"/>
    <col min="12300" max="12300" width="8.85546875" style="9"/>
    <col min="12301" max="12301" width="14.28515625" style="9" bestFit="1" customWidth="1"/>
    <col min="12302" max="12302" width="10" style="9" customWidth="1"/>
    <col min="12303" max="12534" width="8.85546875" style="9"/>
    <col min="12535" max="12535" width="1.140625" style="9" customWidth="1"/>
    <col min="12536" max="12536" width="3.28515625" style="9" customWidth="1"/>
    <col min="12537" max="12537" width="2.42578125" style="9" customWidth="1"/>
    <col min="12538" max="12538" width="2.5703125" style="9" customWidth="1"/>
    <col min="12539" max="12539" width="2.85546875" style="9" customWidth="1"/>
    <col min="12540" max="12540" width="3" style="9" customWidth="1"/>
    <col min="12541" max="12541" width="24.7109375" style="9" customWidth="1"/>
    <col min="12542" max="12542" width="7.85546875" style="9" customWidth="1"/>
    <col min="12543" max="12543" width="7.42578125" style="9" customWidth="1"/>
    <col min="12544" max="12544" width="11.140625" style="9" customWidth="1"/>
    <col min="12545" max="12545" width="14.42578125" style="9" customWidth="1"/>
    <col min="12546" max="12546" width="3.42578125" style="9" customWidth="1"/>
    <col min="12547" max="12547" width="3" style="9" customWidth="1"/>
    <col min="12548" max="12548" width="3.28515625" style="9" customWidth="1"/>
    <col min="12549" max="12549" width="3.140625" style="9" customWidth="1"/>
    <col min="12550" max="12550" width="3.42578125" style="9" customWidth="1"/>
    <col min="12551" max="12551" width="24.7109375" style="9" customWidth="1"/>
    <col min="12552" max="12552" width="7.85546875" style="9" customWidth="1"/>
    <col min="12553" max="12553" width="7.28515625" style="9" customWidth="1"/>
    <col min="12554" max="12554" width="11.7109375" style="9" bestFit="1" customWidth="1"/>
    <col min="12555" max="12555" width="14.42578125" style="9" customWidth="1"/>
    <col min="12556" max="12556" width="8.85546875" style="9"/>
    <col min="12557" max="12557" width="14.28515625" style="9" bestFit="1" customWidth="1"/>
    <col min="12558" max="12558" width="10" style="9" customWidth="1"/>
    <col min="12559" max="12790" width="8.85546875" style="9"/>
    <col min="12791" max="12791" width="1.140625" style="9" customWidth="1"/>
    <col min="12792" max="12792" width="3.28515625" style="9" customWidth="1"/>
    <col min="12793" max="12793" width="2.42578125" style="9" customWidth="1"/>
    <col min="12794" max="12794" width="2.5703125" style="9" customWidth="1"/>
    <col min="12795" max="12795" width="2.85546875" style="9" customWidth="1"/>
    <col min="12796" max="12796" width="3" style="9" customWidth="1"/>
    <col min="12797" max="12797" width="24.7109375" style="9" customWidth="1"/>
    <col min="12798" max="12798" width="7.85546875" style="9" customWidth="1"/>
    <col min="12799" max="12799" width="7.42578125" style="9" customWidth="1"/>
    <col min="12800" max="12800" width="11.140625" style="9" customWidth="1"/>
    <col min="12801" max="12801" width="14.42578125" style="9" customWidth="1"/>
    <col min="12802" max="12802" width="3.42578125" style="9" customWidth="1"/>
    <col min="12803" max="12803" width="3" style="9" customWidth="1"/>
    <col min="12804" max="12804" width="3.28515625" style="9" customWidth="1"/>
    <col min="12805" max="12805" width="3.140625" style="9" customWidth="1"/>
    <col min="12806" max="12806" width="3.42578125" style="9" customWidth="1"/>
    <col min="12807" max="12807" width="24.7109375" style="9" customWidth="1"/>
    <col min="12808" max="12808" width="7.85546875" style="9" customWidth="1"/>
    <col min="12809" max="12809" width="7.28515625" style="9" customWidth="1"/>
    <col min="12810" max="12810" width="11.7109375" style="9" bestFit="1" customWidth="1"/>
    <col min="12811" max="12811" width="14.42578125" style="9" customWidth="1"/>
    <col min="12812" max="12812" width="8.85546875" style="9"/>
    <col min="12813" max="12813" width="14.28515625" style="9" bestFit="1" customWidth="1"/>
    <col min="12814" max="12814" width="10" style="9" customWidth="1"/>
    <col min="12815" max="13046" width="8.85546875" style="9"/>
    <col min="13047" max="13047" width="1.140625" style="9" customWidth="1"/>
    <col min="13048" max="13048" width="3.28515625" style="9" customWidth="1"/>
    <col min="13049" max="13049" width="2.42578125" style="9" customWidth="1"/>
    <col min="13050" max="13050" width="2.5703125" style="9" customWidth="1"/>
    <col min="13051" max="13051" width="2.85546875" style="9" customWidth="1"/>
    <col min="13052" max="13052" width="3" style="9" customWidth="1"/>
    <col min="13053" max="13053" width="24.7109375" style="9" customWidth="1"/>
    <col min="13054" max="13054" width="7.85546875" style="9" customWidth="1"/>
    <col min="13055" max="13055" width="7.42578125" style="9" customWidth="1"/>
    <col min="13056" max="13056" width="11.140625" style="9" customWidth="1"/>
    <col min="13057" max="13057" width="14.42578125" style="9" customWidth="1"/>
    <col min="13058" max="13058" width="3.42578125" style="9" customWidth="1"/>
    <col min="13059" max="13059" width="3" style="9" customWidth="1"/>
    <col min="13060" max="13060" width="3.28515625" style="9" customWidth="1"/>
    <col min="13061" max="13061" width="3.140625" style="9" customWidth="1"/>
    <col min="13062" max="13062" width="3.42578125" style="9" customWidth="1"/>
    <col min="13063" max="13063" width="24.7109375" style="9" customWidth="1"/>
    <col min="13064" max="13064" width="7.85546875" style="9" customWidth="1"/>
    <col min="13065" max="13065" width="7.28515625" style="9" customWidth="1"/>
    <col min="13066" max="13066" width="11.7109375" style="9" bestFit="1" customWidth="1"/>
    <col min="13067" max="13067" width="14.42578125" style="9" customWidth="1"/>
    <col min="13068" max="13068" width="8.85546875" style="9"/>
    <col min="13069" max="13069" width="14.28515625" style="9" bestFit="1" customWidth="1"/>
    <col min="13070" max="13070" width="10" style="9" customWidth="1"/>
    <col min="13071" max="13302" width="8.85546875" style="9"/>
    <col min="13303" max="13303" width="1.140625" style="9" customWidth="1"/>
    <col min="13304" max="13304" width="3.28515625" style="9" customWidth="1"/>
    <col min="13305" max="13305" width="2.42578125" style="9" customWidth="1"/>
    <col min="13306" max="13306" width="2.5703125" style="9" customWidth="1"/>
    <col min="13307" max="13307" width="2.85546875" style="9" customWidth="1"/>
    <col min="13308" max="13308" width="3" style="9" customWidth="1"/>
    <col min="13309" max="13309" width="24.7109375" style="9" customWidth="1"/>
    <col min="13310" max="13310" width="7.85546875" style="9" customWidth="1"/>
    <col min="13311" max="13311" width="7.42578125" style="9" customWidth="1"/>
    <col min="13312" max="13312" width="11.140625" style="9" customWidth="1"/>
    <col min="13313" max="13313" width="14.42578125" style="9" customWidth="1"/>
    <col min="13314" max="13314" width="3.42578125" style="9" customWidth="1"/>
    <col min="13315" max="13315" width="3" style="9" customWidth="1"/>
    <col min="13316" max="13316" width="3.28515625" style="9" customWidth="1"/>
    <col min="13317" max="13317" width="3.140625" style="9" customWidth="1"/>
    <col min="13318" max="13318" width="3.42578125" style="9" customWidth="1"/>
    <col min="13319" max="13319" width="24.7109375" style="9" customWidth="1"/>
    <col min="13320" max="13320" width="7.85546875" style="9" customWidth="1"/>
    <col min="13321" max="13321" width="7.28515625" style="9" customWidth="1"/>
    <col min="13322" max="13322" width="11.7109375" style="9" bestFit="1" customWidth="1"/>
    <col min="13323" max="13323" width="14.42578125" style="9" customWidth="1"/>
    <col min="13324" max="13324" width="8.85546875" style="9"/>
    <col min="13325" max="13325" width="14.28515625" style="9" bestFit="1" customWidth="1"/>
    <col min="13326" max="13326" width="10" style="9" customWidth="1"/>
    <col min="13327" max="13558" width="8.85546875" style="9"/>
    <col min="13559" max="13559" width="1.140625" style="9" customWidth="1"/>
    <col min="13560" max="13560" width="3.28515625" style="9" customWidth="1"/>
    <col min="13561" max="13561" width="2.42578125" style="9" customWidth="1"/>
    <col min="13562" max="13562" width="2.5703125" style="9" customWidth="1"/>
    <col min="13563" max="13563" width="2.85546875" style="9" customWidth="1"/>
    <col min="13564" max="13564" width="3" style="9" customWidth="1"/>
    <col min="13565" max="13565" width="24.7109375" style="9" customWidth="1"/>
    <col min="13566" max="13566" width="7.85546875" style="9" customWidth="1"/>
    <col min="13567" max="13567" width="7.42578125" style="9" customWidth="1"/>
    <col min="13568" max="13568" width="11.140625" style="9" customWidth="1"/>
    <col min="13569" max="13569" width="14.42578125" style="9" customWidth="1"/>
    <col min="13570" max="13570" width="3.42578125" style="9" customWidth="1"/>
    <col min="13571" max="13571" width="3" style="9" customWidth="1"/>
    <col min="13572" max="13572" width="3.28515625" style="9" customWidth="1"/>
    <col min="13573" max="13573" width="3.140625" style="9" customWidth="1"/>
    <col min="13574" max="13574" width="3.42578125" style="9" customWidth="1"/>
    <col min="13575" max="13575" width="24.7109375" style="9" customWidth="1"/>
    <col min="13576" max="13576" width="7.85546875" style="9" customWidth="1"/>
    <col min="13577" max="13577" width="7.28515625" style="9" customWidth="1"/>
    <col min="13578" max="13578" width="11.7109375" style="9" bestFit="1" customWidth="1"/>
    <col min="13579" max="13579" width="14.42578125" style="9" customWidth="1"/>
    <col min="13580" max="13580" width="8.85546875" style="9"/>
    <col min="13581" max="13581" width="14.28515625" style="9" bestFit="1" customWidth="1"/>
    <col min="13582" max="13582" width="10" style="9" customWidth="1"/>
    <col min="13583" max="13814" width="8.85546875" style="9"/>
    <col min="13815" max="13815" width="1.140625" style="9" customWidth="1"/>
    <col min="13816" max="13816" width="3.28515625" style="9" customWidth="1"/>
    <col min="13817" max="13817" width="2.42578125" style="9" customWidth="1"/>
    <col min="13818" max="13818" width="2.5703125" style="9" customWidth="1"/>
    <col min="13819" max="13819" width="2.85546875" style="9" customWidth="1"/>
    <col min="13820" max="13820" width="3" style="9" customWidth="1"/>
    <col min="13821" max="13821" width="24.7109375" style="9" customWidth="1"/>
    <col min="13822" max="13822" width="7.85546875" style="9" customWidth="1"/>
    <col min="13823" max="13823" width="7.42578125" style="9" customWidth="1"/>
    <col min="13824" max="13824" width="11.140625" style="9" customWidth="1"/>
    <col min="13825" max="13825" width="14.42578125" style="9" customWidth="1"/>
    <col min="13826" max="13826" width="3.42578125" style="9" customWidth="1"/>
    <col min="13827" max="13827" width="3" style="9" customWidth="1"/>
    <col min="13828" max="13828" width="3.28515625" style="9" customWidth="1"/>
    <col min="13829" max="13829" width="3.140625" style="9" customWidth="1"/>
    <col min="13830" max="13830" width="3.42578125" style="9" customWidth="1"/>
    <col min="13831" max="13831" width="24.7109375" style="9" customWidth="1"/>
    <col min="13832" max="13832" width="7.85546875" style="9" customWidth="1"/>
    <col min="13833" max="13833" width="7.28515625" style="9" customWidth="1"/>
    <col min="13834" max="13834" width="11.7109375" style="9" bestFit="1" customWidth="1"/>
    <col min="13835" max="13835" width="14.42578125" style="9" customWidth="1"/>
    <col min="13836" max="13836" width="8.85546875" style="9"/>
    <col min="13837" max="13837" width="14.28515625" style="9" bestFit="1" customWidth="1"/>
    <col min="13838" max="13838" width="10" style="9" customWidth="1"/>
    <col min="13839" max="14070" width="8.85546875" style="9"/>
    <col min="14071" max="14071" width="1.140625" style="9" customWidth="1"/>
    <col min="14072" max="14072" width="3.28515625" style="9" customWidth="1"/>
    <col min="14073" max="14073" width="2.42578125" style="9" customWidth="1"/>
    <col min="14074" max="14074" width="2.5703125" style="9" customWidth="1"/>
    <col min="14075" max="14075" width="2.85546875" style="9" customWidth="1"/>
    <col min="14076" max="14076" width="3" style="9" customWidth="1"/>
    <col min="14077" max="14077" width="24.7109375" style="9" customWidth="1"/>
    <col min="14078" max="14078" width="7.85546875" style="9" customWidth="1"/>
    <col min="14079" max="14079" width="7.42578125" style="9" customWidth="1"/>
    <col min="14080" max="14080" width="11.140625" style="9" customWidth="1"/>
    <col min="14081" max="14081" width="14.42578125" style="9" customWidth="1"/>
    <col min="14082" max="14082" width="3.42578125" style="9" customWidth="1"/>
    <col min="14083" max="14083" width="3" style="9" customWidth="1"/>
    <col min="14084" max="14084" width="3.28515625" style="9" customWidth="1"/>
    <col min="14085" max="14085" width="3.140625" style="9" customWidth="1"/>
    <col min="14086" max="14086" width="3.42578125" style="9" customWidth="1"/>
    <col min="14087" max="14087" width="24.7109375" style="9" customWidth="1"/>
    <col min="14088" max="14088" width="7.85546875" style="9" customWidth="1"/>
    <col min="14089" max="14089" width="7.28515625" style="9" customWidth="1"/>
    <col min="14090" max="14090" width="11.7109375" style="9" bestFit="1" customWidth="1"/>
    <col min="14091" max="14091" width="14.42578125" style="9" customWidth="1"/>
    <col min="14092" max="14092" width="8.85546875" style="9"/>
    <col min="14093" max="14093" width="14.28515625" style="9" bestFit="1" customWidth="1"/>
    <col min="14094" max="14094" width="10" style="9" customWidth="1"/>
    <col min="14095" max="14326" width="8.85546875" style="9"/>
    <col min="14327" max="14327" width="1.140625" style="9" customWidth="1"/>
    <col min="14328" max="14328" width="3.28515625" style="9" customWidth="1"/>
    <col min="14329" max="14329" width="2.42578125" style="9" customWidth="1"/>
    <col min="14330" max="14330" width="2.5703125" style="9" customWidth="1"/>
    <col min="14331" max="14331" width="2.85546875" style="9" customWidth="1"/>
    <col min="14332" max="14332" width="3" style="9" customWidth="1"/>
    <col min="14333" max="14333" width="24.7109375" style="9" customWidth="1"/>
    <col min="14334" max="14334" width="7.85546875" style="9" customWidth="1"/>
    <col min="14335" max="14335" width="7.42578125" style="9" customWidth="1"/>
    <col min="14336" max="14336" width="11.140625" style="9" customWidth="1"/>
    <col min="14337" max="14337" width="14.42578125" style="9" customWidth="1"/>
    <col min="14338" max="14338" width="3.42578125" style="9" customWidth="1"/>
    <col min="14339" max="14339" width="3" style="9" customWidth="1"/>
    <col min="14340" max="14340" width="3.28515625" style="9" customWidth="1"/>
    <col min="14341" max="14341" width="3.140625" style="9" customWidth="1"/>
    <col min="14342" max="14342" width="3.42578125" style="9" customWidth="1"/>
    <col min="14343" max="14343" width="24.7109375" style="9" customWidth="1"/>
    <col min="14344" max="14344" width="7.85546875" style="9" customWidth="1"/>
    <col min="14345" max="14345" width="7.28515625" style="9" customWidth="1"/>
    <col min="14346" max="14346" width="11.7109375" style="9" bestFit="1" customWidth="1"/>
    <col min="14347" max="14347" width="14.42578125" style="9" customWidth="1"/>
    <col min="14348" max="14348" width="8.85546875" style="9"/>
    <col min="14349" max="14349" width="14.28515625" style="9" bestFit="1" customWidth="1"/>
    <col min="14350" max="14350" width="10" style="9" customWidth="1"/>
    <col min="14351" max="14582" width="8.85546875" style="9"/>
    <col min="14583" max="14583" width="1.140625" style="9" customWidth="1"/>
    <col min="14584" max="14584" width="3.28515625" style="9" customWidth="1"/>
    <col min="14585" max="14585" width="2.42578125" style="9" customWidth="1"/>
    <col min="14586" max="14586" width="2.5703125" style="9" customWidth="1"/>
    <col min="14587" max="14587" width="2.85546875" style="9" customWidth="1"/>
    <col min="14588" max="14588" width="3" style="9" customWidth="1"/>
    <col min="14589" max="14589" width="24.7109375" style="9" customWidth="1"/>
    <col min="14590" max="14590" width="7.85546875" style="9" customWidth="1"/>
    <col min="14591" max="14591" width="7.42578125" style="9" customWidth="1"/>
    <col min="14592" max="14592" width="11.140625" style="9" customWidth="1"/>
    <col min="14593" max="14593" width="14.42578125" style="9" customWidth="1"/>
    <col min="14594" max="14594" width="3.42578125" style="9" customWidth="1"/>
    <col min="14595" max="14595" width="3" style="9" customWidth="1"/>
    <col min="14596" max="14596" width="3.28515625" style="9" customWidth="1"/>
    <col min="14597" max="14597" width="3.140625" style="9" customWidth="1"/>
    <col min="14598" max="14598" width="3.42578125" style="9" customWidth="1"/>
    <col min="14599" max="14599" width="24.7109375" style="9" customWidth="1"/>
    <col min="14600" max="14600" width="7.85546875" style="9" customWidth="1"/>
    <col min="14601" max="14601" width="7.28515625" style="9" customWidth="1"/>
    <col min="14602" max="14602" width="11.7109375" style="9" bestFit="1" customWidth="1"/>
    <col min="14603" max="14603" width="14.42578125" style="9" customWidth="1"/>
    <col min="14604" max="14604" width="8.85546875" style="9"/>
    <col min="14605" max="14605" width="14.28515625" style="9" bestFit="1" customWidth="1"/>
    <col min="14606" max="14606" width="10" style="9" customWidth="1"/>
    <col min="14607" max="14838" width="8.85546875" style="9"/>
    <col min="14839" max="14839" width="1.140625" style="9" customWidth="1"/>
    <col min="14840" max="14840" width="3.28515625" style="9" customWidth="1"/>
    <col min="14841" max="14841" width="2.42578125" style="9" customWidth="1"/>
    <col min="14842" max="14842" width="2.5703125" style="9" customWidth="1"/>
    <col min="14843" max="14843" width="2.85546875" style="9" customWidth="1"/>
    <col min="14844" max="14844" width="3" style="9" customWidth="1"/>
    <col min="14845" max="14845" width="24.7109375" style="9" customWidth="1"/>
    <col min="14846" max="14846" width="7.85546875" style="9" customWidth="1"/>
    <col min="14847" max="14847" width="7.42578125" style="9" customWidth="1"/>
    <col min="14848" max="14848" width="11.140625" style="9" customWidth="1"/>
    <col min="14849" max="14849" width="14.42578125" style="9" customWidth="1"/>
    <col min="14850" max="14850" width="3.42578125" style="9" customWidth="1"/>
    <col min="14851" max="14851" width="3" style="9" customWidth="1"/>
    <col min="14852" max="14852" width="3.28515625" style="9" customWidth="1"/>
    <col min="14853" max="14853" width="3.140625" style="9" customWidth="1"/>
    <col min="14854" max="14854" width="3.42578125" style="9" customWidth="1"/>
    <col min="14855" max="14855" width="24.7109375" style="9" customWidth="1"/>
    <col min="14856" max="14856" width="7.85546875" style="9" customWidth="1"/>
    <col min="14857" max="14857" width="7.28515625" style="9" customWidth="1"/>
    <col min="14858" max="14858" width="11.7109375" style="9" bestFit="1" customWidth="1"/>
    <col min="14859" max="14859" width="14.42578125" style="9" customWidth="1"/>
    <col min="14860" max="14860" width="8.85546875" style="9"/>
    <col min="14861" max="14861" width="14.28515625" style="9" bestFit="1" customWidth="1"/>
    <col min="14862" max="14862" width="10" style="9" customWidth="1"/>
    <col min="14863" max="15094" width="8.85546875" style="9"/>
    <col min="15095" max="15095" width="1.140625" style="9" customWidth="1"/>
    <col min="15096" max="15096" width="3.28515625" style="9" customWidth="1"/>
    <col min="15097" max="15097" width="2.42578125" style="9" customWidth="1"/>
    <col min="15098" max="15098" width="2.5703125" style="9" customWidth="1"/>
    <col min="15099" max="15099" width="2.85546875" style="9" customWidth="1"/>
    <col min="15100" max="15100" width="3" style="9" customWidth="1"/>
    <col min="15101" max="15101" width="24.7109375" style="9" customWidth="1"/>
    <col min="15102" max="15102" width="7.85546875" style="9" customWidth="1"/>
    <col min="15103" max="15103" width="7.42578125" style="9" customWidth="1"/>
    <col min="15104" max="15104" width="11.140625" style="9" customWidth="1"/>
    <col min="15105" max="15105" width="14.42578125" style="9" customWidth="1"/>
    <col min="15106" max="15106" width="3.42578125" style="9" customWidth="1"/>
    <col min="15107" max="15107" width="3" style="9" customWidth="1"/>
    <col min="15108" max="15108" width="3.28515625" style="9" customWidth="1"/>
    <col min="15109" max="15109" width="3.140625" style="9" customWidth="1"/>
    <col min="15110" max="15110" width="3.42578125" style="9" customWidth="1"/>
    <col min="15111" max="15111" width="24.7109375" style="9" customWidth="1"/>
    <col min="15112" max="15112" width="7.85546875" style="9" customWidth="1"/>
    <col min="15113" max="15113" width="7.28515625" style="9" customWidth="1"/>
    <col min="15114" max="15114" width="11.7109375" style="9" bestFit="1" customWidth="1"/>
    <col min="15115" max="15115" width="14.42578125" style="9" customWidth="1"/>
    <col min="15116" max="15116" width="8.85546875" style="9"/>
    <col min="15117" max="15117" width="14.28515625" style="9" bestFit="1" customWidth="1"/>
    <col min="15118" max="15118" width="10" style="9" customWidth="1"/>
    <col min="15119" max="15350" width="8.85546875" style="9"/>
    <col min="15351" max="15351" width="1.140625" style="9" customWidth="1"/>
    <col min="15352" max="15352" width="3.28515625" style="9" customWidth="1"/>
    <col min="15353" max="15353" width="2.42578125" style="9" customWidth="1"/>
    <col min="15354" max="15354" width="2.5703125" style="9" customWidth="1"/>
    <col min="15355" max="15355" width="2.85546875" style="9" customWidth="1"/>
    <col min="15356" max="15356" width="3" style="9" customWidth="1"/>
    <col min="15357" max="15357" width="24.7109375" style="9" customWidth="1"/>
    <col min="15358" max="15358" width="7.85546875" style="9" customWidth="1"/>
    <col min="15359" max="15359" width="7.42578125" style="9" customWidth="1"/>
    <col min="15360" max="15360" width="11.140625" style="9" customWidth="1"/>
    <col min="15361" max="15361" width="14.42578125" style="9" customWidth="1"/>
    <col min="15362" max="15362" width="3.42578125" style="9" customWidth="1"/>
    <col min="15363" max="15363" width="3" style="9" customWidth="1"/>
    <col min="15364" max="15364" width="3.28515625" style="9" customWidth="1"/>
    <col min="15365" max="15365" width="3.140625" style="9" customWidth="1"/>
    <col min="15366" max="15366" width="3.42578125" style="9" customWidth="1"/>
    <col min="15367" max="15367" width="24.7109375" style="9" customWidth="1"/>
    <col min="15368" max="15368" width="7.85546875" style="9" customWidth="1"/>
    <col min="15369" max="15369" width="7.28515625" style="9" customWidth="1"/>
    <col min="15370" max="15370" width="11.7109375" style="9" bestFit="1" customWidth="1"/>
    <col min="15371" max="15371" width="14.42578125" style="9" customWidth="1"/>
    <col min="15372" max="15372" width="8.85546875" style="9"/>
    <col min="15373" max="15373" width="14.28515625" style="9" bestFit="1" customWidth="1"/>
    <col min="15374" max="15374" width="10" style="9" customWidth="1"/>
    <col min="15375" max="15606" width="8.85546875" style="9"/>
    <col min="15607" max="15607" width="1.140625" style="9" customWidth="1"/>
    <col min="15608" max="15608" width="3.28515625" style="9" customWidth="1"/>
    <col min="15609" max="15609" width="2.42578125" style="9" customWidth="1"/>
    <col min="15610" max="15610" width="2.5703125" style="9" customWidth="1"/>
    <col min="15611" max="15611" width="2.85546875" style="9" customWidth="1"/>
    <col min="15612" max="15612" width="3" style="9" customWidth="1"/>
    <col min="15613" max="15613" width="24.7109375" style="9" customWidth="1"/>
    <col min="15614" max="15614" width="7.85546875" style="9" customWidth="1"/>
    <col min="15615" max="15615" width="7.42578125" style="9" customWidth="1"/>
    <col min="15616" max="15616" width="11.140625" style="9" customWidth="1"/>
    <col min="15617" max="15617" width="14.42578125" style="9" customWidth="1"/>
    <col min="15618" max="15618" width="3.42578125" style="9" customWidth="1"/>
    <col min="15619" max="15619" width="3" style="9" customWidth="1"/>
    <col min="15620" max="15620" width="3.28515625" style="9" customWidth="1"/>
    <col min="15621" max="15621" width="3.140625" style="9" customWidth="1"/>
    <col min="15622" max="15622" width="3.42578125" style="9" customWidth="1"/>
    <col min="15623" max="15623" width="24.7109375" style="9" customWidth="1"/>
    <col min="15624" max="15624" width="7.85546875" style="9" customWidth="1"/>
    <col min="15625" max="15625" width="7.28515625" style="9" customWidth="1"/>
    <col min="15626" max="15626" width="11.7109375" style="9" bestFit="1" customWidth="1"/>
    <col min="15627" max="15627" width="14.42578125" style="9" customWidth="1"/>
    <col min="15628" max="15628" width="8.85546875" style="9"/>
    <col min="15629" max="15629" width="14.28515625" style="9" bestFit="1" customWidth="1"/>
    <col min="15630" max="15630" width="10" style="9" customWidth="1"/>
    <col min="15631" max="15862" width="8.85546875" style="9"/>
    <col min="15863" max="15863" width="1.140625" style="9" customWidth="1"/>
    <col min="15864" max="15864" width="3.28515625" style="9" customWidth="1"/>
    <col min="15865" max="15865" width="2.42578125" style="9" customWidth="1"/>
    <col min="15866" max="15866" width="2.5703125" style="9" customWidth="1"/>
    <col min="15867" max="15867" width="2.85546875" style="9" customWidth="1"/>
    <col min="15868" max="15868" width="3" style="9" customWidth="1"/>
    <col min="15869" max="15869" width="24.7109375" style="9" customWidth="1"/>
    <col min="15870" max="15870" width="7.85546875" style="9" customWidth="1"/>
    <col min="15871" max="15871" width="7.42578125" style="9" customWidth="1"/>
    <col min="15872" max="15872" width="11.140625" style="9" customWidth="1"/>
    <col min="15873" max="15873" width="14.42578125" style="9" customWidth="1"/>
    <col min="15874" max="15874" width="3.42578125" style="9" customWidth="1"/>
    <col min="15875" max="15875" width="3" style="9" customWidth="1"/>
    <col min="15876" max="15876" width="3.28515625" style="9" customWidth="1"/>
    <col min="15877" max="15877" width="3.140625" style="9" customWidth="1"/>
    <col min="15878" max="15878" width="3.42578125" style="9" customWidth="1"/>
    <col min="15879" max="15879" width="24.7109375" style="9" customWidth="1"/>
    <col min="15880" max="15880" width="7.85546875" style="9" customWidth="1"/>
    <col min="15881" max="15881" width="7.28515625" style="9" customWidth="1"/>
    <col min="15882" max="15882" width="11.7109375" style="9" bestFit="1" customWidth="1"/>
    <col min="15883" max="15883" width="14.42578125" style="9" customWidth="1"/>
    <col min="15884" max="15884" width="8.85546875" style="9"/>
    <col min="15885" max="15885" width="14.28515625" style="9" bestFit="1" customWidth="1"/>
    <col min="15886" max="15886" width="10" style="9" customWidth="1"/>
    <col min="15887" max="16118" width="8.85546875" style="9"/>
    <col min="16119" max="16119" width="1.140625" style="9" customWidth="1"/>
    <col min="16120" max="16120" width="3.28515625" style="9" customWidth="1"/>
    <col min="16121" max="16121" width="2.42578125" style="9" customWidth="1"/>
    <col min="16122" max="16122" width="2.5703125" style="9" customWidth="1"/>
    <col min="16123" max="16123" width="2.85546875" style="9" customWidth="1"/>
    <col min="16124" max="16124" width="3" style="9" customWidth="1"/>
    <col min="16125" max="16125" width="24.7109375" style="9" customWidth="1"/>
    <col min="16126" max="16126" width="7.85546875" style="9" customWidth="1"/>
    <col min="16127" max="16127" width="7.42578125" style="9" customWidth="1"/>
    <col min="16128" max="16128" width="11.140625" style="9" customWidth="1"/>
    <col min="16129" max="16129" width="14.42578125" style="9" customWidth="1"/>
    <col min="16130" max="16130" width="3.42578125" style="9" customWidth="1"/>
    <col min="16131" max="16131" width="3" style="9" customWidth="1"/>
    <col min="16132" max="16132" width="3.28515625" style="9" customWidth="1"/>
    <col min="16133" max="16133" width="3.140625" style="9" customWidth="1"/>
    <col min="16134" max="16134" width="3.42578125" style="9" customWidth="1"/>
    <col min="16135" max="16135" width="24.7109375" style="9" customWidth="1"/>
    <col min="16136" max="16136" width="7.85546875" style="9" customWidth="1"/>
    <col min="16137" max="16137" width="7.28515625" style="9" customWidth="1"/>
    <col min="16138" max="16138" width="11.7109375" style="9" bestFit="1" customWidth="1"/>
    <col min="16139" max="16139" width="14.42578125" style="9" customWidth="1"/>
    <col min="16140" max="16140" width="8.85546875" style="9"/>
    <col min="16141" max="16141" width="14.28515625" style="9" bestFit="1" customWidth="1"/>
    <col min="16142" max="16142" width="10" style="9" customWidth="1"/>
    <col min="16143" max="16384" width="8.85546875" style="9"/>
  </cols>
  <sheetData>
    <row r="1" spans="2:1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1" ht="16.5" customHeight="1">
      <c r="B3" s="3323"/>
      <c r="C3" s="3324"/>
      <c r="D3" s="3324"/>
      <c r="E3" s="3330" t="s">
        <v>2</v>
      </c>
      <c r="F3" s="3331"/>
      <c r="G3" s="3331"/>
      <c r="H3" s="3332"/>
      <c r="I3" s="3355"/>
      <c r="J3" s="3356"/>
      <c r="K3" s="12" t="s">
        <v>3</v>
      </c>
    </row>
    <row r="4" spans="2:1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1">
      <c r="B5" s="3490" t="s">
        <v>31</v>
      </c>
      <c r="C5" s="3362"/>
      <c r="D5" s="3362"/>
      <c r="E5" s="3362"/>
      <c r="F5" s="3362"/>
      <c r="G5" s="3362" t="s">
        <v>38</v>
      </c>
      <c r="H5" s="3362"/>
      <c r="I5" s="3362"/>
      <c r="J5" s="3362"/>
      <c r="K5" s="3363"/>
    </row>
    <row r="6" spans="2:1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1" s="13" customFormat="1" ht="30" customHeight="1">
      <c r="B7" s="3648" t="s">
        <v>33</v>
      </c>
      <c r="C7" s="3649"/>
      <c r="D7" s="3649"/>
      <c r="E7" s="3649"/>
      <c r="F7" s="3649"/>
      <c r="G7" s="3650" t="s">
        <v>83</v>
      </c>
      <c r="H7" s="3650"/>
      <c r="I7" s="3650"/>
      <c r="J7" s="3650"/>
      <c r="K7" s="3651"/>
    </row>
    <row r="8" spans="2:11" ht="15" customHeight="1">
      <c r="B8" s="3341" t="s">
        <v>34</v>
      </c>
      <c r="C8" s="3339"/>
      <c r="D8" s="3339"/>
      <c r="E8" s="3339"/>
      <c r="F8" s="3339"/>
      <c r="G8" s="3339" t="s">
        <v>254</v>
      </c>
      <c r="H8" s="3339"/>
      <c r="I8" s="3339"/>
      <c r="J8" s="3339"/>
      <c r="K8" s="3340"/>
    </row>
    <row r="9" spans="2:1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1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11">
      <c r="B11" s="3314" t="s">
        <v>37</v>
      </c>
      <c r="C11" s="3315"/>
      <c r="D11" s="3315"/>
      <c r="E11" s="3315"/>
      <c r="F11" s="3315"/>
      <c r="G11" s="3315" t="s">
        <v>108</v>
      </c>
      <c r="H11" s="3315"/>
      <c r="I11" s="3315"/>
      <c r="J11" s="3315"/>
      <c r="K11" s="3316"/>
    </row>
    <row r="12" spans="2:11">
      <c r="B12" s="3634" t="s">
        <v>89</v>
      </c>
      <c r="C12" s="3635"/>
      <c r="D12" s="3635"/>
      <c r="E12" s="3635"/>
      <c r="F12" s="3635"/>
      <c r="G12" s="3635"/>
      <c r="H12" s="3635"/>
      <c r="I12" s="3635"/>
      <c r="J12" s="3635"/>
      <c r="K12" s="3636"/>
    </row>
    <row r="13" spans="2:11">
      <c r="B13" s="3634" t="s">
        <v>5</v>
      </c>
      <c r="C13" s="3635"/>
      <c r="D13" s="3635"/>
      <c r="E13" s="3635"/>
      <c r="F13" s="3637"/>
      <c r="G13" s="3638" t="s">
        <v>90</v>
      </c>
      <c r="H13" s="3639"/>
      <c r="I13" s="3638" t="s">
        <v>7</v>
      </c>
      <c r="J13" s="3640"/>
      <c r="K13" s="3641"/>
    </row>
    <row r="14" spans="2:11" ht="16.5" customHeight="1">
      <c r="B14" s="3387" t="s">
        <v>8</v>
      </c>
      <c r="C14" s="3388"/>
      <c r="D14" s="3388"/>
      <c r="E14" s="3388"/>
      <c r="F14" s="3389"/>
      <c r="G14" s="3350" t="s">
        <v>150</v>
      </c>
      <c r="H14" s="3351"/>
      <c r="I14" s="3390">
        <v>1</v>
      </c>
      <c r="J14" s="3348"/>
      <c r="K14" s="3391"/>
    </row>
    <row r="15" spans="2:11">
      <c r="B15" s="3397" t="s">
        <v>9</v>
      </c>
      <c r="C15" s="3348"/>
      <c r="D15" s="3348"/>
      <c r="E15" s="3348"/>
      <c r="F15" s="3349"/>
      <c r="G15" s="3398" t="s">
        <v>47</v>
      </c>
      <c r="H15" s="3353"/>
      <c r="I15" s="3344">
        <f>K24</f>
        <v>775454000</v>
      </c>
      <c r="J15" s="3345"/>
      <c r="K15" s="3346"/>
    </row>
    <row r="16" spans="2:11" ht="16.5" customHeight="1">
      <c r="B16" s="3347" t="s">
        <v>10</v>
      </c>
      <c r="C16" s="3348"/>
      <c r="D16" s="3348"/>
      <c r="E16" s="3348"/>
      <c r="F16" s="3349"/>
      <c r="G16" s="3350" t="s">
        <v>148</v>
      </c>
      <c r="H16" s="3351"/>
      <c r="I16" s="3352">
        <v>1</v>
      </c>
      <c r="J16" s="3353"/>
      <c r="K16" s="3354"/>
    </row>
    <row r="17" spans="2:18" ht="15" customHeight="1">
      <c r="B17" s="3347" t="s">
        <v>11</v>
      </c>
      <c r="C17" s="3348"/>
      <c r="D17" s="3348"/>
      <c r="E17" s="3348"/>
      <c r="F17" s="3349"/>
      <c r="G17" s="3350" t="s">
        <v>417</v>
      </c>
      <c r="H17" s="3351"/>
      <c r="I17" s="3352">
        <v>1</v>
      </c>
      <c r="J17" s="3353"/>
      <c r="K17" s="3354"/>
    </row>
    <row r="18" spans="2:18">
      <c r="B18" s="3486" t="s">
        <v>149</v>
      </c>
      <c r="C18" s="3487"/>
      <c r="D18" s="3487"/>
      <c r="E18" s="3487"/>
      <c r="F18" s="3487"/>
      <c r="G18" s="3487"/>
      <c r="H18" s="3487"/>
      <c r="I18" s="3487"/>
      <c r="J18" s="3487"/>
      <c r="K18" s="3488"/>
    </row>
    <row r="19" spans="2:18" ht="16.5" customHeight="1">
      <c r="B19" s="3645" t="s">
        <v>87</v>
      </c>
      <c r="C19" s="3646"/>
      <c r="D19" s="3646"/>
      <c r="E19" s="3646"/>
      <c r="F19" s="3646"/>
      <c r="G19" s="3646"/>
      <c r="H19" s="3646"/>
      <c r="I19" s="3646"/>
      <c r="J19" s="3646"/>
      <c r="K19" s="3647"/>
      <c r="L19" s="564"/>
      <c r="M19" s="305"/>
      <c r="N19" s="305"/>
      <c r="O19" s="305"/>
      <c r="P19" s="305"/>
      <c r="Q19" s="303"/>
      <c r="R19" s="303"/>
    </row>
    <row r="20" spans="2:18" ht="15" customHeight="1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  <c r="L20" s="3399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608" t="s">
        <v>17</v>
      </c>
      <c r="L21" s="605"/>
      <c r="M21" s="1526"/>
      <c r="N21" s="1526"/>
      <c r="O21" s="1526"/>
      <c r="P21" s="1526"/>
      <c r="Q21" s="1526"/>
      <c r="R21" s="3378"/>
    </row>
    <row r="22" spans="2:18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1524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18">
      <c r="B23" s="3364">
        <v>1</v>
      </c>
      <c r="C23" s="3358"/>
      <c r="D23" s="3358"/>
      <c r="E23" s="3358"/>
      <c r="F23" s="3365"/>
      <c r="G23" s="425">
        <v>2</v>
      </c>
      <c r="H23" s="368">
        <v>3</v>
      </c>
      <c r="I23" s="368">
        <v>4</v>
      </c>
      <c r="J23" s="368">
        <v>5</v>
      </c>
      <c r="K23" s="426" t="s">
        <v>22</v>
      </c>
      <c r="L23" s="605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18" ht="12.75" customHeight="1">
      <c r="B24" s="429">
        <v>5</v>
      </c>
      <c r="C24" s="424">
        <v>2</v>
      </c>
      <c r="D24" s="424"/>
      <c r="E24" s="424"/>
      <c r="F24" s="424"/>
      <c r="G24" s="396" t="s">
        <v>23</v>
      </c>
      <c r="H24" s="591"/>
      <c r="I24" s="396"/>
      <c r="J24" s="396"/>
      <c r="K24" s="648">
        <f>K25+K31</f>
        <v>775454000</v>
      </c>
      <c r="L24" s="564"/>
      <c r="M24" s="305"/>
      <c r="N24" s="305"/>
      <c r="O24" s="305"/>
      <c r="P24" s="305"/>
      <c r="Q24" s="303"/>
      <c r="R24" s="303"/>
    </row>
    <row r="25" spans="2:18" s="2" customFormat="1" ht="12.75" customHeight="1">
      <c r="B25" s="429">
        <v>5</v>
      </c>
      <c r="C25" s="424">
        <v>2</v>
      </c>
      <c r="D25" s="424">
        <v>2</v>
      </c>
      <c r="E25" s="430"/>
      <c r="F25" s="430"/>
      <c r="G25" s="396" t="s">
        <v>43</v>
      </c>
      <c r="H25" s="591"/>
      <c r="I25" s="396"/>
      <c r="J25" s="396"/>
      <c r="K25" s="648">
        <f>K26</f>
        <v>97854000</v>
      </c>
      <c r="L25" s="564"/>
      <c r="M25" s="564"/>
      <c r="N25" s="377"/>
      <c r="O25" s="377"/>
      <c r="P25" s="377"/>
      <c r="Q25" s="385"/>
      <c r="R25" s="385"/>
    </row>
    <row r="26" spans="2:18" s="2494" customFormat="1" ht="12.75" customHeight="1">
      <c r="B26" s="2484">
        <v>5</v>
      </c>
      <c r="C26" s="2485">
        <v>2</v>
      </c>
      <c r="D26" s="2485">
        <v>2</v>
      </c>
      <c r="E26" s="2486">
        <v>19</v>
      </c>
      <c r="F26" s="2486"/>
      <c r="G26" s="2487" t="s">
        <v>1074</v>
      </c>
      <c r="H26" s="2488"/>
      <c r="I26" s="2489"/>
      <c r="J26" s="2489"/>
      <c r="K26" s="2490">
        <f>K27</f>
        <v>97854000</v>
      </c>
      <c r="L26" s="2491"/>
      <c r="M26" s="2491"/>
      <c r="N26" s="2492"/>
      <c r="O26" s="2492"/>
      <c r="P26" s="2492"/>
      <c r="Q26" s="2493"/>
      <c r="R26" s="2493"/>
    </row>
    <row r="27" spans="2:18" s="2494" customFormat="1" ht="12.75" customHeight="1">
      <c r="B27" s="2484">
        <v>5</v>
      </c>
      <c r="C27" s="2485">
        <v>2</v>
      </c>
      <c r="D27" s="2485">
        <v>2</v>
      </c>
      <c r="E27" s="2486">
        <v>19</v>
      </c>
      <c r="F27" s="2486" t="s">
        <v>25</v>
      </c>
      <c r="G27" s="2495" t="s">
        <v>1073</v>
      </c>
      <c r="H27" s="2488"/>
      <c r="I27" s="2489"/>
      <c r="J27" s="2489"/>
      <c r="K27" s="2490">
        <f>SUM(K28:K29)</f>
        <v>97854000</v>
      </c>
      <c r="L27" s="2491"/>
      <c r="M27" s="2491"/>
      <c r="N27" s="2492"/>
      <c r="O27" s="2492"/>
      <c r="P27" s="2492"/>
      <c r="Q27" s="2493"/>
      <c r="R27" s="2493"/>
    </row>
    <row r="28" spans="2:18" s="2494" customFormat="1" ht="12.75" customHeight="1">
      <c r="B28" s="2496"/>
      <c r="C28" s="2497"/>
      <c r="D28" s="2497"/>
      <c r="E28" s="2497"/>
      <c r="F28" s="2497"/>
      <c r="G28" s="2498" t="s">
        <v>1457</v>
      </c>
      <c r="H28" s="2499">
        <v>1</v>
      </c>
      <c r="I28" s="2500" t="s">
        <v>29</v>
      </c>
      <c r="J28" s="2532">
        <v>49500000</v>
      </c>
      <c r="K28" s="2531">
        <f t="shared" ref="K28" si="0">H28*J28</f>
        <v>49500000</v>
      </c>
      <c r="L28" s="2491"/>
      <c r="M28" s="2491"/>
      <c r="N28" s="2501">
        <f>K28</f>
        <v>49500000</v>
      </c>
      <c r="O28" s="2492"/>
      <c r="P28" s="2492"/>
      <c r="Q28" s="2493"/>
      <c r="R28" s="2493"/>
    </row>
    <row r="29" spans="2:18" s="2033" customFormat="1" ht="12.75" customHeight="1">
      <c r="B29" s="2503"/>
      <c r="C29" s="2504"/>
      <c r="D29" s="2504"/>
      <c r="E29" s="2504"/>
      <c r="F29" s="2504"/>
      <c r="G29" s="2505" t="s">
        <v>1560</v>
      </c>
      <c r="H29" s="2506">
        <v>1</v>
      </c>
      <c r="I29" s="2507" t="s">
        <v>29</v>
      </c>
      <c r="J29" s="2508">
        <v>48354000</v>
      </c>
      <c r="K29" s="2509">
        <f>H29*J29</f>
        <v>48354000</v>
      </c>
      <c r="L29" s="2510">
        <f>K29</f>
        <v>48354000</v>
      </c>
      <c r="M29" s="2511"/>
      <c r="N29" s="2492"/>
      <c r="O29" s="2493"/>
      <c r="P29" s="2493"/>
      <c r="Q29" s="2493"/>
      <c r="R29" s="2493"/>
    </row>
    <row r="30" spans="2:18" s="2" customFormat="1" ht="12.75" customHeight="1">
      <c r="B30" s="1659"/>
      <c r="C30" s="1660"/>
      <c r="D30" s="1660"/>
      <c r="E30" s="1660"/>
      <c r="F30" s="1660"/>
      <c r="G30" s="1685"/>
      <c r="H30" s="1714"/>
      <c r="I30" s="2457"/>
      <c r="J30" s="1714"/>
      <c r="K30" s="2458"/>
      <c r="L30" s="564"/>
      <c r="M30" s="564"/>
      <c r="N30" s="1656"/>
      <c r="O30" s="1656"/>
      <c r="P30" s="1656"/>
      <c r="Q30" s="1657"/>
      <c r="R30" s="1657"/>
    </row>
    <row r="31" spans="2:18" ht="12.75" customHeight="1">
      <c r="B31" s="429">
        <v>5</v>
      </c>
      <c r="C31" s="424">
        <v>2</v>
      </c>
      <c r="D31" s="424">
        <v>3</v>
      </c>
      <c r="E31" s="424"/>
      <c r="F31" s="424"/>
      <c r="G31" s="396" t="s">
        <v>78</v>
      </c>
      <c r="H31" s="599"/>
      <c r="I31" s="391"/>
      <c r="J31" s="391"/>
      <c r="K31" s="648">
        <f>K32</f>
        <v>677600000</v>
      </c>
      <c r="L31" s="564"/>
      <c r="M31" s="305"/>
      <c r="N31" s="305"/>
      <c r="O31" s="305"/>
      <c r="P31" s="305"/>
      <c r="Q31" s="306"/>
      <c r="R31" s="306"/>
    </row>
    <row r="32" spans="2:18" s="27" customFormat="1" ht="25.5">
      <c r="B32" s="649">
        <v>5</v>
      </c>
      <c r="C32" s="650">
        <v>2</v>
      </c>
      <c r="D32" s="650">
        <v>3</v>
      </c>
      <c r="E32" s="651">
        <v>49</v>
      </c>
      <c r="F32" s="651"/>
      <c r="G32" s="613" t="s">
        <v>605</v>
      </c>
      <c r="H32" s="652"/>
      <c r="I32" s="586"/>
      <c r="J32" s="587"/>
      <c r="K32" s="653">
        <f>K33</f>
        <v>677600000</v>
      </c>
      <c r="L32" s="386"/>
      <c r="M32" s="329"/>
      <c r="N32" s="330"/>
      <c r="O32" s="330"/>
      <c r="P32" s="330"/>
      <c r="Q32" s="319"/>
      <c r="R32" s="306"/>
    </row>
    <row r="33" spans="2:18" s="27" customFormat="1" ht="25.5">
      <c r="B33" s="346">
        <v>5</v>
      </c>
      <c r="C33" s="371">
        <v>2</v>
      </c>
      <c r="D33" s="371">
        <v>3</v>
      </c>
      <c r="E33" s="372">
        <v>49</v>
      </c>
      <c r="F33" s="372" t="s">
        <v>65</v>
      </c>
      <c r="G33" s="613" t="s">
        <v>1156</v>
      </c>
      <c r="H33" s="652"/>
      <c r="I33" s="586"/>
      <c r="J33" s="587"/>
      <c r="K33" s="653">
        <f>SUM(K34:K36)</f>
        <v>677600000</v>
      </c>
      <c r="L33" s="386"/>
      <c r="M33" s="329"/>
      <c r="N33" s="330"/>
      <c r="O33" s="330"/>
      <c r="P33" s="330"/>
      <c r="Q33" s="319"/>
      <c r="R33" s="378"/>
    </row>
    <row r="34" spans="2:18" s="27" customFormat="1" ht="15">
      <c r="B34" s="2067"/>
      <c r="C34" s="2061"/>
      <c r="D34" s="2061"/>
      <c r="E34" s="2068"/>
      <c r="F34" s="2068"/>
      <c r="G34" s="1503" t="s">
        <v>1873</v>
      </c>
      <c r="H34" s="2314">
        <v>1</v>
      </c>
      <c r="I34" s="1175" t="s">
        <v>29</v>
      </c>
      <c r="J34" s="2315">
        <v>605000000</v>
      </c>
      <c r="K34" s="654">
        <f t="shared" ref="K34:K36" si="1">H34*J34</f>
        <v>605000000</v>
      </c>
      <c r="L34" s="386"/>
      <c r="M34" s="667">
        <f t="shared" ref="M34:M36" si="2">K34</f>
        <v>605000000</v>
      </c>
      <c r="N34" s="2316"/>
      <c r="O34" s="2316"/>
      <c r="P34" s="2316"/>
      <c r="Q34" s="2317"/>
      <c r="R34" s="1665"/>
    </row>
    <row r="35" spans="2:18" ht="15">
      <c r="B35" s="458"/>
      <c r="C35" s="380"/>
      <c r="D35" s="380"/>
      <c r="E35" s="459"/>
      <c r="F35" s="651">
        <v>2</v>
      </c>
      <c r="G35" s="572" t="s">
        <v>1874</v>
      </c>
      <c r="H35" s="602">
        <v>1</v>
      </c>
      <c r="I35" s="603" t="s">
        <v>29</v>
      </c>
      <c r="J35" s="604">
        <f>0.07*J34</f>
        <v>42350000.000000007</v>
      </c>
      <c r="K35" s="654">
        <f t="shared" si="1"/>
        <v>42350000.000000007</v>
      </c>
      <c r="L35" s="564"/>
      <c r="M35" s="667">
        <f t="shared" si="2"/>
        <v>42350000.000000007</v>
      </c>
      <c r="N35" s="378"/>
      <c r="O35" s="378"/>
      <c r="P35" s="378"/>
      <c r="Q35" s="378"/>
      <c r="R35" s="378"/>
    </row>
    <row r="36" spans="2:18" ht="15">
      <c r="B36" s="458"/>
      <c r="C36" s="380"/>
      <c r="D36" s="380"/>
      <c r="E36" s="459"/>
      <c r="F36" s="651">
        <v>3</v>
      </c>
      <c r="G36" s="572" t="s">
        <v>1875</v>
      </c>
      <c r="H36" s="602">
        <v>1</v>
      </c>
      <c r="I36" s="603" t="s">
        <v>29</v>
      </c>
      <c r="J36" s="604">
        <f>0.05*J34</f>
        <v>30250000</v>
      </c>
      <c r="K36" s="654">
        <f t="shared" si="1"/>
        <v>30250000</v>
      </c>
      <c r="L36" s="564"/>
      <c r="M36" s="667">
        <f t="shared" si="2"/>
        <v>30250000</v>
      </c>
      <c r="N36" s="378"/>
      <c r="O36" s="378"/>
      <c r="P36" s="378"/>
      <c r="Q36" s="378"/>
      <c r="R36" s="378"/>
    </row>
    <row r="37" spans="2:18" s="1787" customFormat="1" ht="15">
      <c r="B37" s="1774"/>
      <c r="C37" s="1775"/>
      <c r="D37" s="1775"/>
      <c r="E37" s="1776"/>
      <c r="F37" s="1776">
        <v>1</v>
      </c>
      <c r="G37" s="1777" t="s">
        <v>1416</v>
      </c>
      <c r="H37" s="1778"/>
      <c r="I37" s="1779" t="s">
        <v>29</v>
      </c>
      <c r="J37" s="1780">
        <v>110000000</v>
      </c>
      <c r="K37" s="1781">
        <f>H37*J37</f>
        <v>0</v>
      </c>
      <c r="L37" s="1782"/>
      <c r="M37" s="1783">
        <f t="shared" ref="M37:M43" si="3">K37</f>
        <v>0</v>
      </c>
      <c r="N37" s="1784"/>
      <c r="O37" s="1784"/>
      <c r="P37" s="1784"/>
      <c r="Q37" s="1785"/>
      <c r="R37" s="1786"/>
    </row>
    <row r="38" spans="2:18" ht="15">
      <c r="B38" s="458"/>
      <c r="C38" s="380"/>
      <c r="D38" s="380"/>
      <c r="E38" s="459"/>
      <c r="F38" s="651">
        <v>2</v>
      </c>
      <c r="G38" s="572" t="s">
        <v>601</v>
      </c>
      <c r="H38" s="602"/>
      <c r="I38" s="603" t="s">
        <v>29</v>
      </c>
      <c r="J38" s="604">
        <f>0.07*J37</f>
        <v>7700000.0000000009</v>
      </c>
      <c r="K38" s="654">
        <f t="shared" ref="K38:K39" si="4">H38*J38</f>
        <v>0</v>
      </c>
      <c r="L38" s="564"/>
      <c r="M38" s="667">
        <f t="shared" si="3"/>
        <v>0</v>
      </c>
      <c r="N38" s="378"/>
      <c r="O38" s="378"/>
      <c r="P38" s="378"/>
      <c r="Q38" s="378"/>
      <c r="R38" s="378"/>
    </row>
    <row r="39" spans="2:18" ht="15">
      <c r="B39" s="458"/>
      <c r="C39" s="380"/>
      <c r="D39" s="380"/>
      <c r="E39" s="459"/>
      <c r="F39" s="651">
        <v>3</v>
      </c>
      <c r="G39" s="572" t="s">
        <v>602</v>
      </c>
      <c r="H39" s="602"/>
      <c r="I39" s="603" t="s">
        <v>29</v>
      </c>
      <c r="J39" s="604">
        <f>0.05*J37</f>
        <v>5500000</v>
      </c>
      <c r="K39" s="654">
        <f t="shared" si="4"/>
        <v>0</v>
      </c>
      <c r="L39" s="564"/>
      <c r="M39" s="667">
        <f t="shared" si="3"/>
        <v>0</v>
      </c>
      <c r="N39" s="378"/>
      <c r="O39" s="378"/>
      <c r="P39" s="378"/>
      <c r="Q39" s="378"/>
      <c r="R39" s="378"/>
    </row>
    <row r="40" spans="2:18" s="1787" customFormat="1" ht="30">
      <c r="B40" s="1774"/>
      <c r="C40" s="1775"/>
      <c r="D40" s="1775"/>
      <c r="E40" s="1776"/>
      <c r="F40" s="1776">
        <v>4</v>
      </c>
      <c r="G40" s="1788" t="s">
        <v>1417</v>
      </c>
      <c r="H40" s="1824"/>
      <c r="I40" s="1779" t="s">
        <v>29</v>
      </c>
      <c r="J40" s="1825">
        <v>115000000</v>
      </c>
      <c r="K40" s="1826">
        <f t="shared" ref="K40:K46" si="5">H40*J40</f>
        <v>0</v>
      </c>
      <c r="L40" s="1782"/>
      <c r="M40" s="1827">
        <f t="shared" si="3"/>
        <v>0</v>
      </c>
      <c r="N40" s="1784"/>
      <c r="O40" s="1784"/>
      <c r="P40" s="1784"/>
      <c r="Q40" s="1785"/>
      <c r="R40" s="1786"/>
    </row>
    <row r="41" spans="2:18" ht="15">
      <c r="B41" s="458"/>
      <c r="C41" s="380"/>
      <c r="D41" s="380"/>
      <c r="E41" s="459"/>
      <c r="F41" s="651">
        <v>5</v>
      </c>
      <c r="G41" s="572" t="s">
        <v>601</v>
      </c>
      <c r="H41" s="602"/>
      <c r="I41" s="603" t="s">
        <v>29</v>
      </c>
      <c r="J41" s="604">
        <f>0.07*J40</f>
        <v>8050000.0000000009</v>
      </c>
      <c r="K41" s="654">
        <f t="shared" ref="K41:K42" si="6">H41*J41</f>
        <v>0</v>
      </c>
      <c r="L41" s="564"/>
      <c r="M41" s="667">
        <f t="shared" si="3"/>
        <v>0</v>
      </c>
      <c r="N41" s="378"/>
      <c r="O41" s="378"/>
      <c r="P41" s="378"/>
      <c r="Q41" s="378"/>
      <c r="R41" s="378"/>
    </row>
    <row r="42" spans="2:18" ht="15">
      <c r="B42" s="458"/>
      <c r="C42" s="380"/>
      <c r="D42" s="380"/>
      <c r="E42" s="459"/>
      <c r="F42" s="651">
        <v>6</v>
      </c>
      <c r="G42" s="572" t="s">
        <v>602</v>
      </c>
      <c r="H42" s="602"/>
      <c r="I42" s="603" t="s">
        <v>29</v>
      </c>
      <c r="J42" s="604">
        <f>0.05*J40</f>
        <v>5750000</v>
      </c>
      <c r="K42" s="654">
        <f t="shared" si="6"/>
        <v>0</v>
      </c>
      <c r="L42" s="564"/>
      <c r="M42" s="667">
        <f t="shared" si="3"/>
        <v>0</v>
      </c>
      <c r="N42" s="378"/>
      <c r="O42" s="378"/>
      <c r="P42" s="378"/>
      <c r="Q42" s="378"/>
      <c r="R42" s="378"/>
    </row>
    <row r="43" spans="2:18" s="1787" customFormat="1" ht="15">
      <c r="B43" s="1774"/>
      <c r="C43" s="1775"/>
      <c r="D43" s="1775"/>
      <c r="E43" s="1776"/>
      <c r="F43" s="1776">
        <v>7</v>
      </c>
      <c r="G43" s="1777" t="s">
        <v>1713</v>
      </c>
      <c r="H43" s="1778"/>
      <c r="I43" s="1779" t="s">
        <v>29</v>
      </c>
      <c r="J43" s="1780">
        <f>25000000+80000000</f>
        <v>105000000</v>
      </c>
      <c r="K43" s="1781">
        <f t="shared" si="5"/>
        <v>0</v>
      </c>
      <c r="L43" s="1782"/>
      <c r="M43" s="1783">
        <f t="shared" si="3"/>
        <v>0</v>
      </c>
      <c r="N43" s="1784"/>
      <c r="O43" s="1784"/>
      <c r="P43" s="1784"/>
      <c r="Q43" s="1785"/>
      <c r="R43" s="1786"/>
    </row>
    <row r="44" spans="2:18" ht="15">
      <c r="B44" s="458"/>
      <c r="C44" s="380"/>
      <c r="D44" s="380"/>
      <c r="E44" s="459"/>
      <c r="F44" s="651">
        <v>8</v>
      </c>
      <c r="G44" s="572" t="s">
        <v>601</v>
      </c>
      <c r="H44" s="602"/>
      <c r="I44" s="603" t="s">
        <v>29</v>
      </c>
      <c r="J44" s="604">
        <f>0.07*J43</f>
        <v>7350000.0000000009</v>
      </c>
      <c r="K44" s="654">
        <f t="shared" si="5"/>
        <v>0</v>
      </c>
      <c r="L44" s="564"/>
      <c r="M44" s="667">
        <f t="shared" ref="M44:M49" si="7">K44</f>
        <v>0</v>
      </c>
      <c r="N44" s="378"/>
      <c r="O44" s="378"/>
      <c r="P44" s="378"/>
      <c r="Q44" s="378"/>
      <c r="R44" s="378"/>
    </row>
    <row r="45" spans="2:18" ht="15">
      <c r="B45" s="458"/>
      <c r="C45" s="380"/>
      <c r="D45" s="380"/>
      <c r="E45" s="459"/>
      <c r="F45" s="651">
        <v>9</v>
      </c>
      <c r="G45" s="572" t="s">
        <v>602</v>
      </c>
      <c r="H45" s="602"/>
      <c r="I45" s="603" t="s">
        <v>29</v>
      </c>
      <c r="J45" s="604">
        <f>0.05*J43</f>
        <v>5250000</v>
      </c>
      <c r="K45" s="654">
        <f t="shared" si="5"/>
        <v>0</v>
      </c>
      <c r="L45" s="564"/>
      <c r="M45" s="667">
        <f t="shared" si="7"/>
        <v>0</v>
      </c>
      <c r="N45" s="378"/>
      <c r="O45" s="378"/>
      <c r="P45" s="378"/>
      <c r="Q45" s="378"/>
      <c r="R45" s="378"/>
    </row>
    <row r="46" spans="2:18" s="1787" customFormat="1" ht="15">
      <c r="B46" s="1774"/>
      <c r="C46" s="1775"/>
      <c r="D46" s="1775"/>
      <c r="E46" s="1776"/>
      <c r="F46" s="1776">
        <v>10</v>
      </c>
      <c r="G46" s="1777" t="s">
        <v>1173</v>
      </c>
      <c r="H46" s="1778"/>
      <c r="I46" s="1779" t="s">
        <v>29</v>
      </c>
      <c r="J46" s="1780">
        <v>189000000</v>
      </c>
      <c r="K46" s="1789">
        <f t="shared" si="5"/>
        <v>0</v>
      </c>
      <c r="L46" s="1782"/>
      <c r="M46" s="1783">
        <f t="shared" si="7"/>
        <v>0</v>
      </c>
      <c r="N46" s="1784"/>
      <c r="O46" s="1784"/>
      <c r="P46" s="1784"/>
      <c r="Q46" s="1785"/>
      <c r="R46" s="1786"/>
    </row>
    <row r="47" spans="2:18" ht="15">
      <c r="B47" s="458"/>
      <c r="C47" s="380"/>
      <c r="D47" s="380"/>
      <c r="E47" s="459"/>
      <c r="F47" s="651">
        <v>11</v>
      </c>
      <c r="G47" s="572" t="s">
        <v>601</v>
      </c>
      <c r="H47" s="602"/>
      <c r="I47" s="603" t="s">
        <v>29</v>
      </c>
      <c r="J47" s="604">
        <f>0.07*J46</f>
        <v>13230000.000000002</v>
      </c>
      <c r="K47" s="654">
        <f t="shared" ref="K47:K49" si="8">H47*J47</f>
        <v>0</v>
      </c>
      <c r="L47" s="564"/>
      <c r="M47" s="667">
        <f t="shared" si="7"/>
        <v>0</v>
      </c>
      <c r="N47" s="378"/>
      <c r="O47" s="378"/>
      <c r="P47" s="378"/>
      <c r="Q47" s="378"/>
      <c r="R47" s="378"/>
    </row>
    <row r="48" spans="2:18" ht="15">
      <c r="B48" s="458"/>
      <c r="C48" s="380"/>
      <c r="D48" s="380"/>
      <c r="E48" s="459"/>
      <c r="F48" s="651">
        <v>12</v>
      </c>
      <c r="G48" s="572" t="s">
        <v>602</v>
      </c>
      <c r="H48" s="602"/>
      <c r="I48" s="603" t="s">
        <v>29</v>
      </c>
      <c r="J48" s="604">
        <f>0.05*J46</f>
        <v>9450000</v>
      </c>
      <c r="K48" s="654">
        <f t="shared" si="8"/>
        <v>0</v>
      </c>
      <c r="L48" s="564"/>
      <c r="M48" s="667">
        <f t="shared" si="7"/>
        <v>0</v>
      </c>
      <c r="N48" s="378"/>
      <c r="O48" s="378"/>
      <c r="P48" s="378"/>
      <c r="Q48" s="378"/>
      <c r="R48" s="378"/>
    </row>
    <row r="49" spans="2:20" s="1787" customFormat="1" ht="15">
      <c r="B49" s="1774"/>
      <c r="C49" s="1775"/>
      <c r="D49" s="1775"/>
      <c r="E49" s="1776"/>
      <c r="F49" s="1776">
        <v>13</v>
      </c>
      <c r="G49" s="1777" t="s">
        <v>1174</v>
      </c>
      <c r="H49" s="1778"/>
      <c r="I49" s="1779" t="s">
        <v>29</v>
      </c>
      <c r="J49" s="1780">
        <v>60000000</v>
      </c>
      <c r="K49" s="1789">
        <f t="shared" si="8"/>
        <v>0</v>
      </c>
      <c r="L49" s="1782"/>
      <c r="M49" s="1783">
        <f t="shared" si="7"/>
        <v>0</v>
      </c>
      <c r="N49" s="1784"/>
      <c r="O49" s="1784"/>
      <c r="P49" s="1784"/>
      <c r="Q49" s="1785"/>
      <c r="R49" s="1786"/>
    </row>
    <row r="50" spans="2:20" ht="15">
      <c r="B50" s="458"/>
      <c r="C50" s="380"/>
      <c r="D50" s="380"/>
      <c r="E50" s="459"/>
      <c r="F50" s="651">
        <v>14</v>
      </c>
      <c r="G50" s="572" t="s">
        <v>601</v>
      </c>
      <c r="H50" s="602"/>
      <c r="I50" s="603" t="s">
        <v>29</v>
      </c>
      <c r="J50" s="604">
        <f>0.07*J49</f>
        <v>4200000</v>
      </c>
      <c r="K50" s="654">
        <f t="shared" ref="K50:K51" si="9">H50*J50</f>
        <v>0</v>
      </c>
      <c r="L50" s="564"/>
      <c r="M50" s="667">
        <f t="shared" ref="M50:M51" si="10">K50</f>
        <v>0</v>
      </c>
      <c r="N50" s="378"/>
      <c r="O50" s="378"/>
      <c r="P50" s="378"/>
      <c r="Q50" s="378"/>
      <c r="R50" s="378"/>
    </row>
    <row r="51" spans="2:20" ht="15">
      <c r="B51" s="458"/>
      <c r="C51" s="380"/>
      <c r="D51" s="380"/>
      <c r="E51" s="459"/>
      <c r="F51" s="651">
        <v>15</v>
      </c>
      <c r="G51" s="572" t="s">
        <v>602</v>
      </c>
      <c r="H51" s="602"/>
      <c r="I51" s="603" t="s">
        <v>29</v>
      </c>
      <c r="J51" s="604">
        <f>0.05*J49</f>
        <v>3000000</v>
      </c>
      <c r="K51" s="654">
        <f t="shared" si="9"/>
        <v>0</v>
      </c>
      <c r="L51" s="564"/>
      <c r="M51" s="667">
        <f t="shared" si="10"/>
        <v>0</v>
      </c>
      <c r="N51" s="378"/>
      <c r="O51" s="378"/>
      <c r="P51" s="378"/>
      <c r="Q51" s="378"/>
      <c r="R51" s="378"/>
    </row>
    <row r="52" spans="2:20" s="1793" customFormat="1" ht="15">
      <c r="B52" s="1790"/>
      <c r="C52" s="1791"/>
      <c r="D52" s="1791"/>
      <c r="E52" s="1792"/>
      <c r="F52" s="1776"/>
      <c r="G52" s="1777" t="s">
        <v>1273</v>
      </c>
      <c r="H52" s="1778"/>
      <c r="I52" s="1779" t="s">
        <v>29</v>
      </c>
      <c r="J52" s="1780">
        <v>30000000</v>
      </c>
      <c r="K52" s="1789">
        <f t="shared" ref="K52" si="11">H52*J52</f>
        <v>0</v>
      </c>
      <c r="L52" s="1782"/>
      <c r="M52" s="1783">
        <f t="shared" ref="M52:M54" si="12">K52</f>
        <v>0</v>
      </c>
      <c r="N52" s="1785"/>
      <c r="O52" s="1785"/>
      <c r="P52" s="1785"/>
      <c r="Q52" s="1785"/>
      <c r="R52" s="1786"/>
    </row>
    <row r="53" spans="2:20" ht="15">
      <c r="B53" s="458"/>
      <c r="C53" s="380"/>
      <c r="D53" s="380"/>
      <c r="E53" s="459"/>
      <c r="F53" s="651"/>
      <c r="G53" s="572" t="s">
        <v>601</v>
      </c>
      <c r="H53" s="602"/>
      <c r="I53" s="603" t="s">
        <v>29</v>
      </c>
      <c r="J53" s="604">
        <f>0.07*J52</f>
        <v>2100000</v>
      </c>
      <c r="K53" s="654">
        <f t="shared" ref="K53:K54" si="13">H53*J53</f>
        <v>0</v>
      </c>
      <c r="L53" s="386"/>
      <c r="M53" s="667">
        <f t="shared" si="12"/>
        <v>0</v>
      </c>
      <c r="N53" s="319"/>
      <c r="O53" s="319"/>
      <c r="P53" s="319"/>
      <c r="Q53" s="319"/>
      <c r="R53" s="378"/>
    </row>
    <row r="54" spans="2:20" ht="15">
      <c r="B54" s="458"/>
      <c r="C54" s="380"/>
      <c r="D54" s="380"/>
      <c r="E54" s="459"/>
      <c r="F54" s="651"/>
      <c r="G54" s="572" t="s">
        <v>602</v>
      </c>
      <c r="H54" s="602"/>
      <c r="I54" s="603" t="s">
        <v>29</v>
      </c>
      <c r="J54" s="604">
        <f>0.05*J52</f>
        <v>1500000</v>
      </c>
      <c r="K54" s="654">
        <f t="shared" si="13"/>
        <v>0</v>
      </c>
      <c r="L54" s="386"/>
      <c r="M54" s="667">
        <f t="shared" si="12"/>
        <v>0</v>
      </c>
      <c r="N54" s="319"/>
      <c r="O54" s="319"/>
      <c r="P54" s="319"/>
      <c r="Q54" s="319"/>
      <c r="R54" s="378"/>
    </row>
    <row r="55" spans="2:20" s="1793" customFormat="1" ht="25.5">
      <c r="B55" s="1790"/>
      <c r="C55" s="1791"/>
      <c r="D55" s="1791"/>
      <c r="E55" s="1792"/>
      <c r="F55" s="1776">
        <v>16</v>
      </c>
      <c r="G55" s="1794" t="s">
        <v>1387</v>
      </c>
      <c r="H55" s="1795"/>
      <c r="I55" s="1796" t="s">
        <v>29</v>
      </c>
      <c r="J55" s="1797">
        <v>30000000</v>
      </c>
      <c r="K55" s="1789">
        <f t="shared" ref="K55" si="14">H55*J55</f>
        <v>0</v>
      </c>
      <c r="L55" s="1782"/>
      <c r="M55" s="1783">
        <f t="shared" ref="M55" si="15">K55</f>
        <v>0</v>
      </c>
      <c r="N55" s="1785"/>
      <c r="O55" s="1785"/>
      <c r="P55" s="1785"/>
      <c r="Q55" s="1785"/>
      <c r="R55" s="1786"/>
    </row>
    <row r="56" spans="2:20" ht="15">
      <c r="B56" s="458"/>
      <c r="C56" s="380"/>
      <c r="D56" s="380"/>
      <c r="E56" s="459"/>
      <c r="F56" s="651"/>
      <c r="G56" s="1445"/>
      <c r="H56" s="991"/>
      <c r="I56" s="1397"/>
      <c r="J56" s="905"/>
      <c r="K56" s="654"/>
      <c r="L56" s="386"/>
      <c r="M56" s="1398"/>
      <c r="N56" s="319"/>
      <c r="O56" s="319"/>
      <c r="P56" s="319"/>
      <c r="Q56" s="319"/>
      <c r="R56" s="378"/>
    </row>
    <row r="57" spans="2:20" ht="14.45" customHeight="1" thickBot="1">
      <c r="B57" s="3642" t="s">
        <v>30</v>
      </c>
      <c r="C57" s="3643"/>
      <c r="D57" s="3643"/>
      <c r="E57" s="3643"/>
      <c r="F57" s="3643"/>
      <c r="G57" s="3643"/>
      <c r="H57" s="3643"/>
      <c r="I57" s="3643"/>
      <c r="J57" s="3644"/>
      <c r="K57" s="655">
        <f>K24</f>
        <v>775454000</v>
      </c>
      <c r="L57" s="564">
        <f t="shared" ref="L57:Q57" si="16">SUM(L24:L56)</f>
        <v>48354000</v>
      </c>
      <c r="M57" s="564">
        <f t="shared" si="16"/>
        <v>677600000</v>
      </c>
      <c r="N57" s="564">
        <f t="shared" si="16"/>
        <v>49500000</v>
      </c>
      <c r="O57" s="564">
        <f t="shared" si="16"/>
        <v>0</v>
      </c>
      <c r="P57" s="564">
        <f t="shared" si="16"/>
        <v>0</v>
      </c>
      <c r="Q57" s="564">
        <f t="shared" si="16"/>
        <v>0</v>
      </c>
      <c r="R57" s="314">
        <f>SUM(L57:Q57)</f>
        <v>775454000</v>
      </c>
      <c r="S57" s="41">
        <v>675000000</v>
      </c>
      <c r="T57" s="158">
        <f>S57-K57</f>
        <v>-100454000</v>
      </c>
    </row>
    <row r="58" spans="2:20" ht="15.75" thickTop="1">
      <c r="K58" s="41"/>
      <c r="L58" s="305"/>
      <c r="M58" s="310"/>
      <c r="N58" s="306"/>
      <c r="O58" s="306"/>
      <c r="P58" s="306"/>
      <c r="Q58" s="306"/>
      <c r="R58" s="306"/>
    </row>
    <row r="59" spans="2:20" ht="15">
      <c r="K59" s="41"/>
      <c r="L59" s="564"/>
      <c r="M59" s="569"/>
      <c r="N59" s="378"/>
      <c r="O59" s="378"/>
      <c r="P59" s="378"/>
      <c r="Q59" s="378"/>
      <c r="R59" s="378"/>
    </row>
    <row r="60" spans="2:20" ht="15">
      <c r="H60" s="3336" t="s">
        <v>1534</v>
      </c>
      <c r="I60" s="3336"/>
      <c r="J60" s="3336"/>
      <c r="K60" s="945"/>
      <c r="L60" s="564"/>
      <c r="M60" s="310"/>
      <c r="N60" s="306"/>
      <c r="O60" s="306"/>
      <c r="P60" s="306"/>
      <c r="Q60" s="306"/>
      <c r="R60" s="306"/>
    </row>
    <row r="61" spans="2:20" ht="15">
      <c r="H61" s="3337" t="s">
        <v>272</v>
      </c>
      <c r="I61" s="3337"/>
      <c r="J61" s="3485"/>
      <c r="K61" s="8"/>
      <c r="L61" s="564"/>
      <c r="M61" s="310"/>
      <c r="N61" s="306"/>
      <c r="O61" s="306"/>
      <c r="P61" s="306"/>
      <c r="Q61" s="306"/>
      <c r="R61" s="306"/>
    </row>
    <row r="62" spans="2:20" ht="15">
      <c r="H62" s="127"/>
      <c r="I62" s="127"/>
      <c r="J62" s="127"/>
      <c r="K62" s="8"/>
      <c r="L62" s="564"/>
      <c r="M62" s="310"/>
      <c r="N62" s="306"/>
      <c r="O62" s="306"/>
      <c r="P62" s="306"/>
      <c r="Q62" s="306"/>
      <c r="R62" s="306"/>
    </row>
    <row r="63" spans="2:20" ht="15">
      <c r="H63" s="127"/>
      <c r="I63" s="127"/>
      <c r="J63" s="127"/>
      <c r="K63" s="936"/>
      <c r="L63" s="564"/>
      <c r="M63" s="310"/>
      <c r="N63" s="306"/>
      <c r="O63" s="306"/>
      <c r="P63" s="306"/>
      <c r="Q63" s="306"/>
      <c r="R63" s="306"/>
    </row>
    <row r="64" spans="2:20" ht="15">
      <c r="H64" s="3434" t="s">
        <v>904</v>
      </c>
      <c r="I64" s="3434"/>
      <c r="J64" s="3434"/>
      <c r="K64" s="8"/>
      <c r="L64" s="564"/>
      <c r="M64" s="310"/>
      <c r="N64" s="306"/>
      <c r="O64" s="306"/>
      <c r="P64" s="306"/>
      <c r="Q64" s="306"/>
      <c r="R64" s="306"/>
    </row>
    <row r="65" spans="7:18" ht="15">
      <c r="H65" s="3434" t="s">
        <v>906</v>
      </c>
      <c r="I65" s="3434"/>
      <c r="J65" s="3434"/>
      <c r="K65" s="8"/>
      <c r="L65" s="564"/>
      <c r="M65" s="310"/>
      <c r="N65" s="306"/>
      <c r="O65" s="306"/>
      <c r="P65" s="306"/>
      <c r="Q65" s="306"/>
      <c r="R65" s="306"/>
    </row>
    <row r="66" spans="7:18" ht="15">
      <c r="L66" s="305"/>
      <c r="M66" s="310"/>
      <c r="N66" s="306"/>
      <c r="O66" s="306"/>
      <c r="P66" s="306"/>
      <c r="Q66" s="306"/>
      <c r="R66" s="306"/>
    </row>
    <row r="67" spans="7:18" ht="15">
      <c r="G67" s="9" t="s">
        <v>848</v>
      </c>
      <c r="J67" s="9">
        <v>156900000</v>
      </c>
      <c r="L67" s="305"/>
      <c r="M67" s="310"/>
      <c r="N67" s="306"/>
      <c r="O67" s="306"/>
      <c r="P67" s="306"/>
      <c r="Q67" s="306"/>
      <c r="R67" s="306"/>
    </row>
    <row r="68" spans="7:18" ht="15">
      <c r="G68" s="9" t="s">
        <v>849</v>
      </c>
      <c r="J68" s="9">
        <v>130240000</v>
      </c>
      <c r="L68" s="305"/>
      <c r="M68" s="310"/>
      <c r="N68" s="306"/>
      <c r="O68" s="306"/>
      <c r="P68" s="306"/>
      <c r="Q68" s="306"/>
      <c r="R68" s="306"/>
    </row>
    <row r="69" spans="7:18" ht="15">
      <c r="J69" s="9">
        <f>SUM(J67:J68)</f>
        <v>287140000</v>
      </c>
      <c r="L69" s="305"/>
      <c r="M69" s="310"/>
      <c r="N69" s="306"/>
      <c r="O69" s="306"/>
      <c r="P69" s="306"/>
      <c r="Q69" s="306"/>
      <c r="R69" s="306"/>
    </row>
    <row r="70" spans="7:18" ht="15">
      <c r="L70" s="305"/>
      <c r="M70" s="310"/>
      <c r="N70" s="306"/>
      <c r="O70" s="306"/>
      <c r="P70" s="306"/>
      <c r="Q70" s="306"/>
      <c r="R70" s="306"/>
    </row>
    <row r="71" spans="7:18" ht="15">
      <c r="L71" s="305"/>
      <c r="M71" s="310"/>
      <c r="N71" s="306"/>
      <c r="O71" s="306"/>
      <c r="P71" s="306"/>
      <c r="Q71" s="306"/>
      <c r="R71" s="306"/>
    </row>
    <row r="72" spans="7:18" ht="15">
      <c r="L72" s="305"/>
      <c r="M72" s="310"/>
      <c r="N72" s="306"/>
      <c r="O72" s="306"/>
      <c r="P72" s="306"/>
      <c r="Q72" s="306"/>
      <c r="R72" s="306"/>
    </row>
    <row r="73" spans="7:18" ht="15">
      <c r="L73" s="305"/>
      <c r="M73" s="310"/>
      <c r="N73" s="306"/>
      <c r="O73" s="306"/>
      <c r="P73" s="306"/>
      <c r="Q73" s="306"/>
      <c r="R73" s="306"/>
    </row>
    <row r="74" spans="7:18" ht="15">
      <c r="L74" s="305"/>
      <c r="M74" s="310"/>
      <c r="N74" s="306"/>
      <c r="O74" s="306"/>
      <c r="P74" s="306"/>
      <c r="Q74" s="306"/>
      <c r="R74" s="306"/>
    </row>
    <row r="75" spans="7:18" ht="15">
      <c r="L75" s="305"/>
      <c r="M75" s="310"/>
      <c r="N75" s="306"/>
      <c r="O75" s="306"/>
      <c r="P75" s="306"/>
      <c r="Q75" s="306"/>
      <c r="R75" s="306"/>
    </row>
    <row r="76" spans="7:18" ht="15">
      <c r="L76" s="305"/>
      <c r="M76" s="310"/>
      <c r="N76" s="306"/>
      <c r="O76" s="306"/>
      <c r="P76" s="306"/>
      <c r="Q76" s="306"/>
      <c r="R76" s="306"/>
    </row>
    <row r="77" spans="7:18" ht="15">
      <c r="L77" s="305"/>
      <c r="M77" s="310"/>
      <c r="N77" s="306"/>
      <c r="O77" s="306"/>
      <c r="P77" s="306"/>
      <c r="Q77" s="306"/>
      <c r="R77" s="306"/>
    </row>
    <row r="78" spans="7:18" ht="15">
      <c r="L78" s="305"/>
      <c r="M78" s="310"/>
      <c r="N78" s="306"/>
      <c r="O78" s="306"/>
      <c r="P78" s="306"/>
      <c r="Q78" s="306"/>
      <c r="R78" s="306"/>
    </row>
    <row r="79" spans="7:18" ht="15">
      <c r="L79" s="305"/>
      <c r="M79" s="310"/>
      <c r="N79" s="306"/>
      <c r="O79" s="306"/>
      <c r="P79" s="306"/>
      <c r="Q79" s="306"/>
      <c r="R79" s="306"/>
    </row>
    <row r="80" spans="7:18" ht="15">
      <c r="L80" s="305"/>
      <c r="M80" s="310"/>
      <c r="N80" s="306"/>
      <c r="O80" s="306"/>
      <c r="P80" s="306"/>
      <c r="Q80" s="306"/>
      <c r="R80" s="306"/>
    </row>
    <row r="81" spans="12:18" ht="15">
      <c r="L81" s="305"/>
      <c r="M81" s="310"/>
      <c r="N81" s="306"/>
      <c r="O81" s="306"/>
      <c r="P81" s="306"/>
      <c r="Q81" s="306"/>
      <c r="R81" s="306"/>
    </row>
    <row r="82" spans="12:18" ht="15">
      <c r="L82" s="305"/>
      <c r="M82" s="310"/>
      <c r="N82" s="306"/>
      <c r="O82" s="306"/>
      <c r="P82" s="306"/>
      <c r="Q82" s="306"/>
      <c r="R82" s="306"/>
    </row>
    <row r="83" spans="12:18" ht="15">
      <c r="L83" s="305"/>
      <c r="M83" s="310"/>
      <c r="N83" s="306"/>
      <c r="O83" s="306"/>
      <c r="P83" s="306"/>
      <c r="Q83" s="306"/>
      <c r="R83" s="306"/>
    </row>
    <row r="84" spans="12:18" ht="15">
      <c r="L84" s="305"/>
      <c r="M84" s="310"/>
      <c r="N84" s="306"/>
      <c r="O84" s="306"/>
      <c r="P84" s="306"/>
      <c r="Q84" s="306"/>
      <c r="R84" s="306"/>
    </row>
    <row r="85" spans="12:18" ht="15">
      <c r="L85" s="305"/>
      <c r="M85" s="310"/>
      <c r="N85" s="306"/>
      <c r="O85" s="306"/>
      <c r="P85" s="306"/>
      <c r="Q85" s="306"/>
      <c r="R85" s="306"/>
    </row>
    <row r="86" spans="12:18" ht="15">
      <c r="L86" s="305"/>
      <c r="M86" s="310"/>
      <c r="N86" s="306"/>
      <c r="O86" s="306"/>
      <c r="P86" s="306"/>
      <c r="Q86" s="306"/>
      <c r="R86" s="306"/>
    </row>
    <row r="87" spans="12:18" ht="15">
      <c r="L87" s="305"/>
      <c r="M87" s="310"/>
      <c r="N87" s="306"/>
      <c r="O87" s="306"/>
      <c r="P87" s="306"/>
      <c r="Q87" s="306"/>
      <c r="R87" s="306"/>
    </row>
    <row r="88" spans="12:18" ht="15">
      <c r="L88" s="305"/>
      <c r="M88" s="310"/>
      <c r="N88" s="306"/>
      <c r="O88" s="306"/>
      <c r="P88" s="306"/>
      <c r="Q88" s="306"/>
      <c r="R88" s="306"/>
    </row>
    <row r="89" spans="12:18" ht="15">
      <c r="L89" s="305"/>
      <c r="M89" s="310"/>
      <c r="N89" s="306"/>
      <c r="O89" s="306"/>
      <c r="P89" s="306"/>
      <c r="Q89" s="306"/>
      <c r="R89" s="306"/>
    </row>
    <row r="90" spans="12:18" ht="15">
      <c r="L90" s="305"/>
      <c r="M90" s="310"/>
      <c r="N90" s="306"/>
      <c r="O90" s="306"/>
      <c r="P90" s="306"/>
      <c r="Q90" s="306"/>
      <c r="R90" s="306"/>
    </row>
    <row r="91" spans="12:18" ht="15">
      <c r="L91" s="305"/>
      <c r="M91" s="310"/>
      <c r="N91" s="306"/>
      <c r="O91" s="306"/>
      <c r="P91" s="306"/>
      <c r="Q91" s="306"/>
      <c r="R91" s="306"/>
    </row>
    <row r="92" spans="12:18" ht="15">
      <c r="L92" s="305"/>
      <c r="M92" s="310"/>
      <c r="N92" s="306"/>
      <c r="O92" s="306"/>
      <c r="P92" s="306"/>
      <c r="Q92" s="306"/>
      <c r="R92" s="306"/>
    </row>
    <row r="93" spans="12:18" ht="15">
      <c r="L93" s="305"/>
      <c r="M93" s="310"/>
      <c r="N93" s="306"/>
      <c r="O93" s="306"/>
      <c r="P93" s="306"/>
      <c r="Q93" s="306"/>
      <c r="R93" s="306"/>
    </row>
    <row r="94" spans="12:18" ht="15">
      <c r="L94" s="305"/>
      <c r="M94" s="310"/>
      <c r="N94" s="306"/>
      <c r="O94" s="306"/>
      <c r="P94" s="306"/>
      <c r="Q94" s="306"/>
      <c r="R94" s="306"/>
    </row>
    <row r="95" spans="12:18" ht="15">
      <c r="L95" s="305"/>
      <c r="M95" s="310"/>
      <c r="N95" s="306"/>
      <c r="O95" s="306"/>
      <c r="P95" s="306"/>
      <c r="Q95" s="306"/>
      <c r="R95" s="306"/>
    </row>
    <row r="96" spans="12:18" ht="15">
      <c r="L96" s="305"/>
      <c r="M96" s="310"/>
      <c r="N96" s="306"/>
      <c r="O96" s="306"/>
      <c r="P96" s="306"/>
      <c r="Q96" s="306"/>
      <c r="R96" s="306"/>
    </row>
    <row r="97" spans="12:18" ht="15">
      <c r="L97" s="305"/>
      <c r="M97" s="310"/>
      <c r="N97" s="306"/>
      <c r="O97" s="306"/>
      <c r="P97" s="306"/>
      <c r="Q97" s="306"/>
      <c r="R97" s="306"/>
    </row>
    <row r="98" spans="12:18" ht="15">
      <c r="L98" s="305"/>
      <c r="M98" s="310"/>
      <c r="N98" s="306"/>
      <c r="O98" s="306"/>
      <c r="P98" s="306"/>
      <c r="Q98" s="306"/>
      <c r="R98" s="306"/>
    </row>
    <row r="99" spans="12:18" ht="15">
      <c r="L99" s="305"/>
      <c r="M99" s="310"/>
      <c r="N99" s="306"/>
      <c r="O99" s="306"/>
      <c r="P99" s="306"/>
      <c r="Q99" s="306"/>
      <c r="R99" s="306"/>
    </row>
    <row r="100" spans="12:18" ht="15">
      <c r="L100" s="305"/>
      <c r="M100" s="310"/>
      <c r="N100" s="306"/>
      <c r="O100" s="306"/>
      <c r="P100" s="306"/>
      <c r="Q100" s="306"/>
      <c r="R100" s="306"/>
    </row>
    <row r="101" spans="12:18" ht="15">
      <c r="L101" s="305"/>
      <c r="M101" s="310"/>
      <c r="N101" s="306"/>
      <c r="O101" s="306"/>
      <c r="P101" s="306"/>
      <c r="Q101" s="306"/>
      <c r="R101" s="306"/>
    </row>
    <row r="102" spans="12:18" ht="15">
      <c r="L102" s="305"/>
      <c r="M102" s="310"/>
      <c r="N102" s="306"/>
      <c r="O102" s="306"/>
      <c r="P102" s="306"/>
      <c r="Q102" s="306"/>
      <c r="R102" s="306"/>
    </row>
    <row r="103" spans="12:18" ht="15">
      <c r="L103" s="305"/>
      <c r="M103" s="310"/>
      <c r="N103" s="306"/>
      <c r="O103" s="306"/>
      <c r="P103" s="306"/>
      <c r="Q103" s="306"/>
      <c r="R103" s="306"/>
    </row>
    <row r="104" spans="12:18" ht="15">
      <c r="L104" s="305"/>
      <c r="M104" s="310"/>
      <c r="N104" s="306"/>
      <c r="O104" s="306"/>
      <c r="P104" s="306"/>
      <c r="Q104" s="306"/>
      <c r="R104" s="306"/>
    </row>
    <row r="105" spans="12:18" ht="15">
      <c r="L105" s="305"/>
      <c r="M105" s="310"/>
      <c r="N105" s="306"/>
      <c r="O105" s="306"/>
      <c r="P105" s="306"/>
      <c r="Q105" s="306"/>
      <c r="R105" s="306"/>
    </row>
    <row r="106" spans="12:18" ht="15">
      <c r="L106" s="305"/>
      <c r="M106" s="310"/>
      <c r="N106" s="306"/>
      <c r="O106" s="306"/>
      <c r="P106" s="306"/>
      <c r="Q106" s="306"/>
      <c r="R106" s="306"/>
    </row>
    <row r="107" spans="12:18" ht="15">
      <c r="L107" s="305"/>
      <c r="M107" s="310"/>
      <c r="N107" s="306"/>
      <c r="O107" s="306"/>
      <c r="P107" s="306"/>
      <c r="Q107" s="306"/>
      <c r="R107" s="306"/>
    </row>
    <row r="108" spans="12:18" ht="15">
      <c r="L108" s="305"/>
      <c r="M108" s="310"/>
      <c r="N108" s="306"/>
      <c r="O108" s="306"/>
      <c r="P108" s="306"/>
      <c r="Q108" s="306"/>
      <c r="R108" s="306"/>
    </row>
    <row r="109" spans="12:18" ht="15">
      <c r="L109" s="305"/>
      <c r="M109" s="310"/>
      <c r="N109" s="306"/>
      <c r="O109" s="306"/>
      <c r="P109" s="306"/>
      <c r="Q109" s="306"/>
      <c r="R109" s="306"/>
    </row>
    <row r="110" spans="12:18" ht="15">
      <c r="L110" s="305"/>
      <c r="M110" s="310"/>
      <c r="N110" s="306"/>
      <c r="O110" s="306"/>
      <c r="P110" s="306"/>
      <c r="Q110" s="306"/>
      <c r="R110" s="306"/>
    </row>
    <row r="111" spans="12:18" ht="15">
      <c r="L111" s="305"/>
      <c r="M111" s="310"/>
      <c r="N111" s="306"/>
      <c r="O111" s="306"/>
      <c r="P111" s="306"/>
      <c r="Q111" s="306"/>
      <c r="R111" s="306"/>
    </row>
    <row r="112" spans="12:18" ht="15">
      <c r="L112" s="305"/>
      <c r="M112" s="310"/>
      <c r="N112" s="306"/>
      <c r="O112" s="306"/>
      <c r="P112" s="306"/>
      <c r="Q112" s="306"/>
      <c r="R112" s="306"/>
    </row>
    <row r="113" spans="12:18" ht="15">
      <c r="L113" s="305"/>
      <c r="M113" s="310"/>
      <c r="N113" s="306"/>
      <c r="O113" s="306"/>
      <c r="P113" s="306"/>
      <c r="Q113" s="306"/>
      <c r="R113" s="306"/>
    </row>
    <row r="114" spans="12:18" ht="15">
      <c r="L114" s="305"/>
      <c r="M114" s="310"/>
      <c r="N114" s="306"/>
      <c r="O114" s="306"/>
      <c r="P114" s="306"/>
      <c r="Q114" s="306"/>
      <c r="R114" s="306"/>
    </row>
    <row r="115" spans="12:18" ht="15">
      <c r="L115" s="305"/>
      <c r="M115" s="310"/>
      <c r="N115" s="306"/>
      <c r="O115" s="306"/>
      <c r="P115" s="306"/>
      <c r="Q115" s="306"/>
      <c r="R115" s="306"/>
    </row>
    <row r="116" spans="12:18" ht="15">
      <c r="L116" s="305"/>
      <c r="M116" s="310"/>
      <c r="N116" s="306"/>
      <c r="O116" s="306"/>
      <c r="P116" s="306"/>
      <c r="Q116" s="306"/>
      <c r="R116" s="306"/>
    </row>
    <row r="117" spans="12:18" ht="15">
      <c r="L117" s="305"/>
      <c r="M117" s="310"/>
      <c r="N117" s="306"/>
      <c r="O117" s="306"/>
      <c r="P117" s="306"/>
      <c r="Q117" s="306"/>
      <c r="R117" s="306"/>
    </row>
    <row r="118" spans="12:18" ht="15">
      <c r="L118" s="306"/>
      <c r="M118" s="306"/>
      <c r="N118" s="306"/>
      <c r="O118" s="306"/>
      <c r="P118" s="306"/>
      <c r="Q118" s="306"/>
      <c r="R118" s="306"/>
    </row>
  </sheetData>
  <mergeCells count="50">
    <mergeCell ref="L20:Q20"/>
    <mergeCell ref="R20:R22"/>
    <mergeCell ref="B4:K4"/>
    <mergeCell ref="B5:F5"/>
    <mergeCell ref="G5:K5"/>
    <mergeCell ref="B8:F8"/>
    <mergeCell ref="G8:K8"/>
    <mergeCell ref="G9:K9"/>
    <mergeCell ref="B6:F6"/>
    <mergeCell ref="G6:K6"/>
    <mergeCell ref="B7:F7"/>
    <mergeCell ref="G7:K7"/>
    <mergeCell ref="B12:K12"/>
    <mergeCell ref="B13:F13"/>
    <mergeCell ref="G13:H13"/>
    <mergeCell ref="I13:K13"/>
    <mergeCell ref="B1:K1"/>
    <mergeCell ref="B2:D3"/>
    <mergeCell ref="E2:H2"/>
    <mergeCell ref="I2:J2"/>
    <mergeCell ref="E3:H3"/>
    <mergeCell ref="I3:J3"/>
    <mergeCell ref="B10:F10"/>
    <mergeCell ref="G10:K10"/>
    <mergeCell ref="B11:F11"/>
    <mergeCell ref="G11:K11"/>
    <mergeCell ref="B15:F15"/>
    <mergeCell ref="G15:H15"/>
    <mergeCell ref="I15:K15"/>
    <mergeCell ref="B14:F14"/>
    <mergeCell ref="G14:H14"/>
    <mergeCell ref="I14:K14"/>
    <mergeCell ref="B17:F17"/>
    <mergeCell ref="G17:H17"/>
    <mergeCell ref="I17:K17"/>
    <mergeCell ref="B16:F16"/>
    <mergeCell ref="G16:H16"/>
    <mergeCell ref="I16:K16"/>
    <mergeCell ref="B21:F22"/>
    <mergeCell ref="G21:G22"/>
    <mergeCell ref="H21:J21"/>
    <mergeCell ref="B18:K18"/>
    <mergeCell ref="B19:K19"/>
    <mergeCell ref="B20:K20"/>
    <mergeCell ref="H60:J60"/>
    <mergeCell ref="H61:J61"/>
    <mergeCell ref="H64:J64"/>
    <mergeCell ref="H65:J65"/>
    <mergeCell ref="B23:F23"/>
    <mergeCell ref="B57:J57"/>
  </mergeCells>
  <pageMargins left="0.23622047244094491" right="0.19685039370078741" top="0.55118110236220474" bottom="2.1259842519685042" header="0.31496062992125984" footer="0.23622047244094491"/>
  <pageSetup paperSize="5" scale="95" orientation="portrait" horizontalDpi="4294967293" verticalDpi="4294967293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B1:T157"/>
  <sheetViews>
    <sheetView view="pageBreakPreview" topLeftCell="H34" zoomScaleNormal="120" zoomScaleSheetLayoutView="100" workbookViewId="0">
      <selection activeCell="B79" sqref="B79:K94"/>
    </sheetView>
  </sheetViews>
  <sheetFormatPr defaultColWidth="8.85546875" defaultRowHeight="12.75"/>
  <cols>
    <col min="1" max="1" width="1.140625" style="9" customWidth="1"/>
    <col min="2" max="2" width="3.28515625" style="9" customWidth="1"/>
    <col min="3" max="4" width="3.140625" style="9" customWidth="1"/>
    <col min="5" max="5" width="3.28515625" style="9" customWidth="1"/>
    <col min="6" max="6" width="3.5703125" style="9" customWidth="1"/>
    <col min="7" max="7" width="47.28515625" style="9" customWidth="1"/>
    <col min="8" max="8" width="8" style="9" customWidth="1"/>
    <col min="9" max="9" width="8" style="9" bestFit="1" customWidth="1"/>
    <col min="10" max="10" width="13.42578125" style="9" bestFit="1" customWidth="1"/>
    <col min="11" max="11" width="17.42578125" style="9" customWidth="1"/>
    <col min="12" max="12" width="14.28515625" style="9" bestFit="1" customWidth="1"/>
    <col min="13" max="13" width="15.5703125" style="9" bestFit="1" customWidth="1"/>
    <col min="14" max="17" width="6.42578125" style="9" bestFit="1" customWidth="1"/>
    <col min="18" max="18" width="18.28515625" style="9" bestFit="1" customWidth="1"/>
    <col min="19" max="20" width="15.28515625" style="9" bestFit="1" customWidth="1"/>
    <col min="21" max="246" width="8.85546875" style="9"/>
    <col min="247" max="247" width="1.140625" style="9" customWidth="1"/>
    <col min="248" max="248" width="3.28515625" style="9" customWidth="1"/>
    <col min="249" max="249" width="2.42578125" style="9" customWidth="1"/>
    <col min="250" max="250" width="2.5703125" style="9" customWidth="1"/>
    <col min="251" max="251" width="2.85546875" style="9" customWidth="1"/>
    <col min="252" max="252" width="3" style="9" customWidth="1"/>
    <col min="253" max="253" width="24.7109375" style="9" customWidth="1"/>
    <col min="254" max="254" width="7.85546875" style="9" customWidth="1"/>
    <col min="255" max="255" width="7.42578125" style="9" customWidth="1"/>
    <col min="256" max="256" width="11.140625" style="9" customWidth="1"/>
    <col min="257" max="257" width="14.42578125" style="9" customWidth="1"/>
    <col min="258" max="258" width="3.42578125" style="9" customWidth="1"/>
    <col min="259" max="259" width="3" style="9" customWidth="1"/>
    <col min="260" max="260" width="3.28515625" style="9" customWidth="1"/>
    <col min="261" max="261" width="3.140625" style="9" customWidth="1"/>
    <col min="262" max="262" width="3.42578125" style="9" customWidth="1"/>
    <col min="263" max="263" width="24.7109375" style="9" customWidth="1"/>
    <col min="264" max="264" width="7.85546875" style="9" customWidth="1"/>
    <col min="265" max="265" width="7.28515625" style="9" customWidth="1"/>
    <col min="266" max="266" width="11.7109375" style="9" bestFit="1" customWidth="1"/>
    <col min="267" max="267" width="14.42578125" style="9" customWidth="1"/>
    <col min="268" max="268" width="8.85546875" style="9"/>
    <col min="269" max="269" width="14.28515625" style="9" bestFit="1" customWidth="1"/>
    <col min="270" max="270" width="10" style="9" customWidth="1"/>
    <col min="271" max="502" width="8.85546875" style="9"/>
    <col min="503" max="503" width="1.140625" style="9" customWidth="1"/>
    <col min="504" max="504" width="3.28515625" style="9" customWidth="1"/>
    <col min="505" max="505" width="2.42578125" style="9" customWidth="1"/>
    <col min="506" max="506" width="2.5703125" style="9" customWidth="1"/>
    <col min="507" max="507" width="2.85546875" style="9" customWidth="1"/>
    <col min="508" max="508" width="3" style="9" customWidth="1"/>
    <col min="509" max="509" width="24.7109375" style="9" customWidth="1"/>
    <col min="510" max="510" width="7.85546875" style="9" customWidth="1"/>
    <col min="511" max="511" width="7.42578125" style="9" customWidth="1"/>
    <col min="512" max="512" width="11.140625" style="9" customWidth="1"/>
    <col min="513" max="513" width="14.42578125" style="9" customWidth="1"/>
    <col min="514" max="514" width="3.42578125" style="9" customWidth="1"/>
    <col min="515" max="515" width="3" style="9" customWidth="1"/>
    <col min="516" max="516" width="3.28515625" style="9" customWidth="1"/>
    <col min="517" max="517" width="3.140625" style="9" customWidth="1"/>
    <col min="518" max="518" width="3.42578125" style="9" customWidth="1"/>
    <col min="519" max="519" width="24.7109375" style="9" customWidth="1"/>
    <col min="520" max="520" width="7.85546875" style="9" customWidth="1"/>
    <col min="521" max="521" width="7.28515625" style="9" customWidth="1"/>
    <col min="522" max="522" width="11.7109375" style="9" bestFit="1" customWidth="1"/>
    <col min="523" max="523" width="14.42578125" style="9" customWidth="1"/>
    <col min="524" max="524" width="8.85546875" style="9"/>
    <col min="525" max="525" width="14.28515625" style="9" bestFit="1" customWidth="1"/>
    <col min="526" max="526" width="10" style="9" customWidth="1"/>
    <col min="527" max="758" width="8.85546875" style="9"/>
    <col min="759" max="759" width="1.140625" style="9" customWidth="1"/>
    <col min="760" max="760" width="3.28515625" style="9" customWidth="1"/>
    <col min="761" max="761" width="2.42578125" style="9" customWidth="1"/>
    <col min="762" max="762" width="2.5703125" style="9" customWidth="1"/>
    <col min="763" max="763" width="2.85546875" style="9" customWidth="1"/>
    <col min="764" max="764" width="3" style="9" customWidth="1"/>
    <col min="765" max="765" width="24.7109375" style="9" customWidth="1"/>
    <col min="766" max="766" width="7.85546875" style="9" customWidth="1"/>
    <col min="767" max="767" width="7.42578125" style="9" customWidth="1"/>
    <col min="768" max="768" width="11.140625" style="9" customWidth="1"/>
    <col min="769" max="769" width="14.42578125" style="9" customWidth="1"/>
    <col min="770" max="770" width="3.42578125" style="9" customWidth="1"/>
    <col min="771" max="771" width="3" style="9" customWidth="1"/>
    <col min="772" max="772" width="3.28515625" style="9" customWidth="1"/>
    <col min="773" max="773" width="3.140625" style="9" customWidth="1"/>
    <col min="774" max="774" width="3.42578125" style="9" customWidth="1"/>
    <col min="775" max="775" width="24.7109375" style="9" customWidth="1"/>
    <col min="776" max="776" width="7.85546875" style="9" customWidth="1"/>
    <col min="777" max="777" width="7.28515625" style="9" customWidth="1"/>
    <col min="778" max="778" width="11.7109375" style="9" bestFit="1" customWidth="1"/>
    <col min="779" max="779" width="14.42578125" style="9" customWidth="1"/>
    <col min="780" max="780" width="8.85546875" style="9"/>
    <col min="781" max="781" width="14.28515625" style="9" bestFit="1" customWidth="1"/>
    <col min="782" max="782" width="10" style="9" customWidth="1"/>
    <col min="783" max="1014" width="8.85546875" style="9"/>
    <col min="1015" max="1015" width="1.140625" style="9" customWidth="1"/>
    <col min="1016" max="1016" width="3.28515625" style="9" customWidth="1"/>
    <col min="1017" max="1017" width="2.42578125" style="9" customWidth="1"/>
    <col min="1018" max="1018" width="2.5703125" style="9" customWidth="1"/>
    <col min="1019" max="1019" width="2.85546875" style="9" customWidth="1"/>
    <col min="1020" max="1020" width="3" style="9" customWidth="1"/>
    <col min="1021" max="1021" width="24.7109375" style="9" customWidth="1"/>
    <col min="1022" max="1022" width="7.85546875" style="9" customWidth="1"/>
    <col min="1023" max="1023" width="7.42578125" style="9" customWidth="1"/>
    <col min="1024" max="1024" width="11.140625" style="9" customWidth="1"/>
    <col min="1025" max="1025" width="14.42578125" style="9" customWidth="1"/>
    <col min="1026" max="1026" width="3.42578125" style="9" customWidth="1"/>
    <col min="1027" max="1027" width="3" style="9" customWidth="1"/>
    <col min="1028" max="1028" width="3.28515625" style="9" customWidth="1"/>
    <col min="1029" max="1029" width="3.140625" style="9" customWidth="1"/>
    <col min="1030" max="1030" width="3.42578125" style="9" customWidth="1"/>
    <col min="1031" max="1031" width="24.7109375" style="9" customWidth="1"/>
    <col min="1032" max="1032" width="7.85546875" style="9" customWidth="1"/>
    <col min="1033" max="1033" width="7.28515625" style="9" customWidth="1"/>
    <col min="1034" max="1034" width="11.7109375" style="9" bestFit="1" customWidth="1"/>
    <col min="1035" max="1035" width="14.42578125" style="9" customWidth="1"/>
    <col min="1036" max="1036" width="8.85546875" style="9"/>
    <col min="1037" max="1037" width="14.28515625" style="9" bestFit="1" customWidth="1"/>
    <col min="1038" max="1038" width="10" style="9" customWidth="1"/>
    <col min="1039" max="1270" width="8.85546875" style="9"/>
    <col min="1271" max="1271" width="1.140625" style="9" customWidth="1"/>
    <col min="1272" max="1272" width="3.28515625" style="9" customWidth="1"/>
    <col min="1273" max="1273" width="2.42578125" style="9" customWidth="1"/>
    <col min="1274" max="1274" width="2.5703125" style="9" customWidth="1"/>
    <col min="1275" max="1275" width="2.85546875" style="9" customWidth="1"/>
    <col min="1276" max="1276" width="3" style="9" customWidth="1"/>
    <col min="1277" max="1277" width="24.7109375" style="9" customWidth="1"/>
    <col min="1278" max="1278" width="7.85546875" style="9" customWidth="1"/>
    <col min="1279" max="1279" width="7.42578125" style="9" customWidth="1"/>
    <col min="1280" max="1280" width="11.140625" style="9" customWidth="1"/>
    <col min="1281" max="1281" width="14.42578125" style="9" customWidth="1"/>
    <col min="1282" max="1282" width="3.42578125" style="9" customWidth="1"/>
    <col min="1283" max="1283" width="3" style="9" customWidth="1"/>
    <col min="1284" max="1284" width="3.28515625" style="9" customWidth="1"/>
    <col min="1285" max="1285" width="3.140625" style="9" customWidth="1"/>
    <col min="1286" max="1286" width="3.42578125" style="9" customWidth="1"/>
    <col min="1287" max="1287" width="24.7109375" style="9" customWidth="1"/>
    <col min="1288" max="1288" width="7.85546875" style="9" customWidth="1"/>
    <col min="1289" max="1289" width="7.28515625" style="9" customWidth="1"/>
    <col min="1290" max="1290" width="11.7109375" style="9" bestFit="1" customWidth="1"/>
    <col min="1291" max="1291" width="14.42578125" style="9" customWidth="1"/>
    <col min="1292" max="1292" width="8.85546875" style="9"/>
    <col min="1293" max="1293" width="14.28515625" style="9" bestFit="1" customWidth="1"/>
    <col min="1294" max="1294" width="10" style="9" customWidth="1"/>
    <col min="1295" max="1526" width="8.85546875" style="9"/>
    <col min="1527" max="1527" width="1.140625" style="9" customWidth="1"/>
    <col min="1528" max="1528" width="3.28515625" style="9" customWidth="1"/>
    <col min="1529" max="1529" width="2.42578125" style="9" customWidth="1"/>
    <col min="1530" max="1530" width="2.5703125" style="9" customWidth="1"/>
    <col min="1531" max="1531" width="2.85546875" style="9" customWidth="1"/>
    <col min="1532" max="1532" width="3" style="9" customWidth="1"/>
    <col min="1533" max="1533" width="24.7109375" style="9" customWidth="1"/>
    <col min="1534" max="1534" width="7.85546875" style="9" customWidth="1"/>
    <col min="1535" max="1535" width="7.42578125" style="9" customWidth="1"/>
    <col min="1536" max="1536" width="11.140625" style="9" customWidth="1"/>
    <col min="1537" max="1537" width="14.42578125" style="9" customWidth="1"/>
    <col min="1538" max="1538" width="3.42578125" style="9" customWidth="1"/>
    <col min="1539" max="1539" width="3" style="9" customWidth="1"/>
    <col min="1540" max="1540" width="3.28515625" style="9" customWidth="1"/>
    <col min="1541" max="1541" width="3.140625" style="9" customWidth="1"/>
    <col min="1542" max="1542" width="3.42578125" style="9" customWidth="1"/>
    <col min="1543" max="1543" width="24.7109375" style="9" customWidth="1"/>
    <col min="1544" max="1544" width="7.85546875" style="9" customWidth="1"/>
    <col min="1545" max="1545" width="7.28515625" style="9" customWidth="1"/>
    <col min="1546" max="1546" width="11.7109375" style="9" bestFit="1" customWidth="1"/>
    <col min="1547" max="1547" width="14.42578125" style="9" customWidth="1"/>
    <col min="1548" max="1548" width="8.85546875" style="9"/>
    <col min="1549" max="1549" width="14.28515625" style="9" bestFit="1" customWidth="1"/>
    <col min="1550" max="1550" width="10" style="9" customWidth="1"/>
    <col min="1551" max="1782" width="8.85546875" style="9"/>
    <col min="1783" max="1783" width="1.140625" style="9" customWidth="1"/>
    <col min="1784" max="1784" width="3.28515625" style="9" customWidth="1"/>
    <col min="1785" max="1785" width="2.42578125" style="9" customWidth="1"/>
    <col min="1786" max="1786" width="2.5703125" style="9" customWidth="1"/>
    <col min="1787" max="1787" width="2.85546875" style="9" customWidth="1"/>
    <col min="1788" max="1788" width="3" style="9" customWidth="1"/>
    <col min="1789" max="1789" width="24.7109375" style="9" customWidth="1"/>
    <col min="1790" max="1790" width="7.85546875" style="9" customWidth="1"/>
    <col min="1791" max="1791" width="7.42578125" style="9" customWidth="1"/>
    <col min="1792" max="1792" width="11.140625" style="9" customWidth="1"/>
    <col min="1793" max="1793" width="14.42578125" style="9" customWidth="1"/>
    <col min="1794" max="1794" width="3.42578125" style="9" customWidth="1"/>
    <col min="1795" max="1795" width="3" style="9" customWidth="1"/>
    <col min="1796" max="1796" width="3.28515625" style="9" customWidth="1"/>
    <col min="1797" max="1797" width="3.140625" style="9" customWidth="1"/>
    <col min="1798" max="1798" width="3.42578125" style="9" customWidth="1"/>
    <col min="1799" max="1799" width="24.7109375" style="9" customWidth="1"/>
    <col min="1800" max="1800" width="7.85546875" style="9" customWidth="1"/>
    <col min="1801" max="1801" width="7.28515625" style="9" customWidth="1"/>
    <col min="1802" max="1802" width="11.7109375" style="9" bestFit="1" customWidth="1"/>
    <col min="1803" max="1803" width="14.42578125" style="9" customWidth="1"/>
    <col min="1804" max="1804" width="8.85546875" style="9"/>
    <col min="1805" max="1805" width="14.28515625" style="9" bestFit="1" customWidth="1"/>
    <col min="1806" max="1806" width="10" style="9" customWidth="1"/>
    <col min="1807" max="2038" width="8.85546875" style="9"/>
    <col min="2039" max="2039" width="1.140625" style="9" customWidth="1"/>
    <col min="2040" max="2040" width="3.28515625" style="9" customWidth="1"/>
    <col min="2041" max="2041" width="2.42578125" style="9" customWidth="1"/>
    <col min="2042" max="2042" width="2.5703125" style="9" customWidth="1"/>
    <col min="2043" max="2043" width="2.85546875" style="9" customWidth="1"/>
    <col min="2044" max="2044" width="3" style="9" customWidth="1"/>
    <col min="2045" max="2045" width="24.7109375" style="9" customWidth="1"/>
    <col min="2046" max="2046" width="7.85546875" style="9" customWidth="1"/>
    <col min="2047" max="2047" width="7.42578125" style="9" customWidth="1"/>
    <col min="2048" max="2048" width="11.140625" style="9" customWidth="1"/>
    <col min="2049" max="2049" width="14.42578125" style="9" customWidth="1"/>
    <col min="2050" max="2050" width="3.42578125" style="9" customWidth="1"/>
    <col min="2051" max="2051" width="3" style="9" customWidth="1"/>
    <col min="2052" max="2052" width="3.28515625" style="9" customWidth="1"/>
    <col min="2053" max="2053" width="3.140625" style="9" customWidth="1"/>
    <col min="2054" max="2054" width="3.42578125" style="9" customWidth="1"/>
    <col min="2055" max="2055" width="24.7109375" style="9" customWidth="1"/>
    <col min="2056" max="2056" width="7.85546875" style="9" customWidth="1"/>
    <col min="2057" max="2057" width="7.28515625" style="9" customWidth="1"/>
    <col min="2058" max="2058" width="11.7109375" style="9" bestFit="1" customWidth="1"/>
    <col min="2059" max="2059" width="14.42578125" style="9" customWidth="1"/>
    <col min="2060" max="2060" width="8.85546875" style="9"/>
    <col min="2061" max="2061" width="14.28515625" style="9" bestFit="1" customWidth="1"/>
    <col min="2062" max="2062" width="10" style="9" customWidth="1"/>
    <col min="2063" max="2294" width="8.85546875" style="9"/>
    <col min="2295" max="2295" width="1.140625" style="9" customWidth="1"/>
    <col min="2296" max="2296" width="3.28515625" style="9" customWidth="1"/>
    <col min="2297" max="2297" width="2.42578125" style="9" customWidth="1"/>
    <col min="2298" max="2298" width="2.5703125" style="9" customWidth="1"/>
    <col min="2299" max="2299" width="2.85546875" style="9" customWidth="1"/>
    <col min="2300" max="2300" width="3" style="9" customWidth="1"/>
    <col min="2301" max="2301" width="24.7109375" style="9" customWidth="1"/>
    <col min="2302" max="2302" width="7.85546875" style="9" customWidth="1"/>
    <col min="2303" max="2303" width="7.42578125" style="9" customWidth="1"/>
    <col min="2304" max="2304" width="11.140625" style="9" customWidth="1"/>
    <col min="2305" max="2305" width="14.42578125" style="9" customWidth="1"/>
    <col min="2306" max="2306" width="3.42578125" style="9" customWidth="1"/>
    <col min="2307" max="2307" width="3" style="9" customWidth="1"/>
    <col min="2308" max="2308" width="3.28515625" style="9" customWidth="1"/>
    <col min="2309" max="2309" width="3.140625" style="9" customWidth="1"/>
    <col min="2310" max="2310" width="3.42578125" style="9" customWidth="1"/>
    <col min="2311" max="2311" width="24.7109375" style="9" customWidth="1"/>
    <col min="2312" max="2312" width="7.85546875" style="9" customWidth="1"/>
    <col min="2313" max="2313" width="7.28515625" style="9" customWidth="1"/>
    <col min="2314" max="2314" width="11.7109375" style="9" bestFit="1" customWidth="1"/>
    <col min="2315" max="2315" width="14.42578125" style="9" customWidth="1"/>
    <col min="2316" max="2316" width="8.85546875" style="9"/>
    <col min="2317" max="2317" width="14.28515625" style="9" bestFit="1" customWidth="1"/>
    <col min="2318" max="2318" width="10" style="9" customWidth="1"/>
    <col min="2319" max="2550" width="8.85546875" style="9"/>
    <col min="2551" max="2551" width="1.140625" style="9" customWidth="1"/>
    <col min="2552" max="2552" width="3.28515625" style="9" customWidth="1"/>
    <col min="2553" max="2553" width="2.42578125" style="9" customWidth="1"/>
    <col min="2554" max="2554" width="2.5703125" style="9" customWidth="1"/>
    <col min="2555" max="2555" width="2.85546875" style="9" customWidth="1"/>
    <col min="2556" max="2556" width="3" style="9" customWidth="1"/>
    <col min="2557" max="2557" width="24.7109375" style="9" customWidth="1"/>
    <col min="2558" max="2558" width="7.85546875" style="9" customWidth="1"/>
    <col min="2559" max="2559" width="7.42578125" style="9" customWidth="1"/>
    <col min="2560" max="2560" width="11.140625" style="9" customWidth="1"/>
    <col min="2561" max="2561" width="14.42578125" style="9" customWidth="1"/>
    <col min="2562" max="2562" width="3.42578125" style="9" customWidth="1"/>
    <col min="2563" max="2563" width="3" style="9" customWidth="1"/>
    <col min="2564" max="2564" width="3.28515625" style="9" customWidth="1"/>
    <col min="2565" max="2565" width="3.140625" style="9" customWidth="1"/>
    <col min="2566" max="2566" width="3.42578125" style="9" customWidth="1"/>
    <col min="2567" max="2567" width="24.7109375" style="9" customWidth="1"/>
    <col min="2568" max="2568" width="7.85546875" style="9" customWidth="1"/>
    <col min="2569" max="2569" width="7.28515625" style="9" customWidth="1"/>
    <col min="2570" max="2570" width="11.7109375" style="9" bestFit="1" customWidth="1"/>
    <col min="2571" max="2571" width="14.42578125" style="9" customWidth="1"/>
    <col min="2572" max="2572" width="8.85546875" style="9"/>
    <col min="2573" max="2573" width="14.28515625" style="9" bestFit="1" customWidth="1"/>
    <col min="2574" max="2574" width="10" style="9" customWidth="1"/>
    <col min="2575" max="2806" width="8.85546875" style="9"/>
    <col min="2807" max="2807" width="1.140625" style="9" customWidth="1"/>
    <col min="2808" max="2808" width="3.28515625" style="9" customWidth="1"/>
    <col min="2809" max="2809" width="2.42578125" style="9" customWidth="1"/>
    <col min="2810" max="2810" width="2.5703125" style="9" customWidth="1"/>
    <col min="2811" max="2811" width="2.85546875" style="9" customWidth="1"/>
    <col min="2812" max="2812" width="3" style="9" customWidth="1"/>
    <col min="2813" max="2813" width="24.7109375" style="9" customWidth="1"/>
    <col min="2814" max="2814" width="7.85546875" style="9" customWidth="1"/>
    <col min="2815" max="2815" width="7.42578125" style="9" customWidth="1"/>
    <col min="2816" max="2816" width="11.140625" style="9" customWidth="1"/>
    <col min="2817" max="2817" width="14.42578125" style="9" customWidth="1"/>
    <col min="2818" max="2818" width="3.42578125" style="9" customWidth="1"/>
    <col min="2819" max="2819" width="3" style="9" customWidth="1"/>
    <col min="2820" max="2820" width="3.28515625" style="9" customWidth="1"/>
    <col min="2821" max="2821" width="3.140625" style="9" customWidth="1"/>
    <col min="2822" max="2822" width="3.42578125" style="9" customWidth="1"/>
    <col min="2823" max="2823" width="24.7109375" style="9" customWidth="1"/>
    <col min="2824" max="2824" width="7.85546875" style="9" customWidth="1"/>
    <col min="2825" max="2825" width="7.28515625" style="9" customWidth="1"/>
    <col min="2826" max="2826" width="11.7109375" style="9" bestFit="1" customWidth="1"/>
    <col min="2827" max="2827" width="14.42578125" style="9" customWidth="1"/>
    <col min="2828" max="2828" width="8.85546875" style="9"/>
    <col min="2829" max="2829" width="14.28515625" style="9" bestFit="1" customWidth="1"/>
    <col min="2830" max="2830" width="10" style="9" customWidth="1"/>
    <col min="2831" max="3062" width="8.85546875" style="9"/>
    <col min="3063" max="3063" width="1.140625" style="9" customWidth="1"/>
    <col min="3064" max="3064" width="3.28515625" style="9" customWidth="1"/>
    <col min="3065" max="3065" width="2.42578125" style="9" customWidth="1"/>
    <col min="3066" max="3066" width="2.5703125" style="9" customWidth="1"/>
    <col min="3067" max="3067" width="2.85546875" style="9" customWidth="1"/>
    <col min="3068" max="3068" width="3" style="9" customWidth="1"/>
    <col min="3069" max="3069" width="24.7109375" style="9" customWidth="1"/>
    <col min="3070" max="3070" width="7.85546875" style="9" customWidth="1"/>
    <col min="3071" max="3071" width="7.42578125" style="9" customWidth="1"/>
    <col min="3072" max="3072" width="11.140625" style="9" customWidth="1"/>
    <col min="3073" max="3073" width="14.42578125" style="9" customWidth="1"/>
    <col min="3074" max="3074" width="3.42578125" style="9" customWidth="1"/>
    <col min="3075" max="3075" width="3" style="9" customWidth="1"/>
    <col min="3076" max="3076" width="3.28515625" style="9" customWidth="1"/>
    <col min="3077" max="3077" width="3.140625" style="9" customWidth="1"/>
    <col min="3078" max="3078" width="3.42578125" style="9" customWidth="1"/>
    <col min="3079" max="3079" width="24.7109375" style="9" customWidth="1"/>
    <col min="3080" max="3080" width="7.85546875" style="9" customWidth="1"/>
    <col min="3081" max="3081" width="7.28515625" style="9" customWidth="1"/>
    <col min="3082" max="3082" width="11.7109375" style="9" bestFit="1" customWidth="1"/>
    <col min="3083" max="3083" width="14.42578125" style="9" customWidth="1"/>
    <col min="3084" max="3084" width="8.85546875" style="9"/>
    <col min="3085" max="3085" width="14.28515625" style="9" bestFit="1" customWidth="1"/>
    <col min="3086" max="3086" width="10" style="9" customWidth="1"/>
    <col min="3087" max="3318" width="8.85546875" style="9"/>
    <col min="3319" max="3319" width="1.140625" style="9" customWidth="1"/>
    <col min="3320" max="3320" width="3.28515625" style="9" customWidth="1"/>
    <col min="3321" max="3321" width="2.42578125" style="9" customWidth="1"/>
    <col min="3322" max="3322" width="2.5703125" style="9" customWidth="1"/>
    <col min="3323" max="3323" width="2.85546875" style="9" customWidth="1"/>
    <col min="3324" max="3324" width="3" style="9" customWidth="1"/>
    <col min="3325" max="3325" width="24.7109375" style="9" customWidth="1"/>
    <col min="3326" max="3326" width="7.85546875" style="9" customWidth="1"/>
    <col min="3327" max="3327" width="7.42578125" style="9" customWidth="1"/>
    <col min="3328" max="3328" width="11.140625" style="9" customWidth="1"/>
    <col min="3329" max="3329" width="14.42578125" style="9" customWidth="1"/>
    <col min="3330" max="3330" width="3.42578125" style="9" customWidth="1"/>
    <col min="3331" max="3331" width="3" style="9" customWidth="1"/>
    <col min="3332" max="3332" width="3.28515625" style="9" customWidth="1"/>
    <col min="3333" max="3333" width="3.140625" style="9" customWidth="1"/>
    <col min="3334" max="3334" width="3.42578125" style="9" customWidth="1"/>
    <col min="3335" max="3335" width="24.7109375" style="9" customWidth="1"/>
    <col min="3336" max="3336" width="7.85546875" style="9" customWidth="1"/>
    <col min="3337" max="3337" width="7.28515625" style="9" customWidth="1"/>
    <col min="3338" max="3338" width="11.7109375" style="9" bestFit="1" customWidth="1"/>
    <col min="3339" max="3339" width="14.42578125" style="9" customWidth="1"/>
    <col min="3340" max="3340" width="8.85546875" style="9"/>
    <col min="3341" max="3341" width="14.28515625" style="9" bestFit="1" customWidth="1"/>
    <col min="3342" max="3342" width="10" style="9" customWidth="1"/>
    <col min="3343" max="3574" width="8.85546875" style="9"/>
    <col min="3575" max="3575" width="1.140625" style="9" customWidth="1"/>
    <col min="3576" max="3576" width="3.28515625" style="9" customWidth="1"/>
    <col min="3577" max="3577" width="2.42578125" style="9" customWidth="1"/>
    <col min="3578" max="3578" width="2.5703125" style="9" customWidth="1"/>
    <col min="3579" max="3579" width="2.85546875" style="9" customWidth="1"/>
    <col min="3580" max="3580" width="3" style="9" customWidth="1"/>
    <col min="3581" max="3581" width="24.7109375" style="9" customWidth="1"/>
    <col min="3582" max="3582" width="7.85546875" style="9" customWidth="1"/>
    <col min="3583" max="3583" width="7.42578125" style="9" customWidth="1"/>
    <col min="3584" max="3584" width="11.140625" style="9" customWidth="1"/>
    <col min="3585" max="3585" width="14.42578125" style="9" customWidth="1"/>
    <col min="3586" max="3586" width="3.42578125" style="9" customWidth="1"/>
    <col min="3587" max="3587" width="3" style="9" customWidth="1"/>
    <col min="3588" max="3588" width="3.28515625" style="9" customWidth="1"/>
    <col min="3589" max="3589" width="3.140625" style="9" customWidth="1"/>
    <col min="3590" max="3590" width="3.42578125" style="9" customWidth="1"/>
    <col min="3591" max="3591" width="24.7109375" style="9" customWidth="1"/>
    <col min="3592" max="3592" width="7.85546875" style="9" customWidth="1"/>
    <col min="3593" max="3593" width="7.28515625" style="9" customWidth="1"/>
    <col min="3594" max="3594" width="11.7109375" style="9" bestFit="1" customWidth="1"/>
    <col min="3595" max="3595" width="14.42578125" style="9" customWidth="1"/>
    <col min="3596" max="3596" width="8.85546875" style="9"/>
    <col min="3597" max="3597" width="14.28515625" style="9" bestFit="1" customWidth="1"/>
    <col min="3598" max="3598" width="10" style="9" customWidth="1"/>
    <col min="3599" max="3830" width="8.85546875" style="9"/>
    <col min="3831" max="3831" width="1.140625" style="9" customWidth="1"/>
    <col min="3832" max="3832" width="3.28515625" style="9" customWidth="1"/>
    <col min="3833" max="3833" width="2.42578125" style="9" customWidth="1"/>
    <col min="3834" max="3834" width="2.5703125" style="9" customWidth="1"/>
    <col min="3835" max="3835" width="2.85546875" style="9" customWidth="1"/>
    <col min="3836" max="3836" width="3" style="9" customWidth="1"/>
    <col min="3837" max="3837" width="24.7109375" style="9" customWidth="1"/>
    <col min="3838" max="3838" width="7.85546875" style="9" customWidth="1"/>
    <col min="3839" max="3839" width="7.42578125" style="9" customWidth="1"/>
    <col min="3840" max="3840" width="11.140625" style="9" customWidth="1"/>
    <col min="3841" max="3841" width="14.42578125" style="9" customWidth="1"/>
    <col min="3842" max="3842" width="3.42578125" style="9" customWidth="1"/>
    <col min="3843" max="3843" width="3" style="9" customWidth="1"/>
    <col min="3844" max="3844" width="3.28515625" style="9" customWidth="1"/>
    <col min="3845" max="3845" width="3.140625" style="9" customWidth="1"/>
    <col min="3846" max="3846" width="3.42578125" style="9" customWidth="1"/>
    <col min="3847" max="3847" width="24.7109375" style="9" customWidth="1"/>
    <col min="3848" max="3848" width="7.85546875" style="9" customWidth="1"/>
    <col min="3849" max="3849" width="7.28515625" style="9" customWidth="1"/>
    <col min="3850" max="3850" width="11.7109375" style="9" bestFit="1" customWidth="1"/>
    <col min="3851" max="3851" width="14.42578125" style="9" customWidth="1"/>
    <col min="3852" max="3852" width="8.85546875" style="9"/>
    <col min="3853" max="3853" width="14.28515625" style="9" bestFit="1" customWidth="1"/>
    <col min="3854" max="3854" width="10" style="9" customWidth="1"/>
    <col min="3855" max="4086" width="8.85546875" style="9"/>
    <col min="4087" max="4087" width="1.140625" style="9" customWidth="1"/>
    <col min="4088" max="4088" width="3.28515625" style="9" customWidth="1"/>
    <col min="4089" max="4089" width="2.42578125" style="9" customWidth="1"/>
    <col min="4090" max="4090" width="2.5703125" style="9" customWidth="1"/>
    <col min="4091" max="4091" width="2.85546875" style="9" customWidth="1"/>
    <col min="4092" max="4092" width="3" style="9" customWidth="1"/>
    <col min="4093" max="4093" width="24.7109375" style="9" customWidth="1"/>
    <col min="4094" max="4094" width="7.85546875" style="9" customWidth="1"/>
    <col min="4095" max="4095" width="7.42578125" style="9" customWidth="1"/>
    <col min="4096" max="4096" width="11.140625" style="9" customWidth="1"/>
    <col min="4097" max="4097" width="14.42578125" style="9" customWidth="1"/>
    <col min="4098" max="4098" width="3.42578125" style="9" customWidth="1"/>
    <col min="4099" max="4099" width="3" style="9" customWidth="1"/>
    <col min="4100" max="4100" width="3.28515625" style="9" customWidth="1"/>
    <col min="4101" max="4101" width="3.140625" style="9" customWidth="1"/>
    <col min="4102" max="4102" width="3.42578125" style="9" customWidth="1"/>
    <col min="4103" max="4103" width="24.7109375" style="9" customWidth="1"/>
    <col min="4104" max="4104" width="7.85546875" style="9" customWidth="1"/>
    <col min="4105" max="4105" width="7.28515625" style="9" customWidth="1"/>
    <col min="4106" max="4106" width="11.7109375" style="9" bestFit="1" customWidth="1"/>
    <col min="4107" max="4107" width="14.42578125" style="9" customWidth="1"/>
    <col min="4108" max="4108" width="8.85546875" style="9"/>
    <col min="4109" max="4109" width="14.28515625" style="9" bestFit="1" customWidth="1"/>
    <col min="4110" max="4110" width="10" style="9" customWidth="1"/>
    <col min="4111" max="4342" width="8.85546875" style="9"/>
    <col min="4343" max="4343" width="1.140625" style="9" customWidth="1"/>
    <col min="4344" max="4344" width="3.28515625" style="9" customWidth="1"/>
    <col min="4345" max="4345" width="2.42578125" style="9" customWidth="1"/>
    <col min="4346" max="4346" width="2.5703125" style="9" customWidth="1"/>
    <col min="4347" max="4347" width="2.85546875" style="9" customWidth="1"/>
    <col min="4348" max="4348" width="3" style="9" customWidth="1"/>
    <col min="4349" max="4349" width="24.7109375" style="9" customWidth="1"/>
    <col min="4350" max="4350" width="7.85546875" style="9" customWidth="1"/>
    <col min="4351" max="4351" width="7.42578125" style="9" customWidth="1"/>
    <col min="4352" max="4352" width="11.140625" style="9" customWidth="1"/>
    <col min="4353" max="4353" width="14.42578125" style="9" customWidth="1"/>
    <col min="4354" max="4354" width="3.42578125" style="9" customWidth="1"/>
    <col min="4355" max="4355" width="3" style="9" customWidth="1"/>
    <col min="4356" max="4356" width="3.28515625" style="9" customWidth="1"/>
    <col min="4357" max="4357" width="3.140625" style="9" customWidth="1"/>
    <col min="4358" max="4358" width="3.42578125" style="9" customWidth="1"/>
    <col min="4359" max="4359" width="24.7109375" style="9" customWidth="1"/>
    <col min="4360" max="4360" width="7.85546875" style="9" customWidth="1"/>
    <col min="4361" max="4361" width="7.28515625" style="9" customWidth="1"/>
    <col min="4362" max="4362" width="11.7109375" style="9" bestFit="1" customWidth="1"/>
    <col min="4363" max="4363" width="14.42578125" style="9" customWidth="1"/>
    <col min="4364" max="4364" width="8.85546875" style="9"/>
    <col min="4365" max="4365" width="14.28515625" style="9" bestFit="1" customWidth="1"/>
    <col min="4366" max="4366" width="10" style="9" customWidth="1"/>
    <col min="4367" max="4598" width="8.85546875" style="9"/>
    <col min="4599" max="4599" width="1.140625" style="9" customWidth="1"/>
    <col min="4600" max="4600" width="3.28515625" style="9" customWidth="1"/>
    <col min="4601" max="4601" width="2.42578125" style="9" customWidth="1"/>
    <col min="4602" max="4602" width="2.5703125" style="9" customWidth="1"/>
    <col min="4603" max="4603" width="2.85546875" style="9" customWidth="1"/>
    <col min="4604" max="4604" width="3" style="9" customWidth="1"/>
    <col min="4605" max="4605" width="24.7109375" style="9" customWidth="1"/>
    <col min="4606" max="4606" width="7.85546875" style="9" customWidth="1"/>
    <col min="4607" max="4607" width="7.42578125" style="9" customWidth="1"/>
    <col min="4608" max="4608" width="11.140625" style="9" customWidth="1"/>
    <col min="4609" max="4609" width="14.42578125" style="9" customWidth="1"/>
    <col min="4610" max="4610" width="3.42578125" style="9" customWidth="1"/>
    <col min="4611" max="4611" width="3" style="9" customWidth="1"/>
    <col min="4612" max="4612" width="3.28515625" style="9" customWidth="1"/>
    <col min="4613" max="4613" width="3.140625" style="9" customWidth="1"/>
    <col min="4614" max="4614" width="3.42578125" style="9" customWidth="1"/>
    <col min="4615" max="4615" width="24.7109375" style="9" customWidth="1"/>
    <col min="4616" max="4616" width="7.85546875" style="9" customWidth="1"/>
    <col min="4617" max="4617" width="7.28515625" style="9" customWidth="1"/>
    <col min="4618" max="4618" width="11.7109375" style="9" bestFit="1" customWidth="1"/>
    <col min="4619" max="4619" width="14.42578125" style="9" customWidth="1"/>
    <col min="4620" max="4620" width="8.85546875" style="9"/>
    <col min="4621" max="4621" width="14.28515625" style="9" bestFit="1" customWidth="1"/>
    <col min="4622" max="4622" width="10" style="9" customWidth="1"/>
    <col min="4623" max="4854" width="8.85546875" style="9"/>
    <col min="4855" max="4855" width="1.140625" style="9" customWidth="1"/>
    <col min="4856" max="4856" width="3.28515625" style="9" customWidth="1"/>
    <col min="4857" max="4857" width="2.42578125" style="9" customWidth="1"/>
    <col min="4858" max="4858" width="2.5703125" style="9" customWidth="1"/>
    <col min="4859" max="4859" width="2.85546875" style="9" customWidth="1"/>
    <col min="4860" max="4860" width="3" style="9" customWidth="1"/>
    <col min="4861" max="4861" width="24.7109375" style="9" customWidth="1"/>
    <col min="4862" max="4862" width="7.85546875" style="9" customWidth="1"/>
    <col min="4863" max="4863" width="7.42578125" style="9" customWidth="1"/>
    <col min="4864" max="4864" width="11.140625" style="9" customWidth="1"/>
    <col min="4865" max="4865" width="14.42578125" style="9" customWidth="1"/>
    <col min="4866" max="4866" width="3.42578125" style="9" customWidth="1"/>
    <col min="4867" max="4867" width="3" style="9" customWidth="1"/>
    <col min="4868" max="4868" width="3.28515625" style="9" customWidth="1"/>
    <col min="4869" max="4869" width="3.140625" style="9" customWidth="1"/>
    <col min="4870" max="4870" width="3.42578125" style="9" customWidth="1"/>
    <col min="4871" max="4871" width="24.7109375" style="9" customWidth="1"/>
    <col min="4872" max="4872" width="7.85546875" style="9" customWidth="1"/>
    <col min="4873" max="4873" width="7.28515625" style="9" customWidth="1"/>
    <col min="4874" max="4874" width="11.7109375" style="9" bestFit="1" customWidth="1"/>
    <col min="4875" max="4875" width="14.42578125" style="9" customWidth="1"/>
    <col min="4876" max="4876" width="8.85546875" style="9"/>
    <col min="4877" max="4877" width="14.28515625" style="9" bestFit="1" customWidth="1"/>
    <col min="4878" max="4878" width="10" style="9" customWidth="1"/>
    <col min="4879" max="5110" width="8.85546875" style="9"/>
    <col min="5111" max="5111" width="1.140625" style="9" customWidth="1"/>
    <col min="5112" max="5112" width="3.28515625" style="9" customWidth="1"/>
    <col min="5113" max="5113" width="2.42578125" style="9" customWidth="1"/>
    <col min="5114" max="5114" width="2.5703125" style="9" customWidth="1"/>
    <col min="5115" max="5115" width="2.85546875" style="9" customWidth="1"/>
    <col min="5116" max="5116" width="3" style="9" customWidth="1"/>
    <col min="5117" max="5117" width="24.7109375" style="9" customWidth="1"/>
    <col min="5118" max="5118" width="7.85546875" style="9" customWidth="1"/>
    <col min="5119" max="5119" width="7.42578125" style="9" customWidth="1"/>
    <col min="5120" max="5120" width="11.140625" style="9" customWidth="1"/>
    <col min="5121" max="5121" width="14.42578125" style="9" customWidth="1"/>
    <col min="5122" max="5122" width="3.42578125" style="9" customWidth="1"/>
    <col min="5123" max="5123" width="3" style="9" customWidth="1"/>
    <col min="5124" max="5124" width="3.28515625" style="9" customWidth="1"/>
    <col min="5125" max="5125" width="3.140625" style="9" customWidth="1"/>
    <col min="5126" max="5126" width="3.42578125" style="9" customWidth="1"/>
    <col min="5127" max="5127" width="24.7109375" style="9" customWidth="1"/>
    <col min="5128" max="5128" width="7.85546875" style="9" customWidth="1"/>
    <col min="5129" max="5129" width="7.28515625" style="9" customWidth="1"/>
    <col min="5130" max="5130" width="11.7109375" style="9" bestFit="1" customWidth="1"/>
    <col min="5131" max="5131" width="14.42578125" style="9" customWidth="1"/>
    <col min="5132" max="5132" width="8.85546875" style="9"/>
    <col min="5133" max="5133" width="14.28515625" style="9" bestFit="1" customWidth="1"/>
    <col min="5134" max="5134" width="10" style="9" customWidth="1"/>
    <col min="5135" max="5366" width="8.85546875" style="9"/>
    <col min="5367" max="5367" width="1.140625" style="9" customWidth="1"/>
    <col min="5368" max="5368" width="3.28515625" style="9" customWidth="1"/>
    <col min="5369" max="5369" width="2.42578125" style="9" customWidth="1"/>
    <col min="5370" max="5370" width="2.5703125" style="9" customWidth="1"/>
    <col min="5371" max="5371" width="2.85546875" style="9" customWidth="1"/>
    <col min="5372" max="5372" width="3" style="9" customWidth="1"/>
    <col min="5373" max="5373" width="24.7109375" style="9" customWidth="1"/>
    <col min="5374" max="5374" width="7.85546875" style="9" customWidth="1"/>
    <col min="5375" max="5375" width="7.42578125" style="9" customWidth="1"/>
    <col min="5376" max="5376" width="11.140625" style="9" customWidth="1"/>
    <col min="5377" max="5377" width="14.42578125" style="9" customWidth="1"/>
    <col min="5378" max="5378" width="3.42578125" style="9" customWidth="1"/>
    <col min="5379" max="5379" width="3" style="9" customWidth="1"/>
    <col min="5380" max="5380" width="3.28515625" style="9" customWidth="1"/>
    <col min="5381" max="5381" width="3.140625" style="9" customWidth="1"/>
    <col min="5382" max="5382" width="3.42578125" style="9" customWidth="1"/>
    <col min="5383" max="5383" width="24.7109375" style="9" customWidth="1"/>
    <col min="5384" max="5384" width="7.85546875" style="9" customWidth="1"/>
    <col min="5385" max="5385" width="7.28515625" style="9" customWidth="1"/>
    <col min="5386" max="5386" width="11.7109375" style="9" bestFit="1" customWidth="1"/>
    <col min="5387" max="5387" width="14.42578125" style="9" customWidth="1"/>
    <col min="5388" max="5388" width="8.85546875" style="9"/>
    <col min="5389" max="5389" width="14.28515625" style="9" bestFit="1" customWidth="1"/>
    <col min="5390" max="5390" width="10" style="9" customWidth="1"/>
    <col min="5391" max="5622" width="8.85546875" style="9"/>
    <col min="5623" max="5623" width="1.140625" style="9" customWidth="1"/>
    <col min="5624" max="5624" width="3.28515625" style="9" customWidth="1"/>
    <col min="5625" max="5625" width="2.42578125" style="9" customWidth="1"/>
    <col min="5626" max="5626" width="2.5703125" style="9" customWidth="1"/>
    <col min="5627" max="5627" width="2.85546875" style="9" customWidth="1"/>
    <col min="5628" max="5628" width="3" style="9" customWidth="1"/>
    <col min="5629" max="5629" width="24.7109375" style="9" customWidth="1"/>
    <col min="5630" max="5630" width="7.85546875" style="9" customWidth="1"/>
    <col min="5631" max="5631" width="7.42578125" style="9" customWidth="1"/>
    <col min="5632" max="5632" width="11.140625" style="9" customWidth="1"/>
    <col min="5633" max="5633" width="14.42578125" style="9" customWidth="1"/>
    <col min="5634" max="5634" width="3.42578125" style="9" customWidth="1"/>
    <col min="5635" max="5635" width="3" style="9" customWidth="1"/>
    <col min="5636" max="5636" width="3.28515625" style="9" customWidth="1"/>
    <col min="5637" max="5637" width="3.140625" style="9" customWidth="1"/>
    <col min="5638" max="5638" width="3.42578125" style="9" customWidth="1"/>
    <col min="5639" max="5639" width="24.7109375" style="9" customWidth="1"/>
    <col min="5640" max="5640" width="7.85546875" style="9" customWidth="1"/>
    <col min="5641" max="5641" width="7.28515625" style="9" customWidth="1"/>
    <col min="5642" max="5642" width="11.7109375" style="9" bestFit="1" customWidth="1"/>
    <col min="5643" max="5643" width="14.42578125" style="9" customWidth="1"/>
    <col min="5644" max="5644" width="8.85546875" style="9"/>
    <col min="5645" max="5645" width="14.28515625" style="9" bestFit="1" customWidth="1"/>
    <col min="5646" max="5646" width="10" style="9" customWidth="1"/>
    <col min="5647" max="5878" width="8.85546875" style="9"/>
    <col min="5879" max="5879" width="1.140625" style="9" customWidth="1"/>
    <col min="5880" max="5880" width="3.28515625" style="9" customWidth="1"/>
    <col min="5881" max="5881" width="2.42578125" style="9" customWidth="1"/>
    <col min="5882" max="5882" width="2.5703125" style="9" customWidth="1"/>
    <col min="5883" max="5883" width="2.85546875" style="9" customWidth="1"/>
    <col min="5884" max="5884" width="3" style="9" customWidth="1"/>
    <col min="5885" max="5885" width="24.7109375" style="9" customWidth="1"/>
    <col min="5886" max="5886" width="7.85546875" style="9" customWidth="1"/>
    <col min="5887" max="5887" width="7.42578125" style="9" customWidth="1"/>
    <col min="5888" max="5888" width="11.140625" style="9" customWidth="1"/>
    <col min="5889" max="5889" width="14.42578125" style="9" customWidth="1"/>
    <col min="5890" max="5890" width="3.42578125" style="9" customWidth="1"/>
    <col min="5891" max="5891" width="3" style="9" customWidth="1"/>
    <col min="5892" max="5892" width="3.28515625" style="9" customWidth="1"/>
    <col min="5893" max="5893" width="3.140625" style="9" customWidth="1"/>
    <col min="5894" max="5894" width="3.42578125" style="9" customWidth="1"/>
    <col min="5895" max="5895" width="24.7109375" style="9" customWidth="1"/>
    <col min="5896" max="5896" width="7.85546875" style="9" customWidth="1"/>
    <col min="5897" max="5897" width="7.28515625" style="9" customWidth="1"/>
    <col min="5898" max="5898" width="11.7109375" style="9" bestFit="1" customWidth="1"/>
    <col min="5899" max="5899" width="14.42578125" style="9" customWidth="1"/>
    <col min="5900" max="5900" width="8.85546875" style="9"/>
    <col min="5901" max="5901" width="14.28515625" style="9" bestFit="1" customWidth="1"/>
    <col min="5902" max="5902" width="10" style="9" customWidth="1"/>
    <col min="5903" max="6134" width="8.85546875" style="9"/>
    <col min="6135" max="6135" width="1.140625" style="9" customWidth="1"/>
    <col min="6136" max="6136" width="3.28515625" style="9" customWidth="1"/>
    <col min="6137" max="6137" width="2.42578125" style="9" customWidth="1"/>
    <col min="6138" max="6138" width="2.5703125" style="9" customWidth="1"/>
    <col min="6139" max="6139" width="2.85546875" style="9" customWidth="1"/>
    <col min="6140" max="6140" width="3" style="9" customWidth="1"/>
    <col min="6141" max="6141" width="24.7109375" style="9" customWidth="1"/>
    <col min="6142" max="6142" width="7.85546875" style="9" customWidth="1"/>
    <col min="6143" max="6143" width="7.42578125" style="9" customWidth="1"/>
    <col min="6144" max="6144" width="11.140625" style="9" customWidth="1"/>
    <col min="6145" max="6145" width="14.42578125" style="9" customWidth="1"/>
    <col min="6146" max="6146" width="3.42578125" style="9" customWidth="1"/>
    <col min="6147" max="6147" width="3" style="9" customWidth="1"/>
    <col min="6148" max="6148" width="3.28515625" style="9" customWidth="1"/>
    <col min="6149" max="6149" width="3.140625" style="9" customWidth="1"/>
    <col min="6150" max="6150" width="3.42578125" style="9" customWidth="1"/>
    <col min="6151" max="6151" width="24.7109375" style="9" customWidth="1"/>
    <col min="6152" max="6152" width="7.85546875" style="9" customWidth="1"/>
    <col min="6153" max="6153" width="7.28515625" style="9" customWidth="1"/>
    <col min="6154" max="6154" width="11.7109375" style="9" bestFit="1" customWidth="1"/>
    <col min="6155" max="6155" width="14.42578125" style="9" customWidth="1"/>
    <col min="6156" max="6156" width="8.85546875" style="9"/>
    <col min="6157" max="6157" width="14.28515625" style="9" bestFit="1" customWidth="1"/>
    <col min="6158" max="6158" width="10" style="9" customWidth="1"/>
    <col min="6159" max="6390" width="8.85546875" style="9"/>
    <col min="6391" max="6391" width="1.140625" style="9" customWidth="1"/>
    <col min="6392" max="6392" width="3.28515625" style="9" customWidth="1"/>
    <col min="6393" max="6393" width="2.42578125" style="9" customWidth="1"/>
    <col min="6394" max="6394" width="2.5703125" style="9" customWidth="1"/>
    <col min="6395" max="6395" width="2.85546875" style="9" customWidth="1"/>
    <col min="6396" max="6396" width="3" style="9" customWidth="1"/>
    <col min="6397" max="6397" width="24.7109375" style="9" customWidth="1"/>
    <col min="6398" max="6398" width="7.85546875" style="9" customWidth="1"/>
    <col min="6399" max="6399" width="7.42578125" style="9" customWidth="1"/>
    <col min="6400" max="6400" width="11.140625" style="9" customWidth="1"/>
    <col min="6401" max="6401" width="14.42578125" style="9" customWidth="1"/>
    <col min="6402" max="6402" width="3.42578125" style="9" customWidth="1"/>
    <col min="6403" max="6403" width="3" style="9" customWidth="1"/>
    <col min="6404" max="6404" width="3.28515625" style="9" customWidth="1"/>
    <col min="6405" max="6405" width="3.140625" style="9" customWidth="1"/>
    <col min="6406" max="6406" width="3.42578125" style="9" customWidth="1"/>
    <col min="6407" max="6407" width="24.7109375" style="9" customWidth="1"/>
    <col min="6408" max="6408" width="7.85546875" style="9" customWidth="1"/>
    <col min="6409" max="6409" width="7.28515625" style="9" customWidth="1"/>
    <col min="6410" max="6410" width="11.7109375" style="9" bestFit="1" customWidth="1"/>
    <col min="6411" max="6411" width="14.42578125" style="9" customWidth="1"/>
    <col min="6412" max="6412" width="8.85546875" style="9"/>
    <col min="6413" max="6413" width="14.28515625" style="9" bestFit="1" customWidth="1"/>
    <col min="6414" max="6414" width="10" style="9" customWidth="1"/>
    <col min="6415" max="6646" width="8.85546875" style="9"/>
    <col min="6647" max="6647" width="1.140625" style="9" customWidth="1"/>
    <col min="6648" max="6648" width="3.28515625" style="9" customWidth="1"/>
    <col min="6649" max="6649" width="2.42578125" style="9" customWidth="1"/>
    <col min="6650" max="6650" width="2.5703125" style="9" customWidth="1"/>
    <col min="6651" max="6651" width="2.85546875" style="9" customWidth="1"/>
    <col min="6652" max="6652" width="3" style="9" customWidth="1"/>
    <col min="6653" max="6653" width="24.7109375" style="9" customWidth="1"/>
    <col min="6654" max="6654" width="7.85546875" style="9" customWidth="1"/>
    <col min="6655" max="6655" width="7.42578125" style="9" customWidth="1"/>
    <col min="6656" max="6656" width="11.140625" style="9" customWidth="1"/>
    <col min="6657" max="6657" width="14.42578125" style="9" customWidth="1"/>
    <col min="6658" max="6658" width="3.42578125" style="9" customWidth="1"/>
    <col min="6659" max="6659" width="3" style="9" customWidth="1"/>
    <col min="6660" max="6660" width="3.28515625" style="9" customWidth="1"/>
    <col min="6661" max="6661" width="3.140625" style="9" customWidth="1"/>
    <col min="6662" max="6662" width="3.42578125" style="9" customWidth="1"/>
    <col min="6663" max="6663" width="24.7109375" style="9" customWidth="1"/>
    <col min="6664" max="6664" width="7.85546875" style="9" customWidth="1"/>
    <col min="6665" max="6665" width="7.28515625" style="9" customWidth="1"/>
    <col min="6666" max="6666" width="11.7109375" style="9" bestFit="1" customWidth="1"/>
    <col min="6667" max="6667" width="14.42578125" style="9" customWidth="1"/>
    <col min="6668" max="6668" width="8.85546875" style="9"/>
    <col min="6669" max="6669" width="14.28515625" style="9" bestFit="1" customWidth="1"/>
    <col min="6670" max="6670" width="10" style="9" customWidth="1"/>
    <col min="6671" max="6902" width="8.85546875" style="9"/>
    <col min="6903" max="6903" width="1.140625" style="9" customWidth="1"/>
    <col min="6904" max="6904" width="3.28515625" style="9" customWidth="1"/>
    <col min="6905" max="6905" width="2.42578125" style="9" customWidth="1"/>
    <col min="6906" max="6906" width="2.5703125" style="9" customWidth="1"/>
    <col min="6907" max="6907" width="2.85546875" style="9" customWidth="1"/>
    <col min="6908" max="6908" width="3" style="9" customWidth="1"/>
    <col min="6909" max="6909" width="24.7109375" style="9" customWidth="1"/>
    <col min="6910" max="6910" width="7.85546875" style="9" customWidth="1"/>
    <col min="6911" max="6911" width="7.42578125" style="9" customWidth="1"/>
    <col min="6912" max="6912" width="11.140625" style="9" customWidth="1"/>
    <col min="6913" max="6913" width="14.42578125" style="9" customWidth="1"/>
    <col min="6914" max="6914" width="3.42578125" style="9" customWidth="1"/>
    <col min="6915" max="6915" width="3" style="9" customWidth="1"/>
    <col min="6916" max="6916" width="3.28515625" style="9" customWidth="1"/>
    <col min="6917" max="6917" width="3.140625" style="9" customWidth="1"/>
    <col min="6918" max="6918" width="3.42578125" style="9" customWidth="1"/>
    <col min="6919" max="6919" width="24.7109375" style="9" customWidth="1"/>
    <col min="6920" max="6920" width="7.85546875" style="9" customWidth="1"/>
    <col min="6921" max="6921" width="7.28515625" style="9" customWidth="1"/>
    <col min="6922" max="6922" width="11.7109375" style="9" bestFit="1" customWidth="1"/>
    <col min="6923" max="6923" width="14.42578125" style="9" customWidth="1"/>
    <col min="6924" max="6924" width="8.85546875" style="9"/>
    <col min="6925" max="6925" width="14.28515625" style="9" bestFit="1" customWidth="1"/>
    <col min="6926" max="6926" width="10" style="9" customWidth="1"/>
    <col min="6927" max="7158" width="8.85546875" style="9"/>
    <col min="7159" max="7159" width="1.140625" style="9" customWidth="1"/>
    <col min="7160" max="7160" width="3.28515625" style="9" customWidth="1"/>
    <col min="7161" max="7161" width="2.42578125" style="9" customWidth="1"/>
    <col min="7162" max="7162" width="2.5703125" style="9" customWidth="1"/>
    <col min="7163" max="7163" width="2.85546875" style="9" customWidth="1"/>
    <col min="7164" max="7164" width="3" style="9" customWidth="1"/>
    <col min="7165" max="7165" width="24.7109375" style="9" customWidth="1"/>
    <col min="7166" max="7166" width="7.85546875" style="9" customWidth="1"/>
    <col min="7167" max="7167" width="7.42578125" style="9" customWidth="1"/>
    <col min="7168" max="7168" width="11.140625" style="9" customWidth="1"/>
    <col min="7169" max="7169" width="14.42578125" style="9" customWidth="1"/>
    <col min="7170" max="7170" width="3.42578125" style="9" customWidth="1"/>
    <col min="7171" max="7171" width="3" style="9" customWidth="1"/>
    <col min="7172" max="7172" width="3.28515625" style="9" customWidth="1"/>
    <col min="7173" max="7173" width="3.140625" style="9" customWidth="1"/>
    <col min="7174" max="7174" width="3.42578125" style="9" customWidth="1"/>
    <col min="7175" max="7175" width="24.7109375" style="9" customWidth="1"/>
    <col min="7176" max="7176" width="7.85546875" style="9" customWidth="1"/>
    <col min="7177" max="7177" width="7.28515625" style="9" customWidth="1"/>
    <col min="7178" max="7178" width="11.7109375" style="9" bestFit="1" customWidth="1"/>
    <col min="7179" max="7179" width="14.42578125" style="9" customWidth="1"/>
    <col min="7180" max="7180" width="8.85546875" style="9"/>
    <col min="7181" max="7181" width="14.28515625" style="9" bestFit="1" customWidth="1"/>
    <col min="7182" max="7182" width="10" style="9" customWidth="1"/>
    <col min="7183" max="7414" width="8.85546875" style="9"/>
    <col min="7415" max="7415" width="1.140625" style="9" customWidth="1"/>
    <col min="7416" max="7416" width="3.28515625" style="9" customWidth="1"/>
    <col min="7417" max="7417" width="2.42578125" style="9" customWidth="1"/>
    <col min="7418" max="7418" width="2.5703125" style="9" customWidth="1"/>
    <col min="7419" max="7419" width="2.85546875" style="9" customWidth="1"/>
    <col min="7420" max="7420" width="3" style="9" customWidth="1"/>
    <col min="7421" max="7421" width="24.7109375" style="9" customWidth="1"/>
    <col min="7422" max="7422" width="7.85546875" style="9" customWidth="1"/>
    <col min="7423" max="7423" width="7.42578125" style="9" customWidth="1"/>
    <col min="7424" max="7424" width="11.140625" style="9" customWidth="1"/>
    <col min="7425" max="7425" width="14.42578125" style="9" customWidth="1"/>
    <col min="7426" max="7426" width="3.42578125" style="9" customWidth="1"/>
    <col min="7427" max="7427" width="3" style="9" customWidth="1"/>
    <col min="7428" max="7428" width="3.28515625" style="9" customWidth="1"/>
    <col min="7429" max="7429" width="3.140625" style="9" customWidth="1"/>
    <col min="7430" max="7430" width="3.42578125" style="9" customWidth="1"/>
    <col min="7431" max="7431" width="24.7109375" style="9" customWidth="1"/>
    <col min="7432" max="7432" width="7.85546875" style="9" customWidth="1"/>
    <col min="7433" max="7433" width="7.28515625" style="9" customWidth="1"/>
    <col min="7434" max="7434" width="11.7109375" style="9" bestFit="1" customWidth="1"/>
    <col min="7435" max="7435" width="14.42578125" style="9" customWidth="1"/>
    <col min="7436" max="7436" width="8.85546875" style="9"/>
    <col min="7437" max="7437" width="14.28515625" style="9" bestFit="1" customWidth="1"/>
    <col min="7438" max="7438" width="10" style="9" customWidth="1"/>
    <col min="7439" max="7670" width="8.85546875" style="9"/>
    <col min="7671" max="7671" width="1.140625" style="9" customWidth="1"/>
    <col min="7672" max="7672" width="3.28515625" style="9" customWidth="1"/>
    <col min="7673" max="7673" width="2.42578125" style="9" customWidth="1"/>
    <col min="7674" max="7674" width="2.5703125" style="9" customWidth="1"/>
    <col min="7675" max="7675" width="2.85546875" style="9" customWidth="1"/>
    <col min="7676" max="7676" width="3" style="9" customWidth="1"/>
    <col min="7677" max="7677" width="24.7109375" style="9" customWidth="1"/>
    <col min="7678" max="7678" width="7.85546875" style="9" customWidth="1"/>
    <col min="7679" max="7679" width="7.42578125" style="9" customWidth="1"/>
    <col min="7680" max="7680" width="11.140625" style="9" customWidth="1"/>
    <col min="7681" max="7681" width="14.42578125" style="9" customWidth="1"/>
    <col min="7682" max="7682" width="3.42578125" style="9" customWidth="1"/>
    <col min="7683" max="7683" width="3" style="9" customWidth="1"/>
    <col min="7684" max="7684" width="3.28515625" style="9" customWidth="1"/>
    <col min="7685" max="7685" width="3.140625" style="9" customWidth="1"/>
    <col min="7686" max="7686" width="3.42578125" style="9" customWidth="1"/>
    <col min="7687" max="7687" width="24.7109375" style="9" customWidth="1"/>
    <col min="7688" max="7688" width="7.85546875" style="9" customWidth="1"/>
    <col min="7689" max="7689" width="7.28515625" style="9" customWidth="1"/>
    <col min="7690" max="7690" width="11.7109375" style="9" bestFit="1" customWidth="1"/>
    <col min="7691" max="7691" width="14.42578125" style="9" customWidth="1"/>
    <col min="7692" max="7692" width="8.85546875" style="9"/>
    <col min="7693" max="7693" width="14.28515625" style="9" bestFit="1" customWidth="1"/>
    <col min="7694" max="7694" width="10" style="9" customWidth="1"/>
    <col min="7695" max="7926" width="8.85546875" style="9"/>
    <col min="7927" max="7927" width="1.140625" style="9" customWidth="1"/>
    <col min="7928" max="7928" width="3.28515625" style="9" customWidth="1"/>
    <col min="7929" max="7929" width="2.42578125" style="9" customWidth="1"/>
    <col min="7930" max="7930" width="2.5703125" style="9" customWidth="1"/>
    <col min="7931" max="7931" width="2.85546875" style="9" customWidth="1"/>
    <col min="7932" max="7932" width="3" style="9" customWidth="1"/>
    <col min="7933" max="7933" width="24.7109375" style="9" customWidth="1"/>
    <col min="7934" max="7934" width="7.85546875" style="9" customWidth="1"/>
    <col min="7935" max="7935" width="7.42578125" style="9" customWidth="1"/>
    <col min="7936" max="7936" width="11.140625" style="9" customWidth="1"/>
    <col min="7937" max="7937" width="14.42578125" style="9" customWidth="1"/>
    <col min="7938" max="7938" width="3.42578125" style="9" customWidth="1"/>
    <col min="7939" max="7939" width="3" style="9" customWidth="1"/>
    <col min="7940" max="7940" width="3.28515625" style="9" customWidth="1"/>
    <col min="7941" max="7941" width="3.140625" style="9" customWidth="1"/>
    <col min="7942" max="7942" width="3.42578125" style="9" customWidth="1"/>
    <col min="7943" max="7943" width="24.7109375" style="9" customWidth="1"/>
    <col min="7944" max="7944" width="7.85546875" style="9" customWidth="1"/>
    <col min="7945" max="7945" width="7.28515625" style="9" customWidth="1"/>
    <col min="7946" max="7946" width="11.7109375" style="9" bestFit="1" customWidth="1"/>
    <col min="7947" max="7947" width="14.42578125" style="9" customWidth="1"/>
    <col min="7948" max="7948" width="8.85546875" style="9"/>
    <col min="7949" max="7949" width="14.28515625" style="9" bestFit="1" customWidth="1"/>
    <col min="7950" max="7950" width="10" style="9" customWidth="1"/>
    <col min="7951" max="8182" width="8.85546875" style="9"/>
    <col min="8183" max="8183" width="1.140625" style="9" customWidth="1"/>
    <col min="8184" max="8184" width="3.28515625" style="9" customWidth="1"/>
    <col min="8185" max="8185" width="2.42578125" style="9" customWidth="1"/>
    <col min="8186" max="8186" width="2.5703125" style="9" customWidth="1"/>
    <col min="8187" max="8187" width="2.85546875" style="9" customWidth="1"/>
    <col min="8188" max="8188" width="3" style="9" customWidth="1"/>
    <col min="8189" max="8189" width="24.7109375" style="9" customWidth="1"/>
    <col min="8190" max="8190" width="7.85546875" style="9" customWidth="1"/>
    <col min="8191" max="8191" width="7.42578125" style="9" customWidth="1"/>
    <col min="8192" max="8192" width="11.140625" style="9" customWidth="1"/>
    <col min="8193" max="8193" width="14.42578125" style="9" customWidth="1"/>
    <col min="8194" max="8194" width="3.42578125" style="9" customWidth="1"/>
    <col min="8195" max="8195" width="3" style="9" customWidth="1"/>
    <col min="8196" max="8196" width="3.28515625" style="9" customWidth="1"/>
    <col min="8197" max="8197" width="3.140625" style="9" customWidth="1"/>
    <col min="8198" max="8198" width="3.42578125" style="9" customWidth="1"/>
    <col min="8199" max="8199" width="24.7109375" style="9" customWidth="1"/>
    <col min="8200" max="8200" width="7.85546875" style="9" customWidth="1"/>
    <col min="8201" max="8201" width="7.28515625" style="9" customWidth="1"/>
    <col min="8202" max="8202" width="11.7109375" style="9" bestFit="1" customWidth="1"/>
    <col min="8203" max="8203" width="14.42578125" style="9" customWidth="1"/>
    <col min="8204" max="8204" width="8.85546875" style="9"/>
    <col min="8205" max="8205" width="14.28515625" style="9" bestFit="1" customWidth="1"/>
    <col min="8206" max="8206" width="10" style="9" customWidth="1"/>
    <col min="8207" max="8438" width="8.85546875" style="9"/>
    <col min="8439" max="8439" width="1.140625" style="9" customWidth="1"/>
    <col min="8440" max="8440" width="3.28515625" style="9" customWidth="1"/>
    <col min="8441" max="8441" width="2.42578125" style="9" customWidth="1"/>
    <col min="8442" max="8442" width="2.5703125" style="9" customWidth="1"/>
    <col min="8443" max="8443" width="2.85546875" style="9" customWidth="1"/>
    <col min="8444" max="8444" width="3" style="9" customWidth="1"/>
    <col min="8445" max="8445" width="24.7109375" style="9" customWidth="1"/>
    <col min="8446" max="8446" width="7.85546875" style="9" customWidth="1"/>
    <col min="8447" max="8447" width="7.42578125" style="9" customWidth="1"/>
    <col min="8448" max="8448" width="11.140625" style="9" customWidth="1"/>
    <col min="8449" max="8449" width="14.42578125" style="9" customWidth="1"/>
    <col min="8450" max="8450" width="3.42578125" style="9" customWidth="1"/>
    <col min="8451" max="8451" width="3" style="9" customWidth="1"/>
    <col min="8452" max="8452" width="3.28515625" style="9" customWidth="1"/>
    <col min="8453" max="8453" width="3.140625" style="9" customWidth="1"/>
    <col min="8454" max="8454" width="3.42578125" style="9" customWidth="1"/>
    <col min="8455" max="8455" width="24.7109375" style="9" customWidth="1"/>
    <col min="8456" max="8456" width="7.85546875" style="9" customWidth="1"/>
    <col min="8457" max="8457" width="7.28515625" style="9" customWidth="1"/>
    <col min="8458" max="8458" width="11.7109375" style="9" bestFit="1" customWidth="1"/>
    <col min="8459" max="8459" width="14.42578125" style="9" customWidth="1"/>
    <col min="8460" max="8460" width="8.85546875" style="9"/>
    <col min="8461" max="8461" width="14.28515625" style="9" bestFit="1" customWidth="1"/>
    <col min="8462" max="8462" width="10" style="9" customWidth="1"/>
    <col min="8463" max="8694" width="8.85546875" style="9"/>
    <col min="8695" max="8695" width="1.140625" style="9" customWidth="1"/>
    <col min="8696" max="8696" width="3.28515625" style="9" customWidth="1"/>
    <col min="8697" max="8697" width="2.42578125" style="9" customWidth="1"/>
    <col min="8698" max="8698" width="2.5703125" style="9" customWidth="1"/>
    <col min="8699" max="8699" width="2.85546875" style="9" customWidth="1"/>
    <col min="8700" max="8700" width="3" style="9" customWidth="1"/>
    <col min="8701" max="8701" width="24.7109375" style="9" customWidth="1"/>
    <col min="8702" max="8702" width="7.85546875" style="9" customWidth="1"/>
    <col min="8703" max="8703" width="7.42578125" style="9" customWidth="1"/>
    <col min="8704" max="8704" width="11.140625" style="9" customWidth="1"/>
    <col min="8705" max="8705" width="14.42578125" style="9" customWidth="1"/>
    <col min="8706" max="8706" width="3.42578125" style="9" customWidth="1"/>
    <col min="8707" max="8707" width="3" style="9" customWidth="1"/>
    <col min="8708" max="8708" width="3.28515625" style="9" customWidth="1"/>
    <col min="8709" max="8709" width="3.140625" style="9" customWidth="1"/>
    <col min="8710" max="8710" width="3.42578125" style="9" customWidth="1"/>
    <col min="8711" max="8711" width="24.7109375" style="9" customWidth="1"/>
    <col min="8712" max="8712" width="7.85546875" style="9" customWidth="1"/>
    <col min="8713" max="8713" width="7.28515625" style="9" customWidth="1"/>
    <col min="8714" max="8714" width="11.7109375" style="9" bestFit="1" customWidth="1"/>
    <col min="8715" max="8715" width="14.42578125" style="9" customWidth="1"/>
    <col min="8716" max="8716" width="8.85546875" style="9"/>
    <col min="8717" max="8717" width="14.28515625" style="9" bestFit="1" customWidth="1"/>
    <col min="8718" max="8718" width="10" style="9" customWidth="1"/>
    <col min="8719" max="8950" width="8.85546875" style="9"/>
    <col min="8951" max="8951" width="1.140625" style="9" customWidth="1"/>
    <col min="8952" max="8952" width="3.28515625" style="9" customWidth="1"/>
    <col min="8953" max="8953" width="2.42578125" style="9" customWidth="1"/>
    <col min="8954" max="8954" width="2.5703125" style="9" customWidth="1"/>
    <col min="8955" max="8955" width="2.85546875" style="9" customWidth="1"/>
    <col min="8956" max="8956" width="3" style="9" customWidth="1"/>
    <col min="8957" max="8957" width="24.7109375" style="9" customWidth="1"/>
    <col min="8958" max="8958" width="7.85546875" style="9" customWidth="1"/>
    <col min="8959" max="8959" width="7.42578125" style="9" customWidth="1"/>
    <col min="8960" max="8960" width="11.140625" style="9" customWidth="1"/>
    <col min="8961" max="8961" width="14.42578125" style="9" customWidth="1"/>
    <col min="8962" max="8962" width="3.42578125" style="9" customWidth="1"/>
    <col min="8963" max="8963" width="3" style="9" customWidth="1"/>
    <col min="8964" max="8964" width="3.28515625" style="9" customWidth="1"/>
    <col min="8965" max="8965" width="3.140625" style="9" customWidth="1"/>
    <col min="8966" max="8966" width="3.42578125" style="9" customWidth="1"/>
    <col min="8967" max="8967" width="24.7109375" style="9" customWidth="1"/>
    <col min="8968" max="8968" width="7.85546875" style="9" customWidth="1"/>
    <col min="8969" max="8969" width="7.28515625" style="9" customWidth="1"/>
    <col min="8970" max="8970" width="11.7109375" style="9" bestFit="1" customWidth="1"/>
    <col min="8971" max="8971" width="14.42578125" style="9" customWidth="1"/>
    <col min="8972" max="8972" width="8.85546875" style="9"/>
    <col min="8973" max="8973" width="14.28515625" style="9" bestFit="1" customWidth="1"/>
    <col min="8974" max="8974" width="10" style="9" customWidth="1"/>
    <col min="8975" max="9206" width="8.85546875" style="9"/>
    <col min="9207" max="9207" width="1.140625" style="9" customWidth="1"/>
    <col min="9208" max="9208" width="3.28515625" style="9" customWidth="1"/>
    <col min="9209" max="9209" width="2.42578125" style="9" customWidth="1"/>
    <col min="9210" max="9210" width="2.5703125" style="9" customWidth="1"/>
    <col min="9211" max="9211" width="2.85546875" style="9" customWidth="1"/>
    <col min="9212" max="9212" width="3" style="9" customWidth="1"/>
    <col min="9213" max="9213" width="24.7109375" style="9" customWidth="1"/>
    <col min="9214" max="9214" width="7.85546875" style="9" customWidth="1"/>
    <col min="9215" max="9215" width="7.42578125" style="9" customWidth="1"/>
    <col min="9216" max="9216" width="11.140625" style="9" customWidth="1"/>
    <col min="9217" max="9217" width="14.42578125" style="9" customWidth="1"/>
    <col min="9218" max="9218" width="3.42578125" style="9" customWidth="1"/>
    <col min="9219" max="9219" width="3" style="9" customWidth="1"/>
    <col min="9220" max="9220" width="3.28515625" style="9" customWidth="1"/>
    <col min="9221" max="9221" width="3.140625" style="9" customWidth="1"/>
    <col min="9222" max="9222" width="3.42578125" style="9" customWidth="1"/>
    <col min="9223" max="9223" width="24.7109375" style="9" customWidth="1"/>
    <col min="9224" max="9224" width="7.85546875" style="9" customWidth="1"/>
    <col min="9225" max="9225" width="7.28515625" style="9" customWidth="1"/>
    <col min="9226" max="9226" width="11.7109375" style="9" bestFit="1" customWidth="1"/>
    <col min="9227" max="9227" width="14.42578125" style="9" customWidth="1"/>
    <col min="9228" max="9228" width="8.85546875" style="9"/>
    <col min="9229" max="9229" width="14.28515625" style="9" bestFit="1" customWidth="1"/>
    <col min="9230" max="9230" width="10" style="9" customWidth="1"/>
    <col min="9231" max="9462" width="8.85546875" style="9"/>
    <col min="9463" max="9463" width="1.140625" style="9" customWidth="1"/>
    <col min="9464" max="9464" width="3.28515625" style="9" customWidth="1"/>
    <col min="9465" max="9465" width="2.42578125" style="9" customWidth="1"/>
    <col min="9466" max="9466" width="2.5703125" style="9" customWidth="1"/>
    <col min="9467" max="9467" width="2.85546875" style="9" customWidth="1"/>
    <col min="9468" max="9468" width="3" style="9" customWidth="1"/>
    <col min="9469" max="9469" width="24.7109375" style="9" customWidth="1"/>
    <col min="9470" max="9470" width="7.85546875" style="9" customWidth="1"/>
    <col min="9471" max="9471" width="7.42578125" style="9" customWidth="1"/>
    <col min="9472" max="9472" width="11.140625" style="9" customWidth="1"/>
    <col min="9473" max="9473" width="14.42578125" style="9" customWidth="1"/>
    <col min="9474" max="9474" width="3.42578125" style="9" customWidth="1"/>
    <col min="9475" max="9475" width="3" style="9" customWidth="1"/>
    <col min="9476" max="9476" width="3.28515625" style="9" customWidth="1"/>
    <col min="9477" max="9477" width="3.140625" style="9" customWidth="1"/>
    <col min="9478" max="9478" width="3.42578125" style="9" customWidth="1"/>
    <col min="9479" max="9479" width="24.7109375" style="9" customWidth="1"/>
    <col min="9480" max="9480" width="7.85546875" style="9" customWidth="1"/>
    <col min="9481" max="9481" width="7.28515625" style="9" customWidth="1"/>
    <col min="9482" max="9482" width="11.7109375" style="9" bestFit="1" customWidth="1"/>
    <col min="9483" max="9483" width="14.42578125" style="9" customWidth="1"/>
    <col min="9484" max="9484" width="8.85546875" style="9"/>
    <col min="9485" max="9485" width="14.28515625" style="9" bestFit="1" customWidth="1"/>
    <col min="9486" max="9486" width="10" style="9" customWidth="1"/>
    <col min="9487" max="9718" width="8.85546875" style="9"/>
    <col min="9719" max="9719" width="1.140625" style="9" customWidth="1"/>
    <col min="9720" max="9720" width="3.28515625" style="9" customWidth="1"/>
    <col min="9721" max="9721" width="2.42578125" style="9" customWidth="1"/>
    <col min="9722" max="9722" width="2.5703125" style="9" customWidth="1"/>
    <col min="9723" max="9723" width="2.85546875" style="9" customWidth="1"/>
    <col min="9724" max="9724" width="3" style="9" customWidth="1"/>
    <col min="9725" max="9725" width="24.7109375" style="9" customWidth="1"/>
    <col min="9726" max="9726" width="7.85546875" style="9" customWidth="1"/>
    <col min="9727" max="9727" width="7.42578125" style="9" customWidth="1"/>
    <col min="9728" max="9728" width="11.140625" style="9" customWidth="1"/>
    <col min="9729" max="9729" width="14.42578125" style="9" customWidth="1"/>
    <col min="9730" max="9730" width="3.42578125" style="9" customWidth="1"/>
    <col min="9731" max="9731" width="3" style="9" customWidth="1"/>
    <col min="9732" max="9732" width="3.28515625" style="9" customWidth="1"/>
    <col min="9733" max="9733" width="3.140625" style="9" customWidth="1"/>
    <col min="9734" max="9734" width="3.42578125" style="9" customWidth="1"/>
    <col min="9735" max="9735" width="24.7109375" style="9" customWidth="1"/>
    <col min="9736" max="9736" width="7.85546875" style="9" customWidth="1"/>
    <col min="9737" max="9737" width="7.28515625" style="9" customWidth="1"/>
    <col min="9738" max="9738" width="11.7109375" style="9" bestFit="1" customWidth="1"/>
    <col min="9739" max="9739" width="14.42578125" style="9" customWidth="1"/>
    <col min="9740" max="9740" width="8.85546875" style="9"/>
    <col min="9741" max="9741" width="14.28515625" style="9" bestFit="1" customWidth="1"/>
    <col min="9742" max="9742" width="10" style="9" customWidth="1"/>
    <col min="9743" max="9974" width="8.85546875" style="9"/>
    <col min="9975" max="9975" width="1.140625" style="9" customWidth="1"/>
    <col min="9976" max="9976" width="3.28515625" style="9" customWidth="1"/>
    <col min="9977" max="9977" width="2.42578125" style="9" customWidth="1"/>
    <col min="9978" max="9978" width="2.5703125" style="9" customWidth="1"/>
    <col min="9979" max="9979" width="2.85546875" style="9" customWidth="1"/>
    <col min="9980" max="9980" width="3" style="9" customWidth="1"/>
    <col min="9981" max="9981" width="24.7109375" style="9" customWidth="1"/>
    <col min="9982" max="9982" width="7.85546875" style="9" customWidth="1"/>
    <col min="9983" max="9983" width="7.42578125" style="9" customWidth="1"/>
    <col min="9984" max="9984" width="11.140625" style="9" customWidth="1"/>
    <col min="9985" max="9985" width="14.42578125" style="9" customWidth="1"/>
    <col min="9986" max="9986" width="3.42578125" style="9" customWidth="1"/>
    <col min="9987" max="9987" width="3" style="9" customWidth="1"/>
    <col min="9988" max="9988" width="3.28515625" style="9" customWidth="1"/>
    <col min="9989" max="9989" width="3.140625" style="9" customWidth="1"/>
    <col min="9990" max="9990" width="3.42578125" style="9" customWidth="1"/>
    <col min="9991" max="9991" width="24.7109375" style="9" customWidth="1"/>
    <col min="9992" max="9992" width="7.85546875" style="9" customWidth="1"/>
    <col min="9993" max="9993" width="7.28515625" style="9" customWidth="1"/>
    <col min="9994" max="9994" width="11.7109375" style="9" bestFit="1" customWidth="1"/>
    <col min="9995" max="9995" width="14.42578125" style="9" customWidth="1"/>
    <col min="9996" max="9996" width="8.85546875" style="9"/>
    <col min="9997" max="9997" width="14.28515625" style="9" bestFit="1" customWidth="1"/>
    <col min="9998" max="9998" width="10" style="9" customWidth="1"/>
    <col min="9999" max="10230" width="8.85546875" style="9"/>
    <col min="10231" max="10231" width="1.140625" style="9" customWidth="1"/>
    <col min="10232" max="10232" width="3.28515625" style="9" customWidth="1"/>
    <col min="10233" max="10233" width="2.42578125" style="9" customWidth="1"/>
    <col min="10234" max="10234" width="2.5703125" style="9" customWidth="1"/>
    <col min="10235" max="10235" width="2.85546875" style="9" customWidth="1"/>
    <col min="10236" max="10236" width="3" style="9" customWidth="1"/>
    <col min="10237" max="10237" width="24.7109375" style="9" customWidth="1"/>
    <col min="10238" max="10238" width="7.85546875" style="9" customWidth="1"/>
    <col min="10239" max="10239" width="7.42578125" style="9" customWidth="1"/>
    <col min="10240" max="10240" width="11.140625" style="9" customWidth="1"/>
    <col min="10241" max="10241" width="14.42578125" style="9" customWidth="1"/>
    <col min="10242" max="10242" width="3.42578125" style="9" customWidth="1"/>
    <col min="10243" max="10243" width="3" style="9" customWidth="1"/>
    <col min="10244" max="10244" width="3.28515625" style="9" customWidth="1"/>
    <col min="10245" max="10245" width="3.140625" style="9" customWidth="1"/>
    <col min="10246" max="10246" width="3.42578125" style="9" customWidth="1"/>
    <col min="10247" max="10247" width="24.7109375" style="9" customWidth="1"/>
    <col min="10248" max="10248" width="7.85546875" style="9" customWidth="1"/>
    <col min="10249" max="10249" width="7.28515625" style="9" customWidth="1"/>
    <col min="10250" max="10250" width="11.7109375" style="9" bestFit="1" customWidth="1"/>
    <col min="10251" max="10251" width="14.42578125" style="9" customWidth="1"/>
    <col min="10252" max="10252" width="8.85546875" style="9"/>
    <col min="10253" max="10253" width="14.28515625" style="9" bestFit="1" customWidth="1"/>
    <col min="10254" max="10254" width="10" style="9" customWidth="1"/>
    <col min="10255" max="10486" width="8.85546875" style="9"/>
    <col min="10487" max="10487" width="1.140625" style="9" customWidth="1"/>
    <col min="10488" max="10488" width="3.28515625" style="9" customWidth="1"/>
    <col min="10489" max="10489" width="2.42578125" style="9" customWidth="1"/>
    <col min="10490" max="10490" width="2.5703125" style="9" customWidth="1"/>
    <col min="10491" max="10491" width="2.85546875" style="9" customWidth="1"/>
    <col min="10492" max="10492" width="3" style="9" customWidth="1"/>
    <col min="10493" max="10493" width="24.7109375" style="9" customWidth="1"/>
    <col min="10494" max="10494" width="7.85546875" style="9" customWidth="1"/>
    <col min="10495" max="10495" width="7.42578125" style="9" customWidth="1"/>
    <col min="10496" max="10496" width="11.140625" style="9" customWidth="1"/>
    <col min="10497" max="10497" width="14.42578125" style="9" customWidth="1"/>
    <col min="10498" max="10498" width="3.42578125" style="9" customWidth="1"/>
    <col min="10499" max="10499" width="3" style="9" customWidth="1"/>
    <col min="10500" max="10500" width="3.28515625" style="9" customWidth="1"/>
    <col min="10501" max="10501" width="3.140625" style="9" customWidth="1"/>
    <col min="10502" max="10502" width="3.42578125" style="9" customWidth="1"/>
    <col min="10503" max="10503" width="24.7109375" style="9" customWidth="1"/>
    <col min="10504" max="10504" width="7.85546875" style="9" customWidth="1"/>
    <col min="10505" max="10505" width="7.28515625" style="9" customWidth="1"/>
    <col min="10506" max="10506" width="11.7109375" style="9" bestFit="1" customWidth="1"/>
    <col min="10507" max="10507" width="14.42578125" style="9" customWidth="1"/>
    <col min="10508" max="10508" width="8.85546875" style="9"/>
    <col min="10509" max="10509" width="14.28515625" style="9" bestFit="1" customWidth="1"/>
    <col min="10510" max="10510" width="10" style="9" customWidth="1"/>
    <col min="10511" max="10742" width="8.85546875" style="9"/>
    <col min="10743" max="10743" width="1.140625" style="9" customWidth="1"/>
    <col min="10744" max="10744" width="3.28515625" style="9" customWidth="1"/>
    <col min="10745" max="10745" width="2.42578125" style="9" customWidth="1"/>
    <col min="10746" max="10746" width="2.5703125" style="9" customWidth="1"/>
    <col min="10747" max="10747" width="2.85546875" style="9" customWidth="1"/>
    <col min="10748" max="10748" width="3" style="9" customWidth="1"/>
    <col min="10749" max="10749" width="24.7109375" style="9" customWidth="1"/>
    <col min="10750" max="10750" width="7.85546875" style="9" customWidth="1"/>
    <col min="10751" max="10751" width="7.42578125" style="9" customWidth="1"/>
    <col min="10752" max="10752" width="11.140625" style="9" customWidth="1"/>
    <col min="10753" max="10753" width="14.42578125" style="9" customWidth="1"/>
    <col min="10754" max="10754" width="3.42578125" style="9" customWidth="1"/>
    <col min="10755" max="10755" width="3" style="9" customWidth="1"/>
    <col min="10756" max="10756" width="3.28515625" style="9" customWidth="1"/>
    <col min="10757" max="10757" width="3.140625" style="9" customWidth="1"/>
    <col min="10758" max="10758" width="3.42578125" style="9" customWidth="1"/>
    <col min="10759" max="10759" width="24.7109375" style="9" customWidth="1"/>
    <col min="10760" max="10760" width="7.85546875" style="9" customWidth="1"/>
    <col min="10761" max="10761" width="7.28515625" style="9" customWidth="1"/>
    <col min="10762" max="10762" width="11.7109375" style="9" bestFit="1" customWidth="1"/>
    <col min="10763" max="10763" width="14.42578125" style="9" customWidth="1"/>
    <col min="10764" max="10764" width="8.85546875" style="9"/>
    <col min="10765" max="10765" width="14.28515625" style="9" bestFit="1" customWidth="1"/>
    <col min="10766" max="10766" width="10" style="9" customWidth="1"/>
    <col min="10767" max="10998" width="8.85546875" style="9"/>
    <col min="10999" max="10999" width="1.140625" style="9" customWidth="1"/>
    <col min="11000" max="11000" width="3.28515625" style="9" customWidth="1"/>
    <col min="11001" max="11001" width="2.42578125" style="9" customWidth="1"/>
    <col min="11002" max="11002" width="2.5703125" style="9" customWidth="1"/>
    <col min="11003" max="11003" width="2.85546875" style="9" customWidth="1"/>
    <col min="11004" max="11004" width="3" style="9" customWidth="1"/>
    <col min="11005" max="11005" width="24.7109375" style="9" customWidth="1"/>
    <col min="11006" max="11006" width="7.85546875" style="9" customWidth="1"/>
    <col min="11007" max="11007" width="7.42578125" style="9" customWidth="1"/>
    <col min="11008" max="11008" width="11.140625" style="9" customWidth="1"/>
    <col min="11009" max="11009" width="14.42578125" style="9" customWidth="1"/>
    <col min="11010" max="11010" width="3.42578125" style="9" customWidth="1"/>
    <col min="11011" max="11011" width="3" style="9" customWidth="1"/>
    <col min="11012" max="11012" width="3.28515625" style="9" customWidth="1"/>
    <col min="11013" max="11013" width="3.140625" style="9" customWidth="1"/>
    <col min="11014" max="11014" width="3.42578125" style="9" customWidth="1"/>
    <col min="11015" max="11015" width="24.7109375" style="9" customWidth="1"/>
    <col min="11016" max="11016" width="7.85546875" style="9" customWidth="1"/>
    <col min="11017" max="11017" width="7.28515625" style="9" customWidth="1"/>
    <col min="11018" max="11018" width="11.7109375" style="9" bestFit="1" customWidth="1"/>
    <col min="11019" max="11019" width="14.42578125" style="9" customWidth="1"/>
    <col min="11020" max="11020" width="8.85546875" style="9"/>
    <col min="11021" max="11021" width="14.28515625" style="9" bestFit="1" customWidth="1"/>
    <col min="11022" max="11022" width="10" style="9" customWidth="1"/>
    <col min="11023" max="11254" width="8.85546875" style="9"/>
    <col min="11255" max="11255" width="1.140625" style="9" customWidth="1"/>
    <col min="11256" max="11256" width="3.28515625" style="9" customWidth="1"/>
    <col min="11257" max="11257" width="2.42578125" style="9" customWidth="1"/>
    <col min="11258" max="11258" width="2.5703125" style="9" customWidth="1"/>
    <col min="11259" max="11259" width="2.85546875" style="9" customWidth="1"/>
    <col min="11260" max="11260" width="3" style="9" customWidth="1"/>
    <col min="11261" max="11261" width="24.7109375" style="9" customWidth="1"/>
    <col min="11262" max="11262" width="7.85546875" style="9" customWidth="1"/>
    <col min="11263" max="11263" width="7.42578125" style="9" customWidth="1"/>
    <col min="11264" max="11264" width="11.140625" style="9" customWidth="1"/>
    <col min="11265" max="11265" width="14.42578125" style="9" customWidth="1"/>
    <col min="11266" max="11266" width="3.42578125" style="9" customWidth="1"/>
    <col min="11267" max="11267" width="3" style="9" customWidth="1"/>
    <col min="11268" max="11268" width="3.28515625" style="9" customWidth="1"/>
    <col min="11269" max="11269" width="3.140625" style="9" customWidth="1"/>
    <col min="11270" max="11270" width="3.42578125" style="9" customWidth="1"/>
    <col min="11271" max="11271" width="24.7109375" style="9" customWidth="1"/>
    <col min="11272" max="11272" width="7.85546875" style="9" customWidth="1"/>
    <col min="11273" max="11273" width="7.28515625" style="9" customWidth="1"/>
    <col min="11274" max="11274" width="11.7109375" style="9" bestFit="1" customWidth="1"/>
    <col min="11275" max="11275" width="14.42578125" style="9" customWidth="1"/>
    <col min="11276" max="11276" width="8.85546875" style="9"/>
    <col min="11277" max="11277" width="14.28515625" style="9" bestFit="1" customWidth="1"/>
    <col min="11278" max="11278" width="10" style="9" customWidth="1"/>
    <col min="11279" max="11510" width="8.85546875" style="9"/>
    <col min="11511" max="11511" width="1.140625" style="9" customWidth="1"/>
    <col min="11512" max="11512" width="3.28515625" style="9" customWidth="1"/>
    <col min="11513" max="11513" width="2.42578125" style="9" customWidth="1"/>
    <col min="11514" max="11514" width="2.5703125" style="9" customWidth="1"/>
    <col min="11515" max="11515" width="2.85546875" style="9" customWidth="1"/>
    <col min="11516" max="11516" width="3" style="9" customWidth="1"/>
    <col min="11517" max="11517" width="24.7109375" style="9" customWidth="1"/>
    <col min="11518" max="11518" width="7.85546875" style="9" customWidth="1"/>
    <col min="11519" max="11519" width="7.42578125" style="9" customWidth="1"/>
    <col min="11520" max="11520" width="11.140625" style="9" customWidth="1"/>
    <col min="11521" max="11521" width="14.42578125" style="9" customWidth="1"/>
    <col min="11522" max="11522" width="3.42578125" style="9" customWidth="1"/>
    <col min="11523" max="11523" width="3" style="9" customWidth="1"/>
    <col min="11524" max="11524" width="3.28515625" style="9" customWidth="1"/>
    <col min="11525" max="11525" width="3.140625" style="9" customWidth="1"/>
    <col min="11526" max="11526" width="3.42578125" style="9" customWidth="1"/>
    <col min="11527" max="11527" width="24.7109375" style="9" customWidth="1"/>
    <col min="11528" max="11528" width="7.85546875" style="9" customWidth="1"/>
    <col min="11529" max="11529" width="7.28515625" style="9" customWidth="1"/>
    <col min="11530" max="11530" width="11.7109375" style="9" bestFit="1" customWidth="1"/>
    <col min="11531" max="11531" width="14.42578125" style="9" customWidth="1"/>
    <col min="11532" max="11532" width="8.85546875" style="9"/>
    <col min="11533" max="11533" width="14.28515625" style="9" bestFit="1" customWidth="1"/>
    <col min="11534" max="11534" width="10" style="9" customWidth="1"/>
    <col min="11535" max="11766" width="8.85546875" style="9"/>
    <col min="11767" max="11767" width="1.140625" style="9" customWidth="1"/>
    <col min="11768" max="11768" width="3.28515625" style="9" customWidth="1"/>
    <col min="11769" max="11769" width="2.42578125" style="9" customWidth="1"/>
    <col min="11770" max="11770" width="2.5703125" style="9" customWidth="1"/>
    <col min="11771" max="11771" width="2.85546875" style="9" customWidth="1"/>
    <col min="11772" max="11772" width="3" style="9" customWidth="1"/>
    <col min="11773" max="11773" width="24.7109375" style="9" customWidth="1"/>
    <col min="11774" max="11774" width="7.85546875" style="9" customWidth="1"/>
    <col min="11775" max="11775" width="7.42578125" style="9" customWidth="1"/>
    <col min="11776" max="11776" width="11.140625" style="9" customWidth="1"/>
    <col min="11777" max="11777" width="14.42578125" style="9" customWidth="1"/>
    <col min="11778" max="11778" width="3.42578125" style="9" customWidth="1"/>
    <col min="11779" max="11779" width="3" style="9" customWidth="1"/>
    <col min="11780" max="11780" width="3.28515625" style="9" customWidth="1"/>
    <col min="11781" max="11781" width="3.140625" style="9" customWidth="1"/>
    <col min="11782" max="11782" width="3.42578125" style="9" customWidth="1"/>
    <col min="11783" max="11783" width="24.7109375" style="9" customWidth="1"/>
    <col min="11784" max="11784" width="7.85546875" style="9" customWidth="1"/>
    <col min="11785" max="11785" width="7.28515625" style="9" customWidth="1"/>
    <col min="11786" max="11786" width="11.7109375" style="9" bestFit="1" customWidth="1"/>
    <col min="11787" max="11787" width="14.42578125" style="9" customWidth="1"/>
    <col min="11788" max="11788" width="8.85546875" style="9"/>
    <col min="11789" max="11789" width="14.28515625" style="9" bestFit="1" customWidth="1"/>
    <col min="11790" max="11790" width="10" style="9" customWidth="1"/>
    <col min="11791" max="12022" width="8.85546875" style="9"/>
    <col min="12023" max="12023" width="1.140625" style="9" customWidth="1"/>
    <col min="12024" max="12024" width="3.28515625" style="9" customWidth="1"/>
    <col min="12025" max="12025" width="2.42578125" style="9" customWidth="1"/>
    <col min="12026" max="12026" width="2.5703125" style="9" customWidth="1"/>
    <col min="12027" max="12027" width="2.85546875" style="9" customWidth="1"/>
    <col min="12028" max="12028" width="3" style="9" customWidth="1"/>
    <col min="12029" max="12029" width="24.7109375" style="9" customWidth="1"/>
    <col min="12030" max="12030" width="7.85546875" style="9" customWidth="1"/>
    <col min="12031" max="12031" width="7.42578125" style="9" customWidth="1"/>
    <col min="12032" max="12032" width="11.140625" style="9" customWidth="1"/>
    <col min="12033" max="12033" width="14.42578125" style="9" customWidth="1"/>
    <col min="12034" max="12034" width="3.42578125" style="9" customWidth="1"/>
    <col min="12035" max="12035" width="3" style="9" customWidth="1"/>
    <col min="12036" max="12036" width="3.28515625" style="9" customWidth="1"/>
    <col min="12037" max="12037" width="3.140625" style="9" customWidth="1"/>
    <col min="12038" max="12038" width="3.42578125" style="9" customWidth="1"/>
    <col min="12039" max="12039" width="24.7109375" style="9" customWidth="1"/>
    <col min="12040" max="12040" width="7.85546875" style="9" customWidth="1"/>
    <col min="12041" max="12041" width="7.28515625" style="9" customWidth="1"/>
    <col min="12042" max="12042" width="11.7109375" style="9" bestFit="1" customWidth="1"/>
    <col min="12043" max="12043" width="14.42578125" style="9" customWidth="1"/>
    <col min="12044" max="12044" width="8.85546875" style="9"/>
    <col min="12045" max="12045" width="14.28515625" style="9" bestFit="1" customWidth="1"/>
    <col min="12046" max="12046" width="10" style="9" customWidth="1"/>
    <col min="12047" max="12278" width="8.85546875" style="9"/>
    <col min="12279" max="12279" width="1.140625" style="9" customWidth="1"/>
    <col min="12280" max="12280" width="3.28515625" style="9" customWidth="1"/>
    <col min="12281" max="12281" width="2.42578125" style="9" customWidth="1"/>
    <col min="12282" max="12282" width="2.5703125" style="9" customWidth="1"/>
    <col min="12283" max="12283" width="2.85546875" style="9" customWidth="1"/>
    <col min="12284" max="12284" width="3" style="9" customWidth="1"/>
    <col min="12285" max="12285" width="24.7109375" style="9" customWidth="1"/>
    <col min="12286" max="12286" width="7.85546875" style="9" customWidth="1"/>
    <col min="12287" max="12287" width="7.42578125" style="9" customWidth="1"/>
    <col min="12288" max="12288" width="11.140625" style="9" customWidth="1"/>
    <col min="12289" max="12289" width="14.42578125" style="9" customWidth="1"/>
    <col min="12290" max="12290" width="3.42578125" style="9" customWidth="1"/>
    <col min="12291" max="12291" width="3" style="9" customWidth="1"/>
    <col min="12292" max="12292" width="3.28515625" style="9" customWidth="1"/>
    <col min="12293" max="12293" width="3.140625" style="9" customWidth="1"/>
    <col min="12294" max="12294" width="3.42578125" style="9" customWidth="1"/>
    <col min="12295" max="12295" width="24.7109375" style="9" customWidth="1"/>
    <col min="12296" max="12296" width="7.85546875" style="9" customWidth="1"/>
    <col min="12297" max="12297" width="7.28515625" style="9" customWidth="1"/>
    <col min="12298" max="12298" width="11.7109375" style="9" bestFit="1" customWidth="1"/>
    <col min="12299" max="12299" width="14.42578125" style="9" customWidth="1"/>
    <col min="12300" max="12300" width="8.85546875" style="9"/>
    <col min="12301" max="12301" width="14.28515625" style="9" bestFit="1" customWidth="1"/>
    <col min="12302" max="12302" width="10" style="9" customWidth="1"/>
    <col min="12303" max="12534" width="8.85546875" style="9"/>
    <col min="12535" max="12535" width="1.140625" style="9" customWidth="1"/>
    <col min="12536" max="12536" width="3.28515625" style="9" customWidth="1"/>
    <col min="12537" max="12537" width="2.42578125" style="9" customWidth="1"/>
    <col min="12538" max="12538" width="2.5703125" style="9" customWidth="1"/>
    <col min="12539" max="12539" width="2.85546875" style="9" customWidth="1"/>
    <col min="12540" max="12540" width="3" style="9" customWidth="1"/>
    <col min="12541" max="12541" width="24.7109375" style="9" customWidth="1"/>
    <col min="12542" max="12542" width="7.85546875" style="9" customWidth="1"/>
    <col min="12543" max="12543" width="7.42578125" style="9" customWidth="1"/>
    <col min="12544" max="12544" width="11.140625" style="9" customWidth="1"/>
    <col min="12545" max="12545" width="14.42578125" style="9" customWidth="1"/>
    <col min="12546" max="12546" width="3.42578125" style="9" customWidth="1"/>
    <col min="12547" max="12547" width="3" style="9" customWidth="1"/>
    <col min="12548" max="12548" width="3.28515625" style="9" customWidth="1"/>
    <col min="12549" max="12549" width="3.140625" style="9" customWidth="1"/>
    <col min="12550" max="12550" width="3.42578125" style="9" customWidth="1"/>
    <col min="12551" max="12551" width="24.7109375" style="9" customWidth="1"/>
    <col min="12552" max="12552" width="7.85546875" style="9" customWidth="1"/>
    <col min="12553" max="12553" width="7.28515625" style="9" customWidth="1"/>
    <col min="12554" max="12554" width="11.7109375" style="9" bestFit="1" customWidth="1"/>
    <col min="12555" max="12555" width="14.42578125" style="9" customWidth="1"/>
    <col min="12556" max="12556" width="8.85546875" style="9"/>
    <col min="12557" max="12557" width="14.28515625" style="9" bestFit="1" customWidth="1"/>
    <col min="12558" max="12558" width="10" style="9" customWidth="1"/>
    <col min="12559" max="12790" width="8.85546875" style="9"/>
    <col min="12791" max="12791" width="1.140625" style="9" customWidth="1"/>
    <col min="12792" max="12792" width="3.28515625" style="9" customWidth="1"/>
    <col min="12793" max="12793" width="2.42578125" style="9" customWidth="1"/>
    <col min="12794" max="12794" width="2.5703125" style="9" customWidth="1"/>
    <col min="12795" max="12795" width="2.85546875" style="9" customWidth="1"/>
    <col min="12796" max="12796" width="3" style="9" customWidth="1"/>
    <col min="12797" max="12797" width="24.7109375" style="9" customWidth="1"/>
    <col min="12798" max="12798" width="7.85546875" style="9" customWidth="1"/>
    <col min="12799" max="12799" width="7.42578125" style="9" customWidth="1"/>
    <col min="12800" max="12800" width="11.140625" style="9" customWidth="1"/>
    <col min="12801" max="12801" width="14.42578125" style="9" customWidth="1"/>
    <col min="12802" max="12802" width="3.42578125" style="9" customWidth="1"/>
    <col min="12803" max="12803" width="3" style="9" customWidth="1"/>
    <col min="12804" max="12804" width="3.28515625" style="9" customWidth="1"/>
    <col min="12805" max="12805" width="3.140625" style="9" customWidth="1"/>
    <col min="12806" max="12806" width="3.42578125" style="9" customWidth="1"/>
    <col min="12807" max="12807" width="24.7109375" style="9" customWidth="1"/>
    <col min="12808" max="12808" width="7.85546875" style="9" customWidth="1"/>
    <col min="12809" max="12809" width="7.28515625" style="9" customWidth="1"/>
    <col min="12810" max="12810" width="11.7109375" style="9" bestFit="1" customWidth="1"/>
    <col min="12811" max="12811" width="14.42578125" style="9" customWidth="1"/>
    <col min="12812" max="12812" width="8.85546875" style="9"/>
    <col min="12813" max="12813" width="14.28515625" style="9" bestFit="1" customWidth="1"/>
    <col min="12814" max="12814" width="10" style="9" customWidth="1"/>
    <col min="12815" max="13046" width="8.85546875" style="9"/>
    <col min="13047" max="13047" width="1.140625" style="9" customWidth="1"/>
    <col min="13048" max="13048" width="3.28515625" style="9" customWidth="1"/>
    <col min="13049" max="13049" width="2.42578125" style="9" customWidth="1"/>
    <col min="13050" max="13050" width="2.5703125" style="9" customWidth="1"/>
    <col min="13051" max="13051" width="2.85546875" style="9" customWidth="1"/>
    <col min="13052" max="13052" width="3" style="9" customWidth="1"/>
    <col min="13053" max="13053" width="24.7109375" style="9" customWidth="1"/>
    <col min="13054" max="13054" width="7.85546875" style="9" customWidth="1"/>
    <col min="13055" max="13055" width="7.42578125" style="9" customWidth="1"/>
    <col min="13056" max="13056" width="11.140625" style="9" customWidth="1"/>
    <col min="13057" max="13057" width="14.42578125" style="9" customWidth="1"/>
    <col min="13058" max="13058" width="3.42578125" style="9" customWidth="1"/>
    <col min="13059" max="13059" width="3" style="9" customWidth="1"/>
    <col min="13060" max="13060" width="3.28515625" style="9" customWidth="1"/>
    <col min="13061" max="13061" width="3.140625" style="9" customWidth="1"/>
    <col min="13062" max="13062" width="3.42578125" style="9" customWidth="1"/>
    <col min="13063" max="13063" width="24.7109375" style="9" customWidth="1"/>
    <col min="13064" max="13064" width="7.85546875" style="9" customWidth="1"/>
    <col min="13065" max="13065" width="7.28515625" style="9" customWidth="1"/>
    <col min="13066" max="13066" width="11.7109375" style="9" bestFit="1" customWidth="1"/>
    <col min="13067" max="13067" width="14.42578125" style="9" customWidth="1"/>
    <col min="13068" max="13068" width="8.85546875" style="9"/>
    <col min="13069" max="13069" width="14.28515625" style="9" bestFit="1" customWidth="1"/>
    <col min="13070" max="13070" width="10" style="9" customWidth="1"/>
    <col min="13071" max="13302" width="8.85546875" style="9"/>
    <col min="13303" max="13303" width="1.140625" style="9" customWidth="1"/>
    <col min="13304" max="13304" width="3.28515625" style="9" customWidth="1"/>
    <col min="13305" max="13305" width="2.42578125" style="9" customWidth="1"/>
    <col min="13306" max="13306" width="2.5703125" style="9" customWidth="1"/>
    <col min="13307" max="13307" width="2.85546875" style="9" customWidth="1"/>
    <col min="13308" max="13308" width="3" style="9" customWidth="1"/>
    <col min="13309" max="13309" width="24.7109375" style="9" customWidth="1"/>
    <col min="13310" max="13310" width="7.85546875" style="9" customWidth="1"/>
    <col min="13311" max="13311" width="7.42578125" style="9" customWidth="1"/>
    <col min="13312" max="13312" width="11.140625" style="9" customWidth="1"/>
    <col min="13313" max="13313" width="14.42578125" style="9" customWidth="1"/>
    <col min="13314" max="13314" width="3.42578125" style="9" customWidth="1"/>
    <col min="13315" max="13315" width="3" style="9" customWidth="1"/>
    <col min="13316" max="13316" width="3.28515625" style="9" customWidth="1"/>
    <col min="13317" max="13317" width="3.140625" style="9" customWidth="1"/>
    <col min="13318" max="13318" width="3.42578125" style="9" customWidth="1"/>
    <col min="13319" max="13319" width="24.7109375" style="9" customWidth="1"/>
    <col min="13320" max="13320" width="7.85546875" style="9" customWidth="1"/>
    <col min="13321" max="13321" width="7.28515625" style="9" customWidth="1"/>
    <col min="13322" max="13322" width="11.7109375" style="9" bestFit="1" customWidth="1"/>
    <col min="13323" max="13323" width="14.42578125" style="9" customWidth="1"/>
    <col min="13324" max="13324" width="8.85546875" style="9"/>
    <col min="13325" max="13325" width="14.28515625" style="9" bestFit="1" customWidth="1"/>
    <col min="13326" max="13326" width="10" style="9" customWidth="1"/>
    <col min="13327" max="13558" width="8.85546875" style="9"/>
    <col min="13559" max="13559" width="1.140625" style="9" customWidth="1"/>
    <col min="13560" max="13560" width="3.28515625" style="9" customWidth="1"/>
    <col min="13561" max="13561" width="2.42578125" style="9" customWidth="1"/>
    <col min="13562" max="13562" width="2.5703125" style="9" customWidth="1"/>
    <col min="13563" max="13563" width="2.85546875" style="9" customWidth="1"/>
    <col min="13564" max="13564" width="3" style="9" customWidth="1"/>
    <col min="13565" max="13565" width="24.7109375" style="9" customWidth="1"/>
    <col min="13566" max="13566" width="7.85546875" style="9" customWidth="1"/>
    <col min="13567" max="13567" width="7.42578125" style="9" customWidth="1"/>
    <col min="13568" max="13568" width="11.140625" style="9" customWidth="1"/>
    <col min="13569" max="13569" width="14.42578125" style="9" customWidth="1"/>
    <col min="13570" max="13570" width="3.42578125" style="9" customWidth="1"/>
    <col min="13571" max="13571" width="3" style="9" customWidth="1"/>
    <col min="13572" max="13572" width="3.28515625" style="9" customWidth="1"/>
    <col min="13573" max="13573" width="3.140625" style="9" customWidth="1"/>
    <col min="13574" max="13574" width="3.42578125" style="9" customWidth="1"/>
    <col min="13575" max="13575" width="24.7109375" style="9" customWidth="1"/>
    <col min="13576" max="13576" width="7.85546875" style="9" customWidth="1"/>
    <col min="13577" max="13577" width="7.28515625" style="9" customWidth="1"/>
    <col min="13578" max="13578" width="11.7109375" style="9" bestFit="1" customWidth="1"/>
    <col min="13579" max="13579" width="14.42578125" style="9" customWidth="1"/>
    <col min="13580" max="13580" width="8.85546875" style="9"/>
    <col min="13581" max="13581" width="14.28515625" style="9" bestFit="1" customWidth="1"/>
    <col min="13582" max="13582" width="10" style="9" customWidth="1"/>
    <col min="13583" max="13814" width="8.85546875" style="9"/>
    <col min="13815" max="13815" width="1.140625" style="9" customWidth="1"/>
    <col min="13816" max="13816" width="3.28515625" style="9" customWidth="1"/>
    <col min="13817" max="13817" width="2.42578125" style="9" customWidth="1"/>
    <col min="13818" max="13818" width="2.5703125" style="9" customWidth="1"/>
    <col min="13819" max="13819" width="2.85546875" style="9" customWidth="1"/>
    <col min="13820" max="13820" width="3" style="9" customWidth="1"/>
    <col min="13821" max="13821" width="24.7109375" style="9" customWidth="1"/>
    <col min="13822" max="13822" width="7.85546875" style="9" customWidth="1"/>
    <col min="13823" max="13823" width="7.42578125" style="9" customWidth="1"/>
    <col min="13824" max="13824" width="11.140625" style="9" customWidth="1"/>
    <col min="13825" max="13825" width="14.42578125" style="9" customWidth="1"/>
    <col min="13826" max="13826" width="3.42578125" style="9" customWidth="1"/>
    <col min="13827" max="13827" width="3" style="9" customWidth="1"/>
    <col min="13828" max="13828" width="3.28515625" style="9" customWidth="1"/>
    <col min="13829" max="13829" width="3.140625" style="9" customWidth="1"/>
    <col min="13830" max="13830" width="3.42578125" style="9" customWidth="1"/>
    <col min="13831" max="13831" width="24.7109375" style="9" customWidth="1"/>
    <col min="13832" max="13832" width="7.85546875" style="9" customWidth="1"/>
    <col min="13833" max="13833" width="7.28515625" style="9" customWidth="1"/>
    <col min="13834" max="13834" width="11.7109375" style="9" bestFit="1" customWidth="1"/>
    <col min="13835" max="13835" width="14.42578125" style="9" customWidth="1"/>
    <col min="13836" max="13836" width="8.85546875" style="9"/>
    <col min="13837" max="13837" width="14.28515625" style="9" bestFit="1" customWidth="1"/>
    <col min="13838" max="13838" width="10" style="9" customWidth="1"/>
    <col min="13839" max="14070" width="8.85546875" style="9"/>
    <col min="14071" max="14071" width="1.140625" style="9" customWidth="1"/>
    <col min="14072" max="14072" width="3.28515625" style="9" customWidth="1"/>
    <col min="14073" max="14073" width="2.42578125" style="9" customWidth="1"/>
    <col min="14074" max="14074" width="2.5703125" style="9" customWidth="1"/>
    <col min="14075" max="14075" width="2.85546875" style="9" customWidth="1"/>
    <col min="14076" max="14076" width="3" style="9" customWidth="1"/>
    <col min="14077" max="14077" width="24.7109375" style="9" customWidth="1"/>
    <col min="14078" max="14078" width="7.85546875" style="9" customWidth="1"/>
    <col min="14079" max="14079" width="7.42578125" style="9" customWidth="1"/>
    <col min="14080" max="14080" width="11.140625" style="9" customWidth="1"/>
    <col min="14081" max="14081" width="14.42578125" style="9" customWidth="1"/>
    <col min="14082" max="14082" width="3.42578125" style="9" customWidth="1"/>
    <col min="14083" max="14083" width="3" style="9" customWidth="1"/>
    <col min="14084" max="14084" width="3.28515625" style="9" customWidth="1"/>
    <col min="14085" max="14085" width="3.140625" style="9" customWidth="1"/>
    <col min="14086" max="14086" width="3.42578125" style="9" customWidth="1"/>
    <col min="14087" max="14087" width="24.7109375" style="9" customWidth="1"/>
    <col min="14088" max="14088" width="7.85546875" style="9" customWidth="1"/>
    <col min="14089" max="14089" width="7.28515625" style="9" customWidth="1"/>
    <col min="14090" max="14090" width="11.7109375" style="9" bestFit="1" customWidth="1"/>
    <col min="14091" max="14091" width="14.42578125" style="9" customWidth="1"/>
    <col min="14092" max="14092" width="8.85546875" style="9"/>
    <col min="14093" max="14093" width="14.28515625" style="9" bestFit="1" customWidth="1"/>
    <col min="14094" max="14094" width="10" style="9" customWidth="1"/>
    <col min="14095" max="14326" width="8.85546875" style="9"/>
    <col min="14327" max="14327" width="1.140625" style="9" customWidth="1"/>
    <col min="14328" max="14328" width="3.28515625" style="9" customWidth="1"/>
    <col min="14329" max="14329" width="2.42578125" style="9" customWidth="1"/>
    <col min="14330" max="14330" width="2.5703125" style="9" customWidth="1"/>
    <col min="14331" max="14331" width="2.85546875" style="9" customWidth="1"/>
    <col min="14332" max="14332" width="3" style="9" customWidth="1"/>
    <col min="14333" max="14333" width="24.7109375" style="9" customWidth="1"/>
    <col min="14334" max="14334" width="7.85546875" style="9" customWidth="1"/>
    <col min="14335" max="14335" width="7.42578125" style="9" customWidth="1"/>
    <col min="14336" max="14336" width="11.140625" style="9" customWidth="1"/>
    <col min="14337" max="14337" width="14.42578125" style="9" customWidth="1"/>
    <col min="14338" max="14338" width="3.42578125" style="9" customWidth="1"/>
    <col min="14339" max="14339" width="3" style="9" customWidth="1"/>
    <col min="14340" max="14340" width="3.28515625" style="9" customWidth="1"/>
    <col min="14341" max="14341" width="3.140625" style="9" customWidth="1"/>
    <col min="14342" max="14342" width="3.42578125" style="9" customWidth="1"/>
    <col min="14343" max="14343" width="24.7109375" style="9" customWidth="1"/>
    <col min="14344" max="14344" width="7.85546875" style="9" customWidth="1"/>
    <col min="14345" max="14345" width="7.28515625" style="9" customWidth="1"/>
    <col min="14346" max="14346" width="11.7109375" style="9" bestFit="1" customWidth="1"/>
    <col min="14347" max="14347" width="14.42578125" style="9" customWidth="1"/>
    <col min="14348" max="14348" width="8.85546875" style="9"/>
    <col min="14349" max="14349" width="14.28515625" style="9" bestFit="1" customWidth="1"/>
    <col min="14350" max="14350" width="10" style="9" customWidth="1"/>
    <col min="14351" max="14582" width="8.85546875" style="9"/>
    <col min="14583" max="14583" width="1.140625" style="9" customWidth="1"/>
    <col min="14584" max="14584" width="3.28515625" style="9" customWidth="1"/>
    <col min="14585" max="14585" width="2.42578125" style="9" customWidth="1"/>
    <col min="14586" max="14586" width="2.5703125" style="9" customWidth="1"/>
    <col min="14587" max="14587" width="2.85546875" style="9" customWidth="1"/>
    <col min="14588" max="14588" width="3" style="9" customWidth="1"/>
    <col min="14589" max="14589" width="24.7109375" style="9" customWidth="1"/>
    <col min="14590" max="14590" width="7.85546875" style="9" customWidth="1"/>
    <col min="14591" max="14591" width="7.42578125" style="9" customWidth="1"/>
    <col min="14592" max="14592" width="11.140625" style="9" customWidth="1"/>
    <col min="14593" max="14593" width="14.42578125" style="9" customWidth="1"/>
    <col min="14594" max="14594" width="3.42578125" style="9" customWidth="1"/>
    <col min="14595" max="14595" width="3" style="9" customWidth="1"/>
    <col min="14596" max="14596" width="3.28515625" style="9" customWidth="1"/>
    <col min="14597" max="14597" width="3.140625" style="9" customWidth="1"/>
    <col min="14598" max="14598" width="3.42578125" style="9" customWidth="1"/>
    <col min="14599" max="14599" width="24.7109375" style="9" customWidth="1"/>
    <col min="14600" max="14600" width="7.85546875" style="9" customWidth="1"/>
    <col min="14601" max="14601" width="7.28515625" style="9" customWidth="1"/>
    <col min="14602" max="14602" width="11.7109375" style="9" bestFit="1" customWidth="1"/>
    <col min="14603" max="14603" width="14.42578125" style="9" customWidth="1"/>
    <col min="14604" max="14604" width="8.85546875" style="9"/>
    <col min="14605" max="14605" width="14.28515625" style="9" bestFit="1" customWidth="1"/>
    <col min="14606" max="14606" width="10" style="9" customWidth="1"/>
    <col min="14607" max="14838" width="8.85546875" style="9"/>
    <col min="14839" max="14839" width="1.140625" style="9" customWidth="1"/>
    <col min="14840" max="14840" width="3.28515625" style="9" customWidth="1"/>
    <col min="14841" max="14841" width="2.42578125" style="9" customWidth="1"/>
    <col min="14842" max="14842" width="2.5703125" style="9" customWidth="1"/>
    <col min="14843" max="14843" width="2.85546875" style="9" customWidth="1"/>
    <col min="14844" max="14844" width="3" style="9" customWidth="1"/>
    <col min="14845" max="14845" width="24.7109375" style="9" customWidth="1"/>
    <col min="14846" max="14846" width="7.85546875" style="9" customWidth="1"/>
    <col min="14847" max="14847" width="7.42578125" style="9" customWidth="1"/>
    <col min="14848" max="14848" width="11.140625" style="9" customWidth="1"/>
    <col min="14849" max="14849" width="14.42578125" style="9" customWidth="1"/>
    <col min="14850" max="14850" width="3.42578125" style="9" customWidth="1"/>
    <col min="14851" max="14851" width="3" style="9" customWidth="1"/>
    <col min="14852" max="14852" width="3.28515625" style="9" customWidth="1"/>
    <col min="14853" max="14853" width="3.140625" style="9" customWidth="1"/>
    <col min="14854" max="14854" width="3.42578125" style="9" customWidth="1"/>
    <col min="14855" max="14855" width="24.7109375" style="9" customWidth="1"/>
    <col min="14856" max="14856" width="7.85546875" style="9" customWidth="1"/>
    <col min="14857" max="14857" width="7.28515625" style="9" customWidth="1"/>
    <col min="14858" max="14858" width="11.7109375" style="9" bestFit="1" customWidth="1"/>
    <col min="14859" max="14859" width="14.42578125" style="9" customWidth="1"/>
    <col min="14860" max="14860" width="8.85546875" style="9"/>
    <col min="14861" max="14861" width="14.28515625" style="9" bestFit="1" customWidth="1"/>
    <col min="14862" max="14862" width="10" style="9" customWidth="1"/>
    <col min="14863" max="15094" width="8.85546875" style="9"/>
    <col min="15095" max="15095" width="1.140625" style="9" customWidth="1"/>
    <col min="15096" max="15096" width="3.28515625" style="9" customWidth="1"/>
    <col min="15097" max="15097" width="2.42578125" style="9" customWidth="1"/>
    <col min="15098" max="15098" width="2.5703125" style="9" customWidth="1"/>
    <col min="15099" max="15099" width="2.85546875" style="9" customWidth="1"/>
    <col min="15100" max="15100" width="3" style="9" customWidth="1"/>
    <col min="15101" max="15101" width="24.7109375" style="9" customWidth="1"/>
    <col min="15102" max="15102" width="7.85546875" style="9" customWidth="1"/>
    <col min="15103" max="15103" width="7.42578125" style="9" customWidth="1"/>
    <col min="15104" max="15104" width="11.140625" style="9" customWidth="1"/>
    <col min="15105" max="15105" width="14.42578125" style="9" customWidth="1"/>
    <col min="15106" max="15106" width="3.42578125" style="9" customWidth="1"/>
    <col min="15107" max="15107" width="3" style="9" customWidth="1"/>
    <col min="15108" max="15108" width="3.28515625" style="9" customWidth="1"/>
    <col min="15109" max="15109" width="3.140625" style="9" customWidth="1"/>
    <col min="15110" max="15110" width="3.42578125" style="9" customWidth="1"/>
    <col min="15111" max="15111" width="24.7109375" style="9" customWidth="1"/>
    <col min="15112" max="15112" width="7.85546875" style="9" customWidth="1"/>
    <col min="15113" max="15113" width="7.28515625" style="9" customWidth="1"/>
    <col min="15114" max="15114" width="11.7109375" style="9" bestFit="1" customWidth="1"/>
    <col min="15115" max="15115" width="14.42578125" style="9" customWidth="1"/>
    <col min="15116" max="15116" width="8.85546875" style="9"/>
    <col min="15117" max="15117" width="14.28515625" style="9" bestFit="1" customWidth="1"/>
    <col min="15118" max="15118" width="10" style="9" customWidth="1"/>
    <col min="15119" max="15350" width="8.85546875" style="9"/>
    <col min="15351" max="15351" width="1.140625" style="9" customWidth="1"/>
    <col min="15352" max="15352" width="3.28515625" style="9" customWidth="1"/>
    <col min="15353" max="15353" width="2.42578125" style="9" customWidth="1"/>
    <col min="15354" max="15354" width="2.5703125" style="9" customWidth="1"/>
    <col min="15355" max="15355" width="2.85546875" style="9" customWidth="1"/>
    <col min="15356" max="15356" width="3" style="9" customWidth="1"/>
    <col min="15357" max="15357" width="24.7109375" style="9" customWidth="1"/>
    <col min="15358" max="15358" width="7.85546875" style="9" customWidth="1"/>
    <col min="15359" max="15359" width="7.42578125" style="9" customWidth="1"/>
    <col min="15360" max="15360" width="11.140625" style="9" customWidth="1"/>
    <col min="15361" max="15361" width="14.42578125" style="9" customWidth="1"/>
    <col min="15362" max="15362" width="3.42578125" style="9" customWidth="1"/>
    <col min="15363" max="15363" width="3" style="9" customWidth="1"/>
    <col min="15364" max="15364" width="3.28515625" style="9" customWidth="1"/>
    <col min="15365" max="15365" width="3.140625" style="9" customWidth="1"/>
    <col min="15366" max="15366" width="3.42578125" style="9" customWidth="1"/>
    <col min="15367" max="15367" width="24.7109375" style="9" customWidth="1"/>
    <col min="15368" max="15368" width="7.85546875" style="9" customWidth="1"/>
    <col min="15369" max="15369" width="7.28515625" style="9" customWidth="1"/>
    <col min="15370" max="15370" width="11.7109375" style="9" bestFit="1" customWidth="1"/>
    <col min="15371" max="15371" width="14.42578125" style="9" customWidth="1"/>
    <col min="15372" max="15372" width="8.85546875" style="9"/>
    <col min="15373" max="15373" width="14.28515625" style="9" bestFit="1" customWidth="1"/>
    <col min="15374" max="15374" width="10" style="9" customWidth="1"/>
    <col min="15375" max="15606" width="8.85546875" style="9"/>
    <col min="15607" max="15607" width="1.140625" style="9" customWidth="1"/>
    <col min="15608" max="15608" width="3.28515625" style="9" customWidth="1"/>
    <col min="15609" max="15609" width="2.42578125" style="9" customWidth="1"/>
    <col min="15610" max="15610" width="2.5703125" style="9" customWidth="1"/>
    <col min="15611" max="15611" width="2.85546875" style="9" customWidth="1"/>
    <col min="15612" max="15612" width="3" style="9" customWidth="1"/>
    <col min="15613" max="15613" width="24.7109375" style="9" customWidth="1"/>
    <col min="15614" max="15614" width="7.85546875" style="9" customWidth="1"/>
    <col min="15615" max="15615" width="7.42578125" style="9" customWidth="1"/>
    <col min="15616" max="15616" width="11.140625" style="9" customWidth="1"/>
    <col min="15617" max="15617" width="14.42578125" style="9" customWidth="1"/>
    <col min="15618" max="15618" width="3.42578125" style="9" customWidth="1"/>
    <col min="15619" max="15619" width="3" style="9" customWidth="1"/>
    <col min="15620" max="15620" width="3.28515625" style="9" customWidth="1"/>
    <col min="15621" max="15621" width="3.140625" style="9" customWidth="1"/>
    <col min="15622" max="15622" width="3.42578125" style="9" customWidth="1"/>
    <col min="15623" max="15623" width="24.7109375" style="9" customWidth="1"/>
    <col min="15624" max="15624" width="7.85546875" style="9" customWidth="1"/>
    <col min="15625" max="15625" width="7.28515625" style="9" customWidth="1"/>
    <col min="15626" max="15626" width="11.7109375" style="9" bestFit="1" customWidth="1"/>
    <col min="15627" max="15627" width="14.42578125" style="9" customWidth="1"/>
    <col min="15628" max="15628" width="8.85546875" style="9"/>
    <col min="15629" max="15629" width="14.28515625" style="9" bestFit="1" customWidth="1"/>
    <col min="15630" max="15630" width="10" style="9" customWidth="1"/>
    <col min="15631" max="15862" width="8.85546875" style="9"/>
    <col min="15863" max="15863" width="1.140625" style="9" customWidth="1"/>
    <col min="15864" max="15864" width="3.28515625" style="9" customWidth="1"/>
    <col min="15865" max="15865" width="2.42578125" style="9" customWidth="1"/>
    <col min="15866" max="15866" width="2.5703125" style="9" customWidth="1"/>
    <col min="15867" max="15867" width="2.85546875" style="9" customWidth="1"/>
    <col min="15868" max="15868" width="3" style="9" customWidth="1"/>
    <col min="15869" max="15869" width="24.7109375" style="9" customWidth="1"/>
    <col min="15870" max="15870" width="7.85546875" style="9" customWidth="1"/>
    <col min="15871" max="15871" width="7.42578125" style="9" customWidth="1"/>
    <col min="15872" max="15872" width="11.140625" style="9" customWidth="1"/>
    <col min="15873" max="15873" width="14.42578125" style="9" customWidth="1"/>
    <col min="15874" max="15874" width="3.42578125" style="9" customWidth="1"/>
    <col min="15875" max="15875" width="3" style="9" customWidth="1"/>
    <col min="15876" max="15876" width="3.28515625" style="9" customWidth="1"/>
    <col min="15877" max="15877" width="3.140625" style="9" customWidth="1"/>
    <col min="15878" max="15878" width="3.42578125" style="9" customWidth="1"/>
    <col min="15879" max="15879" width="24.7109375" style="9" customWidth="1"/>
    <col min="15880" max="15880" width="7.85546875" style="9" customWidth="1"/>
    <col min="15881" max="15881" width="7.28515625" style="9" customWidth="1"/>
    <col min="15882" max="15882" width="11.7109375" style="9" bestFit="1" customWidth="1"/>
    <col min="15883" max="15883" width="14.42578125" style="9" customWidth="1"/>
    <col min="15884" max="15884" width="8.85546875" style="9"/>
    <col min="15885" max="15885" width="14.28515625" style="9" bestFit="1" customWidth="1"/>
    <col min="15886" max="15886" width="10" style="9" customWidth="1"/>
    <col min="15887" max="16118" width="8.85546875" style="9"/>
    <col min="16119" max="16119" width="1.140625" style="9" customWidth="1"/>
    <col min="16120" max="16120" width="3.28515625" style="9" customWidth="1"/>
    <col min="16121" max="16121" width="2.42578125" style="9" customWidth="1"/>
    <col min="16122" max="16122" width="2.5703125" style="9" customWidth="1"/>
    <col min="16123" max="16123" width="2.85546875" style="9" customWidth="1"/>
    <col min="16124" max="16124" width="3" style="9" customWidth="1"/>
    <col min="16125" max="16125" width="24.7109375" style="9" customWidth="1"/>
    <col min="16126" max="16126" width="7.85546875" style="9" customWidth="1"/>
    <col min="16127" max="16127" width="7.42578125" style="9" customWidth="1"/>
    <col min="16128" max="16128" width="11.140625" style="9" customWidth="1"/>
    <col min="16129" max="16129" width="14.42578125" style="9" customWidth="1"/>
    <col min="16130" max="16130" width="3.42578125" style="9" customWidth="1"/>
    <col min="16131" max="16131" width="3" style="9" customWidth="1"/>
    <col min="16132" max="16132" width="3.28515625" style="9" customWidth="1"/>
    <col min="16133" max="16133" width="3.140625" style="9" customWidth="1"/>
    <col min="16134" max="16134" width="3.42578125" style="9" customWidth="1"/>
    <col min="16135" max="16135" width="24.7109375" style="9" customWidth="1"/>
    <col min="16136" max="16136" width="7.85546875" style="9" customWidth="1"/>
    <col min="16137" max="16137" width="7.28515625" style="9" customWidth="1"/>
    <col min="16138" max="16138" width="11.7109375" style="9" bestFit="1" customWidth="1"/>
    <col min="16139" max="16139" width="14.42578125" style="9" customWidth="1"/>
    <col min="16140" max="16140" width="8.85546875" style="9"/>
    <col min="16141" max="16141" width="14.28515625" style="9" bestFit="1" customWidth="1"/>
    <col min="16142" max="16142" width="10" style="9" customWidth="1"/>
    <col min="16143" max="16384" width="8.85546875" style="9"/>
  </cols>
  <sheetData>
    <row r="1" spans="2:1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1" ht="16.5" customHeight="1">
      <c r="B3" s="3323"/>
      <c r="C3" s="3324"/>
      <c r="D3" s="3324"/>
      <c r="E3" s="3330" t="s">
        <v>2</v>
      </c>
      <c r="F3" s="3331"/>
      <c r="G3" s="3331"/>
      <c r="H3" s="3332"/>
      <c r="I3" s="3355"/>
      <c r="J3" s="3356"/>
      <c r="K3" s="12" t="s">
        <v>3</v>
      </c>
    </row>
    <row r="4" spans="2:1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1">
      <c r="B5" s="3490" t="s">
        <v>31</v>
      </c>
      <c r="C5" s="3362"/>
      <c r="D5" s="3362"/>
      <c r="E5" s="3362"/>
      <c r="F5" s="3362"/>
      <c r="G5" s="3362" t="s">
        <v>38</v>
      </c>
      <c r="H5" s="3362"/>
      <c r="I5" s="3362"/>
      <c r="J5" s="3362"/>
      <c r="K5" s="3363"/>
    </row>
    <row r="6" spans="2:1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1" s="13" customFormat="1" ht="30" customHeight="1">
      <c r="B7" s="3648" t="s">
        <v>33</v>
      </c>
      <c r="C7" s="3649"/>
      <c r="D7" s="3649"/>
      <c r="E7" s="3649"/>
      <c r="F7" s="3649"/>
      <c r="G7" s="3650" t="s">
        <v>83</v>
      </c>
      <c r="H7" s="3650"/>
      <c r="I7" s="3650"/>
      <c r="J7" s="3650"/>
      <c r="K7" s="3651"/>
    </row>
    <row r="8" spans="2:11" ht="15" customHeight="1">
      <c r="B8" s="3341" t="s">
        <v>34</v>
      </c>
      <c r="C8" s="3339"/>
      <c r="D8" s="3339"/>
      <c r="E8" s="3339"/>
      <c r="F8" s="3339"/>
      <c r="G8" s="3339" t="s">
        <v>1194</v>
      </c>
      <c r="H8" s="3339"/>
      <c r="I8" s="3339"/>
      <c r="J8" s="3339"/>
      <c r="K8" s="3340"/>
    </row>
    <row r="9" spans="2:1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1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11">
      <c r="B11" s="3314" t="s">
        <v>37</v>
      </c>
      <c r="C11" s="3315"/>
      <c r="D11" s="3315"/>
      <c r="E11" s="3315"/>
      <c r="F11" s="3315"/>
      <c r="G11" s="3315" t="s">
        <v>108</v>
      </c>
      <c r="H11" s="3315"/>
      <c r="I11" s="3315"/>
      <c r="J11" s="3315"/>
      <c r="K11" s="3316"/>
    </row>
    <row r="12" spans="2:11">
      <c r="B12" s="3634" t="s">
        <v>89</v>
      </c>
      <c r="C12" s="3635"/>
      <c r="D12" s="3635"/>
      <c r="E12" s="3635"/>
      <c r="F12" s="3635"/>
      <c r="G12" s="3635"/>
      <c r="H12" s="3635"/>
      <c r="I12" s="3635"/>
      <c r="J12" s="3635"/>
      <c r="K12" s="3636"/>
    </row>
    <row r="13" spans="2:11">
      <c r="B13" s="3634" t="s">
        <v>5</v>
      </c>
      <c r="C13" s="3635"/>
      <c r="D13" s="3635"/>
      <c r="E13" s="3635"/>
      <c r="F13" s="3637"/>
      <c r="G13" s="3638" t="s">
        <v>90</v>
      </c>
      <c r="H13" s="3639"/>
      <c r="I13" s="3638" t="s">
        <v>7</v>
      </c>
      <c r="J13" s="3640"/>
      <c r="K13" s="3641"/>
    </row>
    <row r="14" spans="2:11" ht="16.5" customHeight="1">
      <c r="B14" s="3387" t="s">
        <v>8</v>
      </c>
      <c r="C14" s="3388"/>
      <c r="D14" s="3388"/>
      <c r="E14" s="3388"/>
      <c r="F14" s="3389"/>
      <c r="G14" s="3350" t="s">
        <v>1217</v>
      </c>
      <c r="H14" s="3351"/>
      <c r="I14" s="3390">
        <v>1</v>
      </c>
      <c r="J14" s="3348"/>
      <c r="K14" s="3391"/>
    </row>
    <row r="15" spans="2:11">
      <c r="B15" s="3397" t="s">
        <v>9</v>
      </c>
      <c r="C15" s="3348"/>
      <c r="D15" s="3348"/>
      <c r="E15" s="3348"/>
      <c r="F15" s="3349"/>
      <c r="G15" s="3398" t="s">
        <v>47</v>
      </c>
      <c r="H15" s="3353"/>
      <c r="I15" s="3344">
        <f>K24</f>
        <v>3229406741</v>
      </c>
      <c r="J15" s="3345"/>
      <c r="K15" s="3346"/>
    </row>
    <row r="16" spans="2:11" ht="16.5" customHeight="1">
      <c r="B16" s="3347" t="s">
        <v>10</v>
      </c>
      <c r="C16" s="3348"/>
      <c r="D16" s="3348"/>
      <c r="E16" s="3348"/>
      <c r="F16" s="3349"/>
      <c r="G16" s="3350" t="s">
        <v>1216</v>
      </c>
      <c r="H16" s="3351"/>
      <c r="I16" s="3352">
        <v>1</v>
      </c>
      <c r="J16" s="3353"/>
      <c r="K16" s="3354"/>
    </row>
    <row r="17" spans="2:18" ht="15" customHeight="1">
      <c r="B17" s="3347" t="s">
        <v>11</v>
      </c>
      <c r="C17" s="3348"/>
      <c r="D17" s="3348"/>
      <c r="E17" s="3348"/>
      <c r="F17" s="3349"/>
      <c r="G17" s="3350" t="s">
        <v>1219</v>
      </c>
      <c r="H17" s="3351"/>
      <c r="I17" s="3352">
        <v>1</v>
      </c>
      <c r="J17" s="3353"/>
      <c r="K17" s="3354"/>
    </row>
    <row r="18" spans="2:18">
      <c r="B18" s="3486" t="s">
        <v>1218</v>
      </c>
      <c r="C18" s="3487"/>
      <c r="D18" s="3487"/>
      <c r="E18" s="3487"/>
      <c r="F18" s="3487"/>
      <c r="G18" s="3487"/>
      <c r="H18" s="3487"/>
      <c r="I18" s="3487"/>
      <c r="J18" s="3487"/>
      <c r="K18" s="3488"/>
    </row>
    <row r="19" spans="2:18" ht="16.5" customHeight="1">
      <c r="B19" s="3645" t="s">
        <v>87</v>
      </c>
      <c r="C19" s="3646"/>
      <c r="D19" s="3646"/>
      <c r="E19" s="3646"/>
      <c r="F19" s="3646"/>
      <c r="G19" s="3646"/>
      <c r="H19" s="3646"/>
      <c r="I19" s="3646"/>
      <c r="J19" s="3646"/>
      <c r="K19" s="3647"/>
      <c r="L19" s="564"/>
      <c r="M19" s="305"/>
      <c r="N19" s="305"/>
      <c r="O19" s="305"/>
      <c r="P19" s="305"/>
      <c r="Q19" s="303"/>
      <c r="R19" s="303"/>
    </row>
    <row r="20" spans="2:18" ht="15" customHeight="1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  <c r="L20" s="3399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608" t="s">
        <v>17</v>
      </c>
      <c r="L21" s="605"/>
      <c r="M21" s="1526"/>
      <c r="N21" s="1526"/>
      <c r="O21" s="1526"/>
      <c r="P21" s="1526"/>
      <c r="Q21" s="1526"/>
      <c r="R21" s="3378"/>
    </row>
    <row r="22" spans="2:18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1524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18">
      <c r="B23" s="3364">
        <v>1</v>
      </c>
      <c r="C23" s="3358"/>
      <c r="D23" s="3358"/>
      <c r="E23" s="3358"/>
      <c r="F23" s="3365"/>
      <c r="G23" s="425">
        <v>2</v>
      </c>
      <c r="H23" s="368">
        <v>3</v>
      </c>
      <c r="I23" s="368">
        <v>4</v>
      </c>
      <c r="J23" s="368">
        <v>5</v>
      </c>
      <c r="K23" s="426" t="s">
        <v>22</v>
      </c>
      <c r="L23" s="605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18" ht="12.75" customHeight="1">
      <c r="B24" s="429">
        <v>5</v>
      </c>
      <c r="C24" s="424">
        <v>2</v>
      </c>
      <c r="D24" s="424"/>
      <c r="E24" s="424"/>
      <c r="F24" s="424"/>
      <c r="G24" s="396" t="s">
        <v>23</v>
      </c>
      <c r="H24" s="591"/>
      <c r="I24" s="396"/>
      <c r="J24" s="396"/>
      <c r="K24" s="648">
        <f>+K25</f>
        <v>3229406741</v>
      </c>
      <c r="L24" s="564"/>
      <c r="M24" s="305"/>
      <c r="N24" s="305"/>
      <c r="O24" s="305"/>
      <c r="P24" s="305"/>
      <c r="Q24" s="303"/>
      <c r="R24" s="303"/>
    </row>
    <row r="25" spans="2:18" ht="12.75" customHeight="1">
      <c r="B25" s="429">
        <v>5</v>
      </c>
      <c r="C25" s="424">
        <v>2</v>
      </c>
      <c r="D25" s="424">
        <v>3</v>
      </c>
      <c r="E25" s="424"/>
      <c r="F25" s="424"/>
      <c r="G25" s="396" t="s">
        <v>78</v>
      </c>
      <c r="H25" s="599"/>
      <c r="I25" s="391"/>
      <c r="J25" s="391"/>
      <c r="K25" s="648">
        <f>K26+K79+K85</f>
        <v>3229406741</v>
      </c>
      <c r="L25" s="564"/>
      <c r="M25" s="305"/>
      <c r="N25" s="305"/>
      <c r="O25" s="305"/>
      <c r="P25" s="305"/>
      <c r="Q25" s="306"/>
      <c r="R25" s="306"/>
    </row>
    <row r="26" spans="2:18" s="27" customFormat="1" ht="15">
      <c r="B26" s="36">
        <v>5</v>
      </c>
      <c r="C26" s="37">
        <v>2</v>
      </c>
      <c r="D26" s="37">
        <v>3</v>
      </c>
      <c r="E26" s="38">
        <v>34</v>
      </c>
      <c r="F26" s="17"/>
      <c r="G26" s="49" t="s">
        <v>342</v>
      </c>
      <c r="H26" s="652"/>
      <c r="I26" s="586"/>
      <c r="J26" s="587"/>
      <c r="K26" s="1197">
        <f>K27+K45+K49+K54+K57+K60+K67+K70+K75</f>
        <v>2693397841</v>
      </c>
      <c r="L26" s="386"/>
      <c r="M26" s="329"/>
      <c r="N26" s="330"/>
      <c r="O26" s="330"/>
      <c r="P26" s="330"/>
      <c r="Q26" s="319"/>
      <c r="R26" s="306"/>
    </row>
    <row r="27" spans="2:18" s="27" customFormat="1" ht="15">
      <c r="B27" s="36">
        <v>5</v>
      </c>
      <c r="C27" s="37">
        <v>2</v>
      </c>
      <c r="D27" s="37">
        <v>3</v>
      </c>
      <c r="E27" s="38">
        <v>34</v>
      </c>
      <c r="F27" s="178" t="s">
        <v>24</v>
      </c>
      <c r="G27" s="52" t="s">
        <v>515</v>
      </c>
      <c r="H27" s="652"/>
      <c r="I27" s="586"/>
      <c r="J27" s="587"/>
      <c r="K27" s="1197">
        <f>SUM(K28:K43)</f>
        <v>1694443868</v>
      </c>
      <c r="L27" s="386"/>
      <c r="M27" s="329"/>
      <c r="N27" s="330"/>
      <c r="O27" s="330"/>
      <c r="P27" s="330"/>
      <c r="Q27" s="319"/>
      <c r="R27" s="378"/>
    </row>
    <row r="28" spans="2:18" s="2819" customFormat="1" ht="15">
      <c r="B28" s="2496"/>
      <c r="C28" s="2497"/>
      <c r="D28" s="2497"/>
      <c r="E28" s="2571"/>
      <c r="F28" s="2571">
        <v>1</v>
      </c>
      <c r="G28" s="2824" t="s">
        <v>1186</v>
      </c>
      <c r="H28" s="2826">
        <v>5</v>
      </c>
      <c r="I28" s="2500" t="s">
        <v>85</v>
      </c>
      <c r="J28" s="2532">
        <v>10508000</v>
      </c>
      <c r="K28" s="2625">
        <f t="shared" ref="K28:K30" si="0">H28*J28</f>
        <v>52540000</v>
      </c>
      <c r="L28" s="2850"/>
      <c r="M28" s="2854">
        <f>K28</f>
        <v>52540000</v>
      </c>
      <c r="N28" s="2855"/>
      <c r="O28" s="2855"/>
      <c r="P28" s="2855"/>
      <c r="Q28" s="2855"/>
      <c r="R28" s="2855"/>
    </row>
    <row r="29" spans="2:18" s="179" customFormat="1" ht="15">
      <c r="B29" s="458"/>
      <c r="C29" s="380"/>
      <c r="D29" s="380"/>
      <c r="E29" s="459"/>
      <c r="F29" s="459">
        <v>2</v>
      </c>
      <c r="G29" s="1415" t="s">
        <v>1187</v>
      </c>
      <c r="H29" s="645">
        <v>1</v>
      </c>
      <c r="I29" s="393" t="s">
        <v>85</v>
      </c>
      <c r="J29" s="1937">
        <v>24622000</v>
      </c>
      <c r="K29" s="1165">
        <f t="shared" si="0"/>
        <v>24622000</v>
      </c>
      <c r="L29" s="1934"/>
      <c r="M29" s="1935">
        <f>K29</f>
        <v>24622000</v>
      </c>
      <c r="N29" s="1936"/>
      <c r="O29" s="1936"/>
      <c r="P29" s="1936"/>
      <c r="Q29" s="1936"/>
      <c r="R29" s="1936"/>
    </row>
    <row r="30" spans="2:18" s="179" customFormat="1" ht="15.75">
      <c r="B30" s="19"/>
      <c r="C30" s="15"/>
      <c r="D30" s="15"/>
      <c r="E30" s="28"/>
      <c r="F30" s="459">
        <v>3</v>
      </c>
      <c r="G30" s="929" t="s">
        <v>1188</v>
      </c>
      <c r="H30" s="645">
        <v>1</v>
      </c>
      <c r="I30" s="930" t="s">
        <v>85</v>
      </c>
      <c r="J30" s="1198">
        <v>98814000</v>
      </c>
      <c r="K30" s="1938">
        <f t="shared" si="0"/>
        <v>98814000</v>
      </c>
      <c r="L30" s="1939"/>
      <c r="M30" s="1940">
        <f t="shared" ref="M30" si="1">K30</f>
        <v>98814000</v>
      </c>
      <c r="N30" s="1941"/>
      <c r="O30" s="1942"/>
      <c r="P30" s="1941"/>
      <c r="Q30" s="1941"/>
      <c r="R30" s="1941"/>
    </row>
    <row r="31" spans="2:18" s="2819" customFormat="1">
      <c r="B31" s="2766"/>
      <c r="C31" s="2497"/>
      <c r="D31" s="2497"/>
      <c r="E31" s="2571"/>
      <c r="F31" s="2571">
        <v>4</v>
      </c>
      <c r="G31" s="2498" t="s">
        <v>1455</v>
      </c>
      <c r="H31" s="2826">
        <v>12</v>
      </c>
      <c r="I31" s="2497" t="s">
        <v>85</v>
      </c>
      <c r="J31" s="2516">
        <v>5750000</v>
      </c>
      <c r="K31" s="2849">
        <f t="shared" ref="K31:K35" si="2">H31*J31</f>
        <v>69000000</v>
      </c>
      <c r="L31" s="2850"/>
      <c r="M31" s="2851">
        <f>K31</f>
        <v>69000000</v>
      </c>
      <c r="N31" s="2850"/>
      <c r="O31" s="2850"/>
      <c r="P31" s="2850"/>
      <c r="Q31" s="2852"/>
      <c r="R31" s="2852"/>
    </row>
    <row r="32" spans="2:18" s="179" customFormat="1">
      <c r="B32" s="1432"/>
      <c r="C32" s="380"/>
      <c r="D32" s="380"/>
      <c r="E32" s="459"/>
      <c r="F32" s="459">
        <v>5</v>
      </c>
      <c r="G32" s="391" t="s">
        <v>1452</v>
      </c>
      <c r="H32" s="645">
        <v>5</v>
      </c>
      <c r="I32" s="380" t="s">
        <v>85</v>
      </c>
      <c r="J32" s="456">
        <v>2500000</v>
      </c>
      <c r="K32" s="1516">
        <f t="shared" si="2"/>
        <v>12500000</v>
      </c>
      <c r="L32" s="1934"/>
      <c r="M32" s="1943">
        <f t="shared" ref="M32:M35" si="3">K32</f>
        <v>12500000</v>
      </c>
      <c r="N32" s="1934"/>
      <c r="O32" s="1934"/>
      <c r="P32" s="1934"/>
      <c r="Q32" s="1944"/>
      <c r="R32" s="1944"/>
    </row>
    <row r="33" spans="2:18" s="179" customFormat="1">
      <c r="B33" s="1432"/>
      <c r="C33" s="380"/>
      <c r="D33" s="380"/>
      <c r="E33" s="459"/>
      <c r="F33" s="459">
        <v>6</v>
      </c>
      <c r="G33" s="391" t="s">
        <v>1453</v>
      </c>
      <c r="H33" s="645">
        <v>5</v>
      </c>
      <c r="I33" s="380" t="s">
        <v>85</v>
      </c>
      <c r="J33" s="456">
        <v>2500000</v>
      </c>
      <c r="K33" s="1516">
        <f t="shared" ref="K33" si="4">H33*J33</f>
        <v>12500000</v>
      </c>
      <c r="L33" s="1934"/>
      <c r="M33" s="1943">
        <f t="shared" ref="M33" si="5">K33</f>
        <v>12500000</v>
      </c>
      <c r="N33" s="1934"/>
      <c r="O33" s="1934"/>
      <c r="P33" s="1934"/>
      <c r="Q33" s="1944"/>
      <c r="R33" s="1944"/>
    </row>
    <row r="34" spans="2:18" s="179" customFormat="1">
      <c r="B34" s="1432"/>
      <c r="C34" s="380"/>
      <c r="D34" s="380"/>
      <c r="E34" s="459"/>
      <c r="F34" s="459">
        <v>7</v>
      </c>
      <c r="G34" s="391" t="s">
        <v>1189</v>
      </c>
      <c r="H34" s="645">
        <v>4</v>
      </c>
      <c r="I34" s="380" t="s">
        <v>85</v>
      </c>
      <c r="J34" s="456">
        <v>11000000</v>
      </c>
      <c r="K34" s="1516">
        <f t="shared" si="2"/>
        <v>44000000</v>
      </c>
      <c r="L34" s="1934"/>
      <c r="M34" s="1943">
        <f t="shared" si="3"/>
        <v>44000000</v>
      </c>
      <c r="N34" s="1934"/>
      <c r="O34" s="1934"/>
      <c r="P34" s="1934"/>
      <c r="Q34" s="1944"/>
      <c r="R34" s="1944"/>
    </row>
    <row r="35" spans="2:18" s="179" customFormat="1">
      <c r="B35" s="1432"/>
      <c r="C35" s="380"/>
      <c r="D35" s="380"/>
      <c r="E35" s="459"/>
      <c r="F35" s="459">
        <v>8</v>
      </c>
      <c r="G35" s="391" t="s">
        <v>1190</v>
      </c>
      <c r="H35" s="645"/>
      <c r="I35" s="380" t="s">
        <v>85</v>
      </c>
      <c r="J35" s="456">
        <v>800000</v>
      </c>
      <c r="K35" s="1516">
        <f t="shared" si="2"/>
        <v>0</v>
      </c>
      <c r="L35" s="1934"/>
      <c r="M35" s="1943">
        <f t="shared" si="3"/>
        <v>0</v>
      </c>
      <c r="N35" s="1934"/>
      <c r="O35" s="1934"/>
      <c r="P35" s="1934"/>
      <c r="Q35" s="1944"/>
      <c r="R35" s="1944"/>
    </row>
    <row r="36" spans="2:18" s="2819" customFormat="1">
      <c r="B36" s="2766"/>
      <c r="C36" s="2497"/>
      <c r="D36" s="2497"/>
      <c r="E36" s="2571"/>
      <c r="F36" s="2571">
        <v>9</v>
      </c>
      <c r="G36" s="2498" t="s">
        <v>1876</v>
      </c>
      <c r="H36" s="2826">
        <v>7</v>
      </c>
      <c r="I36" s="2497" t="s">
        <v>85</v>
      </c>
      <c r="J36" s="2532">
        <v>34725000</v>
      </c>
      <c r="K36" s="2849">
        <f t="shared" ref="K36:K37" si="6">H36*J36</f>
        <v>243075000</v>
      </c>
      <c r="L36" s="2850"/>
      <c r="M36" s="2851">
        <f t="shared" ref="M36" si="7">K36</f>
        <v>243075000</v>
      </c>
      <c r="N36" s="2850"/>
      <c r="O36" s="2850"/>
      <c r="P36" s="2850"/>
      <c r="Q36" s="2852"/>
      <c r="R36" s="2853"/>
    </row>
    <row r="37" spans="2:18" ht="15">
      <c r="B37" s="346"/>
      <c r="C37" s="371"/>
      <c r="D37" s="371"/>
      <c r="E37" s="372"/>
      <c r="F37" s="459">
        <v>10</v>
      </c>
      <c r="G37" s="1434" t="s">
        <v>1877</v>
      </c>
      <c r="H37" s="1435">
        <v>1</v>
      </c>
      <c r="I37" s="1436" t="s">
        <v>85</v>
      </c>
      <c r="J37" s="897">
        <v>4000000</v>
      </c>
      <c r="K37" s="1430">
        <f t="shared" si="6"/>
        <v>4000000</v>
      </c>
      <c r="L37" s="377"/>
      <c r="M37" s="668">
        <f t="shared" ref="M37:M43" si="8">K37</f>
        <v>4000000</v>
      </c>
      <c r="N37" s="319"/>
      <c r="O37" s="1438"/>
      <c r="P37" s="319"/>
      <c r="Q37" s="319"/>
      <c r="R37" s="378"/>
    </row>
    <row r="38" spans="2:18" s="2033" customFormat="1" ht="15">
      <c r="B38" s="2606"/>
      <c r="C38" s="2485"/>
      <c r="D38" s="2485"/>
      <c r="E38" s="2486"/>
      <c r="F38" s="2571">
        <v>11</v>
      </c>
      <c r="G38" s="2562" t="s">
        <v>1878</v>
      </c>
      <c r="H38" s="2856">
        <v>6</v>
      </c>
      <c r="I38" s="2497" t="s">
        <v>85</v>
      </c>
      <c r="J38" s="2857">
        <v>7947472</v>
      </c>
      <c r="K38" s="2858">
        <f>H38*J38</f>
        <v>47684832</v>
      </c>
      <c r="L38" s="2492"/>
      <c r="M38" s="2859">
        <f t="shared" si="8"/>
        <v>47684832</v>
      </c>
      <c r="N38" s="2860"/>
      <c r="O38" s="2860"/>
      <c r="P38" s="2580"/>
      <c r="Q38" s="2580"/>
      <c r="R38" s="2580"/>
    </row>
    <row r="39" spans="2:18" ht="15">
      <c r="B39" s="346"/>
      <c r="C39" s="371"/>
      <c r="D39" s="371"/>
      <c r="E39" s="372"/>
      <c r="F39" s="459">
        <v>12</v>
      </c>
      <c r="G39" s="373" t="s">
        <v>1879</v>
      </c>
      <c r="H39" s="1439">
        <v>2</v>
      </c>
      <c r="I39" s="380" t="s">
        <v>85</v>
      </c>
      <c r="J39" s="1440">
        <v>14520060</v>
      </c>
      <c r="K39" s="1430">
        <f>H39*J39</f>
        <v>29040120</v>
      </c>
      <c r="L39" s="377"/>
      <c r="M39" s="668">
        <f t="shared" si="8"/>
        <v>29040120</v>
      </c>
      <c r="N39" s="1431"/>
      <c r="O39" s="1431"/>
      <c r="P39" s="378"/>
      <c r="Q39" s="378"/>
      <c r="R39" s="378"/>
    </row>
    <row r="40" spans="2:18" ht="15">
      <c r="B40" s="346"/>
      <c r="C40" s="371"/>
      <c r="D40" s="371"/>
      <c r="E40" s="372"/>
      <c r="F40" s="459">
        <v>13</v>
      </c>
      <c r="G40" s="373" t="s">
        <v>1880</v>
      </c>
      <c r="H40" s="1439">
        <v>1</v>
      </c>
      <c r="I40" s="380" t="s">
        <v>85</v>
      </c>
      <c r="J40" s="1440">
        <v>41734500</v>
      </c>
      <c r="K40" s="1430">
        <f>H40*J40</f>
        <v>41734500</v>
      </c>
      <c r="L40" s="377"/>
      <c r="M40" s="668">
        <f t="shared" si="8"/>
        <v>41734500</v>
      </c>
      <c r="N40" s="1431"/>
      <c r="O40" s="1431"/>
      <c r="P40" s="378"/>
      <c r="Q40" s="378"/>
      <c r="R40" s="378"/>
    </row>
    <row r="41" spans="2:18" s="2033" customFormat="1">
      <c r="B41" s="2484"/>
      <c r="C41" s="2485"/>
      <c r="D41" s="2485"/>
      <c r="E41" s="2486"/>
      <c r="F41" s="2486"/>
      <c r="G41" s="2498" t="s">
        <v>2048</v>
      </c>
      <c r="H41" s="2514">
        <v>1</v>
      </c>
      <c r="I41" s="2515" t="s">
        <v>85</v>
      </c>
      <c r="J41" s="2516">
        <v>790688328</v>
      </c>
      <c r="K41" s="2517">
        <f>H41*J41</f>
        <v>790688328</v>
      </c>
      <c r="L41" s="2518"/>
      <c r="M41" s="2521">
        <f t="shared" si="8"/>
        <v>790688328</v>
      </c>
      <c r="N41" s="2518"/>
      <c r="O41" s="2519"/>
      <c r="P41" s="2518"/>
      <c r="Q41" s="2520"/>
      <c r="R41" s="2520"/>
    </row>
    <row r="42" spans="2:18">
      <c r="B42" s="1027"/>
      <c r="C42" s="383"/>
      <c r="D42" s="383"/>
      <c r="E42" s="968"/>
      <c r="F42" s="968"/>
      <c r="G42" s="391" t="s">
        <v>2098</v>
      </c>
      <c r="H42" s="933">
        <v>2</v>
      </c>
      <c r="I42" s="2776" t="s">
        <v>85</v>
      </c>
      <c r="J42" s="456">
        <v>66100000</v>
      </c>
      <c r="K42" s="476">
        <f t="shared" ref="K42:K43" si="9">H42*J42</f>
        <v>132200000</v>
      </c>
      <c r="L42" s="377"/>
      <c r="M42" s="564">
        <f t="shared" si="8"/>
        <v>132200000</v>
      </c>
      <c r="N42" s="377"/>
      <c r="O42" s="1159"/>
      <c r="P42" s="377"/>
      <c r="Q42" s="385"/>
      <c r="R42" s="385"/>
    </row>
    <row r="43" spans="2:18">
      <c r="B43" s="1027"/>
      <c r="C43" s="383"/>
      <c r="D43" s="383"/>
      <c r="E43" s="968"/>
      <c r="F43" s="968"/>
      <c r="G43" s="391" t="s">
        <v>2100</v>
      </c>
      <c r="H43" s="933">
        <v>2</v>
      </c>
      <c r="I43" s="2866" t="s">
        <v>85</v>
      </c>
      <c r="J43" s="456">
        <v>46022544</v>
      </c>
      <c r="K43" s="476">
        <f t="shared" si="9"/>
        <v>92045088</v>
      </c>
      <c r="L43" s="377"/>
      <c r="M43" s="564">
        <f t="shared" si="8"/>
        <v>92045088</v>
      </c>
      <c r="N43" s="377"/>
      <c r="O43" s="1159"/>
      <c r="P43" s="377"/>
      <c r="Q43" s="385"/>
      <c r="R43" s="385"/>
    </row>
    <row r="44" spans="2:18">
      <c r="B44" s="1027"/>
      <c r="C44" s="383"/>
      <c r="D44" s="383"/>
      <c r="E44" s="968"/>
      <c r="F44" s="968"/>
      <c r="G44" s="391"/>
      <c r="H44" s="933"/>
      <c r="I44" s="375"/>
      <c r="J44" s="1183"/>
      <c r="K44" s="1513"/>
      <c r="L44" s="377"/>
      <c r="M44" s="1720"/>
      <c r="N44" s="377"/>
      <c r="O44" s="377"/>
      <c r="P44" s="377"/>
      <c r="Q44" s="385"/>
      <c r="R44" s="385"/>
    </row>
    <row r="45" spans="2:18" ht="15">
      <c r="B45" s="346">
        <v>5</v>
      </c>
      <c r="C45" s="371">
        <v>2</v>
      </c>
      <c r="D45" s="371">
        <v>3</v>
      </c>
      <c r="E45" s="372">
        <v>34</v>
      </c>
      <c r="F45" s="971" t="s">
        <v>25</v>
      </c>
      <c r="G45" s="615" t="s">
        <v>1378</v>
      </c>
      <c r="H45" s="645"/>
      <c r="I45" s="380"/>
      <c r="J45" s="382"/>
      <c r="K45" s="1514">
        <f>SUM(K46:K47)</f>
        <v>75000000</v>
      </c>
      <c r="L45" s="377"/>
      <c r="M45" s="569"/>
      <c r="N45" s="378"/>
      <c r="O45" s="378"/>
      <c r="P45" s="378"/>
      <c r="Q45" s="378"/>
      <c r="R45" s="378"/>
    </row>
    <row r="46" spans="2:18" ht="15">
      <c r="B46" s="1401"/>
      <c r="C46" s="371"/>
      <c r="D46" s="371"/>
      <c r="E46" s="372"/>
      <c r="F46" s="971"/>
      <c r="G46" s="391" t="s">
        <v>1408</v>
      </c>
      <c r="H46" s="645">
        <v>1</v>
      </c>
      <c r="I46" s="380" t="s">
        <v>85</v>
      </c>
      <c r="J46" s="382">
        <v>15000000</v>
      </c>
      <c r="K46" s="1515">
        <f t="shared" ref="K46:K47" si="10">H46*J46</f>
        <v>15000000</v>
      </c>
      <c r="L46" s="377">
        <f>K46</f>
        <v>15000000</v>
      </c>
      <c r="M46" s="1182"/>
      <c r="N46" s="1651"/>
      <c r="O46" s="378"/>
      <c r="P46" s="378"/>
      <c r="Q46" s="378"/>
      <c r="R46" s="378"/>
    </row>
    <row r="47" spans="2:18" ht="15">
      <c r="B47" s="1401"/>
      <c r="C47" s="371"/>
      <c r="D47" s="371"/>
      <c r="E47" s="372"/>
      <c r="F47" s="971"/>
      <c r="G47" s="391" t="s">
        <v>1409</v>
      </c>
      <c r="H47" s="645">
        <v>1</v>
      </c>
      <c r="I47" s="380" t="s">
        <v>85</v>
      </c>
      <c r="J47" s="382">
        <v>60000000</v>
      </c>
      <c r="K47" s="1515">
        <f t="shared" si="10"/>
        <v>60000000</v>
      </c>
      <c r="L47" s="377">
        <f>K47</f>
        <v>60000000</v>
      </c>
      <c r="M47" s="1182"/>
      <c r="N47" s="1651"/>
      <c r="O47" s="378"/>
      <c r="P47" s="378"/>
      <c r="Q47" s="378"/>
      <c r="R47" s="378"/>
    </row>
    <row r="48" spans="2:18" ht="15">
      <c r="B48" s="1401"/>
      <c r="C48" s="1680"/>
      <c r="D48" s="1680"/>
      <c r="E48" s="1681"/>
      <c r="F48" s="2064"/>
      <c r="G48" s="1685"/>
      <c r="H48" s="1818"/>
      <c r="I48" s="1660"/>
      <c r="J48" s="1820"/>
      <c r="K48" s="1515"/>
      <c r="L48" s="1656"/>
      <c r="M48" s="1182"/>
      <c r="N48" s="1668"/>
      <c r="O48" s="1668"/>
      <c r="P48" s="1668"/>
      <c r="Q48" s="1668"/>
      <c r="R48" s="1668"/>
    </row>
    <row r="49" spans="2:18" ht="15">
      <c r="B49" s="1679">
        <v>5</v>
      </c>
      <c r="C49" s="1680">
        <v>2</v>
      </c>
      <c r="D49" s="1680">
        <v>3</v>
      </c>
      <c r="E49" s="1681">
        <v>34</v>
      </c>
      <c r="F49" s="2064" t="s">
        <v>65</v>
      </c>
      <c r="G49" s="2065" t="s">
        <v>1373</v>
      </c>
      <c r="H49" s="1818"/>
      <c r="I49" s="1660"/>
      <c r="J49" s="1820"/>
      <c r="K49" s="2066">
        <f>SUM(K50:K53)</f>
        <v>76528750</v>
      </c>
      <c r="L49" s="1656"/>
      <c r="M49" s="569"/>
      <c r="N49" s="1668"/>
      <c r="O49" s="1668"/>
      <c r="P49" s="1668"/>
      <c r="Q49" s="1668"/>
      <c r="R49" s="1668"/>
    </row>
    <row r="50" spans="2:18" ht="15">
      <c r="B50" s="2067"/>
      <c r="C50" s="2061"/>
      <c r="D50" s="2061"/>
      <c r="E50" s="2068"/>
      <c r="F50" s="2069"/>
      <c r="G50" s="1685" t="s">
        <v>1771</v>
      </c>
      <c r="H50" s="1818">
        <v>1</v>
      </c>
      <c r="I50" s="1660" t="s">
        <v>85</v>
      </c>
      <c r="J50" s="1820">
        <v>55312500</v>
      </c>
      <c r="K50" s="1433">
        <f t="shared" ref="K50:K52" si="11">H50*J50</f>
        <v>55312500</v>
      </c>
      <c r="L50" s="377">
        <f t="shared" ref="L50:L52" si="12">K50</f>
        <v>55312500</v>
      </c>
      <c r="M50" s="2070"/>
      <c r="N50" s="1665"/>
      <c r="O50" s="2071"/>
      <c r="P50" s="1665"/>
      <c r="Q50" s="1665"/>
      <c r="R50" s="1665"/>
    </row>
    <row r="51" spans="2:18" ht="15">
      <c r="B51" s="1679"/>
      <c r="C51" s="1680"/>
      <c r="D51" s="1680"/>
      <c r="E51" s="1681"/>
      <c r="F51" s="1682"/>
      <c r="G51" s="1683" t="s">
        <v>1772</v>
      </c>
      <c r="H51" s="1818">
        <v>1</v>
      </c>
      <c r="I51" s="1660" t="s">
        <v>85</v>
      </c>
      <c r="J51" s="1820">
        <v>18472500</v>
      </c>
      <c r="K51" s="1433">
        <f t="shared" si="11"/>
        <v>18472500</v>
      </c>
      <c r="L51" s="377">
        <f t="shared" si="12"/>
        <v>18472500</v>
      </c>
      <c r="M51" s="2070"/>
      <c r="N51" s="1668"/>
      <c r="O51" s="1668"/>
      <c r="P51" s="1668"/>
      <c r="Q51" s="1668"/>
      <c r="R51" s="1668"/>
    </row>
    <row r="52" spans="2:18" ht="15">
      <c r="B52" s="1432"/>
      <c r="C52" s="1693"/>
      <c r="D52" s="1693"/>
      <c r="E52" s="1819"/>
      <c r="F52" s="1819"/>
      <c r="G52" s="1683" t="s">
        <v>1773</v>
      </c>
      <c r="H52" s="1663">
        <v>1</v>
      </c>
      <c r="I52" s="1653" t="s">
        <v>85</v>
      </c>
      <c r="J52" s="2072">
        <v>2743750</v>
      </c>
      <c r="K52" s="1433">
        <f t="shared" si="11"/>
        <v>2743750</v>
      </c>
      <c r="L52" s="377">
        <f t="shared" si="12"/>
        <v>2743750</v>
      </c>
      <c r="M52" s="2070"/>
      <c r="N52" s="1668"/>
      <c r="O52" s="2071"/>
      <c r="P52" s="1668"/>
      <c r="Q52" s="1668"/>
      <c r="R52" s="1668"/>
    </row>
    <row r="53" spans="2:18" ht="15">
      <c r="B53" s="1432"/>
      <c r="C53" s="474"/>
      <c r="D53" s="474"/>
      <c r="E53" s="574"/>
      <c r="F53" s="574"/>
      <c r="G53" s="373"/>
      <c r="H53" s="933"/>
      <c r="I53" s="375"/>
      <c r="J53" s="464"/>
      <c r="K53" s="1433"/>
      <c r="L53" s="378"/>
      <c r="M53" s="668"/>
      <c r="N53" s="378"/>
      <c r="O53" s="1431"/>
      <c r="P53" s="378"/>
      <c r="Q53" s="378"/>
      <c r="R53" s="378"/>
    </row>
    <row r="54" spans="2:18" ht="15">
      <c r="B54" s="346">
        <v>5</v>
      </c>
      <c r="C54" s="371">
        <v>2</v>
      </c>
      <c r="D54" s="371">
        <v>3</v>
      </c>
      <c r="E54" s="372">
        <v>34</v>
      </c>
      <c r="F54" s="971" t="s">
        <v>80</v>
      </c>
      <c r="G54" s="615" t="s">
        <v>1379</v>
      </c>
      <c r="H54" s="645"/>
      <c r="I54" s="380"/>
      <c r="J54" s="382"/>
      <c r="K54" s="1429">
        <f>SUM(K55:K56)</f>
        <v>180083005</v>
      </c>
      <c r="L54" s="377"/>
      <c r="M54" s="569"/>
      <c r="N54" s="378"/>
      <c r="O54" s="378"/>
      <c r="P54" s="378"/>
      <c r="Q54" s="378"/>
      <c r="R54" s="378"/>
    </row>
    <row r="55" spans="2:18" s="1793" customFormat="1" ht="15">
      <c r="B55" s="1847"/>
      <c r="C55" s="1848"/>
      <c r="D55" s="1848"/>
      <c r="E55" s="1849"/>
      <c r="F55" s="1873"/>
      <c r="G55" s="1874" t="s">
        <v>1448</v>
      </c>
      <c r="H55" s="1875">
        <v>1</v>
      </c>
      <c r="I55" s="1791" t="s">
        <v>85</v>
      </c>
      <c r="J55" s="1876">
        <f>180000000+83005</f>
        <v>180083005</v>
      </c>
      <c r="K55" s="1877">
        <f t="shared" ref="K55" si="13">H55*J55</f>
        <v>180083005</v>
      </c>
      <c r="L55" s="377">
        <f>K55</f>
        <v>180083005</v>
      </c>
      <c r="M55" s="1878"/>
      <c r="N55" s="1879"/>
      <c r="O55" s="1879"/>
      <c r="P55" s="1879"/>
      <c r="Q55" s="1879"/>
      <c r="R55" s="1879"/>
    </row>
    <row r="56" spans="2:18" ht="15">
      <c r="B56" s="970"/>
      <c r="C56" s="383"/>
      <c r="D56" s="383"/>
      <c r="E56" s="968"/>
      <c r="F56" s="1031"/>
      <c r="G56" s="391"/>
      <c r="H56" s="645"/>
      <c r="I56" s="380"/>
      <c r="J56" s="382"/>
      <c r="K56" s="1430"/>
      <c r="L56" s="377"/>
      <c r="M56" s="1029"/>
      <c r="N56" s="969"/>
      <c r="O56" s="969"/>
      <c r="P56" s="969"/>
      <c r="Q56" s="969"/>
      <c r="R56" s="969"/>
    </row>
    <row r="57" spans="2:18" ht="15">
      <c r="B57" s="346">
        <v>5</v>
      </c>
      <c r="C57" s="371">
        <v>2</v>
      </c>
      <c r="D57" s="371">
        <v>3</v>
      </c>
      <c r="E57" s="372">
        <v>34</v>
      </c>
      <c r="F57" s="971" t="s">
        <v>77</v>
      </c>
      <c r="G57" s="396" t="s">
        <v>1374</v>
      </c>
      <c r="H57" s="645"/>
      <c r="I57" s="380"/>
      <c r="J57" s="382"/>
      <c r="K57" s="1429">
        <f>SUM(K58:K59)</f>
        <v>0</v>
      </c>
      <c r="L57" s="377"/>
      <c r="M57" s="668"/>
      <c r="N57" s="1431"/>
      <c r="O57" s="378"/>
      <c r="P57" s="378"/>
      <c r="Q57" s="378"/>
      <c r="R57" s="378"/>
    </row>
    <row r="58" spans="2:18" ht="15">
      <c r="B58" s="346"/>
      <c r="C58" s="371"/>
      <c r="D58" s="371"/>
      <c r="E58" s="372"/>
      <c r="F58" s="368"/>
      <c r="G58" s="373" t="s">
        <v>1444</v>
      </c>
      <c r="H58" s="645"/>
      <c r="I58" s="380" t="s">
        <v>107</v>
      </c>
      <c r="J58" s="464">
        <v>1200000</v>
      </c>
      <c r="K58" s="1430">
        <f>H58*J58</f>
        <v>0</v>
      </c>
      <c r="L58" s="377">
        <f>K58</f>
        <v>0</v>
      </c>
      <c r="M58" s="668"/>
      <c r="N58" s="1431"/>
      <c r="O58" s="378"/>
      <c r="P58" s="378"/>
      <c r="Q58" s="378"/>
      <c r="R58" s="378"/>
    </row>
    <row r="59" spans="2:18" ht="15">
      <c r="B59" s="346"/>
      <c r="C59" s="371"/>
      <c r="D59" s="371"/>
      <c r="E59" s="372"/>
      <c r="F59" s="368"/>
      <c r="G59" s="373"/>
      <c r="H59" s="645"/>
      <c r="I59" s="380"/>
      <c r="J59" s="464"/>
      <c r="K59" s="1430">
        <f>H59*J59</f>
        <v>0</v>
      </c>
      <c r="L59" s="377"/>
      <c r="M59" s="668">
        <f>K59</f>
        <v>0</v>
      </c>
      <c r="N59" s="1431"/>
      <c r="O59" s="378"/>
      <c r="P59" s="378"/>
      <c r="Q59" s="378"/>
      <c r="R59" s="378"/>
    </row>
    <row r="60" spans="2:18" ht="25.5">
      <c r="B60" s="346">
        <v>5</v>
      </c>
      <c r="C60" s="371">
        <v>2</v>
      </c>
      <c r="D60" s="371">
        <v>3</v>
      </c>
      <c r="E60" s="372">
        <v>34</v>
      </c>
      <c r="F60" s="971" t="s">
        <v>79</v>
      </c>
      <c r="G60" s="396" t="s">
        <v>1375</v>
      </c>
      <c r="H60" s="645"/>
      <c r="I60" s="380"/>
      <c r="J60" s="382"/>
      <c r="K60" s="1429">
        <f>SUM(K61:K65)</f>
        <v>667342218</v>
      </c>
      <c r="L60" s="377"/>
      <c r="M60" s="668"/>
      <c r="N60" s="1431"/>
      <c r="O60" s="378"/>
      <c r="P60" s="378"/>
      <c r="Q60" s="378"/>
      <c r="R60" s="378"/>
    </row>
    <row r="61" spans="2:18" s="1793" customFormat="1" ht="15">
      <c r="B61" s="1880"/>
      <c r="C61" s="1864"/>
      <c r="D61" s="1864"/>
      <c r="E61" s="1865"/>
      <c r="F61" s="1866"/>
      <c r="G61" s="1881" t="s">
        <v>1881</v>
      </c>
      <c r="H61" s="1851">
        <v>1</v>
      </c>
      <c r="I61" s="1791" t="s">
        <v>85</v>
      </c>
      <c r="J61" s="2270">
        <v>226251000</v>
      </c>
      <c r="K61" s="1882">
        <f t="shared" ref="K61:K66" si="14">H61*J61</f>
        <v>226251000</v>
      </c>
      <c r="L61" s="1883"/>
      <c r="M61" s="1878">
        <f t="shared" ref="M61:M66" si="15">K61</f>
        <v>226251000</v>
      </c>
      <c r="N61" s="1884"/>
      <c r="O61" s="1884"/>
      <c r="P61" s="1786"/>
      <c r="Q61" s="1786"/>
      <c r="R61" s="1786"/>
    </row>
    <row r="62" spans="2:18" ht="15">
      <c r="B62" s="346"/>
      <c r="C62" s="371"/>
      <c r="D62" s="371"/>
      <c r="E62" s="372"/>
      <c r="F62" s="368"/>
      <c r="G62" s="373" t="s">
        <v>1882</v>
      </c>
      <c r="H62" s="1439">
        <v>1</v>
      </c>
      <c r="I62" s="380" t="s">
        <v>85</v>
      </c>
      <c r="J62" s="2270">
        <v>232391865</v>
      </c>
      <c r="K62" s="1430">
        <f t="shared" si="14"/>
        <v>232391865</v>
      </c>
      <c r="L62" s="377"/>
      <c r="M62" s="668">
        <f t="shared" si="15"/>
        <v>232391865</v>
      </c>
      <c r="N62" s="1431"/>
      <c r="O62" s="1431"/>
      <c r="P62" s="378"/>
      <c r="Q62" s="378"/>
      <c r="R62" s="378"/>
    </row>
    <row r="63" spans="2:18" ht="15">
      <c r="B63" s="346"/>
      <c r="C63" s="371"/>
      <c r="D63" s="371"/>
      <c r="E63" s="372"/>
      <c r="F63" s="368"/>
      <c r="G63" s="373" t="s">
        <v>1883</v>
      </c>
      <c r="H63" s="1439">
        <v>2</v>
      </c>
      <c r="I63" s="380" t="s">
        <v>114</v>
      </c>
      <c r="J63" s="2271">
        <v>23220845</v>
      </c>
      <c r="K63" s="1430">
        <f t="shared" ref="K63:K65" si="16">H63*J63</f>
        <v>46441690</v>
      </c>
      <c r="L63" s="377"/>
      <c r="M63" s="668">
        <f t="shared" ref="M63:M64" si="17">K63</f>
        <v>46441690</v>
      </c>
      <c r="N63" s="1431"/>
      <c r="O63" s="1431"/>
      <c r="P63" s="378"/>
      <c r="Q63" s="378"/>
      <c r="R63" s="378"/>
    </row>
    <row r="64" spans="2:18" s="2033" customFormat="1" ht="15">
      <c r="B64" s="2626"/>
      <c r="C64" s="2523"/>
      <c r="D64" s="2523"/>
      <c r="E64" s="2524"/>
      <c r="F64" s="2861"/>
      <c r="G64" s="2037" t="s">
        <v>1884</v>
      </c>
      <c r="H64" s="2862">
        <v>1</v>
      </c>
      <c r="I64" s="2035" t="s">
        <v>85</v>
      </c>
      <c r="J64" s="2863">
        <f>(86000000*20%)+86000000</f>
        <v>103200000</v>
      </c>
      <c r="K64" s="2530">
        <f t="shared" si="16"/>
        <v>103200000</v>
      </c>
      <c r="L64" s="2038"/>
      <c r="M64" s="2864">
        <f t="shared" si="17"/>
        <v>103200000</v>
      </c>
      <c r="N64" s="2865"/>
      <c r="O64" s="2865"/>
      <c r="P64" s="2724"/>
      <c r="Q64" s="2724"/>
      <c r="R64" s="2724"/>
    </row>
    <row r="65" spans="2:18" s="2033" customFormat="1">
      <c r="B65" s="2522"/>
      <c r="C65" s="2523"/>
      <c r="D65" s="2523"/>
      <c r="E65" s="2524"/>
      <c r="F65" s="2524"/>
      <c r="G65" s="2525" t="s">
        <v>2097</v>
      </c>
      <c r="H65" s="1951">
        <v>1</v>
      </c>
      <c r="I65" s="1952" t="s">
        <v>85</v>
      </c>
      <c r="J65" s="2042">
        <v>59057663</v>
      </c>
      <c r="K65" s="2530">
        <f t="shared" si="16"/>
        <v>59057663</v>
      </c>
      <c r="L65" s="2526"/>
      <c r="M65" s="2527">
        <f>K65</f>
        <v>59057663</v>
      </c>
      <c r="N65" s="2526"/>
      <c r="O65" s="2528"/>
      <c r="P65" s="2526"/>
      <c r="Q65" s="2529"/>
      <c r="R65" s="2529"/>
    </row>
    <row r="66" spans="2:18" ht="15">
      <c r="B66" s="346"/>
      <c r="C66" s="371"/>
      <c r="D66" s="371"/>
      <c r="E66" s="372"/>
      <c r="F66" s="368"/>
      <c r="G66" s="373"/>
      <c r="H66" s="1439"/>
      <c r="I66" s="380"/>
      <c r="J66" s="1440"/>
      <c r="K66" s="1430">
        <f t="shared" si="14"/>
        <v>0</v>
      </c>
      <c r="L66" s="377"/>
      <c r="M66" s="668">
        <f t="shared" si="15"/>
        <v>0</v>
      </c>
      <c r="N66" s="1431"/>
      <c r="O66" s="1431"/>
      <c r="P66" s="378"/>
      <c r="Q66" s="378"/>
      <c r="R66" s="378"/>
    </row>
    <row r="67" spans="2:18" s="27" customFormat="1" ht="15">
      <c r="B67" s="36">
        <v>5</v>
      </c>
      <c r="C67" s="37">
        <v>2</v>
      </c>
      <c r="D67" s="37">
        <v>3</v>
      </c>
      <c r="E67" s="38">
        <v>34</v>
      </c>
      <c r="F67" s="38">
        <v>12</v>
      </c>
      <c r="G67" s="48" t="s">
        <v>521</v>
      </c>
      <c r="H67" s="1441"/>
      <c r="I67" s="1175"/>
      <c r="J67" s="1442"/>
      <c r="K67" s="1512">
        <f>SUM(K68:K69)</f>
        <v>0</v>
      </c>
      <c r="L67" s="386"/>
      <c r="M67" s="668"/>
      <c r="N67" s="330"/>
      <c r="O67" s="330"/>
      <c r="P67" s="330"/>
      <c r="Q67" s="319"/>
      <c r="R67" s="378"/>
    </row>
    <row r="68" spans="2:18" s="27" customFormat="1" ht="15">
      <c r="B68" s="649"/>
      <c r="C68" s="650"/>
      <c r="D68" s="650"/>
      <c r="E68" s="651"/>
      <c r="F68" s="651"/>
      <c r="G68" s="1173" t="s">
        <v>1449</v>
      </c>
      <c r="H68" s="1441"/>
      <c r="I68" s="1175" t="s">
        <v>85</v>
      </c>
      <c r="J68" s="1442">
        <v>164663000</v>
      </c>
      <c r="K68" s="476">
        <f t="shared" ref="K68" si="18">H68*J68</f>
        <v>0</v>
      </c>
      <c r="L68" s="377"/>
      <c r="M68" s="1511"/>
      <c r="N68" s="330"/>
      <c r="O68" s="330"/>
      <c r="P68" s="330"/>
      <c r="Q68" s="319"/>
      <c r="R68" s="378"/>
    </row>
    <row r="69" spans="2:18" s="27" customFormat="1" ht="15">
      <c r="B69" s="649"/>
      <c r="C69" s="650"/>
      <c r="D69" s="650"/>
      <c r="E69" s="651"/>
      <c r="F69" s="651"/>
      <c r="G69" s="1196"/>
      <c r="H69" s="1441"/>
      <c r="I69" s="1175"/>
      <c r="J69" s="1442"/>
      <c r="K69" s="1443"/>
      <c r="L69" s="386"/>
      <c r="M69" s="668"/>
      <c r="N69" s="330"/>
      <c r="O69" s="330"/>
      <c r="P69" s="330"/>
      <c r="Q69" s="319"/>
      <c r="R69" s="378"/>
    </row>
    <row r="70" spans="2:18" ht="25.5">
      <c r="B70" s="36">
        <v>5</v>
      </c>
      <c r="C70" s="37">
        <v>2</v>
      </c>
      <c r="D70" s="37">
        <v>3</v>
      </c>
      <c r="E70" s="38">
        <v>34</v>
      </c>
      <c r="F70" s="38">
        <v>19</v>
      </c>
      <c r="G70" s="48" t="s">
        <v>1380</v>
      </c>
      <c r="H70" s="602"/>
      <c r="I70" s="603"/>
      <c r="J70" s="604"/>
      <c r="K70" s="1195">
        <f>SUM(K71:K74)</f>
        <v>0</v>
      </c>
      <c r="L70" s="564"/>
      <c r="M70" s="667"/>
      <c r="N70" s="378"/>
      <c r="O70" s="378"/>
      <c r="P70" s="378"/>
      <c r="Q70" s="378"/>
      <c r="R70" s="378"/>
    </row>
    <row r="71" spans="2:18" ht="15">
      <c r="B71" s="346"/>
      <c r="C71" s="371"/>
      <c r="D71" s="371"/>
      <c r="E71" s="372"/>
      <c r="F71" s="368"/>
      <c r="G71" s="373" t="s">
        <v>1407</v>
      </c>
      <c r="H71" s="1439"/>
      <c r="I71" s="380" t="s">
        <v>85</v>
      </c>
      <c r="J71" s="1440">
        <v>90323000</v>
      </c>
      <c r="K71" s="1430">
        <f t="shared" ref="K71:K72" si="19">H71*J71</f>
        <v>0</v>
      </c>
      <c r="L71" s="377"/>
      <c r="M71" s="668"/>
      <c r="N71" s="1431"/>
      <c r="O71" s="1431"/>
      <c r="P71" s="378"/>
      <c r="Q71" s="378"/>
      <c r="R71" s="378"/>
    </row>
    <row r="72" spans="2:18" s="2184" customFormat="1" ht="15">
      <c r="B72" s="2172"/>
      <c r="C72" s="2173"/>
      <c r="D72" s="2173"/>
      <c r="E72" s="2174"/>
      <c r="F72" s="2185"/>
      <c r="G72" s="2175" t="s">
        <v>1670</v>
      </c>
      <c r="H72" s="2176"/>
      <c r="I72" s="2177" t="s">
        <v>85</v>
      </c>
      <c r="J72" s="2178">
        <v>36000000</v>
      </c>
      <c r="K72" s="2179">
        <f t="shared" si="19"/>
        <v>0</v>
      </c>
      <c r="L72" s="377">
        <f>K72</f>
        <v>0</v>
      </c>
      <c r="M72" s="2180"/>
      <c r="N72" s="2186"/>
      <c r="O72" s="2186"/>
      <c r="P72" s="2181"/>
      <c r="Q72" s="2181"/>
      <c r="R72" s="2183"/>
    </row>
    <row r="73" spans="2:18" s="1793" customFormat="1" ht="15">
      <c r="B73" s="1885"/>
      <c r="C73" s="1886"/>
      <c r="D73" s="1886"/>
      <c r="E73" s="1887"/>
      <c r="F73" s="1888"/>
      <c r="G73" s="1892" t="s">
        <v>1747</v>
      </c>
      <c r="H73" s="1893"/>
      <c r="I73" s="1894"/>
      <c r="J73" s="1895"/>
      <c r="K73" s="1898"/>
      <c r="L73" s="1782"/>
      <c r="M73" s="1878"/>
      <c r="N73" s="1897"/>
      <c r="O73" s="1897"/>
      <c r="P73" s="1785"/>
      <c r="Q73" s="1785"/>
      <c r="R73" s="1890"/>
    </row>
    <row r="74" spans="2:18" ht="15">
      <c r="B74" s="346"/>
      <c r="C74" s="371"/>
      <c r="D74" s="371"/>
      <c r="E74" s="372"/>
      <c r="F74" s="372"/>
      <c r="G74" s="1434"/>
      <c r="H74" s="1435"/>
      <c r="I74" s="1436"/>
      <c r="J74" s="897"/>
      <c r="K74" s="1437"/>
      <c r="L74" s="386"/>
      <c r="M74" s="811"/>
      <c r="N74" s="319"/>
      <c r="O74" s="1438"/>
      <c r="P74" s="319"/>
      <c r="Q74" s="319"/>
      <c r="R74" s="378"/>
    </row>
    <row r="75" spans="2:18" ht="25.5">
      <c r="B75" s="36">
        <v>5</v>
      </c>
      <c r="C75" s="37">
        <v>2</v>
      </c>
      <c r="D75" s="37">
        <v>3</v>
      </c>
      <c r="E75" s="38">
        <v>34</v>
      </c>
      <c r="F75" s="38">
        <v>20</v>
      </c>
      <c r="G75" s="48" t="s">
        <v>1383</v>
      </c>
      <c r="H75" s="602"/>
      <c r="I75" s="603"/>
      <c r="J75" s="604"/>
      <c r="K75" s="1429">
        <f>SUM(K76:K78)</f>
        <v>0</v>
      </c>
      <c r="L75" s="377"/>
      <c r="M75" s="668"/>
      <c r="N75" s="378"/>
      <c r="O75" s="378"/>
      <c r="P75" s="378"/>
      <c r="Q75" s="378"/>
      <c r="R75" s="378"/>
    </row>
    <row r="76" spans="2:18" ht="15">
      <c r="B76" s="346"/>
      <c r="C76" s="371"/>
      <c r="D76" s="371"/>
      <c r="E76" s="372"/>
      <c r="F76" s="372"/>
      <c r="G76" s="1434" t="s">
        <v>1450</v>
      </c>
      <c r="H76" s="1435"/>
      <c r="I76" s="1436" t="s">
        <v>85</v>
      </c>
      <c r="J76" s="897">
        <v>4000000</v>
      </c>
      <c r="K76" s="1430">
        <f t="shared" ref="K76:K78" si="20">H76*J76</f>
        <v>0</v>
      </c>
      <c r="L76" s="377">
        <f>K76</f>
        <v>0</v>
      </c>
      <c r="M76" s="668"/>
      <c r="N76" s="319"/>
      <c r="O76" s="1438"/>
      <c r="P76" s="319"/>
      <c r="Q76" s="319"/>
      <c r="R76" s="378"/>
    </row>
    <row r="77" spans="2:18" ht="15">
      <c r="B77" s="346"/>
      <c r="C77" s="371"/>
      <c r="D77" s="371"/>
      <c r="E77" s="372"/>
      <c r="F77" s="372"/>
      <c r="G77" s="1434" t="s">
        <v>1451</v>
      </c>
      <c r="H77" s="1435"/>
      <c r="I77" s="1436" t="s">
        <v>85</v>
      </c>
      <c r="J77" s="897">
        <v>4000000</v>
      </c>
      <c r="K77" s="1430">
        <f t="shared" si="20"/>
        <v>0</v>
      </c>
      <c r="L77" s="377"/>
      <c r="M77" s="668"/>
      <c r="N77" s="319"/>
      <c r="O77" s="1438"/>
      <c r="P77" s="319"/>
      <c r="Q77" s="319"/>
      <c r="R77" s="378"/>
    </row>
    <row r="78" spans="2:18" ht="15">
      <c r="B78" s="346"/>
      <c r="C78" s="371"/>
      <c r="D78" s="371"/>
      <c r="E78" s="372"/>
      <c r="F78" s="372"/>
      <c r="G78" s="1434"/>
      <c r="H78" s="1435"/>
      <c r="I78" s="1436"/>
      <c r="J78" s="897"/>
      <c r="K78" s="1430">
        <f t="shared" si="20"/>
        <v>0</v>
      </c>
      <c r="L78" s="377"/>
      <c r="M78" s="668"/>
      <c r="N78" s="319"/>
      <c r="O78" s="1438"/>
      <c r="P78" s="319"/>
      <c r="Q78" s="319"/>
      <c r="R78" s="378"/>
    </row>
    <row r="79" spans="2:18" ht="15">
      <c r="B79" s="36">
        <v>5</v>
      </c>
      <c r="C79" s="37">
        <v>2</v>
      </c>
      <c r="D79" s="37">
        <v>3</v>
      </c>
      <c r="E79" s="38">
        <v>35</v>
      </c>
      <c r="F79" s="17"/>
      <c r="G79" s="49" t="s">
        <v>1381</v>
      </c>
      <c r="H79" s="1435"/>
      <c r="I79" s="1436"/>
      <c r="J79" s="897"/>
      <c r="K79" s="1449">
        <f>K80</f>
        <v>119917000</v>
      </c>
      <c r="L79" s="386"/>
      <c r="M79" s="811"/>
      <c r="N79" s="319"/>
      <c r="O79" s="1438"/>
      <c r="P79" s="319"/>
      <c r="Q79" s="319"/>
      <c r="R79" s="378"/>
    </row>
    <row r="80" spans="2:18" ht="25.5">
      <c r="B80" s="36">
        <v>5</v>
      </c>
      <c r="C80" s="37">
        <v>2</v>
      </c>
      <c r="D80" s="37">
        <v>3</v>
      </c>
      <c r="E80" s="38">
        <v>35</v>
      </c>
      <c r="F80" s="178" t="s">
        <v>25</v>
      </c>
      <c r="G80" s="20" t="s">
        <v>1382</v>
      </c>
      <c r="H80" s="1435"/>
      <c r="I80" s="1436"/>
      <c r="J80" s="897"/>
      <c r="K80" s="1449">
        <f>SUM(K81:K84)</f>
        <v>119917000</v>
      </c>
      <c r="L80" s="386"/>
      <c r="M80" s="811"/>
      <c r="N80" s="319"/>
      <c r="O80" s="1438"/>
      <c r="P80" s="319"/>
      <c r="Q80" s="319"/>
      <c r="R80" s="378"/>
    </row>
    <row r="81" spans="2:20" s="2297" customFormat="1" ht="15">
      <c r="B81" s="2285"/>
      <c r="C81" s="2286"/>
      <c r="D81" s="2286"/>
      <c r="E81" s="2287"/>
      <c r="F81" s="2287"/>
      <c r="G81" s="2288" t="s">
        <v>1848</v>
      </c>
      <c r="H81" s="2289">
        <v>1</v>
      </c>
      <c r="I81" s="2290" t="s">
        <v>85</v>
      </c>
      <c r="J81" s="2291">
        <f>68243000+13674000</f>
        <v>81917000</v>
      </c>
      <c r="K81" s="2292">
        <f t="shared" ref="K81" si="21">H81*J81</f>
        <v>81917000</v>
      </c>
      <c r="L81" s="377">
        <f t="shared" ref="L81:L83" si="22">K81</f>
        <v>81917000</v>
      </c>
      <c r="M81" s="2293"/>
      <c r="N81" s="2294"/>
      <c r="O81" s="2295"/>
      <c r="P81" s="2294"/>
      <c r="Q81" s="2294"/>
      <c r="R81" s="2296"/>
    </row>
    <row r="82" spans="2:20" s="2297" customFormat="1" ht="15">
      <c r="B82" s="2285"/>
      <c r="C82" s="2286"/>
      <c r="D82" s="2286"/>
      <c r="E82" s="2287"/>
      <c r="F82" s="2287"/>
      <c r="G82" s="2288" t="s">
        <v>1849</v>
      </c>
      <c r="H82" s="2289">
        <v>1</v>
      </c>
      <c r="I82" s="2290" t="s">
        <v>85</v>
      </c>
      <c r="J82" s="2291">
        <v>25000000</v>
      </c>
      <c r="K82" s="2292">
        <f t="shared" ref="K82" si="23">H82*J82</f>
        <v>25000000</v>
      </c>
      <c r="L82" s="377">
        <f t="shared" si="22"/>
        <v>25000000</v>
      </c>
      <c r="M82" s="2293"/>
      <c r="N82" s="2294"/>
      <c r="O82" s="2295"/>
      <c r="P82" s="2294"/>
      <c r="Q82" s="2294"/>
      <c r="R82" s="2296"/>
    </row>
    <row r="83" spans="2:20" s="2297" customFormat="1" ht="15">
      <c r="B83" s="2298"/>
      <c r="C83" s="2299"/>
      <c r="D83" s="2299"/>
      <c r="E83" s="2300"/>
      <c r="F83" s="2300"/>
      <c r="G83" s="2301" t="s">
        <v>1850</v>
      </c>
      <c r="H83" s="2302">
        <v>1</v>
      </c>
      <c r="I83" s="2303" t="s">
        <v>85</v>
      </c>
      <c r="J83" s="2304">
        <v>13000000</v>
      </c>
      <c r="K83" s="2292">
        <f>H83*J83</f>
        <v>13000000</v>
      </c>
      <c r="L83" s="377">
        <f t="shared" si="22"/>
        <v>13000000</v>
      </c>
      <c r="M83" s="2070"/>
      <c r="N83" s="2296"/>
      <c r="O83" s="2305"/>
      <c r="P83" s="2296"/>
      <c r="Q83" s="2296"/>
      <c r="R83" s="2296"/>
    </row>
    <row r="84" spans="2:20" ht="15">
      <c r="B84" s="346"/>
      <c r="C84" s="371"/>
      <c r="D84" s="371"/>
      <c r="E84" s="372"/>
      <c r="F84" s="372"/>
      <c r="G84" s="1434"/>
      <c r="H84" s="1435"/>
      <c r="I84" s="1436"/>
      <c r="J84" s="897"/>
      <c r="K84" s="1437"/>
      <c r="L84" s="386"/>
      <c r="M84" s="811"/>
      <c r="N84" s="319"/>
      <c r="O84" s="1438"/>
      <c r="P84" s="319"/>
      <c r="Q84" s="319"/>
      <c r="R84" s="378"/>
    </row>
    <row r="85" spans="2:20" ht="15">
      <c r="B85" s="36">
        <v>5</v>
      </c>
      <c r="C85" s="37">
        <v>2</v>
      </c>
      <c r="D85" s="37">
        <v>3</v>
      </c>
      <c r="E85" s="38">
        <v>36</v>
      </c>
      <c r="F85" s="17"/>
      <c r="G85" s="49" t="s">
        <v>520</v>
      </c>
      <c r="H85" s="1435"/>
      <c r="I85" s="1436"/>
      <c r="J85" s="897"/>
      <c r="K85" s="1449">
        <f>K86</f>
        <v>416091900</v>
      </c>
      <c r="L85" s="386"/>
      <c r="M85" s="811"/>
      <c r="N85" s="319"/>
      <c r="O85" s="1438"/>
      <c r="P85" s="319"/>
      <c r="Q85" s="319"/>
      <c r="R85" s="378"/>
    </row>
    <row r="86" spans="2:20" ht="25.5">
      <c r="B86" s="36">
        <v>5</v>
      </c>
      <c r="C86" s="37">
        <v>2</v>
      </c>
      <c r="D86" s="37">
        <v>3</v>
      </c>
      <c r="E86" s="38">
        <v>36</v>
      </c>
      <c r="F86" s="178" t="s">
        <v>1385</v>
      </c>
      <c r="G86" s="20" t="s">
        <v>1384</v>
      </c>
      <c r="H86" s="1435"/>
      <c r="I86" s="1436"/>
      <c r="J86" s="897"/>
      <c r="K86" s="1449">
        <f>SUM(K87:K95)</f>
        <v>416091900</v>
      </c>
      <c r="L86" s="386"/>
      <c r="M86" s="811"/>
      <c r="N86" s="319"/>
      <c r="O86" s="1438"/>
      <c r="P86" s="319"/>
      <c r="Q86" s="319"/>
      <c r="R86" s="378"/>
    </row>
    <row r="87" spans="2:20" ht="15">
      <c r="B87" s="346"/>
      <c r="C87" s="371"/>
      <c r="D87" s="371"/>
      <c r="E87" s="372"/>
      <c r="F87" s="372">
        <v>1</v>
      </c>
      <c r="G87" s="1434" t="s">
        <v>1456</v>
      </c>
      <c r="H87" s="1435">
        <v>6</v>
      </c>
      <c r="I87" s="1436" t="s">
        <v>107</v>
      </c>
      <c r="J87" s="897">
        <v>6035250</v>
      </c>
      <c r="K87" s="1200">
        <f>H87*J87</f>
        <v>36211500</v>
      </c>
      <c r="L87" s="377">
        <f t="shared" ref="L87:L94" si="24">K87</f>
        <v>36211500</v>
      </c>
      <c r="M87" s="668"/>
      <c r="N87" s="319"/>
      <c r="O87" s="1438"/>
      <c r="P87" s="319"/>
      <c r="Q87" s="319"/>
      <c r="R87" s="378"/>
    </row>
    <row r="88" spans="2:20" ht="15">
      <c r="B88" s="1679"/>
      <c r="C88" s="1680"/>
      <c r="D88" s="1680"/>
      <c r="E88" s="1681"/>
      <c r="F88" s="1681">
        <v>2</v>
      </c>
      <c r="G88" s="1434" t="s">
        <v>1670</v>
      </c>
      <c r="H88" s="1435">
        <v>2</v>
      </c>
      <c r="I88" s="1436" t="s">
        <v>85</v>
      </c>
      <c r="J88" s="897">
        <v>36000000</v>
      </c>
      <c r="K88" s="1200">
        <f t="shared" ref="K88:K90" si="25">H88*J88</f>
        <v>72000000</v>
      </c>
      <c r="L88" s="377">
        <f t="shared" si="24"/>
        <v>72000000</v>
      </c>
      <c r="M88" s="668"/>
      <c r="N88" s="319"/>
      <c r="O88" s="1438"/>
      <c r="P88" s="319"/>
      <c r="Q88" s="319"/>
      <c r="R88" s="1668"/>
    </row>
    <row r="89" spans="2:20" ht="15">
      <c r="B89" s="1679"/>
      <c r="C89" s="1680"/>
      <c r="D89" s="1680"/>
      <c r="E89" s="1681"/>
      <c r="F89" s="372">
        <v>3</v>
      </c>
      <c r="G89" s="1434" t="s">
        <v>1671</v>
      </c>
      <c r="H89" s="1435">
        <v>1</v>
      </c>
      <c r="I89" s="1436" t="s">
        <v>85</v>
      </c>
      <c r="J89" s="897">
        <v>34307750</v>
      </c>
      <c r="K89" s="1200">
        <f t="shared" si="25"/>
        <v>34307750</v>
      </c>
      <c r="L89" s="377">
        <f t="shared" si="24"/>
        <v>34307750</v>
      </c>
      <c r="M89" s="668"/>
      <c r="N89" s="319"/>
      <c r="O89" s="1438"/>
      <c r="P89" s="319"/>
      <c r="Q89" s="319"/>
      <c r="R89" s="1668"/>
    </row>
    <row r="90" spans="2:20" ht="15">
      <c r="B90" s="1679"/>
      <c r="C90" s="1680"/>
      <c r="D90" s="1680"/>
      <c r="E90" s="1681"/>
      <c r="F90" s="1681">
        <v>4</v>
      </c>
      <c r="G90" s="1434" t="s">
        <v>1672</v>
      </c>
      <c r="H90" s="1435">
        <v>1</v>
      </c>
      <c r="I90" s="1436" t="s">
        <v>85</v>
      </c>
      <c r="J90" s="897">
        <v>10509250</v>
      </c>
      <c r="K90" s="1200">
        <f t="shared" si="25"/>
        <v>10509250</v>
      </c>
      <c r="L90" s="377">
        <f t="shared" si="24"/>
        <v>10509250</v>
      </c>
      <c r="M90" s="668"/>
      <c r="N90" s="319"/>
      <c r="O90" s="1438"/>
      <c r="P90" s="319"/>
      <c r="Q90" s="319"/>
      <c r="R90" s="1668"/>
    </row>
    <row r="91" spans="2:20" ht="15">
      <c r="B91" s="1679"/>
      <c r="C91" s="1680"/>
      <c r="D91" s="1680"/>
      <c r="E91" s="1681"/>
      <c r="F91" s="372">
        <v>5</v>
      </c>
      <c r="G91" s="1434" t="s">
        <v>1673</v>
      </c>
      <c r="H91" s="1435">
        <v>1</v>
      </c>
      <c r="I91" s="1436" t="s">
        <v>85</v>
      </c>
      <c r="J91" s="897">
        <f>19325000+3400000</f>
        <v>22725000</v>
      </c>
      <c r="K91" s="1200">
        <f>H91*J91</f>
        <v>22725000</v>
      </c>
      <c r="L91" s="377">
        <f t="shared" si="24"/>
        <v>22725000</v>
      </c>
      <c r="M91" s="668"/>
      <c r="N91" s="319"/>
      <c r="O91" s="1438"/>
      <c r="P91" s="319"/>
      <c r="Q91" s="319"/>
      <c r="R91" s="1668"/>
    </row>
    <row r="92" spans="2:20" s="2184" customFormat="1" ht="15">
      <c r="B92" s="2172"/>
      <c r="C92" s="2173"/>
      <c r="D92" s="2173"/>
      <c r="E92" s="2174"/>
      <c r="F92" s="1681">
        <v>6</v>
      </c>
      <c r="G92" s="2175" t="s">
        <v>1800</v>
      </c>
      <c r="H92" s="2176">
        <v>1</v>
      </c>
      <c r="I92" s="2177" t="s">
        <v>85</v>
      </c>
      <c r="J92" s="2178">
        <f>(110000000*20%)+110000000</f>
        <v>132000000</v>
      </c>
      <c r="K92" s="2179">
        <f>H92*J92</f>
        <v>132000000</v>
      </c>
      <c r="L92" s="377">
        <f t="shared" si="24"/>
        <v>132000000</v>
      </c>
      <c r="M92" s="2180"/>
      <c r="N92" s="2181"/>
      <c r="O92" s="2182"/>
      <c r="P92" s="2181"/>
      <c r="Q92" s="2181"/>
      <c r="R92" s="2183"/>
    </row>
    <row r="93" spans="2:20" s="1793" customFormat="1" ht="15">
      <c r="B93" s="1885"/>
      <c r="C93" s="1886"/>
      <c r="D93" s="1886"/>
      <c r="E93" s="1887"/>
      <c r="F93" s="372">
        <v>7</v>
      </c>
      <c r="G93" s="1892" t="s">
        <v>1801</v>
      </c>
      <c r="H93" s="1893">
        <v>1</v>
      </c>
      <c r="I93" s="1894" t="s">
        <v>85</v>
      </c>
      <c r="J93" s="1895">
        <f>(14250000*20%)+14250000</f>
        <v>17100000</v>
      </c>
      <c r="K93" s="1896">
        <f>H93*J93</f>
        <v>17100000</v>
      </c>
      <c r="L93" s="377">
        <f t="shared" si="24"/>
        <v>17100000</v>
      </c>
      <c r="M93" s="1878"/>
      <c r="N93" s="1785"/>
      <c r="O93" s="2169"/>
      <c r="P93" s="1785"/>
      <c r="Q93" s="1785"/>
      <c r="R93" s="1890"/>
    </row>
    <row r="94" spans="2:20" s="1793" customFormat="1" ht="15">
      <c r="B94" s="1885"/>
      <c r="C94" s="1886"/>
      <c r="D94" s="1886"/>
      <c r="E94" s="1887"/>
      <c r="F94" s="1681">
        <v>8</v>
      </c>
      <c r="G94" s="1892" t="s">
        <v>1802</v>
      </c>
      <c r="H94" s="1893">
        <v>1</v>
      </c>
      <c r="I94" s="1894" t="s">
        <v>85</v>
      </c>
      <c r="J94" s="1895">
        <f>(76032000*20%)+76032000</f>
        <v>91238400</v>
      </c>
      <c r="K94" s="1896">
        <f>H94*J94</f>
        <v>91238400</v>
      </c>
      <c r="L94" s="377">
        <f t="shared" si="24"/>
        <v>91238400</v>
      </c>
      <c r="M94" s="1878"/>
      <c r="N94" s="1785"/>
      <c r="O94" s="2169"/>
      <c r="P94" s="1785"/>
      <c r="Q94" s="1785"/>
      <c r="R94" s="1890"/>
    </row>
    <row r="95" spans="2:20" ht="15">
      <c r="B95" s="346"/>
      <c r="C95" s="371"/>
      <c r="D95" s="371"/>
      <c r="E95" s="372"/>
      <c r="F95" s="372"/>
      <c r="G95" s="1434"/>
      <c r="H95" s="1435"/>
      <c r="I95" s="1436"/>
      <c r="J95" s="897"/>
      <c r="K95" s="1437"/>
      <c r="L95" s="386"/>
      <c r="M95" s="811"/>
      <c r="N95" s="319"/>
      <c r="O95" s="1438"/>
      <c r="P95" s="319"/>
      <c r="Q95" s="319"/>
      <c r="R95" s="378"/>
    </row>
    <row r="96" spans="2:20" ht="14.45" customHeight="1" thickBot="1">
      <c r="B96" s="3642" t="s">
        <v>30</v>
      </c>
      <c r="C96" s="3643"/>
      <c r="D96" s="3643"/>
      <c r="E96" s="3643"/>
      <c r="F96" s="3643"/>
      <c r="G96" s="3643"/>
      <c r="H96" s="3643"/>
      <c r="I96" s="3643"/>
      <c r="J96" s="3644"/>
      <c r="K96" s="655">
        <f>K24</f>
        <v>3229406741</v>
      </c>
      <c r="L96" s="564">
        <f t="shared" ref="L96:Q96" si="26">SUM(L24:L95)</f>
        <v>867620655</v>
      </c>
      <c r="M96" s="564">
        <f t="shared" si="26"/>
        <v>2361786086</v>
      </c>
      <c r="N96" s="564">
        <f t="shared" si="26"/>
        <v>0</v>
      </c>
      <c r="O96" s="564">
        <f t="shared" si="26"/>
        <v>0</v>
      </c>
      <c r="P96" s="564">
        <f t="shared" si="26"/>
        <v>0</v>
      </c>
      <c r="Q96" s="564">
        <f t="shared" si="26"/>
        <v>0</v>
      </c>
      <c r="R96" s="314">
        <f>SUM(L96:Q96)</f>
        <v>3229406741</v>
      </c>
      <c r="S96" s="41">
        <v>675000000</v>
      </c>
      <c r="T96" s="158">
        <f>S96-K96</f>
        <v>-2554406741</v>
      </c>
    </row>
    <row r="97" spans="7:18" ht="15.75" thickTop="1">
      <c r="K97" s="41"/>
      <c r="L97" s="305"/>
      <c r="M97" s="310"/>
      <c r="N97" s="306"/>
      <c r="O97" s="306"/>
      <c r="P97" s="306"/>
      <c r="Q97" s="306"/>
      <c r="R97" s="306"/>
    </row>
    <row r="98" spans="7:18" ht="15">
      <c r="K98" s="41">
        <v>2172587355</v>
      </c>
      <c r="L98" s="564"/>
      <c r="M98" s="569"/>
      <c r="N98" s="378"/>
      <c r="O98" s="378"/>
      <c r="P98" s="378"/>
      <c r="Q98" s="378"/>
      <c r="R98" s="378"/>
    </row>
    <row r="99" spans="7:18" ht="15">
      <c r="H99" s="3336" t="s">
        <v>1534</v>
      </c>
      <c r="I99" s="3336"/>
      <c r="J99" s="3336"/>
      <c r="K99" s="1417">
        <f>K96-K98</f>
        <v>1056819386</v>
      </c>
      <c r="L99" s="564"/>
      <c r="M99" s="310"/>
      <c r="N99" s="306"/>
      <c r="O99" s="306"/>
      <c r="P99" s="306"/>
      <c r="Q99" s="306"/>
      <c r="R99" s="306"/>
    </row>
    <row r="100" spans="7:18" ht="15">
      <c r="H100" s="3337" t="s">
        <v>272</v>
      </c>
      <c r="I100" s="3337"/>
      <c r="J100" s="3485"/>
      <c r="K100" s="936"/>
      <c r="L100" s="564"/>
      <c r="M100" s="310"/>
      <c r="N100" s="306"/>
      <c r="O100" s="306"/>
      <c r="P100" s="306"/>
      <c r="Q100" s="306"/>
      <c r="R100" s="306"/>
    </row>
    <row r="101" spans="7:18" ht="15">
      <c r="H101" s="127"/>
      <c r="I101" s="127"/>
      <c r="J101" s="127"/>
      <c r="K101" s="8"/>
      <c r="L101" s="564"/>
      <c r="M101" s="310"/>
      <c r="N101" s="306"/>
      <c r="O101" s="306"/>
      <c r="P101" s="306"/>
      <c r="Q101" s="306"/>
      <c r="R101" s="306"/>
    </row>
    <row r="102" spans="7:18" ht="15">
      <c r="H102" s="127"/>
      <c r="I102" s="127"/>
      <c r="J102" s="127"/>
      <c r="K102" s="936"/>
      <c r="L102" s="564"/>
      <c r="M102" s="310"/>
      <c r="N102" s="306"/>
      <c r="O102" s="306"/>
      <c r="P102" s="306"/>
      <c r="Q102" s="306"/>
      <c r="R102" s="306"/>
    </row>
    <row r="103" spans="7:18" ht="15">
      <c r="H103" s="3434" t="s">
        <v>904</v>
      </c>
      <c r="I103" s="3434"/>
      <c r="J103" s="3434"/>
      <c r="K103" s="8"/>
      <c r="L103" s="564"/>
      <c r="M103" s="310"/>
      <c r="N103" s="306"/>
      <c r="O103" s="306"/>
      <c r="P103" s="306"/>
      <c r="Q103" s="306"/>
      <c r="R103" s="306"/>
    </row>
    <row r="104" spans="7:18" ht="15">
      <c r="H104" s="3434" t="s">
        <v>906</v>
      </c>
      <c r="I104" s="3434"/>
      <c r="J104" s="3434"/>
      <c r="K104" s="8"/>
      <c r="L104" s="564"/>
      <c r="M104" s="310"/>
      <c r="N104" s="306"/>
      <c r="O104" s="306"/>
      <c r="P104" s="306"/>
      <c r="Q104" s="306"/>
      <c r="R104" s="306"/>
    </row>
    <row r="105" spans="7:18" ht="15">
      <c r="L105" s="305"/>
      <c r="M105" s="310"/>
      <c r="N105" s="306"/>
      <c r="O105" s="306"/>
      <c r="P105" s="306"/>
      <c r="Q105" s="306"/>
      <c r="R105" s="306"/>
    </row>
    <row r="106" spans="7:18" ht="15">
      <c r="G106" s="9" t="s">
        <v>848</v>
      </c>
      <c r="J106" s="9">
        <v>156900000</v>
      </c>
      <c r="L106" s="305"/>
      <c r="M106" s="310"/>
      <c r="N106" s="306"/>
      <c r="O106" s="306"/>
      <c r="P106" s="306"/>
      <c r="Q106" s="306"/>
      <c r="R106" s="306"/>
    </row>
    <row r="107" spans="7:18" ht="15">
      <c r="G107" s="9" t="s">
        <v>849</v>
      </c>
      <c r="J107" s="9">
        <v>130240000</v>
      </c>
      <c r="L107" s="305"/>
      <c r="M107" s="310"/>
      <c r="N107" s="306"/>
      <c r="O107" s="306"/>
      <c r="P107" s="306"/>
      <c r="Q107" s="306"/>
      <c r="R107" s="306"/>
    </row>
    <row r="108" spans="7:18" ht="15">
      <c r="J108" s="9">
        <f>SUM(J106:J107)</f>
        <v>287140000</v>
      </c>
      <c r="L108" s="305"/>
      <c r="M108" s="310"/>
      <c r="N108" s="306"/>
      <c r="O108" s="306"/>
      <c r="P108" s="306"/>
      <c r="Q108" s="306"/>
      <c r="R108" s="306"/>
    </row>
    <row r="109" spans="7:18" ht="15">
      <c r="K109" s="157"/>
      <c r="L109" s="305"/>
      <c r="M109" s="310"/>
      <c r="N109" s="306"/>
      <c r="O109" s="306"/>
      <c r="P109" s="306"/>
      <c r="Q109" s="306"/>
      <c r="R109" s="306"/>
    </row>
    <row r="110" spans="7:18" ht="15">
      <c r="K110" s="142"/>
      <c r="L110" s="305"/>
      <c r="M110" s="310"/>
      <c r="N110" s="306"/>
      <c r="O110" s="306"/>
      <c r="P110" s="306"/>
      <c r="Q110" s="306"/>
      <c r="R110" s="306"/>
    </row>
    <row r="111" spans="7:18" ht="15">
      <c r="K111" s="142"/>
      <c r="L111" s="305"/>
      <c r="M111" s="310"/>
      <c r="N111" s="306"/>
      <c r="O111" s="306"/>
      <c r="P111" s="306"/>
      <c r="Q111" s="306"/>
      <c r="R111" s="306"/>
    </row>
    <row r="112" spans="7:18" ht="15">
      <c r="L112" s="305"/>
      <c r="M112" s="310"/>
      <c r="N112" s="306"/>
      <c r="O112" s="306"/>
      <c r="P112" s="306"/>
      <c r="Q112" s="306"/>
      <c r="R112" s="306"/>
    </row>
    <row r="113" spans="12:18" ht="15">
      <c r="L113" s="305"/>
      <c r="M113" s="310"/>
      <c r="N113" s="306"/>
      <c r="O113" s="306"/>
      <c r="P113" s="306"/>
      <c r="Q113" s="306"/>
      <c r="R113" s="306"/>
    </row>
    <row r="114" spans="12:18" ht="15">
      <c r="L114" s="305"/>
      <c r="M114" s="310"/>
      <c r="N114" s="306"/>
      <c r="O114" s="306"/>
      <c r="P114" s="306"/>
      <c r="Q114" s="306"/>
      <c r="R114" s="306"/>
    </row>
    <row r="115" spans="12:18" ht="15">
      <c r="L115" s="305"/>
      <c r="M115" s="310"/>
      <c r="N115" s="306"/>
      <c r="O115" s="306"/>
      <c r="P115" s="306"/>
      <c r="Q115" s="306"/>
      <c r="R115" s="306"/>
    </row>
    <row r="116" spans="12:18" ht="15">
      <c r="L116" s="305"/>
      <c r="M116" s="310"/>
      <c r="N116" s="306"/>
      <c r="O116" s="306"/>
      <c r="P116" s="306"/>
      <c r="Q116" s="306"/>
      <c r="R116" s="306"/>
    </row>
    <row r="117" spans="12:18" ht="15">
      <c r="L117" s="305"/>
      <c r="M117" s="310"/>
      <c r="N117" s="306"/>
      <c r="O117" s="306"/>
      <c r="P117" s="306"/>
      <c r="Q117" s="306"/>
      <c r="R117" s="306"/>
    </row>
    <row r="118" spans="12:18" ht="15">
      <c r="L118" s="305"/>
      <c r="M118" s="310"/>
      <c r="N118" s="306"/>
      <c r="O118" s="306"/>
      <c r="P118" s="306"/>
      <c r="Q118" s="306"/>
      <c r="R118" s="306"/>
    </row>
    <row r="119" spans="12:18" ht="15">
      <c r="L119" s="305"/>
      <c r="M119" s="310"/>
      <c r="N119" s="306"/>
      <c r="O119" s="306"/>
      <c r="P119" s="306"/>
      <c r="Q119" s="306"/>
      <c r="R119" s="306"/>
    </row>
    <row r="120" spans="12:18" ht="15">
      <c r="L120" s="305"/>
      <c r="M120" s="310"/>
      <c r="N120" s="306"/>
      <c r="O120" s="306"/>
      <c r="P120" s="306"/>
      <c r="Q120" s="306"/>
      <c r="R120" s="306"/>
    </row>
    <row r="121" spans="12:18" ht="15">
      <c r="L121" s="305"/>
      <c r="M121" s="310"/>
      <c r="N121" s="306"/>
      <c r="O121" s="306"/>
      <c r="P121" s="306"/>
      <c r="Q121" s="306"/>
      <c r="R121" s="306"/>
    </row>
    <row r="122" spans="12:18" ht="15">
      <c r="L122" s="305"/>
      <c r="M122" s="310"/>
      <c r="N122" s="306"/>
      <c r="O122" s="306"/>
      <c r="P122" s="306"/>
      <c r="Q122" s="306"/>
      <c r="R122" s="306"/>
    </row>
    <row r="123" spans="12:18" ht="15">
      <c r="L123" s="305"/>
      <c r="M123" s="310"/>
      <c r="N123" s="306"/>
      <c r="O123" s="306"/>
      <c r="P123" s="306"/>
      <c r="Q123" s="306"/>
      <c r="R123" s="306"/>
    </row>
    <row r="124" spans="12:18" ht="15">
      <c r="L124" s="305"/>
      <c r="M124" s="310"/>
      <c r="N124" s="306"/>
      <c r="O124" s="306"/>
      <c r="P124" s="306"/>
      <c r="Q124" s="306"/>
      <c r="R124" s="306"/>
    </row>
    <row r="125" spans="12:18" ht="15">
      <c r="L125" s="305"/>
      <c r="M125" s="310"/>
      <c r="N125" s="306"/>
      <c r="O125" s="306"/>
      <c r="P125" s="306"/>
      <c r="Q125" s="306"/>
      <c r="R125" s="306"/>
    </row>
    <row r="126" spans="12:18" ht="15">
      <c r="L126" s="305"/>
      <c r="M126" s="310"/>
      <c r="N126" s="306"/>
      <c r="O126" s="306"/>
      <c r="P126" s="306"/>
      <c r="Q126" s="306"/>
      <c r="R126" s="306"/>
    </row>
    <row r="127" spans="12:18" ht="15">
      <c r="L127" s="305"/>
      <c r="M127" s="310"/>
      <c r="N127" s="306"/>
      <c r="O127" s="306"/>
      <c r="P127" s="306"/>
      <c r="Q127" s="306"/>
      <c r="R127" s="306"/>
    </row>
    <row r="128" spans="12:18" ht="15">
      <c r="L128" s="305"/>
      <c r="M128" s="310"/>
      <c r="N128" s="306"/>
      <c r="O128" s="306"/>
      <c r="P128" s="306"/>
      <c r="Q128" s="306"/>
      <c r="R128" s="306"/>
    </row>
    <row r="129" spans="12:18" ht="15">
      <c r="L129" s="305"/>
      <c r="M129" s="310"/>
      <c r="N129" s="306"/>
      <c r="O129" s="306"/>
      <c r="P129" s="306"/>
      <c r="Q129" s="306"/>
      <c r="R129" s="306"/>
    </row>
    <row r="130" spans="12:18" ht="15">
      <c r="L130" s="305"/>
      <c r="M130" s="310"/>
      <c r="N130" s="306"/>
      <c r="O130" s="306"/>
      <c r="P130" s="306"/>
      <c r="Q130" s="306"/>
      <c r="R130" s="306"/>
    </row>
    <row r="131" spans="12:18" ht="15">
      <c r="L131" s="305"/>
      <c r="M131" s="310"/>
      <c r="N131" s="306"/>
      <c r="O131" s="306"/>
      <c r="P131" s="306"/>
      <c r="Q131" s="306"/>
      <c r="R131" s="306"/>
    </row>
    <row r="132" spans="12:18" ht="15">
      <c r="L132" s="305"/>
      <c r="M132" s="310"/>
      <c r="N132" s="306"/>
      <c r="O132" s="306"/>
      <c r="P132" s="306"/>
      <c r="Q132" s="306"/>
      <c r="R132" s="306"/>
    </row>
    <row r="133" spans="12:18" ht="15">
      <c r="L133" s="305"/>
      <c r="M133" s="310"/>
      <c r="N133" s="306"/>
      <c r="O133" s="306"/>
      <c r="P133" s="306"/>
      <c r="Q133" s="306"/>
      <c r="R133" s="306"/>
    </row>
    <row r="134" spans="12:18" ht="15">
      <c r="L134" s="305"/>
      <c r="M134" s="310"/>
      <c r="N134" s="306"/>
      <c r="O134" s="306"/>
      <c r="P134" s="306"/>
      <c r="Q134" s="306"/>
      <c r="R134" s="306"/>
    </row>
    <row r="135" spans="12:18" ht="15">
      <c r="L135" s="305"/>
      <c r="M135" s="310"/>
      <c r="N135" s="306"/>
      <c r="O135" s="306"/>
      <c r="P135" s="306"/>
      <c r="Q135" s="306"/>
      <c r="R135" s="306"/>
    </row>
    <row r="136" spans="12:18" ht="15">
      <c r="L136" s="305"/>
      <c r="M136" s="310"/>
      <c r="N136" s="306"/>
      <c r="O136" s="306"/>
      <c r="P136" s="306"/>
      <c r="Q136" s="306"/>
      <c r="R136" s="306"/>
    </row>
    <row r="137" spans="12:18" ht="15">
      <c r="L137" s="305"/>
      <c r="M137" s="310"/>
      <c r="N137" s="306"/>
      <c r="O137" s="306"/>
      <c r="P137" s="306"/>
      <c r="Q137" s="306"/>
      <c r="R137" s="306"/>
    </row>
    <row r="138" spans="12:18" ht="15">
      <c r="L138" s="305"/>
      <c r="M138" s="310"/>
      <c r="N138" s="306"/>
      <c r="O138" s="306"/>
      <c r="P138" s="306"/>
      <c r="Q138" s="306"/>
      <c r="R138" s="306"/>
    </row>
    <row r="139" spans="12:18" ht="15">
      <c r="L139" s="305"/>
      <c r="M139" s="310"/>
      <c r="N139" s="306"/>
      <c r="O139" s="306"/>
      <c r="P139" s="306"/>
      <c r="Q139" s="306"/>
      <c r="R139" s="306"/>
    </row>
    <row r="140" spans="12:18" ht="15">
      <c r="L140" s="305"/>
      <c r="M140" s="310"/>
      <c r="N140" s="306"/>
      <c r="O140" s="306"/>
      <c r="P140" s="306"/>
      <c r="Q140" s="306"/>
      <c r="R140" s="306"/>
    </row>
    <row r="141" spans="12:18" ht="15">
      <c r="L141" s="305"/>
      <c r="M141" s="310"/>
      <c r="N141" s="306"/>
      <c r="O141" s="306"/>
      <c r="P141" s="306"/>
      <c r="Q141" s="306"/>
      <c r="R141" s="306"/>
    </row>
    <row r="142" spans="12:18" ht="15">
      <c r="L142" s="305"/>
      <c r="M142" s="310"/>
      <c r="N142" s="306"/>
      <c r="O142" s="306"/>
      <c r="P142" s="306"/>
      <c r="Q142" s="306"/>
      <c r="R142" s="306"/>
    </row>
    <row r="143" spans="12:18" ht="15">
      <c r="L143" s="305"/>
      <c r="M143" s="310"/>
      <c r="N143" s="306"/>
      <c r="O143" s="306"/>
      <c r="P143" s="306"/>
      <c r="Q143" s="306"/>
      <c r="R143" s="306"/>
    </row>
    <row r="144" spans="12:18" ht="15">
      <c r="L144" s="305"/>
      <c r="M144" s="310"/>
      <c r="N144" s="306"/>
      <c r="O144" s="306"/>
      <c r="P144" s="306"/>
      <c r="Q144" s="306"/>
      <c r="R144" s="306"/>
    </row>
    <row r="145" spans="12:18" ht="15">
      <c r="L145" s="305"/>
      <c r="M145" s="310"/>
      <c r="N145" s="306"/>
      <c r="O145" s="306"/>
      <c r="P145" s="306"/>
      <c r="Q145" s="306"/>
      <c r="R145" s="306"/>
    </row>
    <row r="146" spans="12:18" ht="15">
      <c r="L146" s="305"/>
      <c r="M146" s="310"/>
      <c r="N146" s="306"/>
      <c r="O146" s="306"/>
      <c r="P146" s="306"/>
      <c r="Q146" s="306"/>
      <c r="R146" s="306"/>
    </row>
    <row r="147" spans="12:18" ht="15">
      <c r="L147" s="305"/>
      <c r="M147" s="310"/>
      <c r="N147" s="306"/>
      <c r="O147" s="306"/>
      <c r="P147" s="306"/>
      <c r="Q147" s="306"/>
      <c r="R147" s="306"/>
    </row>
    <row r="148" spans="12:18" ht="15">
      <c r="L148" s="305"/>
      <c r="M148" s="310"/>
      <c r="N148" s="306"/>
      <c r="O148" s="306"/>
      <c r="P148" s="306"/>
      <c r="Q148" s="306"/>
      <c r="R148" s="306"/>
    </row>
    <row r="149" spans="12:18" ht="15">
      <c r="L149" s="305"/>
      <c r="M149" s="310"/>
      <c r="N149" s="306"/>
      <c r="O149" s="306"/>
      <c r="P149" s="306"/>
      <c r="Q149" s="306"/>
      <c r="R149" s="306"/>
    </row>
    <row r="150" spans="12:18" ht="15">
      <c r="L150" s="305"/>
      <c r="M150" s="310"/>
      <c r="N150" s="306"/>
      <c r="O150" s="306"/>
      <c r="P150" s="306"/>
      <c r="Q150" s="306"/>
      <c r="R150" s="306"/>
    </row>
    <row r="151" spans="12:18" ht="15">
      <c r="L151" s="305"/>
      <c r="M151" s="310"/>
      <c r="N151" s="306"/>
      <c r="O151" s="306"/>
      <c r="P151" s="306"/>
      <c r="Q151" s="306"/>
      <c r="R151" s="306"/>
    </row>
    <row r="152" spans="12:18" ht="15">
      <c r="L152" s="305"/>
      <c r="M152" s="310"/>
      <c r="N152" s="306"/>
      <c r="O152" s="306"/>
      <c r="P152" s="306"/>
      <c r="Q152" s="306"/>
      <c r="R152" s="306"/>
    </row>
    <row r="153" spans="12:18" ht="15">
      <c r="L153" s="305"/>
      <c r="M153" s="310"/>
      <c r="N153" s="306"/>
      <c r="O153" s="306"/>
      <c r="P153" s="306"/>
      <c r="Q153" s="306"/>
      <c r="R153" s="306"/>
    </row>
    <row r="154" spans="12:18" ht="15">
      <c r="L154" s="305"/>
      <c r="M154" s="310"/>
      <c r="N154" s="306"/>
      <c r="O154" s="306"/>
      <c r="P154" s="306"/>
      <c r="Q154" s="306"/>
      <c r="R154" s="306"/>
    </row>
    <row r="155" spans="12:18" ht="15">
      <c r="L155" s="305"/>
      <c r="M155" s="310"/>
      <c r="N155" s="306"/>
      <c r="O155" s="306"/>
      <c r="P155" s="306"/>
      <c r="Q155" s="306"/>
      <c r="R155" s="306"/>
    </row>
    <row r="156" spans="12:18" ht="15">
      <c r="L156" s="305"/>
      <c r="M156" s="310"/>
      <c r="N156" s="306"/>
      <c r="O156" s="306"/>
      <c r="P156" s="306"/>
      <c r="Q156" s="306"/>
      <c r="R156" s="306"/>
    </row>
    <row r="157" spans="12:18" ht="15">
      <c r="L157" s="306"/>
      <c r="M157" s="306"/>
      <c r="N157" s="306"/>
      <c r="O157" s="306"/>
      <c r="P157" s="306"/>
      <c r="Q157" s="306"/>
      <c r="R157" s="306"/>
    </row>
  </sheetData>
  <mergeCells count="50">
    <mergeCell ref="B96:J96"/>
    <mergeCell ref="H99:J99"/>
    <mergeCell ref="H100:J100"/>
    <mergeCell ref="H103:J103"/>
    <mergeCell ref="H104:J104"/>
    <mergeCell ref="L20:Q20"/>
    <mergeCell ref="R20:R22"/>
    <mergeCell ref="B21:F22"/>
    <mergeCell ref="G21:G22"/>
    <mergeCell ref="H21:J21"/>
    <mergeCell ref="B23:F23"/>
    <mergeCell ref="B17:F17"/>
    <mergeCell ref="G17:H17"/>
    <mergeCell ref="I17:K17"/>
    <mergeCell ref="B18:K18"/>
    <mergeCell ref="B19:K19"/>
    <mergeCell ref="B20:K20"/>
    <mergeCell ref="B15:F15"/>
    <mergeCell ref="G15:H15"/>
    <mergeCell ref="I15:K15"/>
    <mergeCell ref="B16:F16"/>
    <mergeCell ref="G16:H16"/>
    <mergeCell ref="I16:K16"/>
    <mergeCell ref="B12:K12"/>
    <mergeCell ref="B13:F13"/>
    <mergeCell ref="G13:H13"/>
    <mergeCell ref="I13:K13"/>
    <mergeCell ref="B14:F14"/>
    <mergeCell ref="G14:H14"/>
    <mergeCell ref="I14:K14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:K1"/>
    <mergeCell ref="B2:D3"/>
    <mergeCell ref="E2:H2"/>
    <mergeCell ref="I2:J2"/>
    <mergeCell ref="E3:H3"/>
    <mergeCell ref="I3:J3"/>
  </mergeCells>
  <pageMargins left="0.15748031496062992" right="0.15748031496062992" top="0.55118110236220474" bottom="2.2834645669291338" header="0.31496062992125984" footer="0.23622047244094491"/>
  <pageSetup paperSize="5" scale="93" orientation="portrait" horizontalDpi="4294967293" verticalDpi="4294967293" r:id="rId1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B1:T91"/>
  <sheetViews>
    <sheetView view="pageBreakPreview" topLeftCell="A16" zoomScale="110" zoomScaleNormal="120" zoomScaleSheetLayoutView="110" workbookViewId="0">
      <selection activeCell="G35" sqref="G35"/>
    </sheetView>
  </sheetViews>
  <sheetFormatPr defaultColWidth="8.85546875" defaultRowHeight="12.75"/>
  <cols>
    <col min="1" max="1" width="1.140625" style="9" customWidth="1"/>
    <col min="2" max="2" width="3.28515625" style="9" customWidth="1"/>
    <col min="3" max="4" width="3.140625" style="9" customWidth="1"/>
    <col min="5" max="5" width="3.85546875" style="9" customWidth="1"/>
    <col min="6" max="6" width="3.5703125" style="9" customWidth="1"/>
    <col min="7" max="7" width="46.5703125" style="9" customWidth="1"/>
    <col min="8" max="8" width="8" style="9" customWidth="1"/>
    <col min="9" max="9" width="8" style="9" bestFit="1" customWidth="1"/>
    <col min="10" max="10" width="13.42578125" style="9" bestFit="1" customWidth="1"/>
    <col min="11" max="11" width="12.5703125" style="9" bestFit="1" customWidth="1"/>
    <col min="12" max="17" width="6.42578125" style="9" bestFit="1" customWidth="1"/>
    <col min="18" max="18" width="16.7109375" style="9" bestFit="1" customWidth="1"/>
    <col min="19" max="19" width="15.28515625" style="9" bestFit="1" customWidth="1"/>
    <col min="20" max="20" width="14.28515625" style="9" bestFit="1" customWidth="1"/>
    <col min="21" max="246" width="8.85546875" style="9"/>
    <col min="247" max="247" width="1.140625" style="9" customWidth="1"/>
    <col min="248" max="248" width="3.28515625" style="9" customWidth="1"/>
    <col min="249" max="249" width="2.42578125" style="9" customWidth="1"/>
    <col min="250" max="250" width="2.5703125" style="9" customWidth="1"/>
    <col min="251" max="251" width="2.85546875" style="9" customWidth="1"/>
    <col min="252" max="252" width="3" style="9" customWidth="1"/>
    <col min="253" max="253" width="24.7109375" style="9" customWidth="1"/>
    <col min="254" max="254" width="7.85546875" style="9" customWidth="1"/>
    <col min="255" max="255" width="7.42578125" style="9" customWidth="1"/>
    <col min="256" max="256" width="11.140625" style="9" customWidth="1"/>
    <col min="257" max="257" width="14.42578125" style="9" customWidth="1"/>
    <col min="258" max="258" width="3.42578125" style="9" customWidth="1"/>
    <col min="259" max="259" width="3" style="9" customWidth="1"/>
    <col min="260" max="260" width="3.28515625" style="9" customWidth="1"/>
    <col min="261" max="261" width="3.140625" style="9" customWidth="1"/>
    <col min="262" max="262" width="3.42578125" style="9" customWidth="1"/>
    <col min="263" max="263" width="24.7109375" style="9" customWidth="1"/>
    <col min="264" max="264" width="7.85546875" style="9" customWidth="1"/>
    <col min="265" max="265" width="7.28515625" style="9" customWidth="1"/>
    <col min="266" max="266" width="11.7109375" style="9" bestFit="1" customWidth="1"/>
    <col min="267" max="267" width="14.42578125" style="9" customWidth="1"/>
    <col min="268" max="268" width="8.85546875" style="9"/>
    <col min="269" max="269" width="14.28515625" style="9" bestFit="1" customWidth="1"/>
    <col min="270" max="270" width="10" style="9" customWidth="1"/>
    <col min="271" max="502" width="8.85546875" style="9"/>
    <col min="503" max="503" width="1.140625" style="9" customWidth="1"/>
    <col min="504" max="504" width="3.28515625" style="9" customWidth="1"/>
    <col min="505" max="505" width="2.42578125" style="9" customWidth="1"/>
    <col min="506" max="506" width="2.5703125" style="9" customWidth="1"/>
    <col min="507" max="507" width="2.85546875" style="9" customWidth="1"/>
    <col min="508" max="508" width="3" style="9" customWidth="1"/>
    <col min="509" max="509" width="24.7109375" style="9" customWidth="1"/>
    <col min="510" max="510" width="7.85546875" style="9" customWidth="1"/>
    <col min="511" max="511" width="7.42578125" style="9" customWidth="1"/>
    <col min="512" max="512" width="11.140625" style="9" customWidth="1"/>
    <col min="513" max="513" width="14.42578125" style="9" customWidth="1"/>
    <col min="514" max="514" width="3.42578125" style="9" customWidth="1"/>
    <col min="515" max="515" width="3" style="9" customWidth="1"/>
    <col min="516" max="516" width="3.28515625" style="9" customWidth="1"/>
    <col min="517" max="517" width="3.140625" style="9" customWidth="1"/>
    <col min="518" max="518" width="3.42578125" style="9" customWidth="1"/>
    <col min="519" max="519" width="24.7109375" style="9" customWidth="1"/>
    <col min="520" max="520" width="7.85546875" style="9" customWidth="1"/>
    <col min="521" max="521" width="7.28515625" style="9" customWidth="1"/>
    <col min="522" max="522" width="11.7109375" style="9" bestFit="1" customWidth="1"/>
    <col min="523" max="523" width="14.42578125" style="9" customWidth="1"/>
    <col min="524" max="524" width="8.85546875" style="9"/>
    <col min="525" max="525" width="14.28515625" style="9" bestFit="1" customWidth="1"/>
    <col min="526" max="526" width="10" style="9" customWidth="1"/>
    <col min="527" max="758" width="8.85546875" style="9"/>
    <col min="759" max="759" width="1.140625" style="9" customWidth="1"/>
    <col min="760" max="760" width="3.28515625" style="9" customWidth="1"/>
    <col min="761" max="761" width="2.42578125" style="9" customWidth="1"/>
    <col min="762" max="762" width="2.5703125" style="9" customWidth="1"/>
    <col min="763" max="763" width="2.85546875" style="9" customWidth="1"/>
    <col min="764" max="764" width="3" style="9" customWidth="1"/>
    <col min="765" max="765" width="24.7109375" style="9" customWidth="1"/>
    <col min="766" max="766" width="7.85546875" style="9" customWidth="1"/>
    <col min="767" max="767" width="7.42578125" style="9" customWidth="1"/>
    <col min="768" max="768" width="11.140625" style="9" customWidth="1"/>
    <col min="769" max="769" width="14.42578125" style="9" customWidth="1"/>
    <col min="770" max="770" width="3.42578125" style="9" customWidth="1"/>
    <col min="771" max="771" width="3" style="9" customWidth="1"/>
    <col min="772" max="772" width="3.28515625" style="9" customWidth="1"/>
    <col min="773" max="773" width="3.140625" style="9" customWidth="1"/>
    <col min="774" max="774" width="3.42578125" style="9" customWidth="1"/>
    <col min="775" max="775" width="24.7109375" style="9" customWidth="1"/>
    <col min="776" max="776" width="7.85546875" style="9" customWidth="1"/>
    <col min="777" max="777" width="7.28515625" style="9" customWidth="1"/>
    <col min="778" max="778" width="11.7109375" style="9" bestFit="1" customWidth="1"/>
    <col min="779" max="779" width="14.42578125" style="9" customWidth="1"/>
    <col min="780" max="780" width="8.85546875" style="9"/>
    <col min="781" max="781" width="14.28515625" style="9" bestFit="1" customWidth="1"/>
    <col min="782" max="782" width="10" style="9" customWidth="1"/>
    <col min="783" max="1014" width="8.85546875" style="9"/>
    <col min="1015" max="1015" width="1.140625" style="9" customWidth="1"/>
    <col min="1016" max="1016" width="3.28515625" style="9" customWidth="1"/>
    <col min="1017" max="1017" width="2.42578125" style="9" customWidth="1"/>
    <col min="1018" max="1018" width="2.5703125" style="9" customWidth="1"/>
    <col min="1019" max="1019" width="2.85546875" style="9" customWidth="1"/>
    <col min="1020" max="1020" width="3" style="9" customWidth="1"/>
    <col min="1021" max="1021" width="24.7109375" style="9" customWidth="1"/>
    <col min="1022" max="1022" width="7.85546875" style="9" customWidth="1"/>
    <col min="1023" max="1023" width="7.42578125" style="9" customWidth="1"/>
    <col min="1024" max="1024" width="11.140625" style="9" customWidth="1"/>
    <col min="1025" max="1025" width="14.42578125" style="9" customWidth="1"/>
    <col min="1026" max="1026" width="3.42578125" style="9" customWidth="1"/>
    <col min="1027" max="1027" width="3" style="9" customWidth="1"/>
    <col min="1028" max="1028" width="3.28515625" style="9" customWidth="1"/>
    <col min="1029" max="1029" width="3.140625" style="9" customWidth="1"/>
    <col min="1030" max="1030" width="3.42578125" style="9" customWidth="1"/>
    <col min="1031" max="1031" width="24.7109375" style="9" customWidth="1"/>
    <col min="1032" max="1032" width="7.85546875" style="9" customWidth="1"/>
    <col min="1033" max="1033" width="7.28515625" style="9" customWidth="1"/>
    <col min="1034" max="1034" width="11.7109375" style="9" bestFit="1" customWidth="1"/>
    <col min="1035" max="1035" width="14.42578125" style="9" customWidth="1"/>
    <col min="1036" max="1036" width="8.85546875" style="9"/>
    <col min="1037" max="1037" width="14.28515625" style="9" bestFit="1" customWidth="1"/>
    <col min="1038" max="1038" width="10" style="9" customWidth="1"/>
    <col min="1039" max="1270" width="8.85546875" style="9"/>
    <col min="1271" max="1271" width="1.140625" style="9" customWidth="1"/>
    <col min="1272" max="1272" width="3.28515625" style="9" customWidth="1"/>
    <col min="1273" max="1273" width="2.42578125" style="9" customWidth="1"/>
    <col min="1274" max="1274" width="2.5703125" style="9" customWidth="1"/>
    <col min="1275" max="1275" width="2.85546875" style="9" customWidth="1"/>
    <col min="1276" max="1276" width="3" style="9" customWidth="1"/>
    <col min="1277" max="1277" width="24.7109375" style="9" customWidth="1"/>
    <col min="1278" max="1278" width="7.85546875" style="9" customWidth="1"/>
    <col min="1279" max="1279" width="7.42578125" style="9" customWidth="1"/>
    <col min="1280" max="1280" width="11.140625" style="9" customWidth="1"/>
    <col min="1281" max="1281" width="14.42578125" style="9" customWidth="1"/>
    <col min="1282" max="1282" width="3.42578125" style="9" customWidth="1"/>
    <col min="1283" max="1283" width="3" style="9" customWidth="1"/>
    <col min="1284" max="1284" width="3.28515625" style="9" customWidth="1"/>
    <col min="1285" max="1285" width="3.140625" style="9" customWidth="1"/>
    <col min="1286" max="1286" width="3.42578125" style="9" customWidth="1"/>
    <col min="1287" max="1287" width="24.7109375" style="9" customWidth="1"/>
    <col min="1288" max="1288" width="7.85546875" style="9" customWidth="1"/>
    <col min="1289" max="1289" width="7.28515625" style="9" customWidth="1"/>
    <col min="1290" max="1290" width="11.7109375" style="9" bestFit="1" customWidth="1"/>
    <col min="1291" max="1291" width="14.42578125" style="9" customWidth="1"/>
    <col min="1292" max="1292" width="8.85546875" style="9"/>
    <col min="1293" max="1293" width="14.28515625" style="9" bestFit="1" customWidth="1"/>
    <col min="1294" max="1294" width="10" style="9" customWidth="1"/>
    <col min="1295" max="1526" width="8.85546875" style="9"/>
    <col min="1527" max="1527" width="1.140625" style="9" customWidth="1"/>
    <col min="1528" max="1528" width="3.28515625" style="9" customWidth="1"/>
    <col min="1529" max="1529" width="2.42578125" style="9" customWidth="1"/>
    <col min="1530" max="1530" width="2.5703125" style="9" customWidth="1"/>
    <col min="1531" max="1531" width="2.85546875" style="9" customWidth="1"/>
    <col min="1532" max="1532" width="3" style="9" customWidth="1"/>
    <col min="1533" max="1533" width="24.7109375" style="9" customWidth="1"/>
    <col min="1534" max="1534" width="7.85546875" style="9" customWidth="1"/>
    <col min="1535" max="1535" width="7.42578125" style="9" customWidth="1"/>
    <col min="1536" max="1536" width="11.140625" style="9" customWidth="1"/>
    <col min="1537" max="1537" width="14.42578125" style="9" customWidth="1"/>
    <col min="1538" max="1538" width="3.42578125" style="9" customWidth="1"/>
    <col min="1539" max="1539" width="3" style="9" customWidth="1"/>
    <col min="1540" max="1540" width="3.28515625" style="9" customWidth="1"/>
    <col min="1541" max="1541" width="3.140625" style="9" customWidth="1"/>
    <col min="1542" max="1542" width="3.42578125" style="9" customWidth="1"/>
    <col min="1543" max="1543" width="24.7109375" style="9" customWidth="1"/>
    <col min="1544" max="1544" width="7.85546875" style="9" customWidth="1"/>
    <col min="1545" max="1545" width="7.28515625" style="9" customWidth="1"/>
    <col min="1546" max="1546" width="11.7109375" style="9" bestFit="1" customWidth="1"/>
    <col min="1547" max="1547" width="14.42578125" style="9" customWidth="1"/>
    <col min="1548" max="1548" width="8.85546875" style="9"/>
    <col min="1549" max="1549" width="14.28515625" style="9" bestFit="1" customWidth="1"/>
    <col min="1550" max="1550" width="10" style="9" customWidth="1"/>
    <col min="1551" max="1782" width="8.85546875" style="9"/>
    <col min="1783" max="1783" width="1.140625" style="9" customWidth="1"/>
    <col min="1784" max="1784" width="3.28515625" style="9" customWidth="1"/>
    <col min="1785" max="1785" width="2.42578125" style="9" customWidth="1"/>
    <col min="1786" max="1786" width="2.5703125" style="9" customWidth="1"/>
    <col min="1787" max="1787" width="2.85546875" style="9" customWidth="1"/>
    <col min="1788" max="1788" width="3" style="9" customWidth="1"/>
    <col min="1789" max="1789" width="24.7109375" style="9" customWidth="1"/>
    <col min="1790" max="1790" width="7.85546875" style="9" customWidth="1"/>
    <col min="1791" max="1791" width="7.42578125" style="9" customWidth="1"/>
    <col min="1792" max="1792" width="11.140625" style="9" customWidth="1"/>
    <col min="1793" max="1793" width="14.42578125" style="9" customWidth="1"/>
    <col min="1794" max="1794" width="3.42578125" style="9" customWidth="1"/>
    <col min="1795" max="1795" width="3" style="9" customWidth="1"/>
    <col min="1796" max="1796" width="3.28515625" style="9" customWidth="1"/>
    <col min="1797" max="1797" width="3.140625" style="9" customWidth="1"/>
    <col min="1798" max="1798" width="3.42578125" style="9" customWidth="1"/>
    <col min="1799" max="1799" width="24.7109375" style="9" customWidth="1"/>
    <col min="1800" max="1800" width="7.85546875" style="9" customWidth="1"/>
    <col min="1801" max="1801" width="7.28515625" style="9" customWidth="1"/>
    <col min="1802" max="1802" width="11.7109375" style="9" bestFit="1" customWidth="1"/>
    <col min="1803" max="1803" width="14.42578125" style="9" customWidth="1"/>
    <col min="1804" max="1804" width="8.85546875" style="9"/>
    <col min="1805" max="1805" width="14.28515625" style="9" bestFit="1" customWidth="1"/>
    <col min="1806" max="1806" width="10" style="9" customWidth="1"/>
    <col min="1807" max="2038" width="8.85546875" style="9"/>
    <col min="2039" max="2039" width="1.140625" style="9" customWidth="1"/>
    <col min="2040" max="2040" width="3.28515625" style="9" customWidth="1"/>
    <col min="2041" max="2041" width="2.42578125" style="9" customWidth="1"/>
    <col min="2042" max="2042" width="2.5703125" style="9" customWidth="1"/>
    <col min="2043" max="2043" width="2.85546875" style="9" customWidth="1"/>
    <col min="2044" max="2044" width="3" style="9" customWidth="1"/>
    <col min="2045" max="2045" width="24.7109375" style="9" customWidth="1"/>
    <col min="2046" max="2046" width="7.85546875" style="9" customWidth="1"/>
    <col min="2047" max="2047" width="7.42578125" style="9" customWidth="1"/>
    <col min="2048" max="2048" width="11.140625" style="9" customWidth="1"/>
    <col min="2049" max="2049" width="14.42578125" style="9" customWidth="1"/>
    <col min="2050" max="2050" width="3.42578125" style="9" customWidth="1"/>
    <col min="2051" max="2051" width="3" style="9" customWidth="1"/>
    <col min="2052" max="2052" width="3.28515625" style="9" customWidth="1"/>
    <col min="2053" max="2053" width="3.140625" style="9" customWidth="1"/>
    <col min="2054" max="2054" width="3.42578125" style="9" customWidth="1"/>
    <col min="2055" max="2055" width="24.7109375" style="9" customWidth="1"/>
    <col min="2056" max="2056" width="7.85546875" style="9" customWidth="1"/>
    <col min="2057" max="2057" width="7.28515625" style="9" customWidth="1"/>
    <col min="2058" max="2058" width="11.7109375" style="9" bestFit="1" customWidth="1"/>
    <col min="2059" max="2059" width="14.42578125" style="9" customWidth="1"/>
    <col min="2060" max="2060" width="8.85546875" style="9"/>
    <col min="2061" max="2061" width="14.28515625" style="9" bestFit="1" customWidth="1"/>
    <col min="2062" max="2062" width="10" style="9" customWidth="1"/>
    <col min="2063" max="2294" width="8.85546875" style="9"/>
    <col min="2295" max="2295" width="1.140625" style="9" customWidth="1"/>
    <col min="2296" max="2296" width="3.28515625" style="9" customWidth="1"/>
    <col min="2297" max="2297" width="2.42578125" style="9" customWidth="1"/>
    <col min="2298" max="2298" width="2.5703125" style="9" customWidth="1"/>
    <col min="2299" max="2299" width="2.85546875" style="9" customWidth="1"/>
    <col min="2300" max="2300" width="3" style="9" customWidth="1"/>
    <col min="2301" max="2301" width="24.7109375" style="9" customWidth="1"/>
    <col min="2302" max="2302" width="7.85546875" style="9" customWidth="1"/>
    <col min="2303" max="2303" width="7.42578125" style="9" customWidth="1"/>
    <col min="2304" max="2304" width="11.140625" style="9" customWidth="1"/>
    <col min="2305" max="2305" width="14.42578125" style="9" customWidth="1"/>
    <col min="2306" max="2306" width="3.42578125" style="9" customWidth="1"/>
    <col min="2307" max="2307" width="3" style="9" customWidth="1"/>
    <col min="2308" max="2308" width="3.28515625" style="9" customWidth="1"/>
    <col min="2309" max="2309" width="3.140625" style="9" customWidth="1"/>
    <col min="2310" max="2310" width="3.42578125" style="9" customWidth="1"/>
    <col min="2311" max="2311" width="24.7109375" style="9" customWidth="1"/>
    <col min="2312" max="2312" width="7.85546875" style="9" customWidth="1"/>
    <col min="2313" max="2313" width="7.28515625" style="9" customWidth="1"/>
    <col min="2314" max="2314" width="11.7109375" style="9" bestFit="1" customWidth="1"/>
    <col min="2315" max="2315" width="14.42578125" style="9" customWidth="1"/>
    <col min="2316" max="2316" width="8.85546875" style="9"/>
    <col min="2317" max="2317" width="14.28515625" style="9" bestFit="1" customWidth="1"/>
    <col min="2318" max="2318" width="10" style="9" customWidth="1"/>
    <col min="2319" max="2550" width="8.85546875" style="9"/>
    <col min="2551" max="2551" width="1.140625" style="9" customWidth="1"/>
    <col min="2552" max="2552" width="3.28515625" style="9" customWidth="1"/>
    <col min="2553" max="2553" width="2.42578125" style="9" customWidth="1"/>
    <col min="2554" max="2554" width="2.5703125" style="9" customWidth="1"/>
    <col min="2555" max="2555" width="2.85546875" style="9" customWidth="1"/>
    <col min="2556" max="2556" width="3" style="9" customWidth="1"/>
    <col min="2557" max="2557" width="24.7109375" style="9" customWidth="1"/>
    <col min="2558" max="2558" width="7.85546875" style="9" customWidth="1"/>
    <col min="2559" max="2559" width="7.42578125" style="9" customWidth="1"/>
    <col min="2560" max="2560" width="11.140625" style="9" customWidth="1"/>
    <col min="2561" max="2561" width="14.42578125" style="9" customWidth="1"/>
    <col min="2562" max="2562" width="3.42578125" style="9" customWidth="1"/>
    <col min="2563" max="2563" width="3" style="9" customWidth="1"/>
    <col min="2564" max="2564" width="3.28515625" style="9" customWidth="1"/>
    <col min="2565" max="2565" width="3.140625" style="9" customWidth="1"/>
    <col min="2566" max="2566" width="3.42578125" style="9" customWidth="1"/>
    <col min="2567" max="2567" width="24.7109375" style="9" customWidth="1"/>
    <col min="2568" max="2568" width="7.85546875" style="9" customWidth="1"/>
    <col min="2569" max="2569" width="7.28515625" style="9" customWidth="1"/>
    <col min="2570" max="2570" width="11.7109375" style="9" bestFit="1" customWidth="1"/>
    <col min="2571" max="2571" width="14.42578125" style="9" customWidth="1"/>
    <col min="2572" max="2572" width="8.85546875" style="9"/>
    <col min="2573" max="2573" width="14.28515625" style="9" bestFit="1" customWidth="1"/>
    <col min="2574" max="2574" width="10" style="9" customWidth="1"/>
    <col min="2575" max="2806" width="8.85546875" style="9"/>
    <col min="2807" max="2807" width="1.140625" style="9" customWidth="1"/>
    <col min="2808" max="2808" width="3.28515625" style="9" customWidth="1"/>
    <col min="2809" max="2809" width="2.42578125" style="9" customWidth="1"/>
    <col min="2810" max="2810" width="2.5703125" style="9" customWidth="1"/>
    <col min="2811" max="2811" width="2.85546875" style="9" customWidth="1"/>
    <col min="2812" max="2812" width="3" style="9" customWidth="1"/>
    <col min="2813" max="2813" width="24.7109375" style="9" customWidth="1"/>
    <col min="2814" max="2814" width="7.85546875" style="9" customWidth="1"/>
    <col min="2815" max="2815" width="7.42578125" style="9" customWidth="1"/>
    <col min="2816" max="2816" width="11.140625" style="9" customWidth="1"/>
    <col min="2817" max="2817" width="14.42578125" style="9" customWidth="1"/>
    <col min="2818" max="2818" width="3.42578125" style="9" customWidth="1"/>
    <col min="2819" max="2819" width="3" style="9" customWidth="1"/>
    <col min="2820" max="2820" width="3.28515625" style="9" customWidth="1"/>
    <col min="2821" max="2821" width="3.140625" style="9" customWidth="1"/>
    <col min="2822" max="2822" width="3.42578125" style="9" customWidth="1"/>
    <col min="2823" max="2823" width="24.7109375" style="9" customWidth="1"/>
    <col min="2824" max="2824" width="7.85546875" style="9" customWidth="1"/>
    <col min="2825" max="2825" width="7.28515625" style="9" customWidth="1"/>
    <col min="2826" max="2826" width="11.7109375" style="9" bestFit="1" customWidth="1"/>
    <col min="2827" max="2827" width="14.42578125" style="9" customWidth="1"/>
    <col min="2828" max="2828" width="8.85546875" style="9"/>
    <col min="2829" max="2829" width="14.28515625" style="9" bestFit="1" customWidth="1"/>
    <col min="2830" max="2830" width="10" style="9" customWidth="1"/>
    <col min="2831" max="3062" width="8.85546875" style="9"/>
    <col min="3063" max="3063" width="1.140625" style="9" customWidth="1"/>
    <col min="3064" max="3064" width="3.28515625" style="9" customWidth="1"/>
    <col min="3065" max="3065" width="2.42578125" style="9" customWidth="1"/>
    <col min="3066" max="3066" width="2.5703125" style="9" customWidth="1"/>
    <col min="3067" max="3067" width="2.85546875" style="9" customWidth="1"/>
    <col min="3068" max="3068" width="3" style="9" customWidth="1"/>
    <col min="3069" max="3069" width="24.7109375" style="9" customWidth="1"/>
    <col min="3070" max="3070" width="7.85546875" style="9" customWidth="1"/>
    <col min="3071" max="3071" width="7.42578125" style="9" customWidth="1"/>
    <col min="3072" max="3072" width="11.140625" style="9" customWidth="1"/>
    <col min="3073" max="3073" width="14.42578125" style="9" customWidth="1"/>
    <col min="3074" max="3074" width="3.42578125" style="9" customWidth="1"/>
    <col min="3075" max="3075" width="3" style="9" customWidth="1"/>
    <col min="3076" max="3076" width="3.28515625" style="9" customWidth="1"/>
    <col min="3077" max="3077" width="3.140625" style="9" customWidth="1"/>
    <col min="3078" max="3078" width="3.42578125" style="9" customWidth="1"/>
    <col min="3079" max="3079" width="24.7109375" style="9" customWidth="1"/>
    <col min="3080" max="3080" width="7.85546875" style="9" customWidth="1"/>
    <col min="3081" max="3081" width="7.28515625" style="9" customWidth="1"/>
    <col min="3082" max="3082" width="11.7109375" style="9" bestFit="1" customWidth="1"/>
    <col min="3083" max="3083" width="14.42578125" style="9" customWidth="1"/>
    <col min="3084" max="3084" width="8.85546875" style="9"/>
    <col min="3085" max="3085" width="14.28515625" style="9" bestFit="1" customWidth="1"/>
    <col min="3086" max="3086" width="10" style="9" customWidth="1"/>
    <col min="3087" max="3318" width="8.85546875" style="9"/>
    <col min="3319" max="3319" width="1.140625" style="9" customWidth="1"/>
    <col min="3320" max="3320" width="3.28515625" style="9" customWidth="1"/>
    <col min="3321" max="3321" width="2.42578125" style="9" customWidth="1"/>
    <col min="3322" max="3322" width="2.5703125" style="9" customWidth="1"/>
    <col min="3323" max="3323" width="2.85546875" style="9" customWidth="1"/>
    <col min="3324" max="3324" width="3" style="9" customWidth="1"/>
    <col min="3325" max="3325" width="24.7109375" style="9" customWidth="1"/>
    <col min="3326" max="3326" width="7.85546875" style="9" customWidth="1"/>
    <col min="3327" max="3327" width="7.42578125" style="9" customWidth="1"/>
    <col min="3328" max="3328" width="11.140625" style="9" customWidth="1"/>
    <col min="3329" max="3329" width="14.42578125" style="9" customWidth="1"/>
    <col min="3330" max="3330" width="3.42578125" style="9" customWidth="1"/>
    <col min="3331" max="3331" width="3" style="9" customWidth="1"/>
    <col min="3332" max="3332" width="3.28515625" style="9" customWidth="1"/>
    <col min="3333" max="3333" width="3.140625" style="9" customWidth="1"/>
    <col min="3334" max="3334" width="3.42578125" style="9" customWidth="1"/>
    <col min="3335" max="3335" width="24.7109375" style="9" customWidth="1"/>
    <col min="3336" max="3336" width="7.85546875" style="9" customWidth="1"/>
    <col min="3337" max="3337" width="7.28515625" style="9" customWidth="1"/>
    <col min="3338" max="3338" width="11.7109375" style="9" bestFit="1" customWidth="1"/>
    <col min="3339" max="3339" width="14.42578125" style="9" customWidth="1"/>
    <col min="3340" max="3340" width="8.85546875" style="9"/>
    <col min="3341" max="3341" width="14.28515625" style="9" bestFit="1" customWidth="1"/>
    <col min="3342" max="3342" width="10" style="9" customWidth="1"/>
    <col min="3343" max="3574" width="8.85546875" style="9"/>
    <col min="3575" max="3575" width="1.140625" style="9" customWidth="1"/>
    <col min="3576" max="3576" width="3.28515625" style="9" customWidth="1"/>
    <col min="3577" max="3577" width="2.42578125" style="9" customWidth="1"/>
    <col min="3578" max="3578" width="2.5703125" style="9" customWidth="1"/>
    <col min="3579" max="3579" width="2.85546875" style="9" customWidth="1"/>
    <col min="3580" max="3580" width="3" style="9" customWidth="1"/>
    <col min="3581" max="3581" width="24.7109375" style="9" customWidth="1"/>
    <col min="3582" max="3582" width="7.85546875" style="9" customWidth="1"/>
    <col min="3583" max="3583" width="7.42578125" style="9" customWidth="1"/>
    <col min="3584" max="3584" width="11.140625" style="9" customWidth="1"/>
    <col min="3585" max="3585" width="14.42578125" style="9" customWidth="1"/>
    <col min="3586" max="3586" width="3.42578125" style="9" customWidth="1"/>
    <col min="3587" max="3587" width="3" style="9" customWidth="1"/>
    <col min="3588" max="3588" width="3.28515625" style="9" customWidth="1"/>
    <col min="3589" max="3589" width="3.140625" style="9" customWidth="1"/>
    <col min="3590" max="3590" width="3.42578125" style="9" customWidth="1"/>
    <col min="3591" max="3591" width="24.7109375" style="9" customWidth="1"/>
    <col min="3592" max="3592" width="7.85546875" style="9" customWidth="1"/>
    <col min="3593" max="3593" width="7.28515625" style="9" customWidth="1"/>
    <col min="3594" max="3594" width="11.7109375" style="9" bestFit="1" customWidth="1"/>
    <col min="3595" max="3595" width="14.42578125" style="9" customWidth="1"/>
    <col min="3596" max="3596" width="8.85546875" style="9"/>
    <col min="3597" max="3597" width="14.28515625" style="9" bestFit="1" customWidth="1"/>
    <col min="3598" max="3598" width="10" style="9" customWidth="1"/>
    <col min="3599" max="3830" width="8.85546875" style="9"/>
    <col min="3831" max="3831" width="1.140625" style="9" customWidth="1"/>
    <col min="3832" max="3832" width="3.28515625" style="9" customWidth="1"/>
    <col min="3833" max="3833" width="2.42578125" style="9" customWidth="1"/>
    <col min="3834" max="3834" width="2.5703125" style="9" customWidth="1"/>
    <col min="3835" max="3835" width="2.85546875" style="9" customWidth="1"/>
    <col min="3836" max="3836" width="3" style="9" customWidth="1"/>
    <col min="3837" max="3837" width="24.7109375" style="9" customWidth="1"/>
    <col min="3838" max="3838" width="7.85546875" style="9" customWidth="1"/>
    <col min="3839" max="3839" width="7.42578125" style="9" customWidth="1"/>
    <col min="3840" max="3840" width="11.140625" style="9" customWidth="1"/>
    <col min="3841" max="3841" width="14.42578125" style="9" customWidth="1"/>
    <col min="3842" max="3842" width="3.42578125" style="9" customWidth="1"/>
    <col min="3843" max="3843" width="3" style="9" customWidth="1"/>
    <col min="3844" max="3844" width="3.28515625" style="9" customWidth="1"/>
    <col min="3845" max="3845" width="3.140625" style="9" customWidth="1"/>
    <col min="3846" max="3846" width="3.42578125" style="9" customWidth="1"/>
    <col min="3847" max="3847" width="24.7109375" style="9" customWidth="1"/>
    <col min="3848" max="3848" width="7.85546875" style="9" customWidth="1"/>
    <col min="3849" max="3849" width="7.28515625" style="9" customWidth="1"/>
    <col min="3850" max="3850" width="11.7109375" style="9" bestFit="1" customWidth="1"/>
    <col min="3851" max="3851" width="14.42578125" style="9" customWidth="1"/>
    <col min="3852" max="3852" width="8.85546875" style="9"/>
    <col min="3853" max="3853" width="14.28515625" style="9" bestFit="1" customWidth="1"/>
    <col min="3854" max="3854" width="10" style="9" customWidth="1"/>
    <col min="3855" max="4086" width="8.85546875" style="9"/>
    <col min="4087" max="4087" width="1.140625" style="9" customWidth="1"/>
    <col min="4088" max="4088" width="3.28515625" style="9" customWidth="1"/>
    <col min="4089" max="4089" width="2.42578125" style="9" customWidth="1"/>
    <col min="4090" max="4090" width="2.5703125" style="9" customWidth="1"/>
    <col min="4091" max="4091" width="2.85546875" style="9" customWidth="1"/>
    <col min="4092" max="4092" width="3" style="9" customWidth="1"/>
    <col min="4093" max="4093" width="24.7109375" style="9" customWidth="1"/>
    <col min="4094" max="4094" width="7.85546875" style="9" customWidth="1"/>
    <col min="4095" max="4095" width="7.42578125" style="9" customWidth="1"/>
    <col min="4096" max="4096" width="11.140625" style="9" customWidth="1"/>
    <col min="4097" max="4097" width="14.42578125" style="9" customWidth="1"/>
    <col min="4098" max="4098" width="3.42578125" style="9" customWidth="1"/>
    <col min="4099" max="4099" width="3" style="9" customWidth="1"/>
    <col min="4100" max="4100" width="3.28515625" style="9" customWidth="1"/>
    <col min="4101" max="4101" width="3.140625" style="9" customWidth="1"/>
    <col min="4102" max="4102" width="3.42578125" style="9" customWidth="1"/>
    <col min="4103" max="4103" width="24.7109375" style="9" customWidth="1"/>
    <col min="4104" max="4104" width="7.85546875" style="9" customWidth="1"/>
    <col min="4105" max="4105" width="7.28515625" style="9" customWidth="1"/>
    <col min="4106" max="4106" width="11.7109375" style="9" bestFit="1" customWidth="1"/>
    <col min="4107" max="4107" width="14.42578125" style="9" customWidth="1"/>
    <col min="4108" max="4108" width="8.85546875" style="9"/>
    <col min="4109" max="4109" width="14.28515625" style="9" bestFit="1" customWidth="1"/>
    <col min="4110" max="4110" width="10" style="9" customWidth="1"/>
    <col min="4111" max="4342" width="8.85546875" style="9"/>
    <col min="4343" max="4343" width="1.140625" style="9" customWidth="1"/>
    <col min="4344" max="4344" width="3.28515625" style="9" customWidth="1"/>
    <col min="4345" max="4345" width="2.42578125" style="9" customWidth="1"/>
    <col min="4346" max="4346" width="2.5703125" style="9" customWidth="1"/>
    <col min="4347" max="4347" width="2.85546875" style="9" customWidth="1"/>
    <col min="4348" max="4348" width="3" style="9" customWidth="1"/>
    <col min="4349" max="4349" width="24.7109375" style="9" customWidth="1"/>
    <col min="4350" max="4350" width="7.85546875" style="9" customWidth="1"/>
    <col min="4351" max="4351" width="7.42578125" style="9" customWidth="1"/>
    <col min="4352" max="4352" width="11.140625" style="9" customWidth="1"/>
    <col min="4353" max="4353" width="14.42578125" style="9" customWidth="1"/>
    <col min="4354" max="4354" width="3.42578125" style="9" customWidth="1"/>
    <col min="4355" max="4355" width="3" style="9" customWidth="1"/>
    <col min="4356" max="4356" width="3.28515625" style="9" customWidth="1"/>
    <col min="4357" max="4357" width="3.140625" style="9" customWidth="1"/>
    <col min="4358" max="4358" width="3.42578125" style="9" customWidth="1"/>
    <col min="4359" max="4359" width="24.7109375" style="9" customWidth="1"/>
    <col min="4360" max="4360" width="7.85546875" style="9" customWidth="1"/>
    <col min="4361" max="4361" width="7.28515625" style="9" customWidth="1"/>
    <col min="4362" max="4362" width="11.7109375" style="9" bestFit="1" customWidth="1"/>
    <col min="4363" max="4363" width="14.42578125" style="9" customWidth="1"/>
    <col min="4364" max="4364" width="8.85546875" style="9"/>
    <col min="4365" max="4365" width="14.28515625" style="9" bestFit="1" customWidth="1"/>
    <col min="4366" max="4366" width="10" style="9" customWidth="1"/>
    <col min="4367" max="4598" width="8.85546875" style="9"/>
    <col min="4599" max="4599" width="1.140625" style="9" customWidth="1"/>
    <col min="4600" max="4600" width="3.28515625" style="9" customWidth="1"/>
    <col min="4601" max="4601" width="2.42578125" style="9" customWidth="1"/>
    <col min="4602" max="4602" width="2.5703125" style="9" customWidth="1"/>
    <col min="4603" max="4603" width="2.85546875" style="9" customWidth="1"/>
    <col min="4604" max="4604" width="3" style="9" customWidth="1"/>
    <col min="4605" max="4605" width="24.7109375" style="9" customWidth="1"/>
    <col min="4606" max="4606" width="7.85546875" style="9" customWidth="1"/>
    <col min="4607" max="4607" width="7.42578125" style="9" customWidth="1"/>
    <col min="4608" max="4608" width="11.140625" style="9" customWidth="1"/>
    <col min="4609" max="4609" width="14.42578125" style="9" customWidth="1"/>
    <col min="4610" max="4610" width="3.42578125" style="9" customWidth="1"/>
    <col min="4611" max="4611" width="3" style="9" customWidth="1"/>
    <col min="4612" max="4612" width="3.28515625" style="9" customWidth="1"/>
    <col min="4613" max="4613" width="3.140625" style="9" customWidth="1"/>
    <col min="4614" max="4614" width="3.42578125" style="9" customWidth="1"/>
    <col min="4615" max="4615" width="24.7109375" style="9" customWidth="1"/>
    <col min="4616" max="4616" width="7.85546875" style="9" customWidth="1"/>
    <col min="4617" max="4617" width="7.28515625" style="9" customWidth="1"/>
    <col min="4618" max="4618" width="11.7109375" style="9" bestFit="1" customWidth="1"/>
    <col min="4619" max="4619" width="14.42578125" style="9" customWidth="1"/>
    <col min="4620" max="4620" width="8.85546875" style="9"/>
    <col min="4621" max="4621" width="14.28515625" style="9" bestFit="1" customWidth="1"/>
    <col min="4622" max="4622" width="10" style="9" customWidth="1"/>
    <col min="4623" max="4854" width="8.85546875" style="9"/>
    <col min="4855" max="4855" width="1.140625" style="9" customWidth="1"/>
    <col min="4856" max="4856" width="3.28515625" style="9" customWidth="1"/>
    <col min="4857" max="4857" width="2.42578125" style="9" customWidth="1"/>
    <col min="4858" max="4858" width="2.5703125" style="9" customWidth="1"/>
    <col min="4859" max="4859" width="2.85546875" style="9" customWidth="1"/>
    <col min="4860" max="4860" width="3" style="9" customWidth="1"/>
    <col min="4861" max="4861" width="24.7109375" style="9" customWidth="1"/>
    <col min="4862" max="4862" width="7.85546875" style="9" customWidth="1"/>
    <col min="4863" max="4863" width="7.42578125" style="9" customWidth="1"/>
    <col min="4864" max="4864" width="11.140625" style="9" customWidth="1"/>
    <col min="4865" max="4865" width="14.42578125" style="9" customWidth="1"/>
    <col min="4866" max="4866" width="3.42578125" style="9" customWidth="1"/>
    <col min="4867" max="4867" width="3" style="9" customWidth="1"/>
    <col min="4868" max="4868" width="3.28515625" style="9" customWidth="1"/>
    <col min="4869" max="4869" width="3.140625" style="9" customWidth="1"/>
    <col min="4870" max="4870" width="3.42578125" style="9" customWidth="1"/>
    <col min="4871" max="4871" width="24.7109375" style="9" customWidth="1"/>
    <col min="4872" max="4872" width="7.85546875" style="9" customWidth="1"/>
    <col min="4873" max="4873" width="7.28515625" style="9" customWidth="1"/>
    <col min="4874" max="4874" width="11.7109375" style="9" bestFit="1" customWidth="1"/>
    <col min="4875" max="4875" width="14.42578125" style="9" customWidth="1"/>
    <col min="4876" max="4876" width="8.85546875" style="9"/>
    <col min="4877" max="4877" width="14.28515625" style="9" bestFit="1" customWidth="1"/>
    <col min="4878" max="4878" width="10" style="9" customWidth="1"/>
    <col min="4879" max="5110" width="8.85546875" style="9"/>
    <col min="5111" max="5111" width="1.140625" style="9" customWidth="1"/>
    <col min="5112" max="5112" width="3.28515625" style="9" customWidth="1"/>
    <col min="5113" max="5113" width="2.42578125" style="9" customWidth="1"/>
    <col min="5114" max="5114" width="2.5703125" style="9" customWidth="1"/>
    <col min="5115" max="5115" width="2.85546875" style="9" customWidth="1"/>
    <col min="5116" max="5116" width="3" style="9" customWidth="1"/>
    <col min="5117" max="5117" width="24.7109375" style="9" customWidth="1"/>
    <col min="5118" max="5118" width="7.85546875" style="9" customWidth="1"/>
    <col min="5119" max="5119" width="7.42578125" style="9" customWidth="1"/>
    <col min="5120" max="5120" width="11.140625" style="9" customWidth="1"/>
    <col min="5121" max="5121" width="14.42578125" style="9" customWidth="1"/>
    <col min="5122" max="5122" width="3.42578125" style="9" customWidth="1"/>
    <col min="5123" max="5123" width="3" style="9" customWidth="1"/>
    <col min="5124" max="5124" width="3.28515625" style="9" customWidth="1"/>
    <col min="5125" max="5125" width="3.140625" style="9" customWidth="1"/>
    <col min="5126" max="5126" width="3.42578125" style="9" customWidth="1"/>
    <col min="5127" max="5127" width="24.7109375" style="9" customWidth="1"/>
    <col min="5128" max="5128" width="7.85546875" style="9" customWidth="1"/>
    <col min="5129" max="5129" width="7.28515625" style="9" customWidth="1"/>
    <col min="5130" max="5130" width="11.7109375" style="9" bestFit="1" customWidth="1"/>
    <col min="5131" max="5131" width="14.42578125" style="9" customWidth="1"/>
    <col min="5132" max="5132" width="8.85546875" style="9"/>
    <col min="5133" max="5133" width="14.28515625" style="9" bestFit="1" customWidth="1"/>
    <col min="5134" max="5134" width="10" style="9" customWidth="1"/>
    <col min="5135" max="5366" width="8.85546875" style="9"/>
    <col min="5367" max="5367" width="1.140625" style="9" customWidth="1"/>
    <col min="5368" max="5368" width="3.28515625" style="9" customWidth="1"/>
    <col min="5369" max="5369" width="2.42578125" style="9" customWidth="1"/>
    <col min="5370" max="5370" width="2.5703125" style="9" customWidth="1"/>
    <col min="5371" max="5371" width="2.85546875" style="9" customWidth="1"/>
    <col min="5372" max="5372" width="3" style="9" customWidth="1"/>
    <col min="5373" max="5373" width="24.7109375" style="9" customWidth="1"/>
    <col min="5374" max="5374" width="7.85546875" style="9" customWidth="1"/>
    <col min="5375" max="5375" width="7.42578125" style="9" customWidth="1"/>
    <col min="5376" max="5376" width="11.140625" style="9" customWidth="1"/>
    <col min="5377" max="5377" width="14.42578125" style="9" customWidth="1"/>
    <col min="5378" max="5378" width="3.42578125" style="9" customWidth="1"/>
    <col min="5379" max="5379" width="3" style="9" customWidth="1"/>
    <col min="5380" max="5380" width="3.28515625" style="9" customWidth="1"/>
    <col min="5381" max="5381" width="3.140625" style="9" customWidth="1"/>
    <col min="5382" max="5382" width="3.42578125" style="9" customWidth="1"/>
    <col min="5383" max="5383" width="24.7109375" style="9" customWidth="1"/>
    <col min="5384" max="5384" width="7.85546875" style="9" customWidth="1"/>
    <col min="5385" max="5385" width="7.28515625" style="9" customWidth="1"/>
    <col min="5386" max="5386" width="11.7109375" style="9" bestFit="1" customWidth="1"/>
    <col min="5387" max="5387" width="14.42578125" style="9" customWidth="1"/>
    <col min="5388" max="5388" width="8.85546875" style="9"/>
    <col min="5389" max="5389" width="14.28515625" style="9" bestFit="1" customWidth="1"/>
    <col min="5390" max="5390" width="10" style="9" customWidth="1"/>
    <col min="5391" max="5622" width="8.85546875" style="9"/>
    <col min="5623" max="5623" width="1.140625" style="9" customWidth="1"/>
    <col min="5624" max="5624" width="3.28515625" style="9" customWidth="1"/>
    <col min="5625" max="5625" width="2.42578125" style="9" customWidth="1"/>
    <col min="5626" max="5626" width="2.5703125" style="9" customWidth="1"/>
    <col min="5627" max="5627" width="2.85546875" style="9" customWidth="1"/>
    <col min="5628" max="5628" width="3" style="9" customWidth="1"/>
    <col min="5629" max="5629" width="24.7109375" style="9" customWidth="1"/>
    <col min="5630" max="5630" width="7.85546875" style="9" customWidth="1"/>
    <col min="5631" max="5631" width="7.42578125" style="9" customWidth="1"/>
    <col min="5632" max="5632" width="11.140625" style="9" customWidth="1"/>
    <col min="5633" max="5633" width="14.42578125" style="9" customWidth="1"/>
    <col min="5634" max="5634" width="3.42578125" style="9" customWidth="1"/>
    <col min="5635" max="5635" width="3" style="9" customWidth="1"/>
    <col min="5636" max="5636" width="3.28515625" style="9" customWidth="1"/>
    <col min="5637" max="5637" width="3.140625" style="9" customWidth="1"/>
    <col min="5638" max="5638" width="3.42578125" style="9" customWidth="1"/>
    <col min="5639" max="5639" width="24.7109375" style="9" customWidth="1"/>
    <col min="5640" max="5640" width="7.85546875" style="9" customWidth="1"/>
    <col min="5641" max="5641" width="7.28515625" style="9" customWidth="1"/>
    <col min="5642" max="5642" width="11.7109375" style="9" bestFit="1" customWidth="1"/>
    <col min="5643" max="5643" width="14.42578125" style="9" customWidth="1"/>
    <col min="5644" max="5644" width="8.85546875" style="9"/>
    <col min="5645" max="5645" width="14.28515625" style="9" bestFit="1" customWidth="1"/>
    <col min="5646" max="5646" width="10" style="9" customWidth="1"/>
    <col min="5647" max="5878" width="8.85546875" style="9"/>
    <col min="5879" max="5879" width="1.140625" style="9" customWidth="1"/>
    <col min="5880" max="5880" width="3.28515625" style="9" customWidth="1"/>
    <col min="5881" max="5881" width="2.42578125" style="9" customWidth="1"/>
    <col min="5882" max="5882" width="2.5703125" style="9" customWidth="1"/>
    <col min="5883" max="5883" width="2.85546875" style="9" customWidth="1"/>
    <col min="5884" max="5884" width="3" style="9" customWidth="1"/>
    <col min="5885" max="5885" width="24.7109375" style="9" customWidth="1"/>
    <col min="5886" max="5886" width="7.85546875" style="9" customWidth="1"/>
    <col min="5887" max="5887" width="7.42578125" style="9" customWidth="1"/>
    <col min="5888" max="5888" width="11.140625" style="9" customWidth="1"/>
    <col min="5889" max="5889" width="14.42578125" style="9" customWidth="1"/>
    <col min="5890" max="5890" width="3.42578125" style="9" customWidth="1"/>
    <col min="5891" max="5891" width="3" style="9" customWidth="1"/>
    <col min="5892" max="5892" width="3.28515625" style="9" customWidth="1"/>
    <col min="5893" max="5893" width="3.140625" style="9" customWidth="1"/>
    <col min="5894" max="5894" width="3.42578125" style="9" customWidth="1"/>
    <col min="5895" max="5895" width="24.7109375" style="9" customWidth="1"/>
    <col min="5896" max="5896" width="7.85546875" style="9" customWidth="1"/>
    <col min="5897" max="5897" width="7.28515625" style="9" customWidth="1"/>
    <col min="5898" max="5898" width="11.7109375" style="9" bestFit="1" customWidth="1"/>
    <col min="5899" max="5899" width="14.42578125" style="9" customWidth="1"/>
    <col min="5900" max="5900" width="8.85546875" style="9"/>
    <col min="5901" max="5901" width="14.28515625" style="9" bestFit="1" customWidth="1"/>
    <col min="5902" max="5902" width="10" style="9" customWidth="1"/>
    <col min="5903" max="6134" width="8.85546875" style="9"/>
    <col min="6135" max="6135" width="1.140625" style="9" customWidth="1"/>
    <col min="6136" max="6136" width="3.28515625" style="9" customWidth="1"/>
    <col min="6137" max="6137" width="2.42578125" style="9" customWidth="1"/>
    <col min="6138" max="6138" width="2.5703125" style="9" customWidth="1"/>
    <col min="6139" max="6139" width="2.85546875" style="9" customWidth="1"/>
    <col min="6140" max="6140" width="3" style="9" customWidth="1"/>
    <col min="6141" max="6141" width="24.7109375" style="9" customWidth="1"/>
    <col min="6142" max="6142" width="7.85546875" style="9" customWidth="1"/>
    <col min="6143" max="6143" width="7.42578125" style="9" customWidth="1"/>
    <col min="6144" max="6144" width="11.140625" style="9" customWidth="1"/>
    <col min="6145" max="6145" width="14.42578125" style="9" customWidth="1"/>
    <col min="6146" max="6146" width="3.42578125" style="9" customWidth="1"/>
    <col min="6147" max="6147" width="3" style="9" customWidth="1"/>
    <col min="6148" max="6148" width="3.28515625" style="9" customWidth="1"/>
    <col min="6149" max="6149" width="3.140625" style="9" customWidth="1"/>
    <col min="6150" max="6150" width="3.42578125" style="9" customWidth="1"/>
    <col min="6151" max="6151" width="24.7109375" style="9" customWidth="1"/>
    <col min="6152" max="6152" width="7.85546875" style="9" customWidth="1"/>
    <col min="6153" max="6153" width="7.28515625" style="9" customWidth="1"/>
    <col min="6154" max="6154" width="11.7109375" style="9" bestFit="1" customWidth="1"/>
    <col min="6155" max="6155" width="14.42578125" style="9" customWidth="1"/>
    <col min="6156" max="6156" width="8.85546875" style="9"/>
    <col min="6157" max="6157" width="14.28515625" style="9" bestFit="1" customWidth="1"/>
    <col min="6158" max="6158" width="10" style="9" customWidth="1"/>
    <col min="6159" max="6390" width="8.85546875" style="9"/>
    <col min="6391" max="6391" width="1.140625" style="9" customWidth="1"/>
    <col min="6392" max="6392" width="3.28515625" style="9" customWidth="1"/>
    <col min="6393" max="6393" width="2.42578125" style="9" customWidth="1"/>
    <col min="6394" max="6394" width="2.5703125" style="9" customWidth="1"/>
    <col min="6395" max="6395" width="2.85546875" style="9" customWidth="1"/>
    <col min="6396" max="6396" width="3" style="9" customWidth="1"/>
    <col min="6397" max="6397" width="24.7109375" style="9" customWidth="1"/>
    <col min="6398" max="6398" width="7.85546875" style="9" customWidth="1"/>
    <col min="6399" max="6399" width="7.42578125" style="9" customWidth="1"/>
    <col min="6400" max="6400" width="11.140625" style="9" customWidth="1"/>
    <col min="6401" max="6401" width="14.42578125" style="9" customWidth="1"/>
    <col min="6402" max="6402" width="3.42578125" style="9" customWidth="1"/>
    <col min="6403" max="6403" width="3" style="9" customWidth="1"/>
    <col min="6404" max="6404" width="3.28515625" style="9" customWidth="1"/>
    <col min="6405" max="6405" width="3.140625" style="9" customWidth="1"/>
    <col min="6406" max="6406" width="3.42578125" style="9" customWidth="1"/>
    <col min="6407" max="6407" width="24.7109375" style="9" customWidth="1"/>
    <col min="6408" max="6408" width="7.85546875" style="9" customWidth="1"/>
    <col min="6409" max="6409" width="7.28515625" style="9" customWidth="1"/>
    <col min="6410" max="6410" width="11.7109375" style="9" bestFit="1" customWidth="1"/>
    <col min="6411" max="6411" width="14.42578125" style="9" customWidth="1"/>
    <col min="6412" max="6412" width="8.85546875" style="9"/>
    <col min="6413" max="6413" width="14.28515625" style="9" bestFit="1" customWidth="1"/>
    <col min="6414" max="6414" width="10" style="9" customWidth="1"/>
    <col min="6415" max="6646" width="8.85546875" style="9"/>
    <col min="6647" max="6647" width="1.140625" style="9" customWidth="1"/>
    <col min="6648" max="6648" width="3.28515625" style="9" customWidth="1"/>
    <col min="6649" max="6649" width="2.42578125" style="9" customWidth="1"/>
    <col min="6650" max="6650" width="2.5703125" style="9" customWidth="1"/>
    <col min="6651" max="6651" width="2.85546875" style="9" customWidth="1"/>
    <col min="6652" max="6652" width="3" style="9" customWidth="1"/>
    <col min="6653" max="6653" width="24.7109375" style="9" customWidth="1"/>
    <col min="6654" max="6654" width="7.85546875" style="9" customWidth="1"/>
    <col min="6655" max="6655" width="7.42578125" style="9" customWidth="1"/>
    <col min="6656" max="6656" width="11.140625" style="9" customWidth="1"/>
    <col min="6657" max="6657" width="14.42578125" style="9" customWidth="1"/>
    <col min="6658" max="6658" width="3.42578125" style="9" customWidth="1"/>
    <col min="6659" max="6659" width="3" style="9" customWidth="1"/>
    <col min="6660" max="6660" width="3.28515625" style="9" customWidth="1"/>
    <col min="6661" max="6661" width="3.140625" style="9" customWidth="1"/>
    <col min="6662" max="6662" width="3.42578125" style="9" customWidth="1"/>
    <col min="6663" max="6663" width="24.7109375" style="9" customWidth="1"/>
    <col min="6664" max="6664" width="7.85546875" style="9" customWidth="1"/>
    <col min="6665" max="6665" width="7.28515625" style="9" customWidth="1"/>
    <col min="6666" max="6666" width="11.7109375" style="9" bestFit="1" customWidth="1"/>
    <col min="6667" max="6667" width="14.42578125" style="9" customWidth="1"/>
    <col min="6668" max="6668" width="8.85546875" style="9"/>
    <col min="6669" max="6669" width="14.28515625" style="9" bestFit="1" customWidth="1"/>
    <col min="6670" max="6670" width="10" style="9" customWidth="1"/>
    <col min="6671" max="6902" width="8.85546875" style="9"/>
    <col min="6903" max="6903" width="1.140625" style="9" customWidth="1"/>
    <col min="6904" max="6904" width="3.28515625" style="9" customWidth="1"/>
    <col min="6905" max="6905" width="2.42578125" style="9" customWidth="1"/>
    <col min="6906" max="6906" width="2.5703125" style="9" customWidth="1"/>
    <col min="6907" max="6907" width="2.85546875" style="9" customWidth="1"/>
    <col min="6908" max="6908" width="3" style="9" customWidth="1"/>
    <col min="6909" max="6909" width="24.7109375" style="9" customWidth="1"/>
    <col min="6910" max="6910" width="7.85546875" style="9" customWidth="1"/>
    <col min="6911" max="6911" width="7.42578125" style="9" customWidth="1"/>
    <col min="6912" max="6912" width="11.140625" style="9" customWidth="1"/>
    <col min="6913" max="6913" width="14.42578125" style="9" customWidth="1"/>
    <col min="6914" max="6914" width="3.42578125" style="9" customWidth="1"/>
    <col min="6915" max="6915" width="3" style="9" customWidth="1"/>
    <col min="6916" max="6916" width="3.28515625" style="9" customWidth="1"/>
    <col min="6917" max="6917" width="3.140625" style="9" customWidth="1"/>
    <col min="6918" max="6918" width="3.42578125" style="9" customWidth="1"/>
    <col min="6919" max="6919" width="24.7109375" style="9" customWidth="1"/>
    <col min="6920" max="6920" width="7.85546875" style="9" customWidth="1"/>
    <col min="6921" max="6921" width="7.28515625" style="9" customWidth="1"/>
    <col min="6922" max="6922" width="11.7109375" style="9" bestFit="1" customWidth="1"/>
    <col min="6923" max="6923" width="14.42578125" style="9" customWidth="1"/>
    <col min="6924" max="6924" width="8.85546875" style="9"/>
    <col min="6925" max="6925" width="14.28515625" style="9" bestFit="1" customWidth="1"/>
    <col min="6926" max="6926" width="10" style="9" customWidth="1"/>
    <col min="6927" max="7158" width="8.85546875" style="9"/>
    <col min="7159" max="7159" width="1.140625" style="9" customWidth="1"/>
    <col min="7160" max="7160" width="3.28515625" style="9" customWidth="1"/>
    <col min="7161" max="7161" width="2.42578125" style="9" customWidth="1"/>
    <col min="7162" max="7162" width="2.5703125" style="9" customWidth="1"/>
    <col min="7163" max="7163" width="2.85546875" style="9" customWidth="1"/>
    <col min="7164" max="7164" width="3" style="9" customWidth="1"/>
    <col min="7165" max="7165" width="24.7109375" style="9" customWidth="1"/>
    <col min="7166" max="7166" width="7.85546875" style="9" customWidth="1"/>
    <col min="7167" max="7167" width="7.42578125" style="9" customWidth="1"/>
    <col min="7168" max="7168" width="11.140625" style="9" customWidth="1"/>
    <col min="7169" max="7169" width="14.42578125" style="9" customWidth="1"/>
    <col min="7170" max="7170" width="3.42578125" style="9" customWidth="1"/>
    <col min="7171" max="7171" width="3" style="9" customWidth="1"/>
    <col min="7172" max="7172" width="3.28515625" style="9" customWidth="1"/>
    <col min="7173" max="7173" width="3.140625" style="9" customWidth="1"/>
    <col min="7174" max="7174" width="3.42578125" style="9" customWidth="1"/>
    <col min="7175" max="7175" width="24.7109375" style="9" customWidth="1"/>
    <col min="7176" max="7176" width="7.85546875" style="9" customWidth="1"/>
    <col min="7177" max="7177" width="7.28515625" style="9" customWidth="1"/>
    <col min="7178" max="7178" width="11.7109375" style="9" bestFit="1" customWidth="1"/>
    <col min="7179" max="7179" width="14.42578125" style="9" customWidth="1"/>
    <col min="7180" max="7180" width="8.85546875" style="9"/>
    <col min="7181" max="7181" width="14.28515625" style="9" bestFit="1" customWidth="1"/>
    <col min="7182" max="7182" width="10" style="9" customWidth="1"/>
    <col min="7183" max="7414" width="8.85546875" style="9"/>
    <col min="7415" max="7415" width="1.140625" style="9" customWidth="1"/>
    <col min="7416" max="7416" width="3.28515625" style="9" customWidth="1"/>
    <col min="7417" max="7417" width="2.42578125" style="9" customWidth="1"/>
    <col min="7418" max="7418" width="2.5703125" style="9" customWidth="1"/>
    <col min="7419" max="7419" width="2.85546875" style="9" customWidth="1"/>
    <col min="7420" max="7420" width="3" style="9" customWidth="1"/>
    <col min="7421" max="7421" width="24.7109375" style="9" customWidth="1"/>
    <col min="7422" max="7422" width="7.85546875" style="9" customWidth="1"/>
    <col min="7423" max="7423" width="7.42578125" style="9" customWidth="1"/>
    <col min="7424" max="7424" width="11.140625" style="9" customWidth="1"/>
    <col min="7425" max="7425" width="14.42578125" style="9" customWidth="1"/>
    <col min="7426" max="7426" width="3.42578125" style="9" customWidth="1"/>
    <col min="7427" max="7427" width="3" style="9" customWidth="1"/>
    <col min="7428" max="7428" width="3.28515625" style="9" customWidth="1"/>
    <col min="7429" max="7429" width="3.140625" style="9" customWidth="1"/>
    <col min="7430" max="7430" width="3.42578125" style="9" customWidth="1"/>
    <col min="7431" max="7431" width="24.7109375" style="9" customWidth="1"/>
    <col min="7432" max="7432" width="7.85546875" style="9" customWidth="1"/>
    <col min="7433" max="7433" width="7.28515625" style="9" customWidth="1"/>
    <col min="7434" max="7434" width="11.7109375" style="9" bestFit="1" customWidth="1"/>
    <col min="7435" max="7435" width="14.42578125" style="9" customWidth="1"/>
    <col min="7436" max="7436" width="8.85546875" style="9"/>
    <col min="7437" max="7437" width="14.28515625" style="9" bestFit="1" customWidth="1"/>
    <col min="7438" max="7438" width="10" style="9" customWidth="1"/>
    <col min="7439" max="7670" width="8.85546875" style="9"/>
    <col min="7671" max="7671" width="1.140625" style="9" customWidth="1"/>
    <col min="7672" max="7672" width="3.28515625" style="9" customWidth="1"/>
    <col min="7673" max="7673" width="2.42578125" style="9" customWidth="1"/>
    <col min="7674" max="7674" width="2.5703125" style="9" customWidth="1"/>
    <col min="7675" max="7675" width="2.85546875" style="9" customWidth="1"/>
    <col min="7676" max="7676" width="3" style="9" customWidth="1"/>
    <col min="7677" max="7677" width="24.7109375" style="9" customWidth="1"/>
    <col min="7678" max="7678" width="7.85546875" style="9" customWidth="1"/>
    <col min="7679" max="7679" width="7.42578125" style="9" customWidth="1"/>
    <col min="7680" max="7680" width="11.140625" style="9" customWidth="1"/>
    <col min="7681" max="7681" width="14.42578125" style="9" customWidth="1"/>
    <col min="7682" max="7682" width="3.42578125" style="9" customWidth="1"/>
    <col min="7683" max="7683" width="3" style="9" customWidth="1"/>
    <col min="7684" max="7684" width="3.28515625" style="9" customWidth="1"/>
    <col min="7685" max="7685" width="3.140625" style="9" customWidth="1"/>
    <col min="7686" max="7686" width="3.42578125" style="9" customWidth="1"/>
    <col min="7687" max="7687" width="24.7109375" style="9" customWidth="1"/>
    <col min="7688" max="7688" width="7.85546875" style="9" customWidth="1"/>
    <col min="7689" max="7689" width="7.28515625" style="9" customWidth="1"/>
    <col min="7690" max="7690" width="11.7109375" style="9" bestFit="1" customWidth="1"/>
    <col min="7691" max="7691" width="14.42578125" style="9" customWidth="1"/>
    <col min="7692" max="7692" width="8.85546875" style="9"/>
    <col min="7693" max="7693" width="14.28515625" style="9" bestFit="1" customWidth="1"/>
    <col min="7694" max="7694" width="10" style="9" customWidth="1"/>
    <col min="7695" max="7926" width="8.85546875" style="9"/>
    <col min="7927" max="7927" width="1.140625" style="9" customWidth="1"/>
    <col min="7928" max="7928" width="3.28515625" style="9" customWidth="1"/>
    <col min="7929" max="7929" width="2.42578125" style="9" customWidth="1"/>
    <col min="7930" max="7930" width="2.5703125" style="9" customWidth="1"/>
    <col min="7931" max="7931" width="2.85546875" style="9" customWidth="1"/>
    <col min="7932" max="7932" width="3" style="9" customWidth="1"/>
    <col min="7933" max="7933" width="24.7109375" style="9" customWidth="1"/>
    <col min="7934" max="7934" width="7.85546875" style="9" customWidth="1"/>
    <col min="7935" max="7935" width="7.42578125" style="9" customWidth="1"/>
    <col min="7936" max="7936" width="11.140625" style="9" customWidth="1"/>
    <col min="7937" max="7937" width="14.42578125" style="9" customWidth="1"/>
    <col min="7938" max="7938" width="3.42578125" style="9" customWidth="1"/>
    <col min="7939" max="7939" width="3" style="9" customWidth="1"/>
    <col min="7940" max="7940" width="3.28515625" style="9" customWidth="1"/>
    <col min="7941" max="7941" width="3.140625" style="9" customWidth="1"/>
    <col min="7942" max="7942" width="3.42578125" style="9" customWidth="1"/>
    <col min="7943" max="7943" width="24.7109375" style="9" customWidth="1"/>
    <col min="7944" max="7944" width="7.85546875" style="9" customWidth="1"/>
    <col min="7945" max="7945" width="7.28515625" style="9" customWidth="1"/>
    <col min="7946" max="7946" width="11.7109375" style="9" bestFit="1" customWidth="1"/>
    <col min="7947" max="7947" width="14.42578125" style="9" customWidth="1"/>
    <col min="7948" max="7948" width="8.85546875" style="9"/>
    <col min="7949" max="7949" width="14.28515625" style="9" bestFit="1" customWidth="1"/>
    <col min="7950" max="7950" width="10" style="9" customWidth="1"/>
    <col min="7951" max="8182" width="8.85546875" style="9"/>
    <col min="8183" max="8183" width="1.140625" style="9" customWidth="1"/>
    <col min="8184" max="8184" width="3.28515625" style="9" customWidth="1"/>
    <col min="8185" max="8185" width="2.42578125" style="9" customWidth="1"/>
    <col min="8186" max="8186" width="2.5703125" style="9" customWidth="1"/>
    <col min="8187" max="8187" width="2.85546875" style="9" customWidth="1"/>
    <col min="8188" max="8188" width="3" style="9" customWidth="1"/>
    <col min="8189" max="8189" width="24.7109375" style="9" customWidth="1"/>
    <col min="8190" max="8190" width="7.85546875" style="9" customWidth="1"/>
    <col min="8191" max="8191" width="7.42578125" style="9" customWidth="1"/>
    <col min="8192" max="8192" width="11.140625" style="9" customWidth="1"/>
    <col min="8193" max="8193" width="14.42578125" style="9" customWidth="1"/>
    <col min="8194" max="8194" width="3.42578125" style="9" customWidth="1"/>
    <col min="8195" max="8195" width="3" style="9" customWidth="1"/>
    <col min="8196" max="8196" width="3.28515625" style="9" customWidth="1"/>
    <col min="8197" max="8197" width="3.140625" style="9" customWidth="1"/>
    <col min="8198" max="8198" width="3.42578125" style="9" customWidth="1"/>
    <col min="8199" max="8199" width="24.7109375" style="9" customWidth="1"/>
    <col min="8200" max="8200" width="7.85546875" style="9" customWidth="1"/>
    <col min="8201" max="8201" width="7.28515625" style="9" customWidth="1"/>
    <col min="8202" max="8202" width="11.7109375" style="9" bestFit="1" customWidth="1"/>
    <col min="8203" max="8203" width="14.42578125" style="9" customWidth="1"/>
    <col min="8204" max="8204" width="8.85546875" style="9"/>
    <col min="8205" max="8205" width="14.28515625" style="9" bestFit="1" customWidth="1"/>
    <col min="8206" max="8206" width="10" style="9" customWidth="1"/>
    <col min="8207" max="8438" width="8.85546875" style="9"/>
    <col min="8439" max="8439" width="1.140625" style="9" customWidth="1"/>
    <col min="8440" max="8440" width="3.28515625" style="9" customWidth="1"/>
    <col min="8441" max="8441" width="2.42578125" style="9" customWidth="1"/>
    <col min="8442" max="8442" width="2.5703125" style="9" customWidth="1"/>
    <col min="8443" max="8443" width="2.85546875" style="9" customWidth="1"/>
    <col min="8444" max="8444" width="3" style="9" customWidth="1"/>
    <col min="8445" max="8445" width="24.7109375" style="9" customWidth="1"/>
    <col min="8446" max="8446" width="7.85546875" style="9" customWidth="1"/>
    <col min="8447" max="8447" width="7.42578125" style="9" customWidth="1"/>
    <col min="8448" max="8448" width="11.140625" style="9" customWidth="1"/>
    <col min="8449" max="8449" width="14.42578125" style="9" customWidth="1"/>
    <col min="8450" max="8450" width="3.42578125" style="9" customWidth="1"/>
    <col min="8451" max="8451" width="3" style="9" customWidth="1"/>
    <col min="8452" max="8452" width="3.28515625" style="9" customWidth="1"/>
    <col min="8453" max="8453" width="3.140625" style="9" customWidth="1"/>
    <col min="8454" max="8454" width="3.42578125" style="9" customWidth="1"/>
    <col min="8455" max="8455" width="24.7109375" style="9" customWidth="1"/>
    <col min="8456" max="8456" width="7.85546875" style="9" customWidth="1"/>
    <col min="8457" max="8457" width="7.28515625" style="9" customWidth="1"/>
    <col min="8458" max="8458" width="11.7109375" style="9" bestFit="1" customWidth="1"/>
    <col min="8459" max="8459" width="14.42578125" style="9" customWidth="1"/>
    <col min="8460" max="8460" width="8.85546875" style="9"/>
    <col min="8461" max="8461" width="14.28515625" style="9" bestFit="1" customWidth="1"/>
    <col min="8462" max="8462" width="10" style="9" customWidth="1"/>
    <col min="8463" max="8694" width="8.85546875" style="9"/>
    <col min="8695" max="8695" width="1.140625" style="9" customWidth="1"/>
    <col min="8696" max="8696" width="3.28515625" style="9" customWidth="1"/>
    <col min="8697" max="8697" width="2.42578125" style="9" customWidth="1"/>
    <col min="8698" max="8698" width="2.5703125" style="9" customWidth="1"/>
    <col min="8699" max="8699" width="2.85546875" style="9" customWidth="1"/>
    <col min="8700" max="8700" width="3" style="9" customWidth="1"/>
    <col min="8701" max="8701" width="24.7109375" style="9" customWidth="1"/>
    <col min="8702" max="8702" width="7.85546875" style="9" customWidth="1"/>
    <col min="8703" max="8703" width="7.42578125" style="9" customWidth="1"/>
    <col min="8704" max="8704" width="11.140625" style="9" customWidth="1"/>
    <col min="8705" max="8705" width="14.42578125" style="9" customWidth="1"/>
    <col min="8706" max="8706" width="3.42578125" style="9" customWidth="1"/>
    <col min="8707" max="8707" width="3" style="9" customWidth="1"/>
    <col min="8708" max="8708" width="3.28515625" style="9" customWidth="1"/>
    <col min="8709" max="8709" width="3.140625" style="9" customWidth="1"/>
    <col min="8710" max="8710" width="3.42578125" style="9" customWidth="1"/>
    <col min="8711" max="8711" width="24.7109375" style="9" customWidth="1"/>
    <col min="8712" max="8712" width="7.85546875" style="9" customWidth="1"/>
    <col min="8713" max="8713" width="7.28515625" style="9" customWidth="1"/>
    <col min="8714" max="8714" width="11.7109375" style="9" bestFit="1" customWidth="1"/>
    <col min="8715" max="8715" width="14.42578125" style="9" customWidth="1"/>
    <col min="8716" max="8716" width="8.85546875" style="9"/>
    <col min="8717" max="8717" width="14.28515625" style="9" bestFit="1" customWidth="1"/>
    <col min="8718" max="8718" width="10" style="9" customWidth="1"/>
    <col min="8719" max="8950" width="8.85546875" style="9"/>
    <col min="8951" max="8951" width="1.140625" style="9" customWidth="1"/>
    <col min="8952" max="8952" width="3.28515625" style="9" customWidth="1"/>
    <col min="8953" max="8953" width="2.42578125" style="9" customWidth="1"/>
    <col min="8954" max="8954" width="2.5703125" style="9" customWidth="1"/>
    <col min="8955" max="8955" width="2.85546875" style="9" customWidth="1"/>
    <col min="8956" max="8956" width="3" style="9" customWidth="1"/>
    <col min="8957" max="8957" width="24.7109375" style="9" customWidth="1"/>
    <col min="8958" max="8958" width="7.85546875" style="9" customWidth="1"/>
    <col min="8959" max="8959" width="7.42578125" style="9" customWidth="1"/>
    <col min="8960" max="8960" width="11.140625" style="9" customWidth="1"/>
    <col min="8961" max="8961" width="14.42578125" style="9" customWidth="1"/>
    <col min="8962" max="8962" width="3.42578125" style="9" customWidth="1"/>
    <col min="8963" max="8963" width="3" style="9" customWidth="1"/>
    <col min="8964" max="8964" width="3.28515625" style="9" customWidth="1"/>
    <col min="8965" max="8965" width="3.140625" style="9" customWidth="1"/>
    <col min="8966" max="8966" width="3.42578125" style="9" customWidth="1"/>
    <col min="8967" max="8967" width="24.7109375" style="9" customWidth="1"/>
    <col min="8968" max="8968" width="7.85546875" style="9" customWidth="1"/>
    <col min="8969" max="8969" width="7.28515625" style="9" customWidth="1"/>
    <col min="8970" max="8970" width="11.7109375" style="9" bestFit="1" customWidth="1"/>
    <col min="8971" max="8971" width="14.42578125" style="9" customWidth="1"/>
    <col min="8972" max="8972" width="8.85546875" style="9"/>
    <col min="8973" max="8973" width="14.28515625" style="9" bestFit="1" customWidth="1"/>
    <col min="8974" max="8974" width="10" style="9" customWidth="1"/>
    <col min="8975" max="9206" width="8.85546875" style="9"/>
    <col min="9207" max="9207" width="1.140625" style="9" customWidth="1"/>
    <col min="9208" max="9208" width="3.28515625" style="9" customWidth="1"/>
    <col min="9209" max="9209" width="2.42578125" style="9" customWidth="1"/>
    <col min="9210" max="9210" width="2.5703125" style="9" customWidth="1"/>
    <col min="9211" max="9211" width="2.85546875" style="9" customWidth="1"/>
    <col min="9212" max="9212" width="3" style="9" customWidth="1"/>
    <col min="9213" max="9213" width="24.7109375" style="9" customWidth="1"/>
    <col min="9214" max="9214" width="7.85546875" style="9" customWidth="1"/>
    <col min="9215" max="9215" width="7.42578125" style="9" customWidth="1"/>
    <col min="9216" max="9216" width="11.140625" style="9" customWidth="1"/>
    <col min="9217" max="9217" width="14.42578125" style="9" customWidth="1"/>
    <col min="9218" max="9218" width="3.42578125" style="9" customWidth="1"/>
    <col min="9219" max="9219" width="3" style="9" customWidth="1"/>
    <col min="9220" max="9220" width="3.28515625" style="9" customWidth="1"/>
    <col min="9221" max="9221" width="3.140625" style="9" customWidth="1"/>
    <col min="9222" max="9222" width="3.42578125" style="9" customWidth="1"/>
    <col min="9223" max="9223" width="24.7109375" style="9" customWidth="1"/>
    <col min="9224" max="9224" width="7.85546875" style="9" customWidth="1"/>
    <col min="9225" max="9225" width="7.28515625" style="9" customWidth="1"/>
    <col min="9226" max="9226" width="11.7109375" style="9" bestFit="1" customWidth="1"/>
    <col min="9227" max="9227" width="14.42578125" style="9" customWidth="1"/>
    <col min="9228" max="9228" width="8.85546875" style="9"/>
    <col min="9229" max="9229" width="14.28515625" style="9" bestFit="1" customWidth="1"/>
    <col min="9230" max="9230" width="10" style="9" customWidth="1"/>
    <col min="9231" max="9462" width="8.85546875" style="9"/>
    <col min="9463" max="9463" width="1.140625" style="9" customWidth="1"/>
    <col min="9464" max="9464" width="3.28515625" style="9" customWidth="1"/>
    <col min="9465" max="9465" width="2.42578125" style="9" customWidth="1"/>
    <col min="9466" max="9466" width="2.5703125" style="9" customWidth="1"/>
    <col min="9467" max="9467" width="2.85546875" style="9" customWidth="1"/>
    <col min="9468" max="9468" width="3" style="9" customWidth="1"/>
    <col min="9469" max="9469" width="24.7109375" style="9" customWidth="1"/>
    <col min="9470" max="9470" width="7.85546875" style="9" customWidth="1"/>
    <col min="9471" max="9471" width="7.42578125" style="9" customWidth="1"/>
    <col min="9472" max="9472" width="11.140625" style="9" customWidth="1"/>
    <col min="9473" max="9473" width="14.42578125" style="9" customWidth="1"/>
    <col min="9474" max="9474" width="3.42578125" style="9" customWidth="1"/>
    <col min="9475" max="9475" width="3" style="9" customWidth="1"/>
    <col min="9476" max="9476" width="3.28515625" style="9" customWidth="1"/>
    <col min="9477" max="9477" width="3.140625" style="9" customWidth="1"/>
    <col min="9478" max="9478" width="3.42578125" style="9" customWidth="1"/>
    <col min="9479" max="9479" width="24.7109375" style="9" customWidth="1"/>
    <col min="9480" max="9480" width="7.85546875" style="9" customWidth="1"/>
    <col min="9481" max="9481" width="7.28515625" style="9" customWidth="1"/>
    <col min="9482" max="9482" width="11.7109375" style="9" bestFit="1" customWidth="1"/>
    <col min="9483" max="9483" width="14.42578125" style="9" customWidth="1"/>
    <col min="9484" max="9484" width="8.85546875" style="9"/>
    <col min="9485" max="9485" width="14.28515625" style="9" bestFit="1" customWidth="1"/>
    <col min="9486" max="9486" width="10" style="9" customWidth="1"/>
    <col min="9487" max="9718" width="8.85546875" style="9"/>
    <col min="9719" max="9719" width="1.140625" style="9" customWidth="1"/>
    <col min="9720" max="9720" width="3.28515625" style="9" customWidth="1"/>
    <col min="9721" max="9721" width="2.42578125" style="9" customWidth="1"/>
    <col min="9722" max="9722" width="2.5703125" style="9" customWidth="1"/>
    <col min="9723" max="9723" width="2.85546875" style="9" customWidth="1"/>
    <col min="9724" max="9724" width="3" style="9" customWidth="1"/>
    <col min="9725" max="9725" width="24.7109375" style="9" customWidth="1"/>
    <col min="9726" max="9726" width="7.85546875" style="9" customWidth="1"/>
    <col min="9727" max="9727" width="7.42578125" style="9" customWidth="1"/>
    <col min="9728" max="9728" width="11.140625" style="9" customWidth="1"/>
    <col min="9729" max="9729" width="14.42578125" style="9" customWidth="1"/>
    <col min="9730" max="9730" width="3.42578125" style="9" customWidth="1"/>
    <col min="9731" max="9731" width="3" style="9" customWidth="1"/>
    <col min="9732" max="9732" width="3.28515625" style="9" customWidth="1"/>
    <col min="9733" max="9733" width="3.140625" style="9" customWidth="1"/>
    <col min="9734" max="9734" width="3.42578125" style="9" customWidth="1"/>
    <col min="9735" max="9735" width="24.7109375" style="9" customWidth="1"/>
    <col min="9736" max="9736" width="7.85546875" style="9" customWidth="1"/>
    <col min="9737" max="9737" width="7.28515625" style="9" customWidth="1"/>
    <col min="9738" max="9738" width="11.7109375" style="9" bestFit="1" customWidth="1"/>
    <col min="9739" max="9739" width="14.42578125" style="9" customWidth="1"/>
    <col min="9740" max="9740" width="8.85546875" style="9"/>
    <col min="9741" max="9741" width="14.28515625" style="9" bestFit="1" customWidth="1"/>
    <col min="9742" max="9742" width="10" style="9" customWidth="1"/>
    <col min="9743" max="9974" width="8.85546875" style="9"/>
    <col min="9975" max="9975" width="1.140625" style="9" customWidth="1"/>
    <col min="9976" max="9976" width="3.28515625" style="9" customWidth="1"/>
    <col min="9977" max="9977" width="2.42578125" style="9" customWidth="1"/>
    <col min="9978" max="9978" width="2.5703125" style="9" customWidth="1"/>
    <col min="9979" max="9979" width="2.85546875" style="9" customWidth="1"/>
    <col min="9980" max="9980" width="3" style="9" customWidth="1"/>
    <col min="9981" max="9981" width="24.7109375" style="9" customWidth="1"/>
    <col min="9982" max="9982" width="7.85546875" style="9" customWidth="1"/>
    <col min="9983" max="9983" width="7.42578125" style="9" customWidth="1"/>
    <col min="9984" max="9984" width="11.140625" style="9" customWidth="1"/>
    <col min="9985" max="9985" width="14.42578125" style="9" customWidth="1"/>
    <col min="9986" max="9986" width="3.42578125" style="9" customWidth="1"/>
    <col min="9987" max="9987" width="3" style="9" customWidth="1"/>
    <col min="9988" max="9988" width="3.28515625" style="9" customWidth="1"/>
    <col min="9989" max="9989" width="3.140625" style="9" customWidth="1"/>
    <col min="9990" max="9990" width="3.42578125" style="9" customWidth="1"/>
    <col min="9991" max="9991" width="24.7109375" style="9" customWidth="1"/>
    <col min="9992" max="9992" width="7.85546875" style="9" customWidth="1"/>
    <col min="9993" max="9993" width="7.28515625" style="9" customWidth="1"/>
    <col min="9994" max="9994" width="11.7109375" style="9" bestFit="1" customWidth="1"/>
    <col min="9995" max="9995" width="14.42578125" style="9" customWidth="1"/>
    <col min="9996" max="9996" width="8.85546875" style="9"/>
    <col min="9997" max="9997" width="14.28515625" style="9" bestFit="1" customWidth="1"/>
    <col min="9998" max="9998" width="10" style="9" customWidth="1"/>
    <col min="9999" max="10230" width="8.85546875" style="9"/>
    <col min="10231" max="10231" width="1.140625" style="9" customWidth="1"/>
    <col min="10232" max="10232" width="3.28515625" style="9" customWidth="1"/>
    <col min="10233" max="10233" width="2.42578125" style="9" customWidth="1"/>
    <col min="10234" max="10234" width="2.5703125" style="9" customWidth="1"/>
    <col min="10235" max="10235" width="2.85546875" style="9" customWidth="1"/>
    <col min="10236" max="10236" width="3" style="9" customWidth="1"/>
    <col min="10237" max="10237" width="24.7109375" style="9" customWidth="1"/>
    <col min="10238" max="10238" width="7.85546875" style="9" customWidth="1"/>
    <col min="10239" max="10239" width="7.42578125" style="9" customWidth="1"/>
    <col min="10240" max="10240" width="11.140625" style="9" customWidth="1"/>
    <col min="10241" max="10241" width="14.42578125" style="9" customWidth="1"/>
    <col min="10242" max="10242" width="3.42578125" style="9" customWidth="1"/>
    <col min="10243" max="10243" width="3" style="9" customWidth="1"/>
    <col min="10244" max="10244" width="3.28515625" style="9" customWidth="1"/>
    <col min="10245" max="10245" width="3.140625" style="9" customWidth="1"/>
    <col min="10246" max="10246" width="3.42578125" style="9" customWidth="1"/>
    <col min="10247" max="10247" width="24.7109375" style="9" customWidth="1"/>
    <col min="10248" max="10248" width="7.85546875" style="9" customWidth="1"/>
    <col min="10249" max="10249" width="7.28515625" style="9" customWidth="1"/>
    <col min="10250" max="10250" width="11.7109375" style="9" bestFit="1" customWidth="1"/>
    <col min="10251" max="10251" width="14.42578125" style="9" customWidth="1"/>
    <col min="10252" max="10252" width="8.85546875" style="9"/>
    <col min="10253" max="10253" width="14.28515625" style="9" bestFit="1" customWidth="1"/>
    <col min="10254" max="10254" width="10" style="9" customWidth="1"/>
    <col min="10255" max="10486" width="8.85546875" style="9"/>
    <col min="10487" max="10487" width="1.140625" style="9" customWidth="1"/>
    <col min="10488" max="10488" width="3.28515625" style="9" customWidth="1"/>
    <col min="10489" max="10489" width="2.42578125" style="9" customWidth="1"/>
    <col min="10490" max="10490" width="2.5703125" style="9" customWidth="1"/>
    <col min="10491" max="10491" width="2.85546875" style="9" customWidth="1"/>
    <col min="10492" max="10492" width="3" style="9" customWidth="1"/>
    <col min="10493" max="10493" width="24.7109375" style="9" customWidth="1"/>
    <col min="10494" max="10494" width="7.85546875" style="9" customWidth="1"/>
    <col min="10495" max="10495" width="7.42578125" style="9" customWidth="1"/>
    <col min="10496" max="10496" width="11.140625" style="9" customWidth="1"/>
    <col min="10497" max="10497" width="14.42578125" style="9" customWidth="1"/>
    <col min="10498" max="10498" width="3.42578125" style="9" customWidth="1"/>
    <col min="10499" max="10499" width="3" style="9" customWidth="1"/>
    <col min="10500" max="10500" width="3.28515625" style="9" customWidth="1"/>
    <col min="10501" max="10501" width="3.140625" style="9" customWidth="1"/>
    <col min="10502" max="10502" width="3.42578125" style="9" customWidth="1"/>
    <col min="10503" max="10503" width="24.7109375" style="9" customWidth="1"/>
    <col min="10504" max="10504" width="7.85546875" style="9" customWidth="1"/>
    <col min="10505" max="10505" width="7.28515625" style="9" customWidth="1"/>
    <col min="10506" max="10506" width="11.7109375" style="9" bestFit="1" customWidth="1"/>
    <col min="10507" max="10507" width="14.42578125" style="9" customWidth="1"/>
    <col min="10508" max="10508" width="8.85546875" style="9"/>
    <col min="10509" max="10509" width="14.28515625" style="9" bestFit="1" customWidth="1"/>
    <col min="10510" max="10510" width="10" style="9" customWidth="1"/>
    <col min="10511" max="10742" width="8.85546875" style="9"/>
    <col min="10743" max="10743" width="1.140625" style="9" customWidth="1"/>
    <col min="10744" max="10744" width="3.28515625" style="9" customWidth="1"/>
    <col min="10745" max="10745" width="2.42578125" style="9" customWidth="1"/>
    <col min="10746" max="10746" width="2.5703125" style="9" customWidth="1"/>
    <col min="10747" max="10747" width="2.85546875" style="9" customWidth="1"/>
    <col min="10748" max="10748" width="3" style="9" customWidth="1"/>
    <col min="10749" max="10749" width="24.7109375" style="9" customWidth="1"/>
    <col min="10750" max="10750" width="7.85546875" style="9" customWidth="1"/>
    <col min="10751" max="10751" width="7.42578125" style="9" customWidth="1"/>
    <col min="10752" max="10752" width="11.140625" style="9" customWidth="1"/>
    <col min="10753" max="10753" width="14.42578125" style="9" customWidth="1"/>
    <col min="10754" max="10754" width="3.42578125" style="9" customWidth="1"/>
    <col min="10755" max="10755" width="3" style="9" customWidth="1"/>
    <col min="10756" max="10756" width="3.28515625" style="9" customWidth="1"/>
    <col min="10757" max="10757" width="3.140625" style="9" customWidth="1"/>
    <col min="10758" max="10758" width="3.42578125" style="9" customWidth="1"/>
    <col min="10759" max="10759" width="24.7109375" style="9" customWidth="1"/>
    <col min="10760" max="10760" width="7.85546875" style="9" customWidth="1"/>
    <col min="10761" max="10761" width="7.28515625" style="9" customWidth="1"/>
    <col min="10762" max="10762" width="11.7109375" style="9" bestFit="1" customWidth="1"/>
    <col min="10763" max="10763" width="14.42578125" style="9" customWidth="1"/>
    <col min="10764" max="10764" width="8.85546875" style="9"/>
    <col min="10765" max="10765" width="14.28515625" style="9" bestFit="1" customWidth="1"/>
    <col min="10766" max="10766" width="10" style="9" customWidth="1"/>
    <col min="10767" max="10998" width="8.85546875" style="9"/>
    <col min="10999" max="10999" width="1.140625" style="9" customWidth="1"/>
    <col min="11000" max="11000" width="3.28515625" style="9" customWidth="1"/>
    <col min="11001" max="11001" width="2.42578125" style="9" customWidth="1"/>
    <col min="11002" max="11002" width="2.5703125" style="9" customWidth="1"/>
    <col min="11003" max="11003" width="2.85546875" style="9" customWidth="1"/>
    <col min="11004" max="11004" width="3" style="9" customWidth="1"/>
    <col min="11005" max="11005" width="24.7109375" style="9" customWidth="1"/>
    <col min="11006" max="11006" width="7.85546875" style="9" customWidth="1"/>
    <col min="11007" max="11007" width="7.42578125" style="9" customWidth="1"/>
    <col min="11008" max="11008" width="11.140625" style="9" customWidth="1"/>
    <col min="11009" max="11009" width="14.42578125" style="9" customWidth="1"/>
    <col min="11010" max="11010" width="3.42578125" style="9" customWidth="1"/>
    <col min="11011" max="11011" width="3" style="9" customWidth="1"/>
    <col min="11012" max="11012" width="3.28515625" style="9" customWidth="1"/>
    <col min="11013" max="11013" width="3.140625" style="9" customWidth="1"/>
    <col min="11014" max="11014" width="3.42578125" style="9" customWidth="1"/>
    <col min="11015" max="11015" width="24.7109375" style="9" customWidth="1"/>
    <col min="11016" max="11016" width="7.85546875" style="9" customWidth="1"/>
    <col min="11017" max="11017" width="7.28515625" style="9" customWidth="1"/>
    <col min="11018" max="11018" width="11.7109375" style="9" bestFit="1" customWidth="1"/>
    <col min="11019" max="11019" width="14.42578125" style="9" customWidth="1"/>
    <col min="11020" max="11020" width="8.85546875" style="9"/>
    <col min="11021" max="11021" width="14.28515625" style="9" bestFit="1" customWidth="1"/>
    <col min="11022" max="11022" width="10" style="9" customWidth="1"/>
    <col min="11023" max="11254" width="8.85546875" style="9"/>
    <col min="11255" max="11255" width="1.140625" style="9" customWidth="1"/>
    <col min="11256" max="11256" width="3.28515625" style="9" customWidth="1"/>
    <col min="11257" max="11257" width="2.42578125" style="9" customWidth="1"/>
    <col min="11258" max="11258" width="2.5703125" style="9" customWidth="1"/>
    <col min="11259" max="11259" width="2.85546875" style="9" customWidth="1"/>
    <col min="11260" max="11260" width="3" style="9" customWidth="1"/>
    <col min="11261" max="11261" width="24.7109375" style="9" customWidth="1"/>
    <col min="11262" max="11262" width="7.85546875" style="9" customWidth="1"/>
    <col min="11263" max="11263" width="7.42578125" style="9" customWidth="1"/>
    <col min="11264" max="11264" width="11.140625" style="9" customWidth="1"/>
    <col min="11265" max="11265" width="14.42578125" style="9" customWidth="1"/>
    <col min="11266" max="11266" width="3.42578125" style="9" customWidth="1"/>
    <col min="11267" max="11267" width="3" style="9" customWidth="1"/>
    <col min="11268" max="11268" width="3.28515625" style="9" customWidth="1"/>
    <col min="11269" max="11269" width="3.140625" style="9" customWidth="1"/>
    <col min="11270" max="11270" width="3.42578125" style="9" customWidth="1"/>
    <col min="11271" max="11271" width="24.7109375" style="9" customWidth="1"/>
    <col min="11272" max="11272" width="7.85546875" style="9" customWidth="1"/>
    <col min="11273" max="11273" width="7.28515625" style="9" customWidth="1"/>
    <col min="11274" max="11274" width="11.7109375" style="9" bestFit="1" customWidth="1"/>
    <col min="11275" max="11275" width="14.42578125" style="9" customWidth="1"/>
    <col min="11276" max="11276" width="8.85546875" style="9"/>
    <col min="11277" max="11277" width="14.28515625" style="9" bestFit="1" customWidth="1"/>
    <col min="11278" max="11278" width="10" style="9" customWidth="1"/>
    <col min="11279" max="11510" width="8.85546875" style="9"/>
    <col min="11511" max="11511" width="1.140625" style="9" customWidth="1"/>
    <col min="11512" max="11512" width="3.28515625" style="9" customWidth="1"/>
    <col min="11513" max="11513" width="2.42578125" style="9" customWidth="1"/>
    <col min="11514" max="11514" width="2.5703125" style="9" customWidth="1"/>
    <col min="11515" max="11515" width="2.85546875" style="9" customWidth="1"/>
    <col min="11516" max="11516" width="3" style="9" customWidth="1"/>
    <col min="11517" max="11517" width="24.7109375" style="9" customWidth="1"/>
    <col min="11518" max="11518" width="7.85546875" style="9" customWidth="1"/>
    <col min="11519" max="11519" width="7.42578125" style="9" customWidth="1"/>
    <col min="11520" max="11520" width="11.140625" style="9" customWidth="1"/>
    <col min="11521" max="11521" width="14.42578125" style="9" customWidth="1"/>
    <col min="11522" max="11522" width="3.42578125" style="9" customWidth="1"/>
    <col min="11523" max="11523" width="3" style="9" customWidth="1"/>
    <col min="11524" max="11524" width="3.28515625" style="9" customWidth="1"/>
    <col min="11525" max="11525" width="3.140625" style="9" customWidth="1"/>
    <col min="11526" max="11526" width="3.42578125" style="9" customWidth="1"/>
    <col min="11527" max="11527" width="24.7109375" style="9" customWidth="1"/>
    <col min="11528" max="11528" width="7.85546875" style="9" customWidth="1"/>
    <col min="11529" max="11529" width="7.28515625" style="9" customWidth="1"/>
    <col min="11530" max="11530" width="11.7109375" style="9" bestFit="1" customWidth="1"/>
    <col min="11531" max="11531" width="14.42578125" style="9" customWidth="1"/>
    <col min="11532" max="11532" width="8.85546875" style="9"/>
    <col min="11533" max="11533" width="14.28515625" style="9" bestFit="1" customWidth="1"/>
    <col min="11534" max="11534" width="10" style="9" customWidth="1"/>
    <col min="11535" max="11766" width="8.85546875" style="9"/>
    <col min="11767" max="11767" width="1.140625" style="9" customWidth="1"/>
    <col min="11768" max="11768" width="3.28515625" style="9" customWidth="1"/>
    <col min="11769" max="11769" width="2.42578125" style="9" customWidth="1"/>
    <col min="11770" max="11770" width="2.5703125" style="9" customWidth="1"/>
    <col min="11771" max="11771" width="2.85546875" style="9" customWidth="1"/>
    <col min="11772" max="11772" width="3" style="9" customWidth="1"/>
    <col min="11773" max="11773" width="24.7109375" style="9" customWidth="1"/>
    <col min="11774" max="11774" width="7.85546875" style="9" customWidth="1"/>
    <col min="11775" max="11775" width="7.42578125" style="9" customWidth="1"/>
    <col min="11776" max="11776" width="11.140625" style="9" customWidth="1"/>
    <col min="11777" max="11777" width="14.42578125" style="9" customWidth="1"/>
    <col min="11778" max="11778" width="3.42578125" style="9" customWidth="1"/>
    <col min="11779" max="11779" width="3" style="9" customWidth="1"/>
    <col min="11780" max="11780" width="3.28515625" style="9" customWidth="1"/>
    <col min="11781" max="11781" width="3.140625" style="9" customWidth="1"/>
    <col min="11782" max="11782" width="3.42578125" style="9" customWidth="1"/>
    <col min="11783" max="11783" width="24.7109375" style="9" customWidth="1"/>
    <col min="11784" max="11784" width="7.85546875" style="9" customWidth="1"/>
    <col min="11785" max="11785" width="7.28515625" style="9" customWidth="1"/>
    <col min="11786" max="11786" width="11.7109375" style="9" bestFit="1" customWidth="1"/>
    <col min="11787" max="11787" width="14.42578125" style="9" customWidth="1"/>
    <col min="11788" max="11788" width="8.85546875" style="9"/>
    <col min="11789" max="11789" width="14.28515625" style="9" bestFit="1" customWidth="1"/>
    <col min="11790" max="11790" width="10" style="9" customWidth="1"/>
    <col min="11791" max="12022" width="8.85546875" style="9"/>
    <col min="12023" max="12023" width="1.140625" style="9" customWidth="1"/>
    <col min="12024" max="12024" width="3.28515625" style="9" customWidth="1"/>
    <col min="12025" max="12025" width="2.42578125" style="9" customWidth="1"/>
    <col min="12026" max="12026" width="2.5703125" style="9" customWidth="1"/>
    <col min="12027" max="12027" width="2.85546875" style="9" customWidth="1"/>
    <col min="12028" max="12028" width="3" style="9" customWidth="1"/>
    <col min="12029" max="12029" width="24.7109375" style="9" customWidth="1"/>
    <col min="12030" max="12030" width="7.85546875" style="9" customWidth="1"/>
    <col min="12031" max="12031" width="7.42578125" style="9" customWidth="1"/>
    <col min="12032" max="12032" width="11.140625" style="9" customWidth="1"/>
    <col min="12033" max="12033" width="14.42578125" style="9" customWidth="1"/>
    <col min="12034" max="12034" width="3.42578125" style="9" customWidth="1"/>
    <col min="12035" max="12035" width="3" style="9" customWidth="1"/>
    <col min="12036" max="12036" width="3.28515625" style="9" customWidth="1"/>
    <col min="12037" max="12037" width="3.140625" style="9" customWidth="1"/>
    <col min="12038" max="12038" width="3.42578125" style="9" customWidth="1"/>
    <col min="12039" max="12039" width="24.7109375" style="9" customWidth="1"/>
    <col min="12040" max="12040" width="7.85546875" style="9" customWidth="1"/>
    <col min="12041" max="12041" width="7.28515625" style="9" customWidth="1"/>
    <col min="12042" max="12042" width="11.7109375" style="9" bestFit="1" customWidth="1"/>
    <col min="12043" max="12043" width="14.42578125" style="9" customWidth="1"/>
    <col min="12044" max="12044" width="8.85546875" style="9"/>
    <col min="12045" max="12045" width="14.28515625" style="9" bestFit="1" customWidth="1"/>
    <col min="12046" max="12046" width="10" style="9" customWidth="1"/>
    <col min="12047" max="12278" width="8.85546875" style="9"/>
    <col min="12279" max="12279" width="1.140625" style="9" customWidth="1"/>
    <col min="12280" max="12280" width="3.28515625" style="9" customWidth="1"/>
    <col min="12281" max="12281" width="2.42578125" style="9" customWidth="1"/>
    <col min="12282" max="12282" width="2.5703125" style="9" customWidth="1"/>
    <col min="12283" max="12283" width="2.85546875" style="9" customWidth="1"/>
    <col min="12284" max="12284" width="3" style="9" customWidth="1"/>
    <col min="12285" max="12285" width="24.7109375" style="9" customWidth="1"/>
    <col min="12286" max="12286" width="7.85546875" style="9" customWidth="1"/>
    <col min="12287" max="12287" width="7.42578125" style="9" customWidth="1"/>
    <col min="12288" max="12288" width="11.140625" style="9" customWidth="1"/>
    <col min="12289" max="12289" width="14.42578125" style="9" customWidth="1"/>
    <col min="12290" max="12290" width="3.42578125" style="9" customWidth="1"/>
    <col min="12291" max="12291" width="3" style="9" customWidth="1"/>
    <col min="12292" max="12292" width="3.28515625" style="9" customWidth="1"/>
    <col min="12293" max="12293" width="3.140625" style="9" customWidth="1"/>
    <col min="12294" max="12294" width="3.42578125" style="9" customWidth="1"/>
    <col min="12295" max="12295" width="24.7109375" style="9" customWidth="1"/>
    <col min="12296" max="12296" width="7.85546875" style="9" customWidth="1"/>
    <col min="12297" max="12297" width="7.28515625" style="9" customWidth="1"/>
    <col min="12298" max="12298" width="11.7109375" style="9" bestFit="1" customWidth="1"/>
    <col min="12299" max="12299" width="14.42578125" style="9" customWidth="1"/>
    <col min="12300" max="12300" width="8.85546875" style="9"/>
    <col min="12301" max="12301" width="14.28515625" style="9" bestFit="1" customWidth="1"/>
    <col min="12302" max="12302" width="10" style="9" customWidth="1"/>
    <col min="12303" max="12534" width="8.85546875" style="9"/>
    <col min="12535" max="12535" width="1.140625" style="9" customWidth="1"/>
    <col min="12536" max="12536" width="3.28515625" style="9" customWidth="1"/>
    <col min="12537" max="12537" width="2.42578125" style="9" customWidth="1"/>
    <col min="12538" max="12538" width="2.5703125" style="9" customWidth="1"/>
    <col min="12539" max="12539" width="2.85546875" style="9" customWidth="1"/>
    <col min="12540" max="12540" width="3" style="9" customWidth="1"/>
    <col min="12541" max="12541" width="24.7109375" style="9" customWidth="1"/>
    <col min="12542" max="12542" width="7.85546875" style="9" customWidth="1"/>
    <col min="12543" max="12543" width="7.42578125" style="9" customWidth="1"/>
    <col min="12544" max="12544" width="11.140625" style="9" customWidth="1"/>
    <col min="12545" max="12545" width="14.42578125" style="9" customWidth="1"/>
    <col min="12546" max="12546" width="3.42578125" style="9" customWidth="1"/>
    <col min="12547" max="12547" width="3" style="9" customWidth="1"/>
    <col min="12548" max="12548" width="3.28515625" style="9" customWidth="1"/>
    <col min="12549" max="12549" width="3.140625" style="9" customWidth="1"/>
    <col min="12550" max="12550" width="3.42578125" style="9" customWidth="1"/>
    <col min="12551" max="12551" width="24.7109375" style="9" customWidth="1"/>
    <col min="12552" max="12552" width="7.85546875" style="9" customWidth="1"/>
    <col min="12553" max="12553" width="7.28515625" style="9" customWidth="1"/>
    <col min="12554" max="12554" width="11.7109375" style="9" bestFit="1" customWidth="1"/>
    <col min="12555" max="12555" width="14.42578125" style="9" customWidth="1"/>
    <col min="12556" max="12556" width="8.85546875" style="9"/>
    <col min="12557" max="12557" width="14.28515625" style="9" bestFit="1" customWidth="1"/>
    <col min="12558" max="12558" width="10" style="9" customWidth="1"/>
    <col min="12559" max="12790" width="8.85546875" style="9"/>
    <col min="12791" max="12791" width="1.140625" style="9" customWidth="1"/>
    <col min="12792" max="12792" width="3.28515625" style="9" customWidth="1"/>
    <col min="12793" max="12793" width="2.42578125" style="9" customWidth="1"/>
    <col min="12794" max="12794" width="2.5703125" style="9" customWidth="1"/>
    <col min="12795" max="12795" width="2.85546875" style="9" customWidth="1"/>
    <col min="12796" max="12796" width="3" style="9" customWidth="1"/>
    <col min="12797" max="12797" width="24.7109375" style="9" customWidth="1"/>
    <col min="12798" max="12798" width="7.85546875" style="9" customWidth="1"/>
    <col min="12799" max="12799" width="7.42578125" style="9" customWidth="1"/>
    <col min="12800" max="12800" width="11.140625" style="9" customWidth="1"/>
    <col min="12801" max="12801" width="14.42578125" style="9" customWidth="1"/>
    <col min="12802" max="12802" width="3.42578125" style="9" customWidth="1"/>
    <col min="12803" max="12803" width="3" style="9" customWidth="1"/>
    <col min="12804" max="12804" width="3.28515625" style="9" customWidth="1"/>
    <col min="12805" max="12805" width="3.140625" style="9" customWidth="1"/>
    <col min="12806" max="12806" width="3.42578125" style="9" customWidth="1"/>
    <col min="12807" max="12807" width="24.7109375" style="9" customWidth="1"/>
    <col min="12808" max="12808" width="7.85546875" style="9" customWidth="1"/>
    <col min="12809" max="12809" width="7.28515625" style="9" customWidth="1"/>
    <col min="12810" max="12810" width="11.7109375" style="9" bestFit="1" customWidth="1"/>
    <col min="12811" max="12811" width="14.42578125" style="9" customWidth="1"/>
    <col min="12812" max="12812" width="8.85546875" style="9"/>
    <col min="12813" max="12813" width="14.28515625" style="9" bestFit="1" customWidth="1"/>
    <col min="12814" max="12814" width="10" style="9" customWidth="1"/>
    <col min="12815" max="13046" width="8.85546875" style="9"/>
    <col min="13047" max="13047" width="1.140625" style="9" customWidth="1"/>
    <col min="13048" max="13048" width="3.28515625" style="9" customWidth="1"/>
    <col min="13049" max="13049" width="2.42578125" style="9" customWidth="1"/>
    <col min="13050" max="13050" width="2.5703125" style="9" customWidth="1"/>
    <col min="13051" max="13051" width="2.85546875" style="9" customWidth="1"/>
    <col min="13052" max="13052" width="3" style="9" customWidth="1"/>
    <col min="13053" max="13053" width="24.7109375" style="9" customWidth="1"/>
    <col min="13054" max="13054" width="7.85546875" style="9" customWidth="1"/>
    <col min="13055" max="13055" width="7.42578125" style="9" customWidth="1"/>
    <col min="13056" max="13056" width="11.140625" style="9" customWidth="1"/>
    <col min="13057" max="13057" width="14.42578125" style="9" customWidth="1"/>
    <col min="13058" max="13058" width="3.42578125" style="9" customWidth="1"/>
    <col min="13059" max="13059" width="3" style="9" customWidth="1"/>
    <col min="13060" max="13060" width="3.28515625" style="9" customWidth="1"/>
    <col min="13061" max="13061" width="3.140625" style="9" customWidth="1"/>
    <col min="13062" max="13062" width="3.42578125" style="9" customWidth="1"/>
    <col min="13063" max="13063" width="24.7109375" style="9" customWidth="1"/>
    <col min="13064" max="13064" width="7.85546875" style="9" customWidth="1"/>
    <col min="13065" max="13065" width="7.28515625" style="9" customWidth="1"/>
    <col min="13066" max="13066" width="11.7109375" style="9" bestFit="1" customWidth="1"/>
    <col min="13067" max="13067" width="14.42578125" style="9" customWidth="1"/>
    <col min="13068" max="13068" width="8.85546875" style="9"/>
    <col min="13069" max="13069" width="14.28515625" style="9" bestFit="1" customWidth="1"/>
    <col min="13070" max="13070" width="10" style="9" customWidth="1"/>
    <col min="13071" max="13302" width="8.85546875" style="9"/>
    <col min="13303" max="13303" width="1.140625" style="9" customWidth="1"/>
    <col min="13304" max="13304" width="3.28515625" style="9" customWidth="1"/>
    <col min="13305" max="13305" width="2.42578125" style="9" customWidth="1"/>
    <col min="13306" max="13306" width="2.5703125" style="9" customWidth="1"/>
    <col min="13307" max="13307" width="2.85546875" style="9" customWidth="1"/>
    <col min="13308" max="13308" width="3" style="9" customWidth="1"/>
    <col min="13309" max="13309" width="24.7109375" style="9" customWidth="1"/>
    <col min="13310" max="13310" width="7.85546875" style="9" customWidth="1"/>
    <col min="13311" max="13311" width="7.42578125" style="9" customWidth="1"/>
    <col min="13312" max="13312" width="11.140625" style="9" customWidth="1"/>
    <col min="13313" max="13313" width="14.42578125" style="9" customWidth="1"/>
    <col min="13314" max="13314" width="3.42578125" style="9" customWidth="1"/>
    <col min="13315" max="13315" width="3" style="9" customWidth="1"/>
    <col min="13316" max="13316" width="3.28515625" style="9" customWidth="1"/>
    <col min="13317" max="13317" width="3.140625" style="9" customWidth="1"/>
    <col min="13318" max="13318" width="3.42578125" style="9" customWidth="1"/>
    <col min="13319" max="13319" width="24.7109375" style="9" customWidth="1"/>
    <col min="13320" max="13320" width="7.85546875" style="9" customWidth="1"/>
    <col min="13321" max="13321" width="7.28515625" style="9" customWidth="1"/>
    <col min="13322" max="13322" width="11.7109375" style="9" bestFit="1" customWidth="1"/>
    <col min="13323" max="13323" width="14.42578125" style="9" customWidth="1"/>
    <col min="13324" max="13324" width="8.85546875" style="9"/>
    <col min="13325" max="13325" width="14.28515625" style="9" bestFit="1" customWidth="1"/>
    <col min="13326" max="13326" width="10" style="9" customWidth="1"/>
    <col min="13327" max="13558" width="8.85546875" style="9"/>
    <col min="13559" max="13559" width="1.140625" style="9" customWidth="1"/>
    <col min="13560" max="13560" width="3.28515625" style="9" customWidth="1"/>
    <col min="13561" max="13561" width="2.42578125" style="9" customWidth="1"/>
    <col min="13562" max="13562" width="2.5703125" style="9" customWidth="1"/>
    <col min="13563" max="13563" width="2.85546875" style="9" customWidth="1"/>
    <col min="13564" max="13564" width="3" style="9" customWidth="1"/>
    <col min="13565" max="13565" width="24.7109375" style="9" customWidth="1"/>
    <col min="13566" max="13566" width="7.85546875" style="9" customWidth="1"/>
    <col min="13567" max="13567" width="7.42578125" style="9" customWidth="1"/>
    <col min="13568" max="13568" width="11.140625" style="9" customWidth="1"/>
    <col min="13569" max="13569" width="14.42578125" style="9" customWidth="1"/>
    <col min="13570" max="13570" width="3.42578125" style="9" customWidth="1"/>
    <col min="13571" max="13571" width="3" style="9" customWidth="1"/>
    <col min="13572" max="13572" width="3.28515625" style="9" customWidth="1"/>
    <col min="13573" max="13573" width="3.140625" style="9" customWidth="1"/>
    <col min="13574" max="13574" width="3.42578125" style="9" customWidth="1"/>
    <col min="13575" max="13575" width="24.7109375" style="9" customWidth="1"/>
    <col min="13576" max="13576" width="7.85546875" style="9" customWidth="1"/>
    <col min="13577" max="13577" width="7.28515625" style="9" customWidth="1"/>
    <col min="13578" max="13578" width="11.7109375" style="9" bestFit="1" customWidth="1"/>
    <col min="13579" max="13579" width="14.42578125" style="9" customWidth="1"/>
    <col min="13580" max="13580" width="8.85546875" style="9"/>
    <col min="13581" max="13581" width="14.28515625" style="9" bestFit="1" customWidth="1"/>
    <col min="13582" max="13582" width="10" style="9" customWidth="1"/>
    <col min="13583" max="13814" width="8.85546875" style="9"/>
    <col min="13815" max="13815" width="1.140625" style="9" customWidth="1"/>
    <col min="13816" max="13816" width="3.28515625" style="9" customWidth="1"/>
    <col min="13817" max="13817" width="2.42578125" style="9" customWidth="1"/>
    <col min="13818" max="13818" width="2.5703125" style="9" customWidth="1"/>
    <col min="13819" max="13819" width="2.85546875" style="9" customWidth="1"/>
    <col min="13820" max="13820" width="3" style="9" customWidth="1"/>
    <col min="13821" max="13821" width="24.7109375" style="9" customWidth="1"/>
    <col min="13822" max="13822" width="7.85546875" style="9" customWidth="1"/>
    <col min="13823" max="13823" width="7.42578125" style="9" customWidth="1"/>
    <col min="13824" max="13824" width="11.140625" style="9" customWidth="1"/>
    <col min="13825" max="13825" width="14.42578125" style="9" customWidth="1"/>
    <col min="13826" max="13826" width="3.42578125" style="9" customWidth="1"/>
    <col min="13827" max="13827" width="3" style="9" customWidth="1"/>
    <col min="13828" max="13828" width="3.28515625" style="9" customWidth="1"/>
    <col min="13829" max="13829" width="3.140625" style="9" customWidth="1"/>
    <col min="13830" max="13830" width="3.42578125" style="9" customWidth="1"/>
    <col min="13831" max="13831" width="24.7109375" style="9" customWidth="1"/>
    <col min="13832" max="13832" width="7.85546875" style="9" customWidth="1"/>
    <col min="13833" max="13833" width="7.28515625" style="9" customWidth="1"/>
    <col min="13834" max="13834" width="11.7109375" style="9" bestFit="1" customWidth="1"/>
    <col min="13835" max="13835" width="14.42578125" style="9" customWidth="1"/>
    <col min="13836" max="13836" width="8.85546875" style="9"/>
    <col min="13837" max="13837" width="14.28515625" style="9" bestFit="1" customWidth="1"/>
    <col min="13838" max="13838" width="10" style="9" customWidth="1"/>
    <col min="13839" max="14070" width="8.85546875" style="9"/>
    <col min="14071" max="14071" width="1.140625" style="9" customWidth="1"/>
    <col min="14072" max="14072" width="3.28515625" style="9" customWidth="1"/>
    <col min="14073" max="14073" width="2.42578125" style="9" customWidth="1"/>
    <col min="14074" max="14074" width="2.5703125" style="9" customWidth="1"/>
    <col min="14075" max="14075" width="2.85546875" style="9" customWidth="1"/>
    <col min="14076" max="14076" width="3" style="9" customWidth="1"/>
    <col min="14077" max="14077" width="24.7109375" style="9" customWidth="1"/>
    <col min="14078" max="14078" width="7.85546875" style="9" customWidth="1"/>
    <col min="14079" max="14079" width="7.42578125" style="9" customWidth="1"/>
    <col min="14080" max="14080" width="11.140625" style="9" customWidth="1"/>
    <col min="14081" max="14081" width="14.42578125" style="9" customWidth="1"/>
    <col min="14082" max="14082" width="3.42578125" style="9" customWidth="1"/>
    <col min="14083" max="14083" width="3" style="9" customWidth="1"/>
    <col min="14084" max="14084" width="3.28515625" style="9" customWidth="1"/>
    <col min="14085" max="14085" width="3.140625" style="9" customWidth="1"/>
    <col min="14086" max="14086" width="3.42578125" style="9" customWidth="1"/>
    <col min="14087" max="14087" width="24.7109375" style="9" customWidth="1"/>
    <col min="14088" max="14088" width="7.85546875" style="9" customWidth="1"/>
    <col min="14089" max="14089" width="7.28515625" style="9" customWidth="1"/>
    <col min="14090" max="14090" width="11.7109375" style="9" bestFit="1" customWidth="1"/>
    <col min="14091" max="14091" width="14.42578125" style="9" customWidth="1"/>
    <col min="14092" max="14092" width="8.85546875" style="9"/>
    <col min="14093" max="14093" width="14.28515625" style="9" bestFit="1" customWidth="1"/>
    <col min="14094" max="14094" width="10" style="9" customWidth="1"/>
    <col min="14095" max="14326" width="8.85546875" style="9"/>
    <col min="14327" max="14327" width="1.140625" style="9" customWidth="1"/>
    <col min="14328" max="14328" width="3.28515625" style="9" customWidth="1"/>
    <col min="14329" max="14329" width="2.42578125" style="9" customWidth="1"/>
    <col min="14330" max="14330" width="2.5703125" style="9" customWidth="1"/>
    <col min="14331" max="14331" width="2.85546875" style="9" customWidth="1"/>
    <col min="14332" max="14332" width="3" style="9" customWidth="1"/>
    <col min="14333" max="14333" width="24.7109375" style="9" customWidth="1"/>
    <col min="14334" max="14334" width="7.85546875" style="9" customWidth="1"/>
    <col min="14335" max="14335" width="7.42578125" style="9" customWidth="1"/>
    <col min="14336" max="14336" width="11.140625" style="9" customWidth="1"/>
    <col min="14337" max="14337" width="14.42578125" style="9" customWidth="1"/>
    <col min="14338" max="14338" width="3.42578125" style="9" customWidth="1"/>
    <col min="14339" max="14339" width="3" style="9" customWidth="1"/>
    <col min="14340" max="14340" width="3.28515625" style="9" customWidth="1"/>
    <col min="14341" max="14341" width="3.140625" style="9" customWidth="1"/>
    <col min="14342" max="14342" width="3.42578125" style="9" customWidth="1"/>
    <col min="14343" max="14343" width="24.7109375" style="9" customWidth="1"/>
    <col min="14344" max="14344" width="7.85546875" style="9" customWidth="1"/>
    <col min="14345" max="14345" width="7.28515625" style="9" customWidth="1"/>
    <col min="14346" max="14346" width="11.7109375" style="9" bestFit="1" customWidth="1"/>
    <col min="14347" max="14347" width="14.42578125" style="9" customWidth="1"/>
    <col min="14348" max="14348" width="8.85546875" style="9"/>
    <col min="14349" max="14349" width="14.28515625" style="9" bestFit="1" customWidth="1"/>
    <col min="14350" max="14350" width="10" style="9" customWidth="1"/>
    <col min="14351" max="14582" width="8.85546875" style="9"/>
    <col min="14583" max="14583" width="1.140625" style="9" customWidth="1"/>
    <col min="14584" max="14584" width="3.28515625" style="9" customWidth="1"/>
    <col min="14585" max="14585" width="2.42578125" style="9" customWidth="1"/>
    <col min="14586" max="14586" width="2.5703125" style="9" customWidth="1"/>
    <col min="14587" max="14587" width="2.85546875" style="9" customWidth="1"/>
    <col min="14588" max="14588" width="3" style="9" customWidth="1"/>
    <col min="14589" max="14589" width="24.7109375" style="9" customWidth="1"/>
    <col min="14590" max="14590" width="7.85546875" style="9" customWidth="1"/>
    <col min="14591" max="14591" width="7.42578125" style="9" customWidth="1"/>
    <col min="14592" max="14592" width="11.140625" style="9" customWidth="1"/>
    <col min="14593" max="14593" width="14.42578125" style="9" customWidth="1"/>
    <col min="14594" max="14594" width="3.42578125" style="9" customWidth="1"/>
    <col min="14595" max="14595" width="3" style="9" customWidth="1"/>
    <col min="14596" max="14596" width="3.28515625" style="9" customWidth="1"/>
    <col min="14597" max="14597" width="3.140625" style="9" customWidth="1"/>
    <col min="14598" max="14598" width="3.42578125" style="9" customWidth="1"/>
    <col min="14599" max="14599" width="24.7109375" style="9" customWidth="1"/>
    <col min="14600" max="14600" width="7.85546875" style="9" customWidth="1"/>
    <col min="14601" max="14601" width="7.28515625" style="9" customWidth="1"/>
    <col min="14602" max="14602" width="11.7109375" style="9" bestFit="1" customWidth="1"/>
    <col min="14603" max="14603" width="14.42578125" style="9" customWidth="1"/>
    <col min="14604" max="14604" width="8.85546875" style="9"/>
    <col min="14605" max="14605" width="14.28515625" style="9" bestFit="1" customWidth="1"/>
    <col min="14606" max="14606" width="10" style="9" customWidth="1"/>
    <col min="14607" max="14838" width="8.85546875" style="9"/>
    <col min="14839" max="14839" width="1.140625" style="9" customWidth="1"/>
    <col min="14840" max="14840" width="3.28515625" style="9" customWidth="1"/>
    <col min="14841" max="14841" width="2.42578125" style="9" customWidth="1"/>
    <col min="14842" max="14842" width="2.5703125" style="9" customWidth="1"/>
    <col min="14843" max="14843" width="2.85546875" style="9" customWidth="1"/>
    <col min="14844" max="14844" width="3" style="9" customWidth="1"/>
    <col min="14845" max="14845" width="24.7109375" style="9" customWidth="1"/>
    <col min="14846" max="14846" width="7.85546875" style="9" customWidth="1"/>
    <col min="14847" max="14847" width="7.42578125" style="9" customWidth="1"/>
    <col min="14848" max="14848" width="11.140625" style="9" customWidth="1"/>
    <col min="14849" max="14849" width="14.42578125" style="9" customWidth="1"/>
    <col min="14850" max="14850" width="3.42578125" style="9" customWidth="1"/>
    <col min="14851" max="14851" width="3" style="9" customWidth="1"/>
    <col min="14852" max="14852" width="3.28515625" style="9" customWidth="1"/>
    <col min="14853" max="14853" width="3.140625" style="9" customWidth="1"/>
    <col min="14854" max="14854" width="3.42578125" style="9" customWidth="1"/>
    <col min="14855" max="14855" width="24.7109375" style="9" customWidth="1"/>
    <col min="14856" max="14856" width="7.85546875" style="9" customWidth="1"/>
    <col min="14857" max="14857" width="7.28515625" style="9" customWidth="1"/>
    <col min="14858" max="14858" width="11.7109375" style="9" bestFit="1" customWidth="1"/>
    <col min="14859" max="14859" width="14.42578125" style="9" customWidth="1"/>
    <col min="14860" max="14860" width="8.85546875" style="9"/>
    <col min="14861" max="14861" width="14.28515625" style="9" bestFit="1" customWidth="1"/>
    <col min="14862" max="14862" width="10" style="9" customWidth="1"/>
    <col min="14863" max="15094" width="8.85546875" style="9"/>
    <col min="15095" max="15095" width="1.140625" style="9" customWidth="1"/>
    <col min="15096" max="15096" width="3.28515625" style="9" customWidth="1"/>
    <col min="15097" max="15097" width="2.42578125" style="9" customWidth="1"/>
    <col min="15098" max="15098" width="2.5703125" style="9" customWidth="1"/>
    <col min="15099" max="15099" width="2.85546875" style="9" customWidth="1"/>
    <col min="15100" max="15100" width="3" style="9" customWidth="1"/>
    <col min="15101" max="15101" width="24.7109375" style="9" customWidth="1"/>
    <col min="15102" max="15102" width="7.85546875" style="9" customWidth="1"/>
    <col min="15103" max="15103" width="7.42578125" style="9" customWidth="1"/>
    <col min="15104" max="15104" width="11.140625" style="9" customWidth="1"/>
    <col min="15105" max="15105" width="14.42578125" style="9" customWidth="1"/>
    <col min="15106" max="15106" width="3.42578125" style="9" customWidth="1"/>
    <col min="15107" max="15107" width="3" style="9" customWidth="1"/>
    <col min="15108" max="15108" width="3.28515625" style="9" customWidth="1"/>
    <col min="15109" max="15109" width="3.140625" style="9" customWidth="1"/>
    <col min="15110" max="15110" width="3.42578125" style="9" customWidth="1"/>
    <col min="15111" max="15111" width="24.7109375" style="9" customWidth="1"/>
    <col min="15112" max="15112" width="7.85546875" style="9" customWidth="1"/>
    <col min="15113" max="15113" width="7.28515625" style="9" customWidth="1"/>
    <col min="15114" max="15114" width="11.7109375" style="9" bestFit="1" customWidth="1"/>
    <col min="15115" max="15115" width="14.42578125" style="9" customWidth="1"/>
    <col min="15116" max="15116" width="8.85546875" style="9"/>
    <col min="15117" max="15117" width="14.28515625" style="9" bestFit="1" customWidth="1"/>
    <col min="15118" max="15118" width="10" style="9" customWidth="1"/>
    <col min="15119" max="15350" width="8.85546875" style="9"/>
    <col min="15351" max="15351" width="1.140625" style="9" customWidth="1"/>
    <col min="15352" max="15352" width="3.28515625" style="9" customWidth="1"/>
    <col min="15353" max="15353" width="2.42578125" style="9" customWidth="1"/>
    <col min="15354" max="15354" width="2.5703125" style="9" customWidth="1"/>
    <col min="15355" max="15355" width="2.85546875" style="9" customWidth="1"/>
    <col min="15356" max="15356" width="3" style="9" customWidth="1"/>
    <col min="15357" max="15357" width="24.7109375" style="9" customWidth="1"/>
    <col min="15358" max="15358" width="7.85546875" style="9" customWidth="1"/>
    <col min="15359" max="15359" width="7.42578125" style="9" customWidth="1"/>
    <col min="15360" max="15360" width="11.140625" style="9" customWidth="1"/>
    <col min="15361" max="15361" width="14.42578125" style="9" customWidth="1"/>
    <col min="15362" max="15362" width="3.42578125" style="9" customWidth="1"/>
    <col min="15363" max="15363" width="3" style="9" customWidth="1"/>
    <col min="15364" max="15364" width="3.28515625" style="9" customWidth="1"/>
    <col min="15365" max="15365" width="3.140625" style="9" customWidth="1"/>
    <col min="15366" max="15366" width="3.42578125" style="9" customWidth="1"/>
    <col min="15367" max="15367" width="24.7109375" style="9" customWidth="1"/>
    <col min="15368" max="15368" width="7.85546875" style="9" customWidth="1"/>
    <col min="15369" max="15369" width="7.28515625" style="9" customWidth="1"/>
    <col min="15370" max="15370" width="11.7109375" style="9" bestFit="1" customWidth="1"/>
    <col min="15371" max="15371" width="14.42578125" style="9" customWidth="1"/>
    <col min="15372" max="15372" width="8.85546875" style="9"/>
    <col min="15373" max="15373" width="14.28515625" style="9" bestFit="1" customWidth="1"/>
    <col min="15374" max="15374" width="10" style="9" customWidth="1"/>
    <col min="15375" max="15606" width="8.85546875" style="9"/>
    <col min="15607" max="15607" width="1.140625" style="9" customWidth="1"/>
    <col min="15608" max="15608" width="3.28515625" style="9" customWidth="1"/>
    <col min="15609" max="15609" width="2.42578125" style="9" customWidth="1"/>
    <col min="15610" max="15610" width="2.5703125" style="9" customWidth="1"/>
    <col min="15611" max="15611" width="2.85546875" style="9" customWidth="1"/>
    <col min="15612" max="15612" width="3" style="9" customWidth="1"/>
    <col min="15613" max="15613" width="24.7109375" style="9" customWidth="1"/>
    <col min="15614" max="15614" width="7.85546875" style="9" customWidth="1"/>
    <col min="15615" max="15615" width="7.42578125" style="9" customWidth="1"/>
    <col min="15616" max="15616" width="11.140625" style="9" customWidth="1"/>
    <col min="15617" max="15617" width="14.42578125" style="9" customWidth="1"/>
    <col min="15618" max="15618" width="3.42578125" style="9" customWidth="1"/>
    <col min="15619" max="15619" width="3" style="9" customWidth="1"/>
    <col min="15620" max="15620" width="3.28515625" style="9" customWidth="1"/>
    <col min="15621" max="15621" width="3.140625" style="9" customWidth="1"/>
    <col min="15622" max="15622" width="3.42578125" style="9" customWidth="1"/>
    <col min="15623" max="15623" width="24.7109375" style="9" customWidth="1"/>
    <col min="15624" max="15624" width="7.85546875" style="9" customWidth="1"/>
    <col min="15625" max="15625" width="7.28515625" style="9" customWidth="1"/>
    <col min="15626" max="15626" width="11.7109375" style="9" bestFit="1" customWidth="1"/>
    <col min="15627" max="15627" width="14.42578125" style="9" customWidth="1"/>
    <col min="15628" max="15628" width="8.85546875" style="9"/>
    <col min="15629" max="15629" width="14.28515625" style="9" bestFit="1" customWidth="1"/>
    <col min="15630" max="15630" width="10" style="9" customWidth="1"/>
    <col min="15631" max="15862" width="8.85546875" style="9"/>
    <col min="15863" max="15863" width="1.140625" style="9" customWidth="1"/>
    <col min="15864" max="15864" width="3.28515625" style="9" customWidth="1"/>
    <col min="15865" max="15865" width="2.42578125" style="9" customWidth="1"/>
    <col min="15866" max="15866" width="2.5703125" style="9" customWidth="1"/>
    <col min="15867" max="15867" width="2.85546875" style="9" customWidth="1"/>
    <col min="15868" max="15868" width="3" style="9" customWidth="1"/>
    <col min="15869" max="15869" width="24.7109375" style="9" customWidth="1"/>
    <col min="15870" max="15870" width="7.85546875" style="9" customWidth="1"/>
    <col min="15871" max="15871" width="7.42578125" style="9" customWidth="1"/>
    <col min="15872" max="15872" width="11.140625" style="9" customWidth="1"/>
    <col min="15873" max="15873" width="14.42578125" style="9" customWidth="1"/>
    <col min="15874" max="15874" width="3.42578125" style="9" customWidth="1"/>
    <col min="15875" max="15875" width="3" style="9" customWidth="1"/>
    <col min="15876" max="15876" width="3.28515625" style="9" customWidth="1"/>
    <col min="15877" max="15877" width="3.140625" style="9" customWidth="1"/>
    <col min="15878" max="15878" width="3.42578125" style="9" customWidth="1"/>
    <col min="15879" max="15879" width="24.7109375" style="9" customWidth="1"/>
    <col min="15880" max="15880" width="7.85546875" style="9" customWidth="1"/>
    <col min="15881" max="15881" width="7.28515625" style="9" customWidth="1"/>
    <col min="15882" max="15882" width="11.7109375" style="9" bestFit="1" customWidth="1"/>
    <col min="15883" max="15883" width="14.42578125" style="9" customWidth="1"/>
    <col min="15884" max="15884" width="8.85546875" style="9"/>
    <col min="15885" max="15885" width="14.28515625" style="9" bestFit="1" customWidth="1"/>
    <col min="15886" max="15886" width="10" style="9" customWidth="1"/>
    <col min="15887" max="16118" width="8.85546875" style="9"/>
    <col min="16119" max="16119" width="1.140625" style="9" customWidth="1"/>
    <col min="16120" max="16120" width="3.28515625" style="9" customWidth="1"/>
    <col min="16121" max="16121" width="2.42578125" style="9" customWidth="1"/>
    <col min="16122" max="16122" width="2.5703125" style="9" customWidth="1"/>
    <col min="16123" max="16123" width="2.85546875" style="9" customWidth="1"/>
    <col min="16124" max="16124" width="3" style="9" customWidth="1"/>
    <col min="16125" max="16125" width="24.7109375" style="9" customWidth="1"/>
    <col min="16126" max="16126" width="7.85546875" style="9" customWidth="1"/>
    <col min="16127" max="16127" width="7.42578125" style="9" customWidth="1"/>
    <col min="16128" max="16128" width="11.140625" style="9" customWidth="1"/>
    <col min="16129" max="16129" width="14.42578125" style="9" customWidth="1"/>
    <col min="16130" max="16130" width="3.42578125" style="9" customWidth="1"/>
    <col min="16131" max="16131" width="3" style="9" customWidth="1"/>
    <col min="16132" max="16132" width="3.28515625" style="9" customWidth="1"/>
    <col min="16133" max="16133" width="3.140625" style="9" customWidth="1"/>
    <col min="16134" max="16134" width="3.42578125" style="9" customWidth="1"/>
    <col min="16135" max="16135" width="24.7109375" style="9" customWidth="1"/>
    <col min="16136" max="16136" width="7.85546875" style="9" customWidth="1"/>
    <col min="16137" max="16137" width="7.28515625" style="9" customWidth="1"/>
    <col min="16138" max="16138" width="11.7109375" style="9" bestFit="1" customWidth="1"/>
    <col min="16139" max="16139" width="14.42578125" style="9" customWidth="1"/>
    <col min="16140" max="16140" width="8.85546875" style="9"/>
    <col min="16141" max="16141" width="14.28515625" style="9" bestFit="1" customWidth="1"/>
    <col min="16142" max="16142" width="10" style="9" customWidth="1"/>
    <col min="16143" max="16384" width="8.85546875" style="9"/>
  </cols>
  <sheetData>
    <row r="1" spans="2:1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1" ht="16.5" customHeight="1">
      <c r="B3" s="3323"/>
      <c r="C3" s="3324"/>
      <c r="D3" s="3324"/>
      <c r="E3" s="3330" t="s">
        <v>2</v>
      </c>
      <c r="F3" s="3331"/>
      <c r="G3" s="3331"/>
      <c r="H3" s="3332"/>
      <c r="I3" s="3355"/>
      <c r="J3" s="3356"/>
      <c r="K3" s="12" t="s">
        <v>3</v>
      </c>
    </row>
    <row r="4" spans="2:1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1">
      <c r="B5" s="3490" t="s">
        <v>31</v>
      </c>
      <c r="C5" s="3362"/>
      <c r="D5" s="3362"/>
      <c r="E5" s="3362"/>
      <c r="F5" s="3362"/>
      <c r="G5" s="3362" t="s">
        <v>38</v>
      </c>
      <c r="H5" s="3362"/>
      <c r="I5" s="3362"/>
      <c r="J5" s="3362"/>
      <c r="K5" s="3363"/>
    </row>
    <row r="6" spans="2:1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1" s="13" customFormat="1" ht="30" customHeight="1">
      <c r="B7" s="3648" t="s">
        <v>33</v>
      </c>
      <c r="C7" s="3649"/>
      <c r="D7" s="3649"/>
      <c r="E7" s="3649"/>
      <c r="F7" s="3649"/>
      <c r="G7" s="3650" t="s">
        <v>83</v>
      </c>
      <c r="H7" s="3650"/>
      <c r="I7" s="3650"/>
      <c r="J7" s="3650"/>
      <c r="K7" s="3651"/>
    </row>
    <row r="8" spans="2:11" ht="15" customHeight="1">
      <c r="B8" s="3341" t="s">
        <v>34</v>
      </c>
      <c r="C8" s="3339"/>
      <c r="D8" s="3339"/>
      <c r="E8" s="3339"/>
      <c r="F8" s="3339"/>
      <c r="G8" s="3339" t="s">
        <v>1195</v>
      </c>
      <c r="H8" s="3339"/>
      <c r="I8" s="3339"/>
      <c r="J8" s="3339"/>
      <c r="K8" s="3340"/>
    </row>
    <row r="9" spans="2:1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1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11">
      <c r="B11" s="3314" t="s">
        <v>37</v>
      </c>
      <c r="C11" s="3315"/>
      <c r="D11" s="3315"/>
      <c r="E11" s="3315"/>
      <c r="F11" s="3315"/>
      <c r="G11" s="3315" t="s">
        <v>108</v>
      </c>
      <c r="H11" s="3315"/>
      <c r="I11" s="3315"/>
      <c r="J11" s="3315"/>
      <c r="K11" s="3316"/>
    </row>
    <row r="12" spans="2:11">
      <c r="B12" s="3634" t="s">
        <v>89</v>
      </c>
      <c r="C12" s="3635"/>
      <c r="D12" s="3635"/>
      <c r="E12" s="3635"/>
      <c r="F12" s="3635"/>
      <c r="G12" s="3635"/>
      <c r="H12" s="3635"/>
      <c r="I12" s="3635"/>
      <c r="J12" s="3635"/>
      <c r="K12" s="3636"/>
    </row>
    <row r="13" spans="2:11">
      <c r="B13" s="3634" t="s">
        <v>5</v>
      </c>
      <c r="C13" s="3635"/>
      <c r="D13" s="3635"/>
      <c r="E13" s="3635"/>
      <c r="F13" s="3637"/>
      <c r="G13" s="3638" t="s">
        <v>90</v>
      </c>
      <c r="H13" s="3639"/>
      <c r="I13" s="3638" t="s">
        <v>7</v>
      </c>
      <c r="J13" s="3640"/>
      <c r="K13" s="3641"/>
    </row>
    <row r="14" spans="2:11" ht="16.5" customHeight="1">
      <c r="B14" s="3387" t="s">
        <v>8</v>
      </c>
      <c r="C14" s="3388"/>
      <c r="D14" s="3388"/>
      <c r="E14" s="3388"/>
      <c r="F14" s="3389"/>
      <c r="G14" s="3445" t="s">
        <v>1220</v>
      </c>
      <c r="H14" s="3446"/>
      <c r="I14" s="3390">
        <v>1</v>
      </c>
      <c r="J14" s="3348"/>
      <c r="K14" s="3391"/>
    </row>
    <row r="15" spans="2:11">
      <c r="B15" s="3397" t="s">
        <v>9</v>
      </c>
      <c r="C15" s="3348"/>
      <c r="D15" s="3348"/>
      <c r="E15" s="3348"/>
      <c r="F15" s="3349"/>
      <c r="G15" s="3461" t="s">
        <v>47</v>
      </c>
      <c r="H15" s="3457"/>
      <c r="I15" s="3344">
        <f>K24</f>
        <v>0</v>
      </c>
      <c r="J15" s="3345"/>
      <c r="K15" s="3346"/>
    </row>
    <row r="16" spans="2:11" ht="16.5" customHeight="1">
      <c r="B16" s="3347" t="s">
        <v>10</v>
      </c>
      <c r="C16" s="3348"/>
      <c r="D16" s="3348"/>
      <c r="E16" s="3348"/>
      <c r="F16" s="3349"/>
      <c r="G16" s="3445" t="s">
        <v>1221</v>
      </c>
      <c r="H16" s="3448"/>
      <c r="I16" s="3352">
        <v>1</v>
      </c>
      <c r="J16" s="3353"/>
      <c r="K16" s="3354"/>
    </row>
    <row r="17" spans="2:20" ht="15" customHeight="1">
      <c r="B17" s="3347" t="s">
        <v>11</v>
      </c>
      <c r="C17" s="3348"/>
      <c r="D17" s="3348"/>
      <c r="E17" s="3348"/>
      <c r="F17" s="3349"/>
      <c r="G17" s="3445" t="s">
        <v>1222</v>
      </c>
      <c r="H17" s="3446"/>
      <c r="I17" s="3352">
        <v>1</v>
      </c>
      <c r="J17" s="3353"/>
      <c r="K17" s="3354"/>
    </row>
    <row r="18" spans="2:20">
      <c r="B18" s="3486" t="s">
        <v>76</v>
      </c>
      <c r="C18" s="3487"/>
      <c r="D18" s="3487"/>
      <c r="E18" s="3487"/>
      <c r="F18" s="3487"/>
      <c r="G18" s="3487"/>
      <c r="H18" s="3487"/>
      <c r="I18" s="3487"/>
      <c r="J18" s="3487"/>
      <c r="K18" s="3488"/>
    </row>
    <row r="19" spans="2:20" ht="16.5" customHeight="1">
      <c r="B19" s="3645" t="s">
        <v>87</v>
      </c>
      <c r="C19" s="3646"/>
      <c r="D19" s="3646"/>
      <c r="E19" s="3646"/>
      <c r="F19" s="3646"/>
      <c r="G19" s="3646"/>
      <c r="H19" s="3646"/>
      <c r="I19" s="3646"/>
      <c r="J19" s="3646"/>
      <c r="K19" s="3647"/>
      <c r="L19" s="564"/>
      <c r="M19" s="305"/>
      <c r="N19" s="305"/>
      <c r="O19" s="305"/>
      <c r="P19" s="305"/>
      <c r="Q19" s="303"/>
      <c r="R19" s="303"/>
    </row>
    <row r="20" spans="2:20" ht="15" customHeight="1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  <c r="L20" s="3399" t="s">
        <v>158</v>
      </c>
      <c r="M20" s="3378"/>
      <c r="N20" s="3378"/>
      <c r="O20" s="3378"/>
      <c r="P20" s="3378"/>
      <c r="Q20" s="3378"/>
      <c r="R20" s="3378" t="s">
        <v>17</v>
      </c>
    </row>
    <row r="21" spans="2:20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608" t="s">
        <v>17</v>
      </c>
      <c r="L21" s="605"/>
      <c r="M21" s="1526"/>
      <c r="N21" s="1526"/>
      <c r="O21" s="1526"/>
      <c r="P21" s="1526"/>
      <c r="Q21" s="1526"/>
      <c r="R21" s="3378"/>
    </row>
    <row r="22" spans="2:20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1524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20">
      <c r="B23" s="3364">
        <v>1</v>
      </c>
      <c r="C23" s="3358"/>
      <c r="D23" s="3358"/>
      <c r="E23" s="3358"/>
      <c r="F23" s="3365"/>
      <c r="G23" s="425">
        <v>2</v>
      </c>
      <c r="H23" s="368">
        <v>3</v>
      </c>
      <c r="I23" s="368">
        <v>4</v>
      </c>
      <c r="J23" s="368">
        <v>5</v>
      </c>
      <c r="K23" s="426" t="s">
        <v>22</v>
      </c>
      <c r="L23" s="605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20" ht="12.75" customHeight="1">
      <c r="B24" s="429">
        <v>5</v>
      </c>
      <c r="C24" s="424">
        <v>2</v>
      </c>
      <c r="D24" s="424"/>
      <c r="E24" s="424"/>
      <c r="F24" s="424"/>
      <c r="G24" s="396" t="s">
        <v>23</v>
      </c>
      <c r="H24" s="591"/>
      <c r="I24" s="396"/>
      <c r="J24" s="396"/>
      <c r="K24" s="648">
        <f>+K25</f>
        <v>0</v>
      </c>
      <c r="L24" s="564"/>
      <c r="M24" s="305"/>
      <c r="N24" s="305"/>
      <c r="O24" s="305"/>
      <c r="P24" s="305"/>
      <c r="Q24" s="303"/>
      <c r="R24" s="303"/>
    </row>
    <row r="25" spans="2:20" ht="12.75" customHeight="1">
      <c r="B25" s="429">
        <v>5</v>
      </c>
      <c r="C25" s="424">
        <v>2</v>
      </c>
      <c r="D25" s="424">
        <v>3</v>
      </c>
      <c r="E25" s="424"/>
      <c r="F25" s="424"/>
      <c r="G25" s="396" t="s">
        <v>78</v>
      </c>
      <c r="H25" s="599"/>
      <c r="I25" s="391"/>
      <c r="J25" s="391"/>
      <c r="K25" s="648">
        <f>K26</f>
        <v>0</v>
      </c>
      <c r="L25" s="564"/>
      <c r="M25" s="305"/>
      <c r="N25" s="305"/>
      <c r="O25" s="305"/>
      <c r="P25" s="305"/>
      <c r="Q25" s="306"/>
      <c r="R25" s="306"/>
    </row>
    <row r="26" spans="2:20" s="27" customFormat="1" ht="25.5">
      <c r="B26" s="36">
        <v>5</v>
      </c>
      <c r="C26" s="37">
        <v>2</v>
      </c>
      <c r="D26" s="37">
        <v>3</v>
      </c>
      <c r="E26" s="38" t="s">
        <v>827</v>
      </c>
      <c r="F26" s="17"/>
      <c r="G26" s="48" t="s">
        <v>850</v>
      </c>
      <c r="H26" s="857"/>
      <c r="I26" s="4"/>
      <c r="J26" s="61"/>
      <c r="K26" s="653">
        <f>K27</f>
        <v>0</v>
      </c>
      <c r="L26" s="386"/>
      <c r="M26" s="329"/>
      <c r="N26" s="330"/>
      <c r="O26" s="330"/>
      <c r="P26" s="330"/>
      <c r="Q26" s="319"/>
      <c r="R26" s="306"/>
    </row>
    <row r="27" spans="2:20" s="27" customFormat="1" ht="25.5">
      <c r="B27" s="36">
        <v>5</v>
      </c>
      <c r="C27" s="37">
        <v>2</v>
      </c>
      <c r="D27" s="37">
        <v>3</v>
      </c>
      <c r="E27" s="38" t="s">
        <v>827</v>
      </c>
      <c r="F27" s="38" t="s">
        <v>65</v>
      </c>
      <c r="G27" s="48" t="s">
        <v>969</v>
      </c>
      <c r="H27" s="857"/>
      <c r="I27" s="4"/>
      <c r="J27" s="61"/>
      <c r="K27" s="653">
        <f>SUM(K28:K29)</f>
        <v>0</v>
      </c>
      <c r="L27" s="386"/>
      <c r="M27" s="329"/>
      <c r="N27" s="330"/>
      <c r="O27" s="330"/>
      <c r="P27" s="330"/>
      <c r="Q27" s="319"/>
      <c r="R27" s="378"/>
    </row>
    <row r="28" spans="2:20" s="27" customFormat="1" ht="15">
      <c r="B28" s="1528"/>
      <c r="C28" s="59"/>
      <c r="D28" s="59"/>
      <c r="E28" s="60"/>
      <c r="F28" s="863"/>
      <c r="G28" s="32" t="s">
        <v>1202</v>
      </c>
      <c r="H28" s="616"/>
      <c r="I28" s="383" t="s">
        <v>85</v>
      </c>
      <c r="J28" s="582">
        <v>780000000</v>
      </c>
      <c r="K28" s="598">
        <f>H28*J28</f>
        <v>0</v>
      </c>
      <c r="L28" s="386"/>
      <c r="M28" s="667">
        <f t="shared" ref="M28" si="0">K28</f>
        <v>0</v>
      </c>
      <c r="N28" s="330"/>
      <c r="O28" s="330"/>
      <c r="P28" s="330"/>
      <c r="Q28" s="319"/>
      <c r="R28" s="378"/>
    </row>
    <row r="29" spans="2:20" s="27" customFormat="1" ht="15">
      <c r="B29" s="649"/>
      <c r="C29" s="650"/>
      <c r="D29" s="650"/>
      <c r="E29" s="651"/>
      <c r="F29" s="651"/>
      <c r="G29" s="1173"/>
      <c r="H29" s="1174"/>
      <c r="I29" s="1175"/>
      <c r="J29" s="1176"/>
      <c r="K29" s="598"/>
      <c r="L29" s="386"/>
      <c r="M29" s="329"/>
      <c r="N29" s="330"/>
      <c r="O29" s="330"/>
      <c r="P29" s="330"/>
      <c r="Q29" s="319"/>
      <c r="R29" s="378"/>
    </row>
    <row r="30" spans="2:20" ht="14.45" customHeight="1" thickBot="1">
      <c r="B30" s="3642" t="s">
        <v>30</v>
      </c>
      <c r="C30" s="3643"/>
      <c r="D30" s="3643"/>
      <c r="E30" s="3643"/>
      <c r="F30" s="3643"/>
      <c r="G30" s="3643"/>
      <c r="H30" s="3643"/>
      <c r="I30" s="3643"/>
      <c r="J30" s="3644"/>
      <c r="K30" s="655">
        <f>K24</f>
        <v>0</v>
      </c>
      <c r="L30" s="564">
        <f t="shared" ref="L30:Q30" si="1">SUM(L24:L29)</f>
        <v>0</v>
      </c>
      <c r="M30" s="564">
        <f t="shared" si="1"/>
        <v>0</v>
      </c>
      <c r="N30" s="564">
        <f t="shared" si="1"/>
        <v>0</v>
      </c>
      <c r="O30" s="564">
        <f t="shared" si="1"/>
        <v>0</v>
      </c>
      <c r="P30" s="564">
        <f t="shared" si="1"/>
        <v>0</v>
      </c>
      <c r="Q30" s="564">
        <f t="shared" si="1"/>
        <v>0</v>
      </c>
      <c r="R30" s="314">
        <f>SUM(L30:Q30)</f>
        <v>0</v>
      </c>
      <c r="S30" s="41">
        <v>675000000</v>
      </c>
      <c r="T30" s="158">
        <f>S30-K30</f>
        <v>675000000</v>
      </c>
    </row>
    <row r="31" spans="2:20" ht="15.75" thickTop="1">
      <c r="K31" s="41"/>
      <c r="L31" s="305"/>
      <c r="M31" s="310"/>
      <c r="N31" s="306"/>
      <c r="O31" s="306"/>
      <c r="P31" s="306"/>
      <c r="Q31" s="306"/>
      <c r="R31" s="306"/>
    </row>
    <row r="32" spans="2:20" ht="15">
      <c r="K32" s="41"/>
      <c r="L32" s="564"/>
      <c r="M32" s="569"/>
      <c r="N32" s="378"/>
      <c r="O32" s="378"/>
      <c r="P32" s="378"/>
      <c r="Q32" s="378"/>
      <c r="R32" s="378"/>
    </row>
    <row r="33" spans="7:18" ht="15">
      <c r="H33" s="3336" t="s">
        <v>1534</v>
      </c>
      <c r="I33" s="3336"/>
      <c r="J33" s="3336"/>
      <c r="K33" s="945"/>
      <c r="L33" s="564"/>
      <c r="M33" s="310"/>
      <c r="N33" s="306"/>
      <c r="O33" s="306"/>
      <c r="P33" s="306"/>
      <c r="Q33" s="306"/>
      <c r="R33" s="306"/>
    </row>
    <row r="34" spans="7:18" ht="15">
      <c r="H34" s="3337" t="s">
        <v>272</v>
      </c>
      <c r="I34" s="3337"/>
      <c r="J34" s="3485"/>
      <c r="K34" s="8"/>
      <c r="L34" s="564"/>
      <c r="M34" s="310"/>
      <c r="N34" s="306"/>
      <c r="O34" s="306"/>
      <c r="P34" s="306"/>
      <c r="Q34" s="306"/>
      <c r="R34" s="306"/>
    </row>
    <row r="35" spans="7:18" ht="15">
      <c r="H35" s="127"/>
      <c r="I35" s="127"/>
      <c r="J35" s="127"/>
      <c r="K35" s="8"/>
      <c r="L35" s="564"/>
      <c r="M35" s="310"/>
      <c r="N35" s="306"/>
      <c r="O35" s="306"/>
      <c r="P35" s="306"/>
      <c r="Q35" s="306"/>
      <c r="R35" s="306"/>
    </row>
    <row r="36" spans="7:18" ht="15">
      <c r="H36" s="127"/>
      <c r="I36" s="127"/>
      <c r="J36" s="127"/>
      <c r="K36" s="936"/>
      <c r="L36" s="564"/>
      <c r="M36" s="310"/>
      <c r="N36" s="306"/>
      <c r="O36" s="306"/>
      <c r="P36" s="306"/>
      <c r="Q36" s="306"/>
      <c r="R36" s="306"/>
    </row>
    <row r="37" spans="7:18" ht="15">
      <c r="H37" s="3434" t="s">
        <v>904</v>
      </c>
      <c r="I37" s="3434"/>
      <c r="J37" s="3434"/>
      <c r="K37" s="8"/>
      <c r="L37" s="564"/>
      <c r="M37" s="310"/>
      <c r="N37" s="306"/>
      <c r="O37" s="306"/>
      <c r="P37" s="306"/>
      <c r="Q37" s="306"/>
      <c r="R37" s="306"/>
    </row>
    <row r="38" spans="7:18" ht="15">
      <c r="H38" s="3434" t="s">
        <v>906</v>
      </c>
      <c r="I38" s="3434"/>
      <c r="J38" s="3434"/>
      <c r="K38" s="8"/>
      <c r="L38" s="564"/>
      <c r="M38" s="310"/>
      <c r="N38" s="306"/>
      <c r="O38" s="306"/>
      <c r="P38" s="306"/>
      <c r="Q38" s="306"/>
      <c r="R38" s="306"/>
    </row>
    <row r="39" spans="7:18" ht="15">
      <c r="L39" s="305"/>
      <c r="M39" s="310"/>
      <c r="N39" s="306"/>
      <c r="O39" s="306"/>
      <c r="P39" s="306"/>
      <c r="Q39" s="306"/>
      <c r="R39" s="306"/>
    </row>
    <row r="40" spans="7:18" ht="15">
      <c r="G40" s="9" t="s">
        <v>848</v>
      </c>
      <c r="J40" s="9">
        <v>156900000</v>
      </c>
      <c r="L40" s="305"/>
      <c r="M40" s="310"/>
      <c r="N40" s="306"/>
      <c r="O40" s="306"/>
      <c r="P40" s="306"/>
      <c r="Q40" s="306"/>
      <c r="R40" s="306"/>
    </row>
    <row r="41" spans="7:18" ht="15">
      <c r="G41" s="9" t="s">
        <v>849</v>
      </c>
      <c r="J41" s="9">
        <v>130240000</v>
      </c>
      <c r="L41" s="305"/>
      <c r="M41" s="310"/>
      <c r="N41" s="306"/>
      <c r="O41" s="306"/>
      <c r="P41" s="306"/>
      <c r="Q41" s="306"/>
      <c r="R41" s="306"/>
    </row>
    <row r="42" spans="7:18" ht="15">
      <c r="J42" s="9">
        <f>SUM(J40:J41)</f>
        <v>287140000</v>
      </c>
      <c r="L42" s="305"/>
      <c r="M42" s="310"/>
      <c r="N42" s="306"/>
      <c r="O42" s="306"/>
      <c r="P42" s="306"/>
      <c r="Q42" s="306"/>
      <c r="R42" s="306"/>
    </row>
    <row r="43" spans="7:18" ht="15">
      <c r="L43" s="305"/>
      <c r="M43" s="310"/>
      <c r="N43" s="306"/>
      <c r="O43" s="306"/>
      <c r="P43" s="306"/>
      <c r="Q43" s="306"/>
      <c r="R43" s="306"/>
    </row>
    <row r="44" spans="7:18" ht="15">
      <c r="L44" s="305"/>
      <c r="M44" s="310"/>
      <c r="N44" s="306"/>
      <c r="O44" s="306"/>
      <c r="P44" s="306"/>
      <c r="Q44" s="306"/>
      <c r="R44" s="306"/>
    </row>
    <row r="45" spans="7:18" ht="15">
      <c r="L45" s="305"/>
      <c r="M45" s="310"/>
      <c r="N45" s="306"/>
      <c r="O45" s="306"/>
      <c r="P45" s="306"/>
      <c r="Q45" s="306"/>
      <c r="R45" s="306"/>
    </row>
    <row r="46" spans="7:18" ht="15">
      <c r="L46" s="305"/>
      <c r="M46" s="310"/>
      <c r="N46" s="306"/>
      <c r="O46" s="306"/>
      <c r="P46" s="306"/>
      <c r="Q46" s="306"/>
      <c r="R46" s="306"/>
    </row>
    <row r="47" spans="7:18" ht="15">
      <c r="L47" s="305"/>
      <c r="M47" s="310"/>
      <c r="N47" s="306"/>
      <c r="O47" s="306"/>
      <c r="P47" s="306"/>
      <c r="Q47" s="306"/>
      <c r="R47" s="306"/>
    </row>
    <row r="48" spans="7:18" ht="15">
      <c r="L48" s="305"/>
      <c r="M48" s="310"/>
      <c r="N48" s="306"/>
      <c r="O48" s="306"/>
      <c r="P48" s="306"/>
      <c r="Q48" s="306"/>
      <c r="R48" s="306"/>
    </row>
    <row r="49" spans="12:18" ht="15">
      <c r="L49" s="305"/>
      <c r="M49" s="310"/>
      <c r="N49" s="306"/>
      <c r="O49" s="306"/>
      <c r="P49" s="306"/>
      <c r="Q49" s="306"/>
      <c r="R49" s="306"/>
    </row>
    <row r="50" spans="12:18" ht="15">
      <c r="L50" s="305"/>
      <c r="M50" s="310"/>
      <c r="N50" s="306"/>
      <c r="O50" s="306"/>
      <c r="P50" s="306"/>
      <c r="Q50" s="306"/>
      <c r="R50" s="306"/>
    </row>
    <row r="51" spans="12:18" ht="15">
      <c r="L51" s="305"/>
      <c r="M51" s="310"/>
      <c r="N51" s="306"/>
      <c r="O51" s="306"/>
      <c r="P51" s="306"/>
      <c r="Q51" s="306"/>
      <c r="R51" s="306"/>
    </row>
    <row r="52" spans="12:18" ht="15">
      <c r="L52" s="305"/>
      <c r="M52" s="310"/>
      <c r="N52" s="306"/>
      <c r="O52" s="306"/>
      <c r="P52" s="306"/>
      <c r="Q52" s="306"/>
      <c r="R52" s="306"/>
    </row>
    <row r="53" spans="12:18" ht="15">
      <c r="L53" s="305"/>
      <c r="M53" s="310"/>
      <c r="N53" s="306"/>
      <c r="O53" s="306"/>
      <c r="P53" s="306"/>
      <c r="Q53" s="306"/>
      <c r="R53" s="306"/>
    </row>
    <row r="54" spans="12:18" ht="15">
      <c r="L54" s="305"/>
      <c r="M54" s="310"/>
      <c r="N54" s="306"/>
      <c r="O54" s="306"/>
      <c r="P54" s="306"/>
      <c r="Q54" s="306"/>
      <c r="R54" s="306"/>
    </row>
    <row r="55" spans="12:18" ht="15">
      <c r="L55" s="305"/>
      <c r="M55" s="310"/>
      <c r="N55" s="306"/>
      <c r="O55" s="306"/>
      <c r="P55" s="306"/>
      <c r="Q55" s="306"/>
      <c r="R55" s="306"/>
    </row>
    <row r="56" spans="12:18" ht="15">
      <c r="L56" s="305"/>
      <c r="M56" s="310"/>
      <c r="N56" s="306"/>
      <c r="O56" s="306"/>
      <c r="P56" s="306"/>
      <c r="Q56" s="306"/>
      <c r="R56" s="306"/>
    </row>
    <row r="57" spans="12:18" ht="15">
      <c r="L57" s="305"/>
      <c r="M57" s="310"/>
      <c r="N57" s="306"/>
      <c r="O57" s="306"/>
      <c r="P57" s="306"/>
      <c r="Q57" s="306"/>
      <c r="R57" s="306"/>
    </row>
    <row r="58" spans="12:18" ht="15">
      <c r="L58" s="305"/>
      <c r="M58" s="310"/>
      <c r="N58" s="306"/>
      <c r="O58" s="306"/>
      <c r="P58" s="306"/>
      <c r="Q58" s="306"/>
      <c r="R58" s="306"/>
    </row>
    <row r="59" spans="12:18" ht="15">
      <c r="L59" s="305"/>
      <c r="M59" s="310"/>
      <c r="N59" s="306"/>
      <c r="O59" s="306"/>
      <c r="P59" s="306"/>
      <c r="Q59" s="306"/>
      <c r="R59" s="306"/>
    </row>
    <row r="60" spans="12:18" ht="15">
      <c r="L60" s="305"/>
      <c r="M60" s="310"/>
      <c r="N60" s="306"/>
      <c r="O60" s="306"/>
      <c r="P60" s="306"/>
      <c r="Q60" s="306"/>
      <c r="R60" s="306"/>
    </row>
    <row r="61" spans="12:18" ht="15">
      <c r="L61" s="305"/>
      <c r="M61" s="310"/>
      <c r="N61" s="306"/>
      <c r="O61" s="306"/>
      <c r="P61" s="306"/>
      <c r="Q61" s="306"/>
      <c r="R61" s="306"/>
    </row>
    <row r="62" spans="12:18" ht="15">
      <c r="L62" s="305"/>
      <c r="M62" s="310"/>
      <c r="N62" s="306"/>
      <c r="O62" s="306"/>
      <c r="P62" s="306"/>
      <c r="Q62" s="306"/>
      <c r="R62" s="306"/>
    </row>
    <row r="63" spans="12:18" ht="15">
      <c r="L63" s="305"/>
      <c r="M63" s="310"/>
      <c r="N63" s="306"/>
      <c r="O63" s="306"/>
      <c r="P63" s="306"/>
      <c r="Q63" s="306"/>
      <c r="R63" s="306"/>
    </row>
    <row r="64" spans="12:18" ht="15">
      <c r="L64" s="305"/>
      <c r="M64" s="310"/>
      <c r="N64" s="306"/>
      <c r="O64" s="306"/>
      <c r="P64" s="306"/>
      <c r="Q64" s="306"/>
      <c r="R64" s="306"/>
    </row>
    <row r="65" spans="12:18" ht="15">
      <c r="L65" s="305"/>
      <c r="M65" s="310"/>
      <c r="N65" s="306"/>
      <c r="O65" s="306"/>
      <c r="P65" s="306"/>
      <c r="Q65" s="306"/>
      <c r="R65" s="306"/>
    </row>
    <row r="66" spans="12:18" ht="15">
      <c r="L66" s="305"/>
      <c r="M66" s="310"/>
      <c r="N66" s="306"/>
      <c r="O66" s="306"/>
      <c r="P66" s="306"/>
      <c r="Q66" s="306"/>
      <c r="R66" s="306"/>
    </row>
    <row r="67" spans="12:18" ht="15">
      <c r="L67" s="305"/>
      <c r="M67" s="310"/>
      <c r="N67" s="306"/>
      <c r="O67" s="306"/>
      <c r="P67" s="306"/>
      <c r="Q67" s="306"/>
      <c r="R67" s="306"/>
    </row>
    <row r="68" spans="12:18" ht="15">
      <c r="L68" s="305"/>
      <c r="M68" s="310"/>
      <c r="N68" s="306"/>
      <c r="O68" s="306"/>
      <c r="P68" s="306"/>
      <c r="Q68" s="306"/>
      <c r="R68" s="306"/>
    </row>
    <row r="69" spans="12:18" ht="15">
      <c r="L69" s="305"/>
      <c r="M69" s="310"/>
      <c r="N69" s="306"/>
      <c r="O69" s="306"/>
      <c r="P69" s="306"/>
      <c r="Q69" s="306"/>
      <c r="R69" s="306"/>
    </row>
    <row r="70" spans="12:18" ht="15">
      <c r="L70" s="305"/>
      <c r="M70" s="310"/>
      <c r="N70" s="306"/>
      <c r="O70" s="306"/>
      <c r="P70" s="306"/>
      <c r="Q70" s="306"/>
      <c r="R70" s="306"/>
    </row>
    <row r="71" spans="12:18" ht="15">
      <c r="L71" s="305"/>
      <c r="M71" s="310"/>
      <c r="N71" s="306"/>
      <c r="O71" s="306"/>
      <c r="P71" s="306"/>
      <c r="Q71" s="306"/>
      <c r="R71" s="306"/>
    </row>
    <row r="72" spans="12:18" ht="15">
      <c r="L72" s="305"/>
      <c r="M72" s="310"/>
      <c r="N72" s="306"/>
      <c r="O72" s="306"/>
      <c r="P72" s="306"/>
      <c r="Q72" s="306"/>
      <c r="R72" s="306"/>
    </row>
    <row r="73" spans="12:18" ht="15">
      <c r="L73" s="305"/>
      <c r="M73" s="310"/>
      <c r="N73" s="306"/>
      <c r="O73" s="306"/>
      <c r="P73" s="306"/>
      <c r="Q73" s="306"/>
      <c r="R73" s="306"/>
    </row>
    <row r="74" spans="12:18" ht="15">
      <c r="L74" s="305"/>
      <c r="M74" s="310"/>
      <c r="N74" s="306"/>
      <c r="O74" s="306"/>
      <c r="P74" s="306"/>
      <c r="Q74" s="306"/>
      <c r="R74" s="306"/>
    </row>
    <row r="75" spans="12:18" ht="15">
      <c r="L75" s="305"/>
      <c r="M75" s="310"/>
      <c r="N75" s="306"/>
      <c r="O75" s="306"/>
      <c r="P75" s="306"/>
      <c r="Q75" s="306"/>
      <c r="R75" s="306"/>
    </row>
    <row r="76" spans="12:18" ht="15">
      <c r="L76" s="305"/>
      <c r="M76" s="310"/>
      <c r="N76" s="306"/>
      <c r="O76" s="306"/>
      <c r="P76" s="306"/>
      <c r="Q76" s="306"/>
      <c r="R76" s="306"/>
    </row>
    <row r="77" spans="12:18" ht="15">
      <c r="L77" s="305"/>
      <c r="M77" s="310"/>
      <c r="N77" s="306"/>
      <c r="O77" s="306"/>
      <c r="P77" s="306"/>
      <c r="Q77" s="306"/>
      <c r="R77" s="306"/>
    </row>
    <row r="78" spans="12:18" ht="15">
      <c r="L78" s="305"/>
      <c r="M78" s="310"/>
      <c r="N78" s="306"/>
      <c r="O78" s="306"/>
      <c r="P78" s="306"/>
      <c r="Q78" s="306"/>
      <c r="R78" s="306"/>
    </row>
    <row r="79" spans="12:18" ht="15">
      <c r="L79" s="305"/>
      <c r="M79" s="310"/>
      <c r="N79" s="306"/>
      <c r="O79" s="306"/>
      <c r="P79" s="306"/>
      <c r="Q79" s="306"/>
      <c r="R79" s="306"/>
    </row>
    <row r="80" spans="12:18" ht="15">
      <c r="L80" s="305"/>
      <c r="M80" s="310"/>
      <c r="N80" s="306"/>
      <c r="O80" s="306"/>
      <c r="P80" s="306"/>
      <c r="Q80" s="306"/>
      <c r="R80" s="306"/>
    </row>
    <row r="81" spans="12:18" ht="15">
      <c r="L81" s="305"/>
      <c r="M81" s="310"/>
      <c r="N81" s="306"/>
      <c r="O81" s="306"/>
      <c r="P81" s="306"/>
      <c r="Q81" s="306"/>
      <c r="R81" s="306"/>
    </row>
    <row r="82" spans="12:18" ht="15">
      <c r="L82" s="305"/>
      <c r="M82" s="310"/>
      <c r="N82" s="306"/>
      <c r="O82" s="306"/>
      <c r="P82" s="306"/>
      <c r="Q82" s="306"/>
      <c r="R82" s="306"/>
    </row>
    <row r="83" spans="12:18" ht="15">
      <c r="L83" s="305"/>
      <c r="M83" s="310"/>
      <c r="N83" s="306"/>
      <c r="O83" s="306"/>
      <c r="P83" s="306"/>
      <c r="Q83" s="306"/>
      <c r="R83" s="306"/>
    </row>
    <row r="84" spans="12:18" ht="15">
      <c r="L84" s="305"/>
      <c r="M84" s="310"/>
      <c r="N84" s="306"/>
      <c r="O84" s="306"/>
      <c r="P84" s="306"/>
      <c r="Q84" s="306"/>
      <c r="R84" s="306"/>
    </row>
    <row r="85" spans="12:18" ht="15">
      <c r="L85" s="305"/>
      <c r="M85" s="310"/>
      <c r="N85" s="306"/>
      <c r="O85" s="306"/>
      <c r="P85" s="306"/>
      <c r="Q85" s="306"/>
      <c r="R85" s="306"/>
    </row>
    <row r="86" spans="12:18" ht="15">
      <c r="L86" s="305"/>
      <c r="M86" s="310"/>
      <c r="N86" s="306"/>
      <c r="O86" s="306"/>
      <c r="P86" s="306"/>
      <c r="Q86" s="306"/>
      <c r="R86" s="306"/>
    </row>
    <row r="87" spans="12:18" ht="15">
      <c r="L87" s="305"/>
      <c r="M87" s="310"/>
      <c r="N87" s="306"/>
      <c r="O87" s="306"/>
      <c r="P87" s="306"/>
      <c r="Q87" s="306"/>
      <c r="R87" s="306"/>
    </row>
    <row r="88" spans="12:18" ht="15">
      <c r="L88" s="305"/>
      <c r="M88" s="310"/>
      <c r="N88" s="306"/>
      <c r="O88" s="306"/>
      <c r="P88" s="306"/>
      <c r="Q88" s="306"/>
      <c r="R88" s="306"/>
    </row>
    <row r="89" spans="12:18" ht="15">
      <c r="L89" s="305"/>
      <c r="M89" s="310"/>
      <c r="N89" s="306"/>
      <c r="O89" s="306"/>
      <c r="P89" s="306"/>
      <c r="Q89" s="306"/>
      <c r="R89" s="306"/>
    </row>
    <row r="90" spans="12:18" ht="15">
      <c r="L90" s="305"/>
      <c r="M90" s="310"/>
      <c r="N90" s="306"/>
      <c r="O90" s="306"/>
      <c r="P90" s="306"/>
      <c r="Q90" s="306"/>
      <c r="R90" s="306"/>
    </row>
    <row r="91" spans="12:18" ht="15">
      <c r="L91" s="306"/>
      <c r="M91" s="306"/>
      <c r="N91" s="306"/>
      <c r="O91" s="306"/>
      <c r="P91" s="306"/>
      <c r="Q91" s="306"/>
      <c r="R91" s="306"/>
    </row>
  </sheetData>
  <mergeCells count="50">
    <mergeCell ref="B30:J30"/>
    <mergeCell ref="H33:J33"/>
    <mergeCell ref="H34:J34"/>
    <mergeCell ref="H37:J37"/>
    <mergeCell ref="H38:J38"/>
    <mergeCell ref="L20:Q20"/>
    <mergeCell ref="R20:R22"/>
    <mergeCell ref="B21:F22"/>
    <mergeCell ref="G21:G22"/>
    <mergeCell ref="H21:J21"/>
    <mergeCell ref="B23:F23"/>
    <mergeCell ref="B17:F17"/>
    <mergeCell ref="G17:H17"/>
    <mergeCell ref="I17:K17"/>
    <mergeCell ref="B18:K18"/>
    <mergeCell ref="B19:K19"/>
    <mergeCell ref="B20:K20"/>
    <mergeCell ref="B15:F15"/>
    <mergeCell ref="G15:H15"/>
    <mergeCell ref="I15:K15"/>
    <mergeCell ref="B16:F16"/>
    <mergeCell ref="G16:H16"/>
    <mergeCell ref="I16:K16"/>
    <mergeCell ref="B12:K12"/>
    <mergeCell ref="B13:F13"/>
    <mergeCell ref="G13:H13"/>
    <mergeCell ref="I13:K13"/>
    <mergeCell ref="B14:F14"/>
    <mergeCell ref="G14:H14"/>
    <mergeCell ref="I14:K14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:K1"/>
    <mergeCell ref="B2:D3"/>
    <mergeCell ref="E2:H2"/>
    <mergeCell ref="I2:J2"/>
    <mergeCell ref="E3:H3"/>
    <mergeCell ref="I3:J3"/>
  </mergeCells>
  <pageMargins left="0.23622047244094491" right="0.19685039370078741" top="0.55118110236220474" bottom="0.51181102362204722" header="0.31496062992125984" footer="0.23622047244094491"/>
  <pageSetup paperSize="5" scale="95" orientation="portrait" horizontalDpi="4294967293" verticalDpi="4294967293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7030A0"/>
  </sheetPr>
  <dimension ref="B1:U50"/>
  <sheetViews>
    <sheetView view="pageBreakPreview" topLeftCell="A19" zoomScaleNormal="120" zoomScaleSheetLayoutView="100" workbookViewId="0">
      <selection activeCell="B24" sqref="B24:K40"/>
    </sheetView>
  </sheetViews>
  <sheetFormatPr defaultColWidth="8.85546875" defaultRowHeight="12.75"/>
  <cols>
    <col min="1" max="1" width="0.85546875" style="9" customWidth="1"/>
    <col min="2" max="6" width="4.140625" style="9" customWidth="1"/>
    <col min="7" max="7" width="50.85546875" style="9" customWidth="1"/>
    <col min="8" max="8" width="8" style="9" customWidth="1"/>
    <col min="9" max="9" width="9.28515625" style="9" customWidth="1"/>
    <col min="10" max="10" width="13.42578125" style="9" customWidth="1"/>
    <col min="11" max="11" width="15" style="142" bestFit="1" customWidth="1"/>
    <col min="12" max="12" width="15.85546875" style="9" bestFit="1" customWidth="1"/>
    <col min="13" max="17" width="6.85546875" style="9" bestFit="1" customWidth="1"/>
    <col min="18" max="18" width="16.7109375" style="9" bestFit="1" customWidth="1"/>
    <col min="19" max="20" width="15.28515625" style="41" bestFit="1" customWidth="1"/>
    <col min="21" max="21" width="12.85546875" style="41" bestFit="1" customWidth="1"/>
    <col min="22" max="246" width="8.85546875" style="9"/>
    <col min="247" max="247" width="1.140625" style="9" customWidth="1"/>
    <col min="248" max="248" width="3.28515625" style="9" customWidth="1"/>
    <col min="249" max="249" width="2.42578125" style="9" customWidth="1"/>
    <col min="250" max="250" width="2.5703125" style="9" customWidth="1"/>
    <col min="251" max="251" width="2.85546875" style="9" customWidth="1"/>
    <col min="252" max="252" width="3" style="9" customWidth="1"/>
    <col min="253" max="253" width="24.7109375" style="9" customWidth="1"/>
    <col min="254" max="254" width="7.85546875" style="9" customWidth="1"/>
    <col min="255" max="255" width="7.42578125" style="9" customWidth="1"/>
    <col min="256" max="256" width="11.140625" style="9" customWidth="1"/>
    <col min="257" max="257" width="14.42578125" style="9" customWidth="1"/>
    <col min="258" max="258" width="3.42578125" style="9" customWidth="1"/>
    <col min="259" max="259" width="3" style="9" customWidth="1"/>
    <col min="260" max="260" width="3.28515625" style="9" customWidth="1"/>
    <col min="261" max="261" width="3.140625" style="9" customWidth="1"/>
    <col min="262" max="262" width="3.42578125" style="9" customWidth="1"/>
    <col min="263" max="263" width="24.7109375" style="9" customWidth="1"/>
    <col min="264" max="264" width="7.85546875" style="9" customWidth="1"/>
    <col min="265" max="265" width="7.28515625" style="9" customWidth="1"/>
    <col min="266" max="266" width="11.7109375" style="9" bestFit="1" customWidth="1"/>
    <col min="267" max="267" width="14.42578125" style="9" customWidth="1"/>
    <col min="268" max="268" width="8.85546875" style="9"/>
    <col min="269" max="269" width="14.28515625" style="9" bestFit="1" customWidth="1"/>
    <col min="270" max="270" width="10" style="9" customWidth="1"/>
    <col min="271" max="502" width="8.85546875" style="9"/>
    <col min="503" max="503" width="1.140625" style="9" customWidth="1"/>
    <col min="504" max="504" width="3.28515625" style="9" customWidth="1"/>
    <col min="505" max="505" width="2.42578125" style="9" customWidth="1"/>
    <col min="506" max="506" width="2.5703125" style="9" customWidth="1"/>
    <col min="507" max="507" width="2.85546875" style="9" customWidth="1"/>
    <col min="508" max="508" width="3" style="9" customWidth="1"/>
    <col min="509" max="509" width="24.7109375" style="9" customWidth="1"/>
    <col min="510" max="510" width="7.85546875" style="9" customWidth="1"/>
    <col min="511" max="511" width="7.42578125" style="9" customWidth="1"/>
    <col min="512" max="512" width="11.140625" style="9" customWidth="1"/>
    <col min="513" max="513" width="14.42578125" style="9" customWidth="1"/>
    <col min="514" max="514" width="3.42578125" style="9" customWidth="1"/>
    <col min="515" max="515" width="3" style="9" customWidth="1"/>
    <col min="516" max="516" width="3.28515625" style="9" customWidth="1"/>
    <col min="517" max="517" width="3.140625" style="9" customWidth="1"/>
    <col min="518" max="518" width="3.42578125" style="9" customWidth="1"/>
    <col min="519" max="519" width="24.7109375" style="9" customWidth="1"/>
    <col min="520" max="520" width="7.85546875" style="9" customWidth="1"/>
    <col min="521" max="521" width="7.28515625" style="9" customWidth="1"/>
    <col min="522" max="522" width="11.7109375" style="9" bestFit="1" customWidth="1"/>
    <col min="523" max="523" width="14.42578125" style="9" customWidth="1"/>
    <col min="524" max="524" width="8.85546875" style="9"/>
    <col min="525" max="525" width="14.28515625" style="9" bestFit="1" customWidth="1"/>
    <col min="526" max="526" width="10" style="9" customWidth="1"/>
    <col min="527" max="758" width="8.85546875" style="9"/>
    <col min="759" max="759" width="1.140625" style="9" customWidth="1"/>
    <col min="760" max="760" width="3.28515625" style="9" customWidth="1"/>
    <col min="761" max="761" width="2.42578125" style="9" customWidth="1"/>
    <col min="762" max="762" width="2.5703125" style="9" customWidth="1"/>
    <col min="763" max="763" width="2.85546875" style="9" customWidth="1"/>
    <col min="764" max="764" width="3" style="9" customWidth="1"/>
    <col min="765" max="765" width="24.7109375" style="9" customWidth="1"/>
    <col min="766" max="766" width="7.85546875" style="9" customWidth="1"/>
    <col min="767" max="767" width="7.42578125" style="9" customWidth="1"/>
    <col min="768" max="768" width="11.140625" style="9" customWidth="1"/>
    <col min="769" max="769" width="14.42578125" style="9" customWidth="1"/>
    <col min="770" max="770" width="3.42578125" style="9" customWidth="1"/>
    <col min="771" max="771" width="3" style="9" customWidth="1"/>
    <col min="772" max="772" width="3.28515625" style="9" customWidth="1"/>
    <col min="773" max="773" width="3.140625" style="9" customWidth="1"/>
    <col min="774" max="774" width="3.42578125" style="9" customWidth="1"/>
    <col min="775" max="775" width="24.7109375" style="9" customWidth="1"/>
    <col min="776" max="776" width="7.85546875" style="9" customWidth="1"/>
    <col min="777" max="777" width="7.28515625" style="9" customWidth="1"/>
    <col min="778" max="778" width="11.7109375" style="9" bestFit="1" customWidth="1"/>
    <col min="779" max="779" width="14.42578125" style="9" customWidth="1"/>
    <col min="780" max="780" width="8.85546875" style="9"/>
    <col min="781" max="781" width="14.28515625" style="9" bestFit="1" customWidth="1"/>
    <col min="782" max="782" width="10" style="9" customWidth="1"/>
    <col min="783" max="1014" width="8.85546875" style="9"/>
    <col min="1015" max="1015" width="1.140625" style="9" customWidth="1"/>
    <col min="1016" max="1016" width="3.28515625" style="9" customWidth="1"/>
    <col min="1017" max="1017" width="2.42578125" style="9" customWidth="1"/>
    <col min="1018" max="1018" width="2.5703125" style="9" customWidth="1"/>
    <col min="1019" max="1019" width="2.85546875" style="9" customWidth="1"/>
    <col min="1020" max="1020" width="3" style="9" customWidth="1"/>
    <col min="1021" max="1021" width="24.7109375" style="9" customWidth="1"/>
    <col min="1022" max="1022" width="7.85546875" style="9" customWidth="1"/>
    <col min="1023" max="1023" width="7.42578125" style="9" customWidth="1"/>
    <col min="1024" max="1024" width="11.140625" style="9" customWidth="1"/>
    <col min="1025" max="1025" width="14.42578125" style="9" customWidth="1"/>
    <col min="1026" max="1026" width="3.42578125" style="9" customWidth="1"/>
    <col min="1027" max="1027" width="3" style="9" customWidth="1"/>
    <col min="1028" max="1028" width="3.28515625" style="9" customWidth="1"/>
    <col min="1029" max="1029" width="3.140625" style="9" customWidth="1"/>
    <col min="1030" max="1030" width="3.42578125" style="9" customWidth="1"/>
    <col min="1031" max="1031" width="24.7109375" style="9" customWidth="1"/>
    <col min="1032" max="1032" width="7.85546875" style="9" customWidth="1"/>
    <col min="1033" max="1033" width="7.28515625" style="9" customWidth="1"/>
    <col min="1034" max="1034" width="11.7109375" style="9" bestFit="1" customWidth="1"/>
    <col min="1035" max="1035" width="14.42578125" style="9" customWidth="1"/>
    <col min="1036" max="1036" width="8.85546875" style="9"/>
    <col min="1037" max="1037" width="14.28515625" style="9" bestFit="1" customWidth="1"/>
    <col min="1038" max="1038" width="10" style="9" customWidth="1"/>
    <col min="1039" max="1270" width="8.85546875" style="9"/>
    <col min="1271" max="1271" width="1.140625" style="9" customWidth="1"/>
    <col min="1272" max="1272" width="3.28515625" style="9" customWidth="1"/>
    <col min="1273" max="1273" width="2.42578125" style="9" customWidth="1"/>
    <col min="1274" max="1274" width="2.5703125" style="9" customWidth="1"/>
    <col min="1275" max="1275" width="2.85546875" style="9" customWidth="1"/>
    <col min="1276" max="1276" width="3" style="9" customWidth="1"/>
    <col min="1277" max="1277" width="24.7109375" style="9" customWidth="1"/>
    <col min="1278" max="1278" width="7.85546875" style="9" customWidth="1"/>
    <col min="1279" max="1279" width="7.42578125" style="9" customWidth="1"/>
    <col min="1280" max="1280" width="11.140625" style="9" customWidth="1"/>
    <col min="1281" max="1281" width="14.42578125" style="9" customWidth="1"/>
    <col min="1282" max="1282" width="3.42578125" style="9" customWidth="1"/>
    <col min="1283" max="1283" width="3" style="9" customWidth="1"/>
    <col min="1284" max="1284" width="3.28515625" style="9" customWidth="1"/>
    <col min="1285" max="1285" width="3.140625" style="9" customWidth="1"/>
    <col min="1286" max="1286" width="3.42578125" style="9" customWidth="1"/>
    <col min="1287" max="1287" width="24.7109375" style="9" customWidth="1"/>
    <col min="1288" max="1288" width="7.85546875" style="9" customWidth="1"/>
    <col min="1289" max="1289" width="7.28515625" style="9" customWidth="1"/>
    <col min="1290" max="1290" width="11.7109375" style="9" bestFit="1" customWidth="1"/>
    <col min="1291" max="1291" width="14.42578125" style="9" customWidth="1"/>
    <col min="1292" max="1292" width="8.85546875" style="9"/>
    <col min="1293" max="1293" width="14.28515625" style="9" bestFit="1" customWidth="1"/>
    <col min="1294" max="1294" width="10" style="9" customWidth="1"/>
    <col min="1295" max="1526" width="8.85546875" style="9"/>
    <col min="1527" max="1527" width="1.140625" style="9" customWidth="1"/>
    <col min="1528" max="1528" width="3.28515625" style="9" customWidth="1"/>
    <col min="1529" max="1529" width="2.42578125" style="9" customWidth="1"/>
    <col min="1530" max="1530" width="2.5703125" style="9" customWidth="1"/>
    <col min="1531" max="1531" width="2.85546875" style="9" customWidth="1"/>
    <col min="1532" max="1532" width="3" style="9" customWidth="1"/>
    <col min="1533" max="1533" width="24.7109375" style="9" customWidth="1"/>
    <col min="1534" max="1534" width="7.85546875" style="9" customWidth="1"/>
    <col min="1535" max="1535" width="7.42578125" style="9" customWidth="1"/>
    <col min="1536" max="1536" width="11.140625" style="9" customWidth="1"/>
    <col min="1537" max="1537" width="14.42578125" style="9" customWidth="1"/>
    <col min="1538" max="1538" width="3.42578125" style="9" customWidth="1"/>
    <col min="1539" max="1539" width="3" style="9" customWidth="1"/>
    <col min="1540" max="1540" width="3.28515625" style="9" customWidth="1"/>
    <col min="1541" max="1541" width="3.140625" style="9" customWidth="1"/>
    <col min="1542" max="1542" width="3.42578125" style="9" customWidth="1"/>
    <col min="1543" max="1543" width="24.7109375" style="9" customWidth="1"/>
    <col min="1544" max="1544" width="7.85546875" style="9" customWidth="1"/>
    <col min="1545" max="1545" width="7.28515625" style="9" customWidth="1"/>
    <col min="1546" max="1546" width="11.7109375" style="9" bestFit="1" customWidth="1"/>
    <col min="1547" max="1547" width="14.42578125" style="9" customWidth="1"/>
    <col min="1548" max="1548" width="8.85546875" style="9"/>
    <col min="1549" max="1549" width="14.28515625" style="9" bestFit="1" customWidth="1"/>
    <col min="1550" max="1550" width="10" style="9" customWidth="1"/>
    <col min="1551" max="1782" width="8.85546875" style="9"/>
    <col min="1783" max="1783" width="1.140625" style="9" customWidth="1"/>
    <col min="1784" max="1784" width="3.28515625" style="9" customWidth="1"/>
    <col min="1785" max="1785" width="2.42578125" style="9" customWidth="1"/>
    <col min="1786" max="1786" width="2.5703125" style="9" customWidth="1"/>
    <col min="1787" max="1787" width="2.85546875" style="9" customWidth="1"/>
    <col min="1788" max="1788" width="3" style="9" customWidth="1"/>
    <col min="1789" max="1789" width="24.7109375" style="9" customWidth="1"/>
    <col min="1790" max="1790" width="7.85546875" style="9" customWidth="1"/>
    <col min="1791" max="1791" width="7.42578125" style="9" customWidth="1"/>
    <col min="1792" max="1792" width="11.140625" style="9" customWidth="1"/>
    <col min="1793" max="1793" width="14.42578125" style="9" customWidth="1"/>
    <col min="1794" max="1794" width="3.42578125" style="9" customWidth="1"/>
    <col min="1795" max="1795" width="3" style="9" customWidth="1"/>
    <col min="1796" max="1796" width="3.28515625" style="9" customWidth="1"/>
    <col min="1797" max="1797" width="3.140625" style="9" customWidth="1"/>
    <col min="1798" max="1798" width="3.42578125" style="9" customWidth="1"/>
    <col min="1799" max="1799" width="24.7109375" style="9" customWidth="1"/>
    <col min="1800" max="1800" width="7.85546875" style="9" customWidth="1"/>
    <col min="1801" max="1801" width="7.28515625" style="9" customWidth="1"/>
    <col min="1802" max="1802" width="11.7109375" style="9" bestFit="1" customWidth="1"/>
    <col min="1803" max="1803" width="14.42578125" style="9" customWidth="1"/>
    <col min="1804" max="1804" width="8.85546875" style="9"/>
    <col min="1805" max="1805" width="14.28515625" style="9" bestFit="1" customWidth="1"/>
    <col min="1806" max="1806" width="10" style="9" customWidth="1"/>
    <col min="1807" max="2038" width="8.85546875" style="9"/>
    <col min="2039" max="2039" width="1.140625" style="9" customWidth="1"/>
    <col min="2040" max="2040" width="3.28515625" style="9" customWidth="1"/>
    <col min="2041" max="2041" width="2.42578125" style="9" customWidth="1"/>
    <col min="2042" max="2042" width="2.5703125" style="9" customWidth="1"/>
    <col min="2043" max="2043" width="2.85546875" style="9" customWidth="1"/>
    <col min="2044" max="2044" width="3" style="9" customWidth="1"/>
    <col min="2045" max="2045" width="24.7109375" style="9" customWidth="1"/>
    <col min="2046" max="2046" width="7.85546875" style="9" customWidth="1"/>
    <col min="2047" max="2047" width="7.42578125" style="9" customWidth="1"/>
    <col min="2048" max="2048" width="11.140625" style="9" customWidth="1"/>
    <col min="2049" max="2049" width="14.42578125" style="9" customWidth="1"/>
    <col min="2050" max="2050" width="3.42578125" style="9" customWidth="1"/>
    <col min="2051" max="2051" width="3" style="9" customWidth="1"/>
    <col min="2052" max="2052" width="3.28515625" style="9" customWidth="1"/>
    <col min="2053" max="2053" width="3.140625" style="9" customWidth="1"/>
    <col min="2054" max="2054" width="3.42578125" style="9" customWidth="1"/>
    <col min="2055" max="2055" width="24.7109375" style="9" customWidth="1"/>
    <col min="2056" max="2056" width="7.85546875" style="9" customWidth="1"/>
    <col min="2057" max="2057" width="7.28515625" style="9" customWidth="1"/>
    <col min="2058" max="2058" width="11.7109375" style="9" bestFit="1" customWidth="1"/>
    <col min="2059" max="2059" width="14.42578125" style="9" customWidth="1"/>
    <col min="2060" max="2060" width="8.85546875" style="9"/>
    <col min="2061" max="2061" width="14.28515625" style="9" bestFit="1" customWidth="1"/>
    <col min="2062" max="2062" width="10" style="9" customWidth="1"/>
    <col min="2063" max="2294" width="8.85546875" style="9"/>
    <col min="2295" max="2295" width="1.140625" style="9" customWidth="1"/>
    <col min="2296" max="2296" width="3.28515625" style="9" customWidth="1"/>
    <col min="2297" max="2297" width="2.42578125" style="9" customWidth="1"/>
    <col min="2298" max="2298" width="2.5703125" style="9" customWidth="1"/>
    <col min="2299" max="2299" width="2.85546875" style="9" customWidth="1"/>
    <col min="2300" max="2300" width="3" style="9" customWidth="1"/>
    <col min="2301" max="2301" width="24.7109375" style="9" customWidth="1"/>
    <col min="2302" max="2302" width="7.85546875" style="9" customWidth="1"/>
    <col min="2303" max="2303" width="7.42578125" style="9" customWidth="1"/>
    <col min="2304" max="2304" width="11.140625" style="9" customWidth="1"/>
    <col min="2305" max="2305" width="14.42578125" style="9" customWidth="1"/>
    <col min="2306" max="2306" width="3.42578125" style="9" customWidth="1"/>
    <col min="2307" max="2307" width="3" style="9" customWidth="1"/>
    <col min="2308" max="2308" width="3.28515625" style="9" customWidth="1"/>
    <col min="2309" max="2309" width="3.140625" style="9" customWidth="1"/>
    <col min="2310" max="2310" width="3.42578125" style="9" customWidth="1"/>
    <col min="2311" max="2311" width="24.7109375" style="9" customWidth="1"/>
    <col min="2312" max="2312" width="7.85546875" style="9" customWidth="1"/>
    <col min="2313" max="2313" width="7.28515625" style="9" customWidth="1"/>
    <col min="2314" max="2314" width="11.7109375" style="9" bestFit="1" customWidth="1"/>
    <col min="2315" max="2315" width="14.42578125" style="9" customWidth="1"/>
    <col min="2316" max="2316" width="8.85546875" style="9"/>
    <col min="2317" max="2317" width="14.28515625" style="9" bestFit="1" customWidth="1"/>
    <col min="2318" max="2318" width="10" style="9" customWidth="1"/>
    <col min="2319" max="2550" width="8.85546875" style="9"/>
    <col min="2551" max="2551" width="1.140625" style="9" customWidth="1"/>
    <col min="2552" max="2552" width="3.28515625" style="9" customWidth="1"/>
    <col min="2553" max="2553" width="2.42578125" style="9" customWidth="1"/>
    <col min="2554" max="2554" width="2.5703125" style="9" customWidth="1"/>
    <col min="2555" max="2555" width="2.85546875" style="9" customWidth="1"/>
    <col min="2556" max="2556" width="3" style="9" customWidth="1"/>
    <col min="2557" max="2557" width="24.7109375" style="9" customWidth="1"/>
    <col min="2558" max="2558" width="7.85546875" style="9" customWidth="1"/>
    <col min="2559" max="2559" width="7.42578125" style="9" customWidth="1"/>
    <col min="2560" max="2560" width="11.140625" style="9" customWidth="1"/>
    <col min="2561" max="2561" width="14.42578125" style="9" customWidth="1"/>
    <col min="2562" max="2562" width="3.42578125" style="9" customWidth="1"/>
    <col min="2563" max="2563" width="3" style="9" customWidth="1"/>
    <col min="2564" max="2564" width="3.28515625" style="9" customWidth="1"/>
    <col min="2565" max="2565" width="3.140625" style="9" customWidth="1"/>
    <col min="2566" max="2566" width="3.42578125" style="9" customWidth="1"/>
    <col min="2567" max="2567" width="24.7109375" style="9" customWidth="1"/>
    <col min="2568" max="2568" width="7.85546875" style="9" customWidth="1"/>
    <col min="2569" max="2569" width="7.28515625" style="9" customWidth="1"/>
    <col min="2570" max="2570" width="11.7109375" style="9" bestFit="1" customWidth="1"/>
    <col min="2571" max="2571" width="14.42578125" style="9" customWidth="1"/>
    <col min="2572" max="2572" width="8.85546875" style="9"/>
    <col min="2573" max="2573" width="14.28515625" style="9" bestFit="1" customWidth="1"/>
    <col min="2574" max="2574" width="10" style="9" customWidth="1"/>
    <col min="2575" max="2806" width="8.85546875" style="9"/>
    <col min="2807" max="2807" width="1.140625" style="9" customWidth="1"/>
    <col min="2808" max="2808" width="3.28515625" style="9" customWidth="1"/>
    <col min="2809" max="2809" width="2.42578125" style="9" customWidth="1"/>
    <col min="2810" max="2810" width="2.5703125" style="9" customWidth="1"/>
    <col min="2811" max="2811" width="2.85546875" style="9" customWidth="1"/>
    <col min="2812" max="2812" width="3" style="9" customWidth="1"/>
    <col min="2813" max="2813" width="24.7109375" style="9" customWidth="1"/>
    <col min="2814" max="2814" width="7.85546875" style="9" customWidth="1"/>
    <col min="2815" max="2815" width="7.42578125" style="9" customWidth="1"/>
    <col min="2816" max="2816" width="11.140625" style="9" customWidth="1"/>
    <col min="2817" max="2817" width="14.42578125" style="9" customWidth="1"/>
    <col min="2818" max="2818" width="3.42578125" style="9" customWidth="1"/>
    <col min="2819" max="2819" width="3" style="9" customWidth="1"/>
    <col min="2820" max="2820" width="3.28515625" style="9" customWidth="1"/>
    <col min="2821" max="2821" width="3.140625" style="9" customWidth="1"/>
    <col min="2822" max="2822" width="3.42578125" style="9" customWidth="1"/>
    <col min="2823" max="2823" width="24.7109375" style="9" customWidth="1"/>
    <col min="2824" max="2824" width="7.85546875" style="9" customWidth="1"/>
    <col min="2825" max="2825" width="7.28515625" style="9" customWidth="1"/>
    <col min="2826" max="2826" width="11.7109375" style="9" bestFit="1" customWidth="1"/>
    <col min="2827" max="2827" width="14.42578125" style="9" customWidth="1"/>
    <col min="2828" max="2828" width="8.85546875" style="9"/>
    <col min="2829" max="2829" width="14.28515625" style="9" bestFit="1" customWidth="1"/>
    <col min="2830" max="2830" width="10" style="9" customWidth="1"/>
    <col min="2831" max="3062" width="8.85546875" style="9"/>
    <col min="3063" max="3063" width="1.140625" style="9" customWidth="1"/>
    <col min="3064" max="3064" width="3.28515625" style="9" customWidth="1"/>
    <col min="3065" max="3065" width="2.42578125" style="9" customWidth="1"/>
    <col min="3066" max="3066" width="2.5703125" style="9" customWidth="1"/>
    <col min="3067" max="3067" width="2.85546875" style="9" customWidth="1"/>
    <col min="3068" max="3068" width="3" style="9" customWidth="1"/>
    <col min="3069" max="3069" width="24.7109375" style="9" customWidth="1"/>
    <col min="3070" max="3070" width="7.85546875" style="9" customWidth="1"/>
    <col min="3071" max="3071" width="7.42578125" style="9" customWidth="1"/>
    <col min="3072" max="3072" width="11.140625" style="9" customWidth="1"/>
    <col min="3073" max="3073" width="14.42578125" style="9" customWidth="1"/>
    <col min="3074" max="3074" width="3.42578125" style="9" customWidth="1"/>
    <col min="3075" max="3075" width="3" style="9" customWidth="1"/>
    <col min="3076" max="3076" width="3.28515625" style="9" customWidth="1"/>
    <col min="3077" max="3077" width="3.140625" style="9" customWidth="1"/>
    <col min="3078" max="3078" width="3.42578125" style="9" customWidth="1"/>
    <col min="3079" max="3079" width="24.7109375" style="9" customWidth="1"/>
    <col min="3080" max="3080" width="7.85546875" style="9" customWidth="1"/>
    <col min="3081" max="3081" width="7.28515625" style="9" customWidth="1"/>
    <col min="3082" max="3082" width="11.7109375" style="9" bestFit="1" customWidth="1"/>
    <col min="3083" max="3083" width="14.42578125" style="9" customWidth="1"/>
    <col min="3084" max="3084" width="8.85546875" style="9"/>
    <col min="3085" max="3085" width="14.28515625" style="9" bestFit="1" customWidth="1"/>
    <col min="3086" max="3086" width="10" style="9" customWidth="1"/>
    <col min="3087" max="3318" width="8.85546875" style="9"/>
    <col min="3319" max="3319" width="1.140625" style="9" customWidth="1"/>
    <col min="3320" max="3320" width="3.28515625" style="9" customWidth="1"/>
    <col min="3321" max="3321" width="2.42578125" style="9" customWidth="1"/>
    <col min="3322" max="3322" width="2.5703125" style="9" customWidth="1"/>
    <col min="3323" max="3323" width="2.85546875" style="9" customWidth="1"/>
    <col min="3324" max="3324" width="3" style="9" customWidth="1"/>
    <col min="3325" max="3325" width="24.7109375" style="9" customWidth="1"/>
    <col min="3326" max="3326" width="7.85546875" style="9" customWidth="1"/>
    <col min="3327" max="3327" width="7.42578125" style="9" customWidth="1"/>
    <col min="3328" max="3328" width="11.140625" style="9" customWidth="1"/>
    <col min="3329" max="3329" width="14.42578125" style="9" customWidth="1"/>
    <col min="3330" max="3330" width="3.42578125" style="9" customWidth="1"/>
    <col min="3331" max="3331" width="3" style="9" customWidth="1"/>
    <col min="3332" max="3332" width="3.28515625" style="9" customWidth="1"/>
    <col min="3333" max="3333" width="3.140625" style="9" customWidth="1"/>
    <col min="3334" max="3334" width="3.42578125" style="9" customWidth="1"/>
    <col min="3335" max="3335" width="24.7109375" style="9" customWidth="1"/>
    <col min="3336" max="3336" width="7.85546875" style="9" customWidth="1"/>
    <col min="3337" max="3337" width="7.28515625" style="9" customWidth="1"/>
    <col min="3338" max="3338" width="11.7109375" style="9" bestFit="1" customWidth="1"/>
    <col min="3339" max="3339" width="14.42578125" style="9" customWidth="1"/>
    <col min="3340" max="3340" width="8.85546875" style="9"/>
    <col min="3341" max="3341" width="14.28515625" style="9" bestFit="1" customWidth="1"/>
    <col min="3342" max="3342" width="10" style="9" customWidth="1"/>
    <col min="3343" max="3574" width="8.85546875" style="9"/>
    <col min="3575" max="3575" width="1.140625" style="9" customWidth="1"/>
    <col min="3576" max="3576" width="3.28515625" style="9" customWidth="1"/>
    <col min="3577" max="3577" width="2.42578125" style="9" customWidth="1"/>
    <col min="3578" max="3578" width="2.5703125" style="9" customWidth="1"/>
    <col min="3579" max="3579" width="2.85546875" style="9" customWidth="1"/>
    <col min="3580" max="3580" width="3" style="9" customWidth="1"/>
    <col min="3581" max="3581" width="24.7109375" style="9" customWidth="1"/>
    <col min="3582" max="3582" width="7.85546875" style="9" customWidth="1"/>
    <col min="3583" max="3583" width="7.42578125" style="9" customWidth="1"/>
    <col min="3584" max="3584" width="11.140625" style="9" customWidth="1"/>
    <col min="3585" max="3585" width="14.42578125" style="9" customWidth="1"/>
    <col min="3586" max="3586" width="3.42578125" style="9" customWidth="1"/>
    <col min="3587" max="3587" width="3" style="9" customWidth="1"/>
    <col min="3588" max="3588" width="3.28515625" style="9" customWidth="1"/>
    <col min="3589" max="3589" width="3.140625" style="9" customWidth="1"/>
    <col min="3590" max="3590" width="3.42578125" style="9" customWidth="1"/>
    <col min="3591" max="3591" width="24.7109375" style="9" customWidth="1"/>
    <col min="3592" max="3592" width="7.85546875" style="9" customWidth="1"/>
    <col min="3593" max="3593" width="7.28515625" style="9" customWidth="1"/>
    <col min="3594" max="3594" width="11.7109375" style="9" bestFit="1" customWidth="1"/>
    <col min="3595" max="3595" width="14.42578125" style="9" customWidth="1"/>
    <col min="3596" max="3596" width="8.85546875" style="9"/>
    <col min="3597" max="3597" width="14.28515625" style="9" bestFit="1" customWidth="1"/>
    <col min="3598" max="3598" width="10" style="9" customWidth="1"/>
    <col min="3599" max="3830" width="8.85546875" style="9"/>
    <col min="3831" max="3831" width="1.140625" style="9" customWidth="1"/>
    <col min="3832" max="3832" width="3.28515625" style="9" customWidth="1"/>
    <col min="3833" max="3833" width="2.42578125" style="9" customWidth="1"/>
    <col min="3834" max="3834" width="2.5703125" style="9" customWidth="1"/>
    <col min="3835" max="3835" width="2.85546875" style="9" customWidth="1"/>
    <col min="3836" max="3836" width="3" style="9" customWidth="1"/>
    <col min="3837" max="3837" width="24.7109375" style="9" customWidth="1"/>
    <col min="3838" max="3838" width="7.85546875" style="9" customWidth="1"/>
    <col min="3839" max="3839" width="7.42578125" style="9" customWidth="1"/>
    <col min="3840" max="3840" width="11.140625" style="9" customWidth="1"/>
    <col min="3841" max="3841" width="14.42578125" style="9" customWidth="1"/>
    <col min="3842" max="3842" width="3.42578125" style="9" customWidth="1"/>
    <col min="3843" max="3843" width="3" style="9" customWidth="1"/>
    <col min="3844" max="3844" width="3.28515625" style="9" customWidth="1"/>
    <col min="3845" max="3845" width="3.140625" style="9" customWidth="1"/>
    <col min="3846" max="3846" width="3.42578125" style="9" customWidth="1"/>
    <col min="3847" max="3847" width="24.7109375" style="9" customWidth="1"/>
    <col min="3848" max="3848" width="7.85546875" style="9" customWidth="1"/>
    <col min="3849" max="3849" width="7.28515625" style="9" customWidth="1"/>
    <col min="3850" max="3850" width="11.7109375" style="9" bestFit="1" customWidth="1"/>
    <col min="3851" max="3851" width="14.42578125" style="9" customWidth="1"/>
    <col min="3852" max="3852" width="8.85546875" style="9"/>
    <col min="3853" max="3853" width="14.28515625" style="9" bestFit="1" customWidth="1"/>
    <col min="3854" max="3854" width="10" style="9" customWidth="1"/>
    <col min="3855" max="4086" width="8.85546875" style="9"/>
    <col min="4087" max="4087" width="1.140625" style="9" customWidth="1"/>
    <col min="4088" max="4088" width="3.28515625" style="9" customWidth="1"/>
    <col min="4089" max="4089" width="2.42578125" style="9" customWidth="1"/>
    <col min="4090" max="4090" width="2.5703125" style="9" customWidth="1"/>
    <col min="4091" max="4091" width="2.85546875" style="9" customWidth="1"/>
    <col min="4092" max="4092" width="3" style="9" customWidth="1"/>
    <col min="4093" max="4093" width="24.7109375" style="9" customWidth="1"/>
    <col min="4094" max="4094" width="7.85546875" style="9" customWidth="1"/>
    <col min="4095" max="4095" width="7.42578125" style="9" customWidth="1"/>
    <col min="4096" max="4096" width="11.140625" style="9" customWidth="1"/>
    <col min="4097" max="4097" width="14.42578125" style="9" customWidth="1"/>
    <col min="4098" max="4098" width="3.42578125" style="9" customWidth="1"/>
    <col min="4099" max="4099" width="3" style="9" customWidth="1"/>
    <col min="4100" max="4100" width="3.28515625" style="9" customWidth="1"/>
    <col min="4101" max="4101" width="3.140625" style="9" customWidth="1"/>
    <col min="4102" max="4102" width="3.42578125" style="9" customWidth="1"/>
    <col min="4103" max="4103" width="24.7109375" style="9" customWidth="1"/>
    <col min="4104" max="4104" width="7.85546875" style="9" customWidth="1"/>
    <col min="4105" max="4105" width="7.28515625" style="9" customWidth="1"/>
    <col min="4106" max="4106" width="11.7109375" style="9" bestFit="1" customWidth="1"/>
    <col min="4107" max="4107" width="14.42578125" style="9" customWidth="1"/>
    <col min="4108" max="4108" width="8.85546875" style="9"/>
    <col min="4109" max="4109" width="14.28515625" style="9" bestFit="1" customWidth="1"/>
    <col min="4110" max="4110" width="10" style="9" customWidth="1"/>
    <col min="4111" max="4342" width="8.85546875" style="9"/>
    <col min="4343" max="4343" width="1.140625" style="9" customWidth="1"/>
    <col min="4344" max="4344" width="3.28515625" style="9" customWidth="1"/>
    <col min="4345" max="4345" width="2.42578125" style="9" customWidth="1"/>
    <col min="4346" max="4346" width="2.5703125" style="9" customWidth="1"/>
    <col min="4347" max="4347" width="2.85546875" style="9" customWidth="1"/>
    <col min="4348" max="4348" width="3" style="9" customWidth="1"/>
    <col min="4349" max="4349" width="24.7109375" style="9" customWidth="1"/>
    <col min="4350" max="4350" width="7.85546875" style="9" customWidth="1"/>
    <col min="4351" max="4351" width="7.42578125" style="9" customWidth="1"/>
    <col min="4352" max="4352" width="11.140625" style="9" customWidth="1"/>
    <col min="4353" max="4353" width="14.42578125" style="9" customWidth="1"/>
    <col min="4354" max="4354" width="3.42578125" style="9" customWidth="1"/>
    <col min="4355" max="4355" width="3" style="9" customWidth="1"/>
    <col min="4356" max="4356" width="3.28515625" style="9" customWidth="1"/>
    <col min="4357" max="4357" width="3.140625" style="9" customWidth="1"/>
    <col min="4358" max="4358" width="3.42578125" style="9" customWidth="1"/>
    <col min="4359" max="4359" width="24.7109375" style="9" customWidth="1"/>
    <col min="4360" max="4360" width="7.85546875" style="9" customWidth="1"/>
    <col min="4361" max="4361" width="7.28515625" style="9" customWidth="1"/>
    <col min="4362" max="4362" width="11.7109375" style="9" bestFit="1" customWidth="1"/>
    <col min="4363" max="4363" width="14.42578125" style="9" customWidth="1"/>
    <col min="4364" max="4364" width="8.85546875" style="9"/>
    <col min="4365" max="4365" width="14.28515625" style="9" bestFit="1" customWidth="1"/>
    <col min="4366" max="4366" width="10" style="9" customWidth="1"/>
    <col min="4367" max="4598" width="8.85546875" style="9"/>
    <col min="4599" max="4599" width="1.140625" style="9" customWidth="1"/>
    <col min="4600" max="4600" width="3.28515625" style="9" customWidth="1"/>
    <col min="4601" max="4601" width="2.42578125" style="9" customWidth="1"/>
    <col min="4602" max="4602" width="2.5703125" style="9" customWidth="1"/>
    <col min="4603" max="4603" width="2.85546875" style="9" customWidth="1"/>
    <col min="4604" max="4604" width="3" style="9" customWidth="1"/>
    <col min="4605" max="4605" width="24.7109375" style="9" customWidth="1"/>
    <col min="4606" max="4606" width="7.85546875" style="9" customWidth="1"/>
    <col min="4607" max="4607" width="7.42578125" style="9" customWidth="1"/>
    <col min="4608" max="4608" width="11.140625" style="9" customWidth="1"/>
    <col min="4609" max="4609" width="14.42578125" style="9" customWidth="1"/>
    <col min="4610" max="4610" width="3.42578125" style="9" customWidth="1"/>
    <col min="4611" max="4611" width="3" style="9" customWidth="1"/>
    <col min="4612" max="4612" width="3.28515625" style="9" customWidth="1"/>
    <col min="4613" max="4613" width="3.140625" style="9" customWidth="1"/>
    <col min="4614" max="4614" width="3.42578125" style="9" customWidth="1"/>
    <col min="4615" max="4615" width="24.7109375" style="9" customWidth="1"/>
    <col min="4616" max="4616" width="7.85546875" style="9" customWidth="1"/>
    <col min="4617" max="4617" width="7.28515625" style="9" customWidth="1"/>
    <col min="4618" max="4618" width="11.7109375" style="9" bestFit="1" customWidth="1"/>
    <col min="4619" max="4619" width="14.42578125" style="9" customWidth="1"/>
    <col min="4620" max="4620" width="8.85546875" style="9"/>
    <col min="4621" max="4621" width="14.28515625" style="9" bestFit="1" customWidth="1"/>
    <col min="4622" max="4622" width="10" style="9" customWidth="1"/>
    <col min="4623" max="4854" width="8.85546875" style="9"/>
    <col min="4855" max="4855" width="1.140625" style="9" customWidth="1"/>
    <col min="4856" max="4856" width="3.28515625" style="9" customWidth="1"/>
    <col min="4857" max="4857" width="2.42578125" style="9" customWidth="1"/>
    <col min="4858" max="4858" width="2.5703125" style="9" customWidth="1"/>
    <col min="4859" max="4859" width="2.85546875" style="9" customWidth="1"/>
    <col min="4860" max="4860" width="3" style="9" customWidth="1"/>
    <col min="4861" max="4861" width="24.7109375" style="9" customWidth="1"/>
    <col min="4862" max="4862" width="7.85546875" style="9" customWidth="1"/>
    <col min="4863" max="4863" width="7.42578125" style="9" customWidth="1"/>
    <col min="4864" max="4864" width="11.140625" style="9" customWidth="1"/>
    <col min="4865" max="4865" width="14.42578125" style="9" customWidth="1"/>
    <col min="4866" max="4866" width="3.42578125" style="9" customWidth="1"/>
    <col min="4867" max="4867" width="3" style="9" customWidth="1"/>
    <col min="4868" max="4868" width="3.28515625" style="9" customWidth="1"/>
    <col min="4869" max="4869" width="3.140625" style="9" customWidth="1"/>
    <col min="4870" max="4870" width="3.42578125" style="9" customWidth="1"/>
    <col min="4871" max="4871" width="24.7109375" style="9" customWidth="1"/>
    <col min="4872" max="4872" width="7.85546875" style="9" customWidth="1"/>
    <col min="4873" max="4873" width="7.28515625" style="9" customWidth="1"/>
    <col min="4874" max="4874" width="11.7109375" style="9" bestFit="1" customWidth="1"/>
    <col min="4875" max="4875" width="14.42578125" style="9" customWidth="1"/>
    <col min="4876" max="4876" width="8.85546875" style="9"/>
    <col min="4877" max="4877" width="14.28515625" style="9" bestFit="1" customWidth="1"/>
    <col min="4878" max="4878" width="10" style="9" customWidth="1"/>
    <col min="4879" max="5110" width="8.85546875" style="9"/>
    <col min="5111" max="5111" width="1.140625" style="9" customWidth="1"/>
    <col min="5112" max="5112" width="3.28515625" style="9" customWidth="1"/>
    <col min="5113" max="5113" width="2.42578125" style="9" customWidth="1"/>
    <col min="5114" max="5114" width="2.5703125" style="9" customWidth="1"/>
    <col min="5115" max="5115" width="2.85546875" style="9" customWidth="1"/>
    <col min="5116" max="5116" width="3" style="9" customWidth="1"/>
    <col min="5117" max="5117" width="24.7109375" style="9" customWidth="1"/>
    <col min="5118" max="5118" width="7.85546875" style="9" customWidth="1"/>
    <col min="5119" max="5119" width="7.42578125" style="9" customWidth="1"/>
    <col min="5120" max="5120" width="11.140625" style="9" customWidth="1"/>
    <col min="5121" max="5121" width="14.42578125" style="9" customWidth="1"/>
    <col min="5122" max="5122" width="3.42578125" style="9" customWidth="1"/>
    <col min="5123" max="5123" width="3" style="9" customWidth="1"/>
    <col min="5124" max="5124" width="3.28515625" style="9" customWidth="1"/>
    <col min="5125" max="5125" width="3.140625" style="9" customWidth="1"/>
    <col min="5126" max="5126" width="3.42578125" style="9" customWidth="1"/>
    <col min="5127" max="5127" width="24.7109375" style="9" customWidth="1"/>
    <col min="5128" max="5128" width="7.85546875" style="9" customWidth="1"/>
    <col min="5129" max="5129" width="7.28515625" style="9" customWidth="1"/>
    <col min="5130" max="5130" width="11.7109375" style="9" bestFit="1" customWidth="1"/>
    <col min="5131" max="5131" width="14.42578125" style="9" customWidth="1"/>
    <col min="5132" max="5132" width="8.85546875" style="9"/>
    <col min="5133" max="5133" width="14.28515625" style="9" bestFit="1" customWidth="1"/>
    <col min="5134" max="5134" width="10" style="9" customWidth="1"/>
    <col min="5135" max="5366" width="8.85546875" style="9"/>
    <col min="5367" max="5367" width="1.140625" style="9" customWidth="1"/>
    <col min="5368" max="5368" width="3.28515625" style="9" customWidth="1"/>
    <col min="5369" max="5369" width="2.42578125" style="9" customWidth="1"/>
    <col min="5370" max="5370" width="2.5703125" style="9" customWidth="1"/>
    <col min="5371" max="5371" width="2.85546875" style="9" customWidth="1"/>
    <col min="5372" max="5372" width="3" style="9" customWidth="1"/>
    <col min="5373" max="5373" width="24.7109375" style="9" customWidth="1"/>
    <col min="5374" max="5374" width="7.85546875" style="9" customWidth="1"/>
    <col min="5375" max="5375" width="7.42578125" style="9" customWidth="1"/>
    <col min="5376" max="5376" width="11.140625" style="9" customWidth="1"/>
    <col min="5377" max="5377" width="14.42578125" style="9" customWidth="1"/>
    <col min="5378" max="5378" width="3.42578125" style="9" customWidth="1"/>
    <col min="5379" max="5379" width="3" style="9" customWidth="1"/>
    <col min="5380" max="5380" width="3.28515625" style="9" customWidth="1"/>
    <col min="5381" max="5381" width="3.140625" style="9" customWidth="1"/>
    <col min="5382" max="5382" width="3.42578125" style="9" customWidth="1"/>
    <col min="5383" max="5383" width="24.7109375" style="9" customWidth="1"/>
    <col min="5384" max="5384" width="7.85546875" style="9" customWidth="1"/>
    <col min="5385" max="5385" width="7.28515625" style="9" customWidth="1"/>
    <col min="5386" max="5386" width="11.7109375" style="9" bestFit="1" customWidth="1"/>
    <col min="5387" max="5387" width="14.42578125" style="9" customWidth="1"/>
    <col min="5388" max="5388" width="8.85546875" style="9"/>
    <col min="5389" max="5389" width="14.28515625" style="9" bestFit="1" customWidth="1"/>
    <col min="5390" max="5390" width="10" style="9" customWidth="1"/>
    <col min="5391" max="5622" width="8.85546875" style="9"/>
    <col min="5623" max="5623" width="1.140625" style="9" customWidth="1"/>
    <col min="5624" max="5624" width="3.28515625" style="9" customWidth="1"/>
    <col min="5625" max="5625" width="2.42578125" style="9" customWidth="1"/>
    <col min="5626" max="5626" width="2.5703125" style="9" customWidth="1"/>
    <col min="5627" max="5627" width="2.85546875" style="9" customWidth="1"/>
    <col min="5628" max="5628" width="3" style="9" customWidth="1"/>
    <col min="5629" max="5629" width="24.7109375" style="9" customWidth="1"/>
    <col min="5630" max="5630" width="7.85546875" style="9" customWidth="1"/>
    <col min="5631" max="5631" width="7.42578125" style="9" customWidth="1"/>
    <col min="5632" max="5632" width="11.140625" style="9" customWidth="1"/>
    <col min="5633" max="5633" width="14.42578125" style="9" customWidth="1"/>
    <col min="5634" max="5634" width="3.42578125" style="9" customWidth="1"/>
    <col min="5635" max="5635" width="3" style="9" customWidth="1"/>
    <col min="5636" max="5636" width="3.28515625" style="9" customWidth="1"/>
    <col min="5637" max="5637" width="3.140625" style="9" customWidth="1"/>
    <col min="5638" max="5638" width="3.42578125" style="9" customWidth="1"/>
    <col min="5639" max="5639" width="24.7109375" style="9" customWidth="1"/>
    <col min="5640" max="5640" width="7.85546875" style="9" customWidth="1"/>
    <col min="5641" max="5641" width="7.28515625" style="9" customWidth="1"/>
    <col min="5642" max="5642" width="11.7109375" style="9" bestFit="1" customWidth="1"/>
    <col min="5643" max="5643" width="14.42578125" style="9" customWidth="1"/>
    <col min="5644" max="5644" width="8.85546875" style="9"/>
    <col min="5645" max="5645" width="14.28515625" style="9" bestFit="1" customWidth="1"/>
    <col min="5646" max="5646" width="10" style="9" customWidth="1"/>
    <col min="5647" max="5878" width="8.85546875" style="9"/>
    <col min="5879" max="5879" width="1.140625" style="9" customWidth="1"/>
    <col min="5880" max="5880" width="3.28515625" style="9" customWidth="1"/>
    <col min="5881" max="5881" width="2.42578125" style="9" customWidth="1"/>
    <col min="5882" max="5882" width="2.5703125" style="9" customWidth="1"/>
    <col min="5883" max="5883" width="2.85546875" style="9" customWidth="1"/>
    <col min="5884" max="5884" width="3" style="9" customWidth="1"/>
    <col min="5885" max="5885" width="24.7109375" style="9" customWidth="1"/>
    <col min="5886" max="5886" width="7.85546875" style="9" customWidth="1"/>
    <col min="5887" max="5887" width="7.42578125" style="9" customWidth="1"/>
    <col min="5888" max="5888" width="11.140625" style="9" customWidth="1"/>
    <col min="5889" max="5889" width="14.42578125" style="9" customWidth="1"/>
    <col min="5890" max="5890" width="3.42578125" style="9" customWidth="1"/>
    <col min="5891" max="5891" width="3" style="9" customWidth="1"/>
    <col min="5892" max="5892" width="3.28515625" style="9" customWidth="1"/>
    <col min="5893" max="5893" width="3.140625" style="9" customWidth="1"/>
    <col min="5894" max="5894" width="3.42578125" style="9" customWidth="1"/>
    <col min="5895" max="5895" width="24.7109375" style="9" customWidth="1"/>
    <col min="5896" max="5896" width="7.85546875" style="9" customWidth="1"/>
    <col min="5897" max="5897" width="7.28515625" style="9" customWidth="1"/>
    <col min="5898" max="5898" width="11.7109375" style="9" bestFit="1" customWidth="1"/>
    <col min="5899" max="5899" width="14.42578125" style="9" customWidth="1"/>
    <col min="5900" max="5900" width="8.85546875" style="9"/>
    <col min="5901" max="5901" width="14.28515625" style="9" bestFit="1" customWidth="1"/>
    <col min="5902" max="5902" width="10" style="9" customWidth="1"/>
    <col min="5903" max="6134" width="8.85546875" style="9"/>
    <col min="6135" max="6135" width="1.140625" style="9" customWidth="1"/>
    <col min="6136" max="6136" width="3.28515625" style="9" customWidth="1"/>
    <col min="6137" max="6137" width="2.42578125" style="9" customWidth="1"/>
    <col min="6138" max="6138" width="2.5703125" style="9" customWidth="1"/>
    <col min="6139" max="6139" width="2.85546875" style="9" customWidth="1"/>
    <col min="6140" max="6140" width="3" style="9" customWidth="1"/>
    <col min="6141" max="6141" width="24.7109375" style="9" customWidth="1"/>
    <col min="6142" max="6142" width="7.85546875" style="9" customWidth="1"/>
    <col min="6143" max="6143" width="7.42578125" style="9" customWidth="1"/>
    <col min="6144" max="6144" width="11.140625" style="9" customWidth="1"/>
    <col min="6145" max="6145" width="14.42578125" style="9" customWidth="1"/>
    <col min="6146" max="6146" width="3.42578125" style="9" customWidth="1"/>
    <col min="6147" max="6147" width="3" style="9" customWidth="1"/>
    <col min="6148" max="6148" width="3.28515625" style="9" customWidth="1"/>
    <col min="6149" max="6149" width="3.140625" style="9" customWidth="1"/>
    <col min="6150" max="6150" width="3.42578125" style="9" customWidth="1"/>
    <col min="6151" max="6151" width="24.7109375" style="9" customWidth="1"/>
    <col min="6152" max="6152" width="7.85546875" style="9" customWidth="1"/>
    <col min="6153" max="6153" width="7.28515625" style="9" customWidth="1"/>
    <col min="6154" max="6154" width="11.7109375" style="9" bestFit="1" customWidth="1"/>
    <col min="6155" max="6155" width="14.42578125" style="9" customWidth="1"/>
    <col min="6156" max="6156" width="8.85546875" style="9"/>
    <col min="6157" max="6157" width="14.28515625" style="9" bestFit="1" customWidth="1"/>
    <col min="6158" max="6158" width="10" style="9" customWidth="1"/>
    <col min="6159" max="6390" width="8.85546875" style="9"/>
    <col min="6391" max="6391" width="1.140625" style="9" customWidth="1"/>
    <col min="6392" max="6392" width="3.28515625" style="9" customWidth="1"/>
    <col min="6393" max="6393" width="2.42578125" style="9" customWidth="1"/>
    <col min="6394" max="6394" width="2.5703125" style="9" customWidth="1"/>
    <col min="6395" max="6395" width="2.85546875" style="9" customWidth="1"/>
    <col min="6396" max="6396" width="3" style="9" customWidth="1"/>
    <col min="6397" max="6397" width="24.7109375" style="9" customWidth="1"/>
    <col min="6398" max="6398" width="7.85546875" style="9" customWidth="1"/>
    <col min="6399" max="6399" width="7.42578125" style="9" customWidth="1"/>
    <col min="6400" max="6400" width="11.140625" style="9" customWidth="1"/>
    <col min="6401" max="6401" width="14.42578125" style="9" customWidth="1"/>
    <col min="6402" max="6402" width="3.42578125" style="9" customWidth="1"/>
    <col min="6403" max="6403" width="3" style="9" customWidth="1"/>
    <col min="6404" max="6404" width="3.28515625" style="9" customWidth="1"/>
    <col min="6405" max="6405" width="3.140625" style="9" customWidth="1"/>
    <col min="6406" max="6406" width="3.42578125" style="9" customWidth="1"/>
    <col min="6407" max="6407" width="24.7109375" style="9" customWidth="1"/>
    <col min="6408" max="6408" width="7.85546875" style="9" customWidth="1"/>
    <col min="6409" max="6409" width="7.28515625" style="9" customWidth="1"/>
    <col min="6410" max="6410" width="11.7109375" style="9" bestFit="1" customWidth="1"/>
    <col min="6411" max="6411" width="14.42578125" style="9" customWidth="1"/>
    <col min="6412" max="6412" width="8.85546875" style="9"/>
    <col min="6413" max="6413" width="14.28515625" style="9" bestFit="1" customWidth="1"/>
    <col min="6414" max="6414" width="10" style="9" customWidth="1"/>
    <col min="6415" max="6646" width="8.85546875" style="9"/>
    <col min="6647" max="6647" width="1.140625" style="9" customWidth="1"/>
    <col min="6648" max="6648" width="3.28515625" style="9" customWidth="1"/>
    <col min="6649" max="6649" width="2.42578125" style="9" customWidth="1"/>
    <col min="6650" max="6650" width="2.5703125" style="9" customWidth="1"/>
    <col min="6651" max="6651" width="2.85546875" style="9" customWidth="1"/>
    <col min="6652" max="6652" width="3" style="9" customWidth="1"/>
    <col min="6653" max="6653" width="24.7109375" style="9" customWidth="1"/>
    <col min="6654" max="6654" width="7.85546875" style="9" customWidth="1"/>
    <col min="6655" max="6655" width="7.42578125" style="9" customWidth="1"/>
    <col min="6656" max="6656" width="11.140625" style="9" customWidth="1"/>
    <col min="6657" max="6657" width="14.42578125" style="9" customWidth="1"/>
    <col min="6658" max="6658" width="3.42578125" style="9" customWidth="1"/>
    <col min="6659" max="6659" width="3" style="9" customWidth="1"/>
    <col min="6660" max="6660" width="3.28515625" style="9" customWidth="1"/>
    <col min="6661" max="6661" width="3.140625" style="9" customWidth="1"/>
    <col min="6662" max="6662" width="3.42578125" style="9" customWidth="1"/>
    <col min="6663" max="6663" width="24.7109375" style="9" customWidth="1"/>
    <col min="6664" max="6664" width="7.85546875" style="9" customWidth="1"/>
    <col min="6665" max="6665" width="7.28515625" style="9" customWidth="1"/>
    <col min="6666" max="6666" width="11.7109375" style="9" bestFit="1" customWidth="1"/>
    <col min="6667" max="6667" width="14.42578125" style="9" customWidth="1"/>
    <col min="6668" max="6668" width="8.85546875" style="9"/>
    <col min="6669" max="6669" width="14.28515625" style="9" bestFit="1" customWidth="1"/>
    <col min="6670" max="6670" width="10" style="9" customWidth="1"/>
    <col min="6671" max="6902" width="8.85546875" style="9"/>
    <col min="6903" max="6903" width="1.140625" style="9" customWidth="1"/>
    <col min="6904" max="6904" width="3.28515625" style="9" customWidth="1"/>
    <col min="6905" max="6905" width="2.42578125" style="9" customWidth="1"/>
    <col min="6906" max="6906" width="2.5703125" style="9" customWidth="1"/>
    <col min="6907" max="6907" width="2.85546875" style="9" customWidth="1"/>
    <col min="6908" max="6908" width="3" style="9" customWidth="1"/>
    <col min="6909" max="6909" width="24.7109375" style="9" customWidth="1"/>
    <col min="6910" max="6910" width="7.85546875" style="9" customWidth="1"/>
    <col min="6911" max="6911" width="7.42578125" style="9" customWidth="1"/>
    <col min="6912" max="6912" width="11.140625" style="9" customWidth="1"/>
    <col min="6913" max="6913" width="14.42578125" style="9" customWidth="1"/>
    <col min="6914" max="6914" width="3.42578125" style="9" customWidth="1"/>
    <col min="6915" max="6915" width="3" style="9" customWidth="1"/>
    <col min="6916" max="6916" width="3.28515625" style="9" customWidth="1"/>
    <col min="6917" max="6917" width="3.140625" style="9" customWidth="1"/>
    <col min="6918" max="6918" width="3.42578125" style="9" customWidth="1"/>
    <col min="6919" max="6919" width="24.7109375" style="9" customWidth="1"/>
    <col min="6920" max="6920" width="7.85546875" style="9" customWidth="1"/>
    <col min="6921" max="6921" width="7.28515625" style="9" customWidth="1"/>
    <col min="6922" max="6922" width="11.7109375" style="9" bestFit="1" customWidth="1"/>
    <col min="6923" max="6923" width="14.42578125" style="9" customWidth="1"/>
    <col min="6924" max="6924" width="8.85546875" style="9"/>
    <col min="6925" max="6925" width="14.28515625" style="9" bestFit="1" customWidth="1"/>
    <col min="6926" max="6926" width="10" style="9" customWidth="1"/>
    <col min="6927" max="7158" width="8.85546875" style="9"/>
    <col min="7159" max="7159" width="1.140625" style="9" customWidth="1"/>
    <col min="7160" max="7160" width="3.28515625" style="9" customWidth="1"/>
    <col min="7161" max="7161" width="2.42578125" style="9" customWidth="1"/>
    <col min="7162" max="7162" width="2.5703125" style="9" customWidth="1"/>
    <col min="7163" max="7163" width="2.85546875" style="9" customWidth="1"/>
    <col min="7164" max="7164" width="3" style="9" customWidth="1"/>
    <col min="7165" max="7165" width="24.7109375" style="9" customWidth="1"/>
    <col min="7166" max="7166" width="7.85546875" style="9" customWidth="1"/>
    <col min="7167" max="7167" width="7.42578125" style="9" customWidth="1"/>
    <col min="7168" max="7168" width="11.140625" style="9" customWidth="1"/>
    <col min="7169" max="7169" width="14.42578125" style="9" customWidth="1"/>
    <col min="7170" max="7170" width="3.42578125" style="9" customWidth="1"/>
    <col min="7171" max="7171" width="3" style="9" customWidth="1"/>
    <col min="7172" max="7172" width="3.28515625" style="9" customWidth="1"/>
    <col min="7173" max="7173" width="3.140625" style="9" customWidth="1"/>
    <col min="7174" max="7174" width="3.42578125" style="9" customWidth="1"/>
    <col min="7175" max="7175" width="24.7109375" style="9" customWidth="1"/>
    <col min="7176" max="7176" width="7.85546875" style="9" customWidth="1"/>
    <col min="7177" max="7177" width="7.28515625" style="9" customWidth="1"/>
    <col min="7178" max="7178" width="11.7109375" style="9" bestFit="1" customWidth="1"/>
    <col min="7179" max="7179" width="14.42578125" style="9" customWidth="1"/>
    <col min="7180" max="7180" width="8.85546875" style="9"/>
    <col min="7181" max="7181" width="14.28515625" style="9" bestFit="1" customWidth="1"/>
    <col min="7182" max="7182" width="10" style="9" customWidth="1"/>
    <col min="7183" max="7414" width="8.85546875" style="9"/>
    <col min="7415" max="7415" width="1.140625" style="9" customWidth="1"/>
    <col min="7416" max="7416" width="3.28515625" style="9" customWidth="1"/>
    <col min="7417" max="7417" width="2.42578125" style="9" customWidth="1"/>
    <col min="7418" max="7418" width="2.5703125" style="9" customWidth="1"/>
    <col min="7419" max="7419" width="2.85546875" style="9" customWidth="1"/>
    <col min="7420" max="7420" width="3" style="9" customWidth="1"/>
    <col min="7421" max="7421" width="24.7109375" style="9" customWidth="1"/>
    <col min="7422" max="7422" width="7.85546875" style="9" customWidth="1"/>
    <col min="7423" max="7423" width="7.42578125" style="9" customWidth="1"/>
    <col min="7424" max="7424" width="11.140625" style="9" customWidth="1"/>
    <col min="7425" max="7425" width="14.42578125" style="9" customWidth="1"/>
    <col min="7426" max="7426" width="3.42578125" style="9" customWidth="1"/>
    <col min="7427" max="7427" width="3" style="9" customWidth="1"/>
    <col min="7428" max="7428" width="3.28515625" style="9" customWidth="1"/>
    <col min="7429" max="7429" width="3.140625" style="9" customWidth="1"/>
    <col min="7430" max="7430" width="3.42578125" style="9" customWidth="1"/>
    <col min="7431" max="7431" width="24.7109375" style="9" customWidth="1"/>
    <col min="7432" max="7432" width="7.85546875" style="9" customWidth="1"/>
    <col min="7433" max="7433" width="7.28515625" style="9" customWidth="1"/>
    <col min="7434" max="7434" width="11.7109375" style="9" bestFit="1" customWidth="1"/>
    <col min="7435" max="7435" width="14.42578125" style="9" customWidth="1"/>
    <col min="7436" max="7436" width="8.85546875" style="9"/>
    <col min="7437" max="7437" width="14.28515625" style="9" bestFit="1" customWidth="1"/>
    <col min="7438" max="7438" width="10" style="9" customWidth="1"/>
    <col min="7439" max="7670" width="8.85546875" style="9"/>
    <col min="7671" max="7671" width="1.140625" style="9" customWidth="1"/>
    <col min="7672" max="7672" width="3.28515625" style="9" customWidth="1"/>
    <col min="7673" max="7673" width="2.42578125" style="9" customWidth="1"/>
    <col min="7674" max="7674" width="2.5703125" style="9" customWidth="1"/>
    <col min="7675" max="7675" width="2.85546875" style="9" customWidth="1"/>
    <col min="7676" max="7676" width="3" style="9" customWidth="1"/>
    <col min="7677" max="7677" width="24.7109375" style="9" customWidth="1"/>
    <col min="7678" max="7678" width="7.85546875" style="9" customWidth="1"/>
    <col min="7679" max="7679" width="7.42578125" style="9" customWidth="1"/>
    <col min="7680" max="7680" width="11.140625" style="9" customWidth="1"/>
    <col min="7681" max="7681" width="14.42578125" style="9" customWidth="1"/>
    <col min="7682" max="7682" width="3.42578125" style="9" customWidth="1"/>
    <col min="7683" max="7683" width="3" style="9" customWidth="1"/>
    <col min="7684" max="7684" width="3.28515625" style="9" customWidth="1"/>
    <col min="7685" max="7685" width="3.140625" style="9" customWidth="1"/>
    <col min="7686" max="7686" width="3.42578125" style="9" customWidth="1"/>
    <col min="7687" max="7687" width="24.7109375" style="9" customWidth="1"/>
    <col min="7688" max="7688" width="7.85546875" style="9" customWidth="1"/>
    <col min="7689" max="7689" width="7.28515625" style="9" customWidth="1"/>
    <col min="7690" max="7690" width="11.7109375" style="9" bestFit="1" customWidth="1"/>
    <col min="7691" max="7691" width="14.42578125" style="9" customWidth="1"/>
    <col min="7692" max="7692" width="8.85546875" style="9"/>
    <col min="7693" max="7693" width="14.28515625" style="9" bestFit="1" customWidth="1"/>
    <col min="7694" max="7694" width="10" style="9" customWidth="1"/>
    <col min="7695" max="7926" width="8.85546875" style="9"/>
    <col min="7927" max="7927" width="1.140625" style="9" customWidth="1"/>
    <col min="7928" max="7928" width="3.28515625" style="9" customWidth="1"/>
    <col min="7929" max="7929" width="2.42578125" style="9" customWidth="1"/>
    <col min="7930" max="7930" width="2.5703125" style="9" customWidth="1"/>
    <col min="7931" max="7931" width="2.85546875" style="9" customWidth="1"/>
    <col min="7932" max="7932" width="3" style="9" customWidth="1"/>
    <col min="7933" max="7933" width="24.7109375" style="9" customWidth="1"/>
    <col min="7934" max="7934" width="7.85546875" style="9" customWidth="1"/>
    <col min="7935" max="7935" width="7.42578125" style="9" customWidth="1"/>
    <col min="7936" max="7936" width="11.140625" style="9" customWidth="1"/>
    <col min="7937" max="7937" width="14.42578125" style="9" customWidth="1"/>
    <col min="7938" max="7938" width="3.42578125" style="9" customWidth="1"/>
    <col min="7939" max="7939" width="3" style="9" customWidth="1"/>
    <col min="7940" max="7940" width="3.28515625" style="9" customWidth="1"/>
    <col min="7941" max="7941" width="3.140625" style="9" customWidth="1"/>
    <col min="7942" max="7942" width="3.42578125" style="9" customWidth="1"/>
    <col min="7943" max="7943" width="24.7109375" style="9" customWidth="1"/>
    <col min="7944" max="7944" width="7.85546875" style="9" customWidth="1"/>
    <col min="7945" max="7945" width="7.28515625" style="9" customWidth="1"/>
    <col min="7946" max="7946" width="11.7109375" style="9" bestFit="1" customWidth="1"/>
    <col min="7947" max="7947" width="14.42578125" style="9" customWidth="1"/>
    <col min="7948" max="7948" width="8.85546875" style="9"/>
    <col min="7949" max="7949" width="14.28515625" style="9" bestFit="1" customWidth="1"/>
    <col min="7950" max="7950" width="10" style="9" customWidth="1"/>
    <col min="7951" max="8182" width="8.85546875" style="9"/>
    <col min="8183" max="8183" width="1.140625" style="9" customWidth="1"/>
    <col min="8184" max="8184" width="3.28515625" style="9" customWidth="1"/>
    <col min="8185" max="8185" width="2.42578125" style="9" customWidth="1"/>
    <col min="8186" max="8186" width="2.5703125" style="9" customWidth="1"/>
    <col min="8187" max="8187" width="2.85546875" style="9" customWidth="1"/>
    <col min="8188" max="8188" width="3" style="9" customWidth="1"/>
    <col min="8189" max="8189" width="24.7109375" style="9" customWidth="1"/>
    <col min="8190" max="8190" width="7.85546875" style="9" customWidth="1"/>
    <col min="8191" max="8191" width="7.42578125" style="9" customWidth="1"/>
    <col min="8192" max="8192" width="11.140625" style="9" customWidth="1"/>
    <col min="8193" max="8193" width="14.42578125" style="9" customWidth="1"/>
    <col min="8194" max="8194" width="3.42578125" style="9" customWidth="1"/>
    <col min="8195" max="8195" width="3" style="9" customWidth="1"/>
    <col min="8196" max="8196" width="3.28515625" style="9" customWidth="1"/>
    <col min="8197" max="8197" width="3.140625" style="9" customWidth="1"/>
    <col min="8198" max="8198" width="3.42578125" style="9" customWidth="1"/>
    <col min="8199" max="8199" width="24.7109375" style="9" customWidth="1"/>
    <col min="8200" max="8200" width="7.85546875" style="9" customWidth="1"/>
    <col min="8201" max="8201" width="7.28515625" style="9" customWidth="1"/>
    <col min="8202" max="8202" width="11.7109375" style="9" bestFit="1" customWidth="1"/>
    <col min="8203" max="8203" width="14.42578125" style="9" customWidth="1"/>
    <col min="8204" max="8204" width="8.85546875" style="9"/>
    <col min="8205" max="8205" width="14.28515625" style="9" bestFit="1" customWidth="1"/>
    <col min="8206" max="8206" width="10" style="9" customWidth="1"/>
    <col min="8207" max="8438" width="8.85546875" style="9"/>
    <col min="8439" max="8439" width="1.140625" style="9" customWidth="1"/>
    <col min="8440" max="8440" width="3.28515625" style="9" customWidth="1"/>
    <col min="8441" max="8441" width="2.42578125" style="9" customWidth="1"/>
    <col min="8442" max="8442" width="2.5703125" style="9" customWidth="1"/>
    <col min="8443" max="8443" width="2.85546875" style="9" customWidth="1"/>
    <col min="8444" max="8444" width="3" style="9" customWidth="1"/>
    <col min="8445" max="8445" width="24.7109375" style="9" customWidth="1"/>
    <col min="8446" max="8446" width="7.85546875" style="9" customWidth="1"/>
    <col min="8447" max="8447" width="7.42578125" style="9" customWidth="1"/>
    <col min="8448" max="8448" width="11.140625" style="9" customWidth="1"/>
    <col min="8449" max="8449" width="14.42578125" style="9" customWidth="1"/>
    <col min="8450" max="8450" width="3.42578125" style="9" customWidth="1"/>
    <col min="8451" max="8451" width="3" style="9" customWidth="1"/>
    <col min="8452" max="8452" width="3.28515625" style="9" customWidth="1"/>
    <col min="8453" max="8453" width="3.140625" style="9" customWidth="1"/>
    <col min="8454" max="8454" width="3.42578125" style="9" customWidth="1"/>
    <col min="8455" max="8455" width="24.7109375" style="9" customWidth="1"/>
    <col min="8456" max="8456" width="7.85546875" style="9" customWidth="1"/>
    <col min="8457" max="8457" width="7.28515625" style="9" customWidth="1"/>
    <col min="8458" max="8458" width="11.7109375" style="9" bestFit="1" customWidth="1"/>
    <col min="8459" max="8459" width="14.42578125" style="9" customWidth="1"/>
    <col min="8460" max="8460" width="8.85546875" style="9"/>
    <col min="8461" max="8461" width="14.28515625" style="9" bestFit="1" customWidth="1"/>
    <col min="8462" max="8462" width="10" style="9" customWidth="1"/>
    <col min="8463" max="8694" width="8.85546875" style="9"/>
    <col min="8695" max="8695" width="1.140625" style="9" customWidth="1"/>
    <col min="8696" max="8696" width="3.28515625" style="9" customWidth="1"/>
    <col min="8697" max="8697" width="2.42578125" style="9" customWidth="1"/>
    <col min="8698" max="8698" width="2.5703125" style="9" customWidth="1"/>
    <col min="8699" max="8699" width="2.85546875" style="9" customWidth="1"/>
    <col min="8700" max="8700" width="3" style="9" customWidth="1"/>
    <col min="8701" max="8701" width="24.7109375" style="9" customWidth="1"/>
    <col min="8702" max="8702" width="7.85546875" style="9" customWidth="1"/>
    <col min="8703" max="8703" width="7.42578125" style="9" customWidth="1"/>
    <col min="8704" max="8704" width="11.140625" style="9" customWidth="1"/>
    <col min="8705" max="8705" width="14.42578125" style="9" customWidth="1"/>
    <col min="8706" max="8706" width="3.42578125" style="9" customWidth="1"/>
    <col min="8707" max="8707" width="3" style="9" customWidth="1"/>
    <col min="8708" max="8708" width="3.28515625" style="9" customWidth="1"/>
    <col min="8709" max="8709" width="3.140625" style="9" customWidth="1"/>
    <col min="8710" max="8710" width="3.42578125" style="9" customWidth="1"/>
    <col min="8711" max="8711" width="24.7109375" style="9" customWidth="1"/>
    <col min="8712" max="8712" width="7.85546875" style="9" customWidth="1"/>
    <col min="8713" max="8713" width="7.28515625" style="9" customWidth="1"/>
    <col min="8714" max="8714" width="11.7109375" style="9" bestFit="1" customWidth="1"/>
    <col min="8715" max="8715" width="14.42578125" style="9" customWidth="1"/>
    <col min="8716" max="8716" width="8.85546875" style="9"/>
    <col min="8717" max="8717" width="14.28515625" style="9" bestFit="1" customWidth="1"/>
    <col min="8718" max="8718" width="10" style="9" customWidth="1"/>
    <col min="8719" max="8950" width="8.85546875" style="9"/>
    <col min="8951" max="8951" width="1.140625" style="9" customWidth="1"/>
    <col min="8952" max="8952" width="3.28515625" style="9" customWidth="1"/>
    <col min="8953" max="8953" width="2.42578125" style="9" customWidth="1"/>
    <col min="8954" max="8954" width="2.5703125" style="9" customWidth="1"/>
    <col min="8955" max="8955" width="2.85546875" style="9" customWidth="1"/>
    <col min="8956" max="8956" width="3" style="9" customWidth="1"/>
    <col min="8957" max="8957" width="24.7109375" style="9" customWidth="1"/>
    <col min="8958" max="8958" width="7.85546875" style="9" customWidth="1"/>
    <col min="8959" max="8959" width="7.42578125" style="9" customWidth="1"/>
    <col min="8960" max="8960" width="11.140625" style="9" customWidth="1"/>
    <col min="8961" max="8961" width="14.42578125" style="9" customWidth="1"/>
    <col min="8962" max="8962" width="3.42578125" style="9" customWidth="1"/>
    <col min="8963" max="8963" width="3" style="9" customWidth="1"/>
    <col min="8964" max="8964" width="3.28515625" style="9" customWidth="1"/>
    <col min="8965" max="8965" width="3.140625" style="9" customWidth="1"/>
    <col min="8966" max="8966" width="3.42578125" style="9" customWidth="1"/>
    <col min="8967" max="8967" width="24.7109375" style="9" customWidth="1"/>
    <col min="8968" max="8968" width="7.85546875" style="9" customWidth="1"/>
    <col min="8969" max="8969" width="7.28515625" style="9" customWidth="1"/>
    <col min="8970" max="8970" width="11.7109375" style="9" bestFit="1" customWidth="1"/>
    <col min="8971" max="8971" width="14.42578125" style="9" customWidth="1"/>
    <col min="8972" max="8972" width="8.85546875" style="9"/>
    <col min="8973" max="8973" width="14.28515625" style="9" bestFit="1" customWidth="1"/>
    <col min="8974" max="8974" width="10" style="9" customWidth="1"/>
    <col min="8975" max="9206" width="8.85546875" style="9"/>
    <col min="9207" max="9207" width="1.140625" style="9" customWidth="1"/>
    <col min="9208" max="9208" width="3.28515625" style="9" customWidth="1"/>
    <col min="9209" max="9209" width="2.42578125" style="9" customWidth="1"/>
    <col min="9210" max="9210" width="2.5703125" style="9" customWidth="1"/>
    <col min="9211" max="9211" width="2.85546875" style="9" customWidth="1"/>
    <col min="9212" max="9212" width="3" style="9" customWidth="1"/>
    <col min="9213" max="9213" width="24.7109375" style="9" customWidth="1"/>
    <col min="9214" max="9214" width="7.85546875" style="9" customWidth="1"/>
    <col min="9215" max="9215" width="7.42578125" style="9" customWidth="1"/>
    <col min="9216" max="9216" width="11.140625" style="9" customWidth="1"/>
    <col min="9217" max="9217" width="14.42578125" style="9" customWidth="1"/>
    <col min="9218" max="9218" width="3.42578125" style="9" customWidth="1"/>
    <col min="9219" max="9219" width="3" style="9" customWidth="1"/>
    <col min="9220" max="9220" width="3.28515625" style="9" customWidth="1"/>
    <col min="9221" max="9221" width="3.140625" style="9" customWidth="1"/>
    <col min="9222" max="9222" width="3.42578125" style="9" customWidth="1"/>
    <col min="9223" max="9223" width="24.7109375" style="9" customWidth="1"/>
    <col min="9224" max="9224" width="7.85546875" style="9" customWidth="1"/>
    <col min="9225" max="9225" width="7.28515625" style="9" customWidth="1"/>
    <col min="9226" max="9226" width="11.7109375" style="9" bestFit="1" customWidth="1"/>
    <col min="9227" max="9227" width="14.42578125" style="9" customWidth="1"/>
    <col min="9228" max="9228" width="8.85546875" style="9"/>
    <col min="9229" max="9229" width="14.28515625" style="9" bestFit="1" customWidth="1"/>
    <col min="9230" max="9230" width="10" style="9" customWidth="1"/>
    <col min="9231" max="9462" width="8.85546875" style="9"/>
    <col min="9463" max="9463" width="1.140625" style="9" customWidth="1"/>
    <col min="9464" max="9464" width="3.28515625" style="9" customWidth="1"/>
    <col min="9465" max="9465" width="2.42578125" style="9" customWidth="1"/>
    <col min="9466" max="9466" width="2.5703125" style="9" customWidth="1"/>
    <col min="9467" max="9467" width="2.85546875" style="9" customWidth="1"/>
    <col min="9468" max="9468" width="3" style="9" customWidth="1"/>
    <col min="9469" max="9469" width="24.7109375" style="9" customWidth="1"/>
    <col min="9470" max="9470" width="7.85546875" style="9" customWidth="1"/>
    <col min="9471" max="9471" width="7.42578125" style="9" customWidth="1"/>
    <col min="9472" max="9472" width="11.140625" style="9" customWidth="1"/>
    <col min="9473" max="9473" width="14.42578125" style="9" customWidth="1"/>
    <col min="9474" max="9474" width="3.42578125" style="9" customWidth="1"/>
    <col min="9475" max="9475" width="3" style="9" customWidth="1"/>
    <col min="9476" max="9476" width="3.28515625" style="9" customWidth="1"/>
    <col min="9477" max="9477" width="3.140625" style="9" customWidth="1"/>
    <col min="9478" max="9478" width="3.42578125" style="9" customWidth="1"/>
    <col min="9479" max="9479" width="24.7109375" style="9" customWidth="1"/>
    <col min="9480" max="9480" width="7.85546875" style="9" customWidth="1"/>
    <col min="9481" max="9481" width="7.28515625" style="9" customWidth="1"/>
    <col min="9482" max="9482" width="11.7109375" style="9" bestFit="1" customWidth="1"/>
    <col min="9483" max="9483" width="14.42578125" style="9" customWidth="1"/>
    <col min="9484" max="9484" width="8.85546875" style="9"/>
    <col min="9485" max="9485" width="14.28515625" style="9" bestFit="1" customWidth="1"/>
    <col min="9486" max="9486" width="10" style="9" customWidth="1"/>
    <col min="9487" max="9718" width="8.85546875" style="9"/>
    <col min="9719" max="9719" width="1.140625" style="9" customWidth="1"/>
    <col min="9720" max="9720" width="3.28515625" style="9" customWidth="1"/>
    <col min="9721" max="9721" width="2.42578125" style="9" customWidth="1"/>
    <col min="9722" max="9722" width="2.5703125" style="9" customWidth="1"/>
    <col min="9723" max="9723" width="2.85546875" style="9" customWidth="1"/>
    <col min="9724" max="9724" width="3" style="9" customWidth="1"/>
    <col min="9725" max="9725" width="24.7109375" style="9" customWidth="1"/>
    <col min="9726" max="9726" width="7.85546875" style="9" customWidth="1"/>
    <col min="9727" max="9727" width="7.42578125" style="9" customWidth="1"/>
    <col min="9728" max="9728" width="11.140625" style="9" customWidth="1"/>
    <col min="9729" max="9729" width="14.42578125" style="9" customWidth="1"/>
    <col min="9730" max="9730" width="3.42578125" style="9" customWidth="1"/>
    <col min="9731" max="9731" width="3" style="9" customWidth="1"/>
    <col min="9732" max="9732" width="3.28515625" style="9" customWidth="1"/>
    <col min="9733" max="9733" width="3.140625" style="9" customWidth="1"/>
    <col min="9734" max="9734" width="3.42578125" style="9" customWidth="1"/>
    <col min="9735" max="9735" width="24.7109375" style="9" customWidth="1"/>
    <col min="9736" max="9736" width="7.85546875" style="9" customWidth="1"/>
    <col min="9737" max="9737" width="7.28515625" style="9" customWidth="1"/>
    <col min="9738" max="9738" width="11.7109375" style="9" bestFit="1" customWidth="1"/>
    <col min="9739" max="9739" width="14.42578125" style="9" customWidth="1"/>
    <col min="9740" max="9740" width="8.85546875" style="9"/>
    <col min="9741" max="9741" width="14.28515625" style="9" bestFit="1" customWidth="1"/>
    <col min="9742" max="9742" width="10" style="9" customWidth="1"/>
    <col min="9743" max="9974" width="8.85546875" style="9"/>
    <col min="9975" max="9975" width="1.140625" style="9" customWidth="1"/>
    <col min="9976" max="9976" width="3.28515625" style="9" customWidth="1"/>
    <col min="9977" max="9977" width="2.42578125" style="9" customWidth="1"/>
    <col min="9978" max="9978" width="2.5703125" style="9" customWidth="1"/>
    <col min="9979" max="9979" width="2.85546875" style="9" customWidth="1"/>
    <col min="9980" max="9980" width="3" style="9" customWidth="1"/>
    <col min="9981" max="9981" width="24.7109375" style="9" customWidth="1"/>
    <col min="9982" max="9982" width="7.85546875" style="9" customWidth="1"/>
    <col min="9983" max="9983" width="7.42578125" style="9" customWidth="1"/>
    <col min="9984" max="9984" width="11.140625" style="9" customWidth="1"/>
    <col min="9985" max="9985" width="14.42578125" style="9" customWidth="1"/>
    <col min="9986" max="9986" width="3.42578125" style="9" customWidth="1"/>
    <col min="9987" max="9987" width="3" style="9" customWidth="1"/>
    <col min="9988" max="9988" width="3.28515625" style="9" customWidth="1"/>
    <col min="9989" max="9989" width="3.140625" style="9" customWidth="1"/>
    <col min="9990" max="9990" width="3.42578125" style="9" customWidth="1"/>
    <col min="9991" max="9991" width="24.7109375" style="9" customWidth="1"/>
    <col min="9992" max="9992" width="7.85546875" style="9" customWidth="1"/>
    <col min="9993" max="9993" width="7.28515625" style="9" customWidth="1"/>
    <col min="9994" max="9994" width="11.7109375" style="9" bestFit="1" customWidth="1"/>
    <col min="9995" max="9995" width="14.42578125" style="9" customWidth="1"/>
    <col min="9996" max="9996" width="8.85546875" style="9"/>
    <col min="9997" max="9997" width="14.28515625" style="9" bestFit="1" customWidth="1"/>
    <col min="9998" max="9998" width="10" style="9" customWidth="1"/>
    <col min="9999" max="10230" width="8.85546875" style="9"/>
    <col min="10231" max="10231" width="1.140625" style="9" customWidth="1"/>
    <col min="10232" max="10232" width="3.28515625" style="9" customWidth="1"/>
    <col min="10233" max="10233" width="2.42578125" style="9" customWidth="1"/>
    <col min="10234" max="10234" width="2.5703125" style="9" customWidth="1"/>
    <col min="10235" max="10235" width="2.85546875" style="9" customWidth="1"/>
    <col min="10236" max="10236" width="3" style="9" customWidth="1"/>
    <col min="10237" max="10237" width="24.7109375" style="9" customWidth="1"/>
    <col min="10238" max="10238" width="7.85546875" style="9" customWidth="1"/>
    <col min="10239" max="10239" width="7.42578125" style="9" customWidth="1"/>
    <col min="10240" max="10240" width="11.140625" style="9" customWidth="1"/>
    <col min="10241" max="10241" width="14.42578125" style="9" customWidth="1"/>
    <col min="10242" max="10242" width="3.42578125" style="9" customWidth="1"/>
    <col min="10243" max="10243" width="3" style="9" customWidth="1"/>
    <col min="10244" max="10244" width="3.28515625" style="9" customWidth="1"/>
    <col min="10245" max="10245" width="3.140625" style="9" customWidth="1"/>
    <col min="10246" max="10246" width="3.42578125" style="9" customWidth="1"/>
    <col min="10247" max="10247" width="24.7109375" style="9" customWidth="1"/>
    <col min="10248" max="10248" width="7.85546875" style="9" customWidth="1"/>
    <col min="10249" max="10249" width="7.28515625" style="9" customWidth="1"/>
    <col min="10250" max="10250" width="11.7109375" style="9" bestFit="1" customWidth="1"/>
    <col min="10251" max="10251" width="14.42578125" style="9" customWidth="1"/>
    <col min="10252" max="10252" width="8.85546875" style="9"/>
    <col min="10253" max="10253" width="14.28515625" style="9" bestFit="1" customWidth="1"/>
    <col min="10254" max="10254" width="10" style="9" customWidth="1"/>
    <col min="10255" max="10486" width="8.85546875" style="9"/>
    <col min="10487" max="10487" width="1.140625" style="9" customWidth="1"/>
    <col min="10488" max="10488" width="3.28515625" style="9" customWidth="1"/>
    <col min="10489" max="10489" width="2.42578125" style="9" customWidth="1"/>
    <col min="10490" max="10490" width="2.5703125" style="9" customWidth="1"/>
    <col min="10491" max="10491" width="2.85546875" style="9" customWidth="1"/>
    <col min="10492" max="10492" width="3" style="9" customWidth="1"/>
    <col min="10493" max="10493" width="24.7109375" style="9" customWidth="1"/>
    <col min="10494" max="10494" width="7.85546875" style="9" customWidth="1"/>
    <col min="10495" max="10495" width="7.42578125" style="9" customWidth="1"/>
    <col min="10496" max="10496" width="11.140625" style="9" customWidth="1"/>
    <col min="10497" max="10497" width="14.42578125" style="9" customWidth="1"/>
    <col min="10498" max="10498" width="3.42578125" style="9" customWidth="1"/>
    <col min="10499" max="10499" width="3" style="9" customWidth="1"/>
    <col min="10500" max="10500" width="3.28515625" style="9" customWidth="1"/>
    <col min="10501" max="10501" width="3.140625" style="9" customWidth="1"/>
    <col min="10502" max="10502" width="3.42578125" style="9" customWidth="1"/>
    <col min="10503" max="10503" width="24.7109375" style="9" customWidth="1"/>
    <col min="10504" max="10504" width="7.85546875" style="9" customWidth="1"/>
    <col min="10505" max="10505" width="7.28515625" style="9" customWidth="1"/>
    <col min="10506" max="10506" width="11.7109375" style="9" bestFit="1" customWidth="1"/>
    <col min="10507" max="10507" width="14.42578125" style="9" customWidth="1"/>
    <col min="10508" max="10508" width="8.85546875" style="9"/>
    <col min="10509" max="10509" width="14.28515625" style="9" bestFit="1" customWidth="1"/>
    <col min="10510" max="10510" width="10" style="9" customWidth="1"/>
    <col min="10511" max="10742" width="8.85546875" style="9"/>
    <col min="10743" max="10743" width="1.140625" style="9" customWidth="1"/>
    <col min="10744" max="10744" width="3.28515625" style="9" customWidth="1"/>
    <col min="10745" max="10745" width="2.42578125" style="9" customWidth="1"/>
    <col min="10746" max="10746" width="2.5703125" style="9" customWidth="1"/>
    <col min="10747" max="10747" width="2.85546875" style="9" customWidth="1"/>
    <col min="10748" max="10748" width="3" style="9" customWidth="1"/>
    <col min="10749" max="10749" width="24.7109375" style="9" customWidth="1"/>
    <col min="10750" max="10750" width="7.85546875" style="9" customWidth="1"/>
    <col min="10751" max="10751" width="7.42578125" style="9" customWidth="1"/>
    <col min="10752" max="10752" width="11.140625" style="9" customWidth="1"/>
    <col min="10753" max="10753" width="14.42578125" style="9" customWidth="1"/>
    <col min="10754" max="10754" width="3.42578125" style="9" customWidth="1"/>
    <col min="10755" max="10755" width="3" style="9" customWidth="1"/>
    <col min="10756" max="10756" width="3.28515625" style="9" customWidth="1"/>
    <col min="10757" max="10757" width="3.140625" style="9" customWidth="1"/>
    <col min="10758" max="10758" width="3.42578125" style="9" customWidth="1"/>
    <col min="10759" max="10759" width="24.7109375" style="9" customWidth="1"/>
    <col min="10760" max="10760" width="7.85546875" style="9" customWidth="1"/>
    <col min="10761" max="10761" width="7.28515625" style="9" customWidth="1"/>
    <col min="10762" max="10762" width="11.7109375" style="9" bestFit="1" customWidth="1"/>
    <col min="10763" max="10763" width="14.42578125" style="9" customWidth="1"/>
    <col min="10764" max="10764" width="8.85546875" style="9"/>
    <col min="10765" max="10765" width="14.28515625" style="9" bestFit="1" customWidth="1"/>
    <col min="10766" max="10766" width="10" style="9" customWidth="1"/>
    <col min="10767" max="10998" width="8.85546875" style="9"/>
    <col min="10999" max="10999" width="1.140625" style="9" customWidth="1"/>
    <col min="11000" max="11000" width="3.28515625" style="9" customWidth="1"/>
    <col min="11001" max="11001" width="2.42578125" style="9" customWidth="1"/>
    <col min="11002" max="11002" width="2.5703125" style="9" customWidth="1"/>
    <col min="11003" max="11003" width="2.85546875" style="9" customWidth="1"/>
    <col min="11004" max="11004" width="3" style="9" customWidth="1"/>
    <col min="11005" max="11005" width="24.7109375" style="9" customWidth="1"/>
    <col min="11006" max="11006" width="7.85546875" style="9" customWidth="1"/>
    <col min="11007" max="11007" width="7.42578125" style="9" customWidth="1"/>
    <col min="11008" max="11008" width="11.140625" style="9" customWidth="1"/>
    <col min="11009" max="11009" width="14.42578125" style="9" customWidth="1"/>
    <col min="11010" max="11010" width="3.42578125" style="9" customWidth="1"/>
    <col min="11011" max="11011" width="3" style="9" customWidth="1"/>
    <col min="11012" max="11012" width="3.28515625" style="9" customWidth="1"/>
    <col min="11013" max="11013" width="3.140625" style="9" customWidth="1"/>
    <col min="11014" max="11014" width="3.42578125" style="9" customWidth="1"/>
    <col min="11015" max="11015" width="24.7109375" style="9" customWidth="1"/>
    <col min="11016" max="11016" width="7.85546875" style="9" customWidth="1"/>
    <col min="11017" max="11017" width="7.28515625" style="9" customWidth="1"/>
    <col min="11018" max="11018" width="11.7109375" style="9" bestFit="1" customWidth="1"/>
    <col min="11019" max="11019" width="14.42578125" style="9" customWidth="1"/>
    <col min="11020" max="11020" width="8.85546875" style="9"/>
    <col min="11021" max="11021" width="14.28515625" style="9" bestFit="1" customWidth="1"/>
    <col min="11022" max="11022" width="10" style="9" customWidth="1"/>
    <col min="11023" max="11254" width="8.85546875" style="9"/>
    <col min="11255" max="11255" width="1.140625" style="9" customWidth="1"/>
    <col min="11256" max="11256" width="3.28515625" style="9" customWidth="1"/>
    <col min="11257" max="11257" width="2.42578125" style="9" customWidth="1"/>
    <col min="11258" max="11258" width="2.5703125" style="9" customWidth="1"/>
    <col min="11259" max="11259" width="2.85546875" style="9" customWidth="1"/>
    <col min="11260" max="11260" width="3" style="9" customWidth="1"/>
    <col min="11261" max="11261" width="24.7109375" style="9" customWidth="1"/>
    <col min="11262" max="11262" width="7.85546875" style="9" customWidth="1"/>
    <col min="11263" max="11263" width="7.42578125" style="9" customWidth="1"/>
    <col min="11264" max="11264" width="11.140625" style="9" customWidth="1"/>
    <col min="11265" max="11265" width="14.42578125" style="9" customWidth="1"/>
    <col min="11266" max="11266" width="3.42578125" style="9" customWidth="1"/>
    <col min="11267" max="11267" width="3" style="9" customWidth="1"/>
    <col min="11268" max="11268" width="3.28515625" style="9" customWidth="1"/>
    <col min="11269" max="11269" width="3.140625" style="9" customWidth="1"/>
    <col min="11270" max="11270" width="3.42578125" style="9" customWidth="1"/>
    <col min="11271" max="11271" width="24.7109375" style="9" customWidth="1"/>
    <col min="11272" max="11272" width="7.85546875" style="9" customWidth="1"/>
    <col min="11273" max="11273" width="7.28515625" style="9" customWidth="1"/>
    <col min="11274" max="11274" width="11.7109375" style="9" bestFit="1" customWidth="1"/>
    <col min="11275" max="11275" width="14.42578125" style="9" customWidth="1"/>
    <col min="11276" max="11276" width="8.85546875" style="9"/>
    <col min="11277" max="11277" width="14.28515625" style="9" bestFit="1" customWidth="1"/>
    <col min="11278" max="11278" width="10" style="9" customWidth="1"/>
    <col min="11279" max="11510" width="8.85546875" style="9"/>
    <col min="11511" max="11511" width="1.140625" style="9" customWidth="1"/>
    <col min="11512" max="11512" width="3.28515625" style="9" customWidth="1"/>
    <col min="11513" max="11513" width="2.42578125" style="9" customWidth="1"/>
    <col min="11514" max="11514" width="2.5703125" style="9" customWidth="1"/>
    <col min="11515" max="11515" width="2.85546875" style="9" customWidth="1"/>
    <col min="11516" max="11516" width="3" style="9" customWidth="1"/>
    <col min="11517" max="11517" width="24.7109375" style="9" customWidth="1"/>
    <col min="11518" max="11518" width="7.85546875" style="9" customWidth="1"/>
    <col min="11519" max="11519" width="7.42578125" style="9" customWidth="1"/>
    <col min="11520" max="11520" width="11.140625" style="9" customWidth="1"/>
    <col min="11521" max="11521" width="14.42578125" style="9" customWidth="1"/>
    <col min="11522" max="11522" width="3.42578125" style="9" customWidth="1"/>
    <col min="11523" max="11523" width="3" style="9" customWidth="1"/>
    <col min="11524" max="11524" width="3.28515625" style="9" customWidth="1"/>
    <col min="11525" max="11525" width="3.140625" style="9" customWidth="1"/>
    <col min="11526" max="11526" width="3.42578125" style="9" customWidth="1"/>
    <col min="11527" max="11527" width="24.7109375" style="9" customWidth="1"/>
    <col min="11528" max="11528" width="7.85546875" style="9" customWidth="1"/>
    <col min="11529" max="11529" width="7.28515625" style="9" customWidth="1"/>
    <col min="11530" max="11530" width="11.7109375" style="9" bestFit="1" customWidth="1"/>
    <col min="11531" max="11531" width="14.42578125" style="9" customWidth="1"/>
    <col min="11532" max="11532" width="8.85546875" style="9"/>
    <col min="11533" max="11533" width="14.28515625" style="9" bestFit="1" customWidth="1"/>
    <col min="11534" max="11534" width="10" style="9" customWidth="1"/>
    <col min="11535" max="11766" width="8.85546875" style="9"/>
    <col min="11767" max="11767" width="1.140625" style="9" customWidth="1"/>
    <col min="11768" max="11768" width="3.28515625" style="9" customWidth="1"/>
    <col min="11769" max="11769" width="2.42578125" style="9" customWidth="1"/>
    <col min="11770" max="11770" width="2.5703125" style="9" customWidth="1"/>
    <col min="11771" max="11771" width="2.85546875" style="9" customWidth="1"/>
    <col min="11772" max="11772" width="3" style="9" customWidth="1"/>
    <col min="11773" max="11773" width="24.7109375" style="9" customWidth="1"/>
    <col min="11774" max="11774" width="7.85546875" style="9" customWidth="1"/>
    <col min="11775" max="11775" width="7.42578125" style="9" customWidth="1"/>
    <col min="11776" max="11776" width="11.140625" style="9" customWidth="1"/>
    <col min="11777" max="11777" width="14.42578125" style="9" customWidth="1"/>
    <col min="11778" max="11778" width="3.42578125" style="9" customWidth="1"/>
    <col min="11779" max="11779" width="3" style="9" customWidth="1"/>
    <col min="11780" max="11780" width="3.28515625" style="9" customWidth="1"/>
    <col min="11781" max="11781" width="3.140625" style="9" customWidth="1"/>
    <col min="11782" max="11782" width="3.42578125" style="9" customWidth="1"/>
    <col min="11783" max="11783" width="24.7109375" style="9" customWidth="1"/>
    <col min="11784" max="11784" width="7.85546875" style="9" customWidth="1"/>
    <col min="11785" max="11785" width="7.28515625" style="9" customWidth="1"/>
    <col min="11786" max="11786" width="11.7109375" style="9" bestFit="1" customWidth="1"/>
    <col min="11787" max="11787" width="14.42578125" style="9" customWidth="1"/>
    <col min="11788" max="11788" width="8.85546875" style="9"/>
    <col min="11789" max="11789" width="14.28515625" style="9" bestFit="1" customWidth="1"/>
    <col min="11790" max="11790" width="10" style="9" customWidth="1"/>
    <col min="11791" max="12022" width="8.85546875" style="9"/>
    <col min="12023" max="12023" width="1.140625" style="9" customWidth="1"/>
    <col min="12024" max="12024" width="3.28515625" style="9" customWidth="1"/>
    <col min="12025" max="12025" width="2.42578125" style="9" customWidth="1"/>
    <col min="12026" max="12026" width="2.5703125" style="9" customWidth="1"/>
    <col min="12027" max="12027" width="2.85546875" style="9" customWidth="1"/>
    <col min="12028" max="12028" width="3" style="9" customWidth="1"/>
    <col min="12029" max="12029" width="24.7109375" style="9" customWidth="1"/>
    <col min="12030" max="12030" width="7.85546875" style="9" customWidth="1"/>
    <col min="12031" max="12031" width="7.42578125" style="9" customWidth="1"/>
    <col min="12032" max="12032" width="11.140625" style="9" customWidth="1"/>
    <col min="12033" max="12033" width="14.42578125" style="9" customWidth="1"/>
    <col min="12034" max="12034" width="3.42578125" style="9" customWidth="1"/>
    <col min="12035" max="12035" width="3" style="9" customWidth="1"/>
    <col min="12036" max="12036" width="3.28515625" style="9" customWidth="1"/>
    <col min="12037" max="12037" width="3.140625" style="9" customWidth="1"/>
    <col min="12038" max="12038" width="3.42578125" style="9" customWidth="1"/>
    <col min="12039" max="12039" width="24.7109375" style="9" customWidth="1"/>
    <col min="12040" max="12040" width="7.85546875" style="9" customWidth="1"/>
    <col min="12041" max="12041" width="7.28515625" style="9" customWidth="1"/>
    <col min="12042" max="12042" width="11.7109375" style="9" bestFit="1" customWidth="1"/>
    <col min="12043" max="12043" width="14.42578125" style="9" customWidth="1"/>
    <col min="12044" max="12044" width="8.85546875" style="9"/>
    <col min="12045" max="12045" width="14.28515625" style="9" bestFit="1" customWidth="1"/>
    <col min="12046" max="12046" width="10" style="9" customWidth="1"/>
    <col min="12047" max="12278" width="8.85546875" style="9"/>
    <col min="12279" max="12279" width="1.140625" style="9" customWidth="1"/>
    <col min="12280" max="12280" width="3.28515625" style="9" customWidth="1"/>
    <col min="12281" max="12281" width="2.42578125" style="9" customWidth="1"/>
    <col min="12282" max="12282" width="2.5703125" style="9" customWidth="1"/>
    <col min="12283" max="12283" width="2.85546875" style="9" customWidth="1"/>
    <col min="12284" max="12284" width="3" style="9" customWidth="1"/>
    <col min="12285" max="12285" width="24.7109375" style="9" customWidth="1"/>
    <col min="12286" max="12286" width="7.85546875" style="9" customWidth="1"/>
    <col min="12287" max="12287" width="7.42578125" style="9" customWidth="1"/>
    <col min="12288" max="12288" width="11.140625" style="9" customWidth="1"/>
    <col min="12289" max="12289" width="14.42578125" style="9" customWidth="1"/>
    <col min="12290" max="12290" width="3.42578125" style="9" customWidth="1"/>
    <col min="12291" max="12291" width="3" style="9" customWidth="1"/>
    <col min="12292" max="12292" width="3.28515625" style="9" customWidth="1"/>
    <col min="12293" max="12293" width="3.140625" style="9" customWidth="1"/>
    <col min="12294" max="12294" width="3.42578125" style="9" customWidth="1"/>
    <col min="12295" max="12295" width="24.7109375" style="9" customWidth="1"/>
    <col min="12296" max="12296" width="7.85546875" style="9" customWidth="1"/>
    <col min="12297" max="12297" width="7.28515625" style="9" customWidth="1"/>
    <col min="12298" max="12298" width="11.7109375" style="9" bestFit="1" customWidth="1"/>
    <col min="12299" max="12299" width="14.42578125" style="9" customWidth="1"/>
    <col min="12300" max="12300" width="8.85546875" style="9"/>
    <col min="12301" max="12301" width="14.28515625" style="9" bestFit="1" customWidth="1"/>
    <col min="12302" max="12302" width="10" style="9" customWidth="1"/>
    <col min="12303" max="12534" width="8.85546875" style="9"/>
    <col min="12535" max="12535" width="1.140625" style="9" customWidth="1"/>
    <col min="12536" max="12536" width="3.28515625" style="9" customWidth="1"/>
    <col min="12537" max="12537" width="2.42578125" style="9" customWidth="1"/>
    <col min="12538" max="12538" width="2.5703125" style="9" customWidth="1"/>
    <col min="12539" max="12539" width="2.85546875" style="9" customWidth="1"/>
    <col min="12540" max="12540" width="3" style="9" customWidth="1"/>
    <col min="12541" max="12541" width="24.7109375" style="9" customWidth="1"/>
    <col min="12542" max="12542" width="7.85546875" style="9" customWidth="1"/>
    <col min="12543" max="12543" width="7.42578125" style="9" customWidth="1"/>
    <col min="12544" max="12544" width="11.140625" style="9" customWidth="1"/>
    <col min="12545" max="12545" width="14.42578125" style="9" customWidth="1"/>
    <col min="12546" max="12546" width="3.42578125" style="9" customWidth="1"/>
    <col min="12547" max="12547" width="3" style="9" customWidth="1"/>
    <col min="12548" max="12548" width="3.28515625" style="9" customWidth="1"/>
    <col min="12549" max="12549" width="3.140625" style="9" customWidth="1"/>
    <col min="12550" max="12550" width="3.42578125" style="9" customWidth="1"/>
    <col min="12551" max="12551" width="24.7109375" style="9" customWidth="1"/>
    <col min="12552" max="12552" width="7.85546875" style="9" customWidth="1"/>
    <col min="12553" max="12553" width="7.28515625" style="9" customWidth="1"/>
    <col min="12554" max="12554" width="11.7109375" style="9" bestFit="1" customWidth="1"/>
    <col min="12555" max="12555" width="14.42578125" style="9" customWidth="1"/>
    <col min="12556" max="12556" width="8.85546875" style="9"/>
    <col min="12557" max="12557" width="14.28515625" style="9" bestFit="1" customWidth="1"/>
    <col min="12558" max="12558" width="10" style="9" customWidth="1"/>
    <col min="12559" max="12790" width="8.85546875" style="9"/>
    <col min="12791" max="12791" width="1.140625" style="9" customWidth="1"/>
    <col min="12792" max="12792" width="3.28515625" style="9" customWidth="1"/>
    <col min="12793" max="12793" width="2.42578125" style="9" customWidth="1"/>
    <col min="12794" max="12794" width="2.5703125" style="9" customWidth="1"/>
    <col min="12795" max="12795" width="2.85546875" style="9" customWidth="1"/>
    <col min="12796" max="12796" width="3" style="9" customWidth="1"/>
    <col min="12797" max="12797" width="24.7109375" style="9" customWidth="1"/>
    <col min="12798" max="12798" width="7.85546875" style="9" customWidth="1"/>
    <col min="12799" max="12799" width="7.42578125" style="9" customWidth="1"/>
    <col min="12800" max="12800" width="11.140625" style="9" customWidth="1"/>
    <col min="12801" max="12801" width="14.42578125" style="9" customWidth="1"/>
    <col min="12802" max="12802" width="3.42578125" style="9" customWidth="1"/>
    <col min="12803" max="12803" width="3" style="9" customWidth="1"/>
    <col min="12804" max="12804" width="3.28515625" style="9" customWidth="1"/>
    <col min="12805" max="12805" width="3.140625" style="9" customWidth="1"/>
    <col min="12806" max="12806" width="3.42578125" style="9" customWidth="1"/>
    <col min="12807" max="12807" width="24.7109375" style="9" customWidth="1"/>
    <col min="12808" max="12808" width="7.85546875" style="9" customWidth="1"/>
    <col min="12809" max="12809" width="7.28515625" style="9" customWidth="1"/>
    <col min="12810" max="12810" width="11.7109375" style="9" bestFit="1" customWidth="1"/>
    <col min="12811" max="12811" width="14.42578125" style="9" customWidth="1"/>
    <col min="12812" max="12812" width="8.85546875" style="9"/>
    <col min="12813" max="12813" width="14.28515625" style="9" bestFit="1" customWidth="1"/>
    <col min="12814" max="12814" width="10" style="9" customWidth="1"/>
    <col min="12815" max="13046" width="8.85546875" style="9"/>
    <col min="13047" max="13047" width="1.140625" style="9" customWidth="1"/>
    <col min="13048" max="13048" width="3.28515625" style="9" customWidth="1"/>
    <col min="13049" max="13049" width="2.42578125" style="9" customWidth="1"/>
    <col min="13050" max="13050" width="2.5703125" style="9" customWidth="1"/>
    <col min="13051" max="13051" width="2.85546875" style="9" customWidth="1"/>
    <col min="13052" max="13052" width="3" style="9" customWidth="1"/>
    <col min="13053" max="13053" width="24.7109375" style="9" customWidth="1"/>
    <col min="13054" max="13054" width="7.85546875" style="9" customWidth="1"/>
    <col min="13055" max="13055" width="7.42578125" style="9" customWidth="1"/>
    <col min="13056" max="13056" width="11.140625" style="9" customWidth="1"/>
    <col min="13057" max="13057" width="14.42578125" style="9" customWidth="1"/>
    <col min="13058" max="13058" width="3.42578125" style="9" customWidth="1"/>
    <col min="13059" max="13059" width="3" style="9" customWidth="1"/>
    <col min="13060" max="13060" width="3.28515625" style="9" customWidth="1"/>
    <col min="13061" max="13061" width="3.140625" style="9" customWidth="1"/>
    <col min="13062" max="13062" width="3.42578125" style="9" customWidth="1"/>
    <col min="13063" max="13063" width="24.7109375" style="9" customWidth="1"/>
    <col min="13064" max="13064" width="7.85546875" style="9" customWidth="1"/>
    <col min="13065" max="13065" width="7.28515625" style="9" customWidth="1"/>
    <col min="13066" max="13066" width="11.7109375" style="9" bestFit="1" customWidth="1"/>
    <col min="13067" max="13067" width="14.42578125" style="9" customWidth="1"/>
    <col min="13068" max="13068" width="8.85546875" style="9"/>
    <col min="13069" max="13069" width="14.28515625" style="9" bestFit="1" customWidth="1"/>
    <col min="13070" max="13070" width="10" style="9" customWidth="1"/>
    <col min="13071" max="13302" width="8.85546875" style="9"/>
    <col min="13303" max="13303" width="1.140625" style="9" customWidth="1"/>
    <col min="13304" max="13304" width="3.28515625" style="9" customWidth="1"/>
    <col min="13305" max="13305" width="2.42578125" style="9" customWidth="1"/>
    <col min="13306" max="13306" width="2.5703125" style="9" customWidth="1"/>
    <col min="13307" max="13307" width="2.85546875" style="9" customWidth="1"/>
    <col min="13308" max="13308" width="3" style="9" customWidth="1"/>
    <col min="13309" max="13309" width="24.7109375" style="9" customWidth="1"/>
    <col min="13310" max="13310" width="7.85546875" style="9" customWidth="1"/>
    <col min="13311" max="13311" width="7.42578125" style="9" customWidth="1"/>
    <col min="13312" max="13312" width="11.140625" style="9" customWidth="1"/>
    <col min="13313" max="13313" width="14.42578125" style="9" customWidth="1"/>
    <col min="13314" max="13314" width="3.42578125" style="9" customWidth="1"/>
    <col min="13315" max="13315" width="3" style="9" customWidth="1"/>
    <col min="13316" max="13316" width="3.28515625" style="9" customWidth="1"/>
    <col min="13317" max="13317" width="3.140625" style="9" customWidth="1"/>
    <col min="13318" max="13318" width="3.42578125" style="9" customWidth="1"/>
    <col min="13319" max="13319" width="24.7109375" style="9" customWidth="1"/>
    <col min="13320" max="13320" width="7.85546875" style="9" customWidth="1"/>
    <col min="13321" max="13321" width="7.28515625" style="9" customWidth="1"/>
    <col min="13322" max="13322" width="11.7109375" style="9" bestFit="1" customWidth="1"/>
    <col min="13323" max="13323" width="14.42578125" style="9" customWidth="1"/>
    <col min="13324" max="13324" width="8.85546875" style="9"/>
    <col min="13325" max="13325" width="14.28515625" style="9" bestFit="1" customWidth="1"/>
    <col min="13326" max="13326" width="10" style="9" customWidth="1"/>
    <col min="13327" max="13558" width="8.85546875" style="9"/>
    <col min="13559" max="13559" width="1.140625" style="9" customWidth="1"/>
    <col min="13560" max="13560" width="3.28515625" style="9" customWidth="1"/>
    <col min="13561" max="13561" width="2.42578125" style="9" customWidth="1"/>
    <col min="13562" max="13562" width="2.5703125" style="9" customWidth="1"/>
    <col min="13563" max="13563" width="2.85546875" style="9" customWidth="1"/>
    <col min="13564" max="13564" width="3" style="9" customWidth="1"/>
    <col min="13565" max="13565" width="24.7109375" style="9" customWidth="1"/>
    <col min="13566" max="13566" width="7.85546875" style="9" customWidth="1"/>
    <col min="13567" max="13567" width="7.42578125" style="9" customWidth="1"/>
    <col min="13568" max="13568" width="11.140625" style="9" customWidth="1"/>
    <col min="13569" max="13569" width="14.42578125" style="9" customWidth="1"/>
    <col min="13570" max="13570" width="3.42578125" style="9" customWidth="1"/>
    <col min="13571" max="13571" width="3" style="9" customWidth="1"/>
    <col min="13572" max="13572" width="3.28515625" style="9" customWidth="1"/>
    <col min="13573" max="13573" width="3.140625" style="9" customWidth="1"/>
    <col min="13574" max="13574" width="3.42578125" style="9" customWidth="1"/>
    <col min="13575" max="13575" width="24.7109375" style="9" customWidth="1"/>
    <col min="13576" max="13576" width="7.85546875" style="9" customWidth="1"/>
    <col min="13577" max="13577" width="7.28515625" style="9" customWidth="1"/>
    <col min="13578" max="13578" width="11.7109375" style="9" bestFit="1" customWidth="1"/>
    <col min="13579" max="13579" width="14.42578125" style="9" customWidth="1"/>
    <col min="13580" max="13580" width="8.85546875" style="9"/>
    <col min="13581" max="13581" width="14.28515625" style="9" bestFit="1" customWidth="1"/>
    <col min="13582" max="13582" width="10" style="9" customWidth="1"/>
    <col min="13583" max="13814" width="8.85546875" style="9"/>
    <col min="13815" max="13815" width="1.140625" style="9" customWidth="1"/>
    <col min="13816" max="13816" width="3.28515625" style="9" customWidth="1"/>
    <col min="13817" max="13817" width="2.42578125" style="9" customWidth="1"/>
    <col min="13818" max="13818" width="2.5703125" style="9" customWidth="1"/>
    <col min="13819" max="13819" width="2.85546875" style="9" customWidth="1"/>
    <col min="13820" max="13820" width="3" style="9" customWidth="1"/>
    <col min="13821" max="13821" width="24.7109375" style="9" customWidth="1"/>
    <col min="13822" max="13822" width="7.85546875" style="9" customWidth="1"/>
    <col min="13823" max="13823" width="7.42578125" style="9" customWidth="1"/>
    <col min="13824" max="13824" width="11.140625" style="9" customWidth="1"/>
    <col min="13825" max="13825" width="14.42578125" style="9" customWidth="1"/>
    <col min="13826" max="13826" width="3.42578125" style="9" customWidth="1"/>
    <col min="13827" max="13827" width="3" style="9" customWidth="1"/>
    <col min="13828" max="13828" width="3.28515625" style="9" customWidth="1"/>
    <col min="13829" max="13829" width="3.140625" style="9" customWidth="1"/>
    <col min="13830" max="13830" width="3.42578125" style="9" customWidth="1"/>
    <col min="13831" max="13831" width="24.7109375" style="9" customWidth="1"/>
    <col min="13832" max="13832" width="7.85546875" style="9" customWidth="1"/>
    <col min="13833" max="13833" width="7.28515625" style="9" customWidth="1"/>
    <col min="13834" max="13834" width="11.7109375" style="9" bestFit="1" customWidth="1"/>
    <col min="13835" max="13835" width="14.42578125" style="9" customWidth="1"/>
    <col min="13836" max="13836" width="8.85546875" style="9"/>
    <col min="13837" max="13837" width="14.28515625" style="9" bestFit="1" customWidth="1"/>
    <col min="13838" max="13838" width="10" style="9" customWidth="1"/>
    <col min="13839" max="14070" width="8.85546875" style="9"/>
    <col min="14071" max="14071" width="1.140625" style="9" customWidth="1"/>
    <col min="14072" max="14072" width="3.28515625" style="9" customWidth="1"/>
    <col min="14073" max="14073" width="2.42578125" style="9" customWidth="1"/>
    <col min="14074" max="14074" width="2.5703125" style="9" customWidth="1"/>
    <col min="14075" max="14075" width="2.85546875" style="9" customWidth="1"/>
    <col min="14076" max="14076" width="3" style="9" customWidth="1"/>
    <col min="14077" max="14077" width="24.7109375" style="9" customWidth="1"/>
    <col min="14078" max="14078" width="7.85546875" style="9" customWidth="1"/>
    <col min="14079" max="14079" width="7.42578125" style="9" customWidth="1"/>
    <col min="14080" max="14080" width="11.140625" style="9" customWidth="1"/>
    <col min="14081" max="14081" width="14.42578125" style="9" customWidth="1"/>
    <col min="14082" max="14082" width="3.42578125" style="9" customWidth="1"/>
    <col min="14083" max="14083" width="3" style="9" customWidth="1"/>
    <col min="14084" max="14084" width="3.28515625" style="9" customWidth="1"/>
    <col min="14085" max="14085" width="3.140625" style="9" customWidth="1"/>
    <col min="14086" max="14086" width="3.42578125" style="9" customWidth="1"/>
    <col min="14087" max="14087" width="24.7109375" style="9" customWidth="1"/>
    <col min="14088" max="14088" width="7.85546875" style="9" customWidth="1"/>
    <col min="14089" max="14089" width="7.28515625" style="9" customWidth="1"/>
    <col min="14090" max="14090" width="11.7109375" style="9" bestFit="1" customWidth="1"/>
    <col min="14091" max="14091" width="14.42578125" style="9" customWidth="1"/>
    <col min="14092" max="14092" width="8.85546875" style="9"/>
    <col min="14093" max="14093" width="14.28515625" style="9" bestFit="1" customWidth="1"/>
    <col min="14094" max="14094" width="10" style="9" customWidth="1"/>
    <col min="14095" max="14326" width="8.85546875" style="9"/>
    <col min="14327" max="14327" width="1.140625" style="9" customWidth="1"/>
    <col min="14328" max="14328" width="3.28515625" style="9" customWidth="1"/>
    <col min="14329" max="14329" width="2.42578125" style="9" customWidth="1"/>
    <col min="14330" max="14330" width="2.5703125" style="9" customWidth="1"/>
    <col min="14331" max="14331" width="2.85546875" style="9" customWidth="1"/>
    <col min="14332" max="14332" width="3" style="9" customWidth="1"/>
    <col min="14333" max="14333" width="24.7109375" style="9" customWidth="1"/>
    <col min="14334" max="14334" width="7.85546875" style="9" customWidth="1"/>
    <col min="14335" max="14335" width="7.42578125" style="9" customWidth="1"/>
    <col min="14336" max="14336" width="11.140625" style="9" customWidth="1"/>
    <col min="14337" max="14337" width="14.42578125" style="9" customWidth="1"/>
    <col min="14338" max="14338" width="3.42578125" style="9" customWidth="1"/>
    <col min="14339" max="14339" width="3" style="9" customWidth="1"/>
    <col min="14340" max="14340" width="3.28515625" style="9" customWidth="1"/>
    <col min="14341" max="14341" width="3.140625" style="9" customWidth="1"/>
    <col min="14342" max="14342" width="3.42578125" style="9" customWidth="1"/>
    <col min="14343" max="14343" width="24.7109375" style="9" customWidth="1"/>
    <col min="14344" max="14344" width="7.85546875" style="9" customWidth="1"/>
    <col min="14345" max="14345" width="7.28515625" style="9" customWidth="1"/>
    <col min="14346" max="14346" width="11.7109375" style="9" bestFit="1" customWidth="1"/>
    <col min="14347" max="14347" width="14.42578125" style="9" customWidth="1"/>
    <col min="14348" max="14348" width="8.85546875" style="9"/>
    <col min="14349" max="14349" width="14.28515625" style="9" bestFit="1" customWidth="1"/>
    <col min="14350" max="14350" width="10" style="9" customWidth="1"/>
    <col min="14351" max="14582" width="8.85546875" style="9"/>
    <col min="14583" max="14583" width="1.140625" style="9" customWidth="1"/>
    <col min="14584" max="14584" width="3.28515625" style="9" customWidth="1"/>
    <col min="14585" max="14585" width="2.42578125" style="9" customWidth="1"/>
    <col min="14586" max="14586" width="2.5703125" style="9" customWidth="1"/>
    <col min="14587" max="14587" width="2.85546875" style="9" customWidth="1"/>
    <col min="14588" max="14588" width="3" style="9" customWidth="1"/>
    <col min="14589" max="14589" width="24.7109375" style="9" customWidth="1"/>
    <col min="14590" max="14590" width="7.85546875" style="9" customWidth="1"/>
    <col min="14591" max="14591" width="7.42578125" style="9" customWidth="1"/>
    <col min="14592" max="14592" width="11.140625" style="9" customWidth="1"/>
    <col min="14593" max="14593" width="14.42578125" style="9" customWidth="1"/>
    <col min="14594" max="14594" width="3.42578125" style="9" customWidth="1"/>
    <col min="14595" max="14595" width="3" style="9" customWidth="1"/>
    <col min="14596" max="14596" width="3.28515625" style="9" customWidth="1"/>
    <col min="14597" max="14597" width="3.140625" style="9" customWidth="1"/>
    <col min="14598" max="14598" width="3.42578125" style="9" customWidth="1"/>
    <col min="14599" max="14599" width="24.7109375" style="9" customWidth="1"/>
    <col min="14600" max="14600" width="7.85546875" style="9" customWidth="1"/>
    <col min="14601" max="14601" width="7.28515625" style="9" customWidth="1"/>
    <col min="14602" max="14602" width="11.7109375" style="9" bestFit="1" customWidth="1"/>
    <col min="14603" max="14603" width="14.42578125" style="9" customWidth="1"/>
    <col min="14604" max="14604" width="8.85546875" style="9"/>
    <col min="14605" max="14605" width="14.28515625" style="9" bestFit="1" customWidth="1"/>
    <col min="14606" max="14606" width="10" style="9" customWidth="1"/>
    <col min="14607" max="14838" width="8.85546875" style="9"/>
    <col min="14839" max="14839" width="1.140625" style="9" customWidth="1"/>
    <col min="14840" max="14840" width="3.28515625" style="9" customWidth="1"/>
    <col min="14841" max="14841" width="2.42578125" style="9" customWidth="1"/>
    <col min="14842" max="14842" width="2.5703125" style="9" customWidth="1"/>
    <col min="14843" max="14843" width="2.85546875" style="9" customWidth="1"/>
    <col min="14844" max="14844" width="3" style="9" customWidth="1"/>
    <col min="14845" max="14845" width="24.7109375" style="9" customWidth="1"/>
    <col min="14846" max="14846" width="7.85546875" style="9" customWidth="1"/>
    <col min="14847" max="14847" width="7.42578125" style="9" customWidth="1"/>
    <col min="14848" max="14848" width="11.140625" style="9" customWidth="1"/>
    <col min="14849" max="14849" width="14.42578125" style="9" customWidth="1"/>
    <col min="14850" max="14850" width="3.42578125" style="9" customWidth="1"/>
    <col min="14851" max="14851" width="3" style="9" customWidth="1"/>
    <col min="14852" max="14852" width="3.28515625" style="9" customWidth="1"/>
    <col min="14853" max="14853" width="3.140625" style="9" customWidth="1"/>
    <col min="14854" max="14854" width="3.42578125" style="9" customWidth="1"/>
    <col min="14855" max="14855" width="24.7109375" style="9" customWidth="1"/>
    <col min="14856" max="14856" width="7.85546875" style="9" customWidth="1"/>
    <col min="14857" max="14857" width="7.28515625" style="9" customWidth="1"/>
    <col min="14858" max="14858" width="11.7109375" style="9" bestFit="1" customWidth="1"/>
    <col min="14859" max="14859" width="14.42578125" style="9" customWidth="1"/>
    <col min="14860" max="14860" width="8.85546875" style="9"/>
    <col min="14861" max="14861" width="14.28515625" style="9" bestFit="1" customWidth="1"/>
    <col min="14862" max="14862" width="10" style="9" customWidth="1"/>
    <col min="14863" max="15094" width="8.85546875" style="9"/>
    <col min="15095" max="15095" width="1.140625" style="9" customWidth="1"/>
    <col min="15096" max="15096" width="3.28515625" style="9" customWidth="1"/>
    <col min="15097" max="15097" width="2.42578125" style="9" customWidth="1"/>
    <col min="15098" max="15098" width="2.5703125" style="9" customWidth="1"/>
    <col min="15099" max="15099" width="2.85546875" style="9" customWidth="1"/>
    <col min="15100" max="15100" width="3" style="9" customWidth="1"/>
    <col min="15101" max="15101" width="24.7109375" style="9" customWidth="1"/>
    <col min="15102" max="15102" width="7.85546875" style="9" customWidth="1"/>
    <col min="15103" max="15103" width="7.42578125" style="9" customWidth="1"/>
    <col min="15104" max="15104" width="11.140625" style="9" customWidth="1"/>
    <col min="15105" max="15105" width="14.42578125" style="9" customWidth="1"/>
    <col min="15106" max="15106" width="3.42578125" style="9" customWidth="1"/>
    <col min="15107" max="15107" width="3" style="9" customWidth="1"/>
    <col min="15108" max="15108" width="3.28515625" style="9" customWidth="1"/>
    <col min="15109" max="15109" width="3.140625" style="9" customWidth="1"/>
    <col min="15110" max="15110" width="3.42578125" style="9" customWidth="1"/>
    <col min="15111" max="15111" width="24.7109375" style="9" customWidth="1"/>
    <col min="15112" max="15112" width="7.85546875" style="9" customWidth="1"/>
    <col min="15113" max="15113" width="7.28515625" style="9" customWidth="1"/>
    <col min="15114" max="15114" width="11.7109375" style="9" bestFit="1" customWidth="1"/>
    <col min="15115" max="15115" width="14.42578125" style="9" customWidth="1"/>
    <col min="15116" max="15116" width="8.85546875" style="9"/>
    <col min="15117" max="15117" width="14.28515625" style="9" bestFit="1" customWidth="1"/>
    <col min="15118" max="15118" width="10" style="9" customWidth="1"/>
    <col min="15119" max="15350" width="8.85546875" style="9"/>
    <col min="15351" max="15351" width="1.140625" style="9" customWidth="1"/>
    <col min="15352" max="15352" width="3.28515625" style="9" customWidth="1"/>
    <col min="15353" max="15353" width="2.42578125" style="9" customWidth="1"/>
    <col min="15354" max="15354" width="2.5703125" style="9" customWidth="1"/>
    <col min="15355" max="15355" width="2.85546875" style="9" customWidth="1"/>
    <col min="15356" max="15356" width="3" style="9" customWidth="1"/>
    <col min="15357" max="15357" width="24.7109375" style="9" customWidth="1"/>
    <col min="15358" max="15358" width="7.85546875" style="9" customWidth="1"/>
    <col min="15359" max="15359" width="7.42578125" style="9" customWidth="1"/>
    <col min="15360" max="15360" width="11.140625" style="9" customWidth="1"/>
    <col min="15361" max="15361" width="14.42578125" style="9" customWidth="1"/>
    <col min="15362" max="15362" width="3.42578125" style="9" customWidth="1"/>
    <col min="15363" max="15363" width="3" style="9" customWidth="1"/>
    <col min="15364" max="15364" width="3.28515625" style="9" customWidth="1"/>
    <col min="15365" max="15365" width="3.140625" style="9" customWidth="1"/>
    <col min="15366" max="15366" width="3.42578125" style="9" customWidth="1"/>
    <col min="15367" max="15367" width="24.7109375" style="9" customWidth="1"/>
    <col min="15368" max="15368" width="7.85546875" style="9" customWidth="1"/>
    <col min="15369" max="15369" width="7.28515625" style="9" customWidth="1"/>
    <col min="15370" max="15370" width="11.7109375" style="9" bestFit="1" customWidth="1"/>
    <col min="15371" max="15371" width="14.42578125" style="9" customWidth="1"/>
    <col min="15372" max="15372" width="8.85546875" style="9"/>
    <col min="15373" max="15373" width="14.28515625" style="9" bestFit="1" customWidth="1"/>
    <col min="15374" max="15374" width="10" style="9" customWidth="1"/>
    <col min="15375" max="15606" width="8.85546875" style="9"/>
    <col min="15607" max="15607" width="1.140625" style="9" customWidth="1"/>
    <col min="15608" max="15608" width="3.28515625" style="9" customWidth="1"/>
    <col min="15609" max="15609" width="2.42578125" style="9" customWidth="1"/>
    <col min="15610" max="15610" width="2.5703125" style="9" customWidth="1"/>
    <col min="15611" max="15611" width="2.85546875" style="9" customWidth="1"/>
    <col min="15612" max="15612" width="3" style="9" customWidth="1"/>
    <col min="15613" max="15613" width="24.7109375" style="9" customWidth="1"/>
    <col min="15614" max="15614" width="7.85546875" style="9" customWidth="1"/>
    <col min="15615" max="15615" width="7.42578125" style="9" customWidth="1"/>
    <col min="15616" max="15616" width="11.140625" style="9" customWidth="1"/>
    <col min="15617" max="15617" width="14.42578125" style="9" customWidth="1"/>
    <col min="15618" max="15618" width="3.42578125" style="9" customWidth="1"/>
    <col min="15619" max="15619" width="3" style="9" customWidth="1"/>
    <col min="15620" max="15620" width="3.28515625" style="9" customWidth="1"/>
    <col min="15621" max="15621" width="3.140625" style="9" customWidth="1"/>
    <col min="15622" max="15622" width="3.42578125" style="9" customWidth="1"/>
    <col min="15623" max="15623" width="24.7109375" style="9" customWidth="1"/>
    <col min="15624" max="15624" width="7.85546875" style="9" customWidth="1"/>
    <col min="15625" max="15625" width="7.28515625" style="9" customWidth="1"/>
    <col min="15626" max="15626" width="11.7109375" style="9" bestFit="1" customWidth="1"/>
    <col min="15627" max="15627" width="14.42578125" style="9" customWidth="1"/>
    <col min="15628" max="15628" width="8.85546875" style="9"/>
    <col min="15629" max="15629" width="14.28515625" style="9" bestFit="1" customWidth="1"/>
    <col min="15630" max="15630" width="10" style="9" customWidth="1"/>
    <col min="15631" max="15862" width="8.85546875" style="9"/>
    <col min="15863" max="15863" width="1.140625" style="9" customWidth="1"/>
    <col min="15864" max="15864" width="3.28515625" style="9" customWidth="1"/>
    <col min="15865" max="15865" width="2.42578125" style="9" customWidth="1"/>
    <col min="15866" max="15866" width="2.5703125" style="9" customWidth="1"/>
    <col min="15867" max="15867" width="2.85546875" style="9" customWidth="1"/>
    <col min="15868" max="15868" width="3" style="9" customWidth="1"/>
    <col min="15869" max="15869" width="24.7109375" style="9" customWidth="1"/>
    <col min="15870" max="15870" width="7.85546875" style="9" customWidth="1"/>
    <col min="15871" max="15871" width="7.42578125" style="9" customWidth="1"/>
    <col min="15872" max="15872" width="11.140625" style="9" customWidth="1"/>
    <col min="15873" max="15873" width="14.42578125" style="9" customWidth="1"/>
    <col min="15874" max="15874" width="3.42578125" style="9" customWidth="1"/>
    <col min="15875" max="15875" width="3" style="9" customWidth="1"/>
    <col min="15876" max="15876" width="3.28515625" style="9" customWidth="1"/>
    <col min="15877" max="15877" width="3.140625" style="9" customWidth="1"/>
    <col min="15878" max="15878" width="3.42578125" style="9" customWidth="1"/>
    <col min="15879" max="15879" width="24.7109375" style="9" customWidth="1"/>
    <col min="15880" max="15880" width="7.85546875" style="9" customWidth="1"/>
    <col min="15881" max="15881" width="7.28515625" style="9" customWidth="1"/>
    <col min="15882" max="15882" width="11.7109375" style="9" bestFit="1" customWidth="1"/>
    <col min="15883" max="15883" width="14.42578125" style="9" customWidth="1"/>
    <col min="15884" max="15884" width="8.85546875" style="9"/>
    <col min="15885" max="15885" width="14.28515625" style="9" bestFit="1" customWidth="1"/>
    <col min="15886" max="15886" width="10" style="9" customWidth="1"/>
    <col min="15887" max="16118" width="8.85546875" style="9"/>
    <col min="16119" max="16119" width="1.140625" style="9" customWidth="1"/>
    <col min="16120" max="16120" width="3.28515625" style="9" customWidth="1"/>
    <col min="16121" max="16121" width="2.42578125" style="9" customWidth="1"/>
    <col min="16122" max="16122" width="2.5703125" style="9" customWidth="1"/>
    <col min="16123" max="16123" width="2.85546875" style="9" customWidth="1"/>
    <col min="16124" max="16124" width="3" style="9" customWidth="1"/>
    <col min="16125" max="16125" width="24.7109375" style="9" customWidth="1"/>
    <col min="16126" max="16126" width="7.85546875" style="9" customWidth="1"/>
    <col min="16127" max="16127" width="7.42578125" style="9" customWidth="1"/>
    <col min="16128" max="16128" width="11.140625" style="9" customWidth="1"/>
    <col min="16129" max="16129" width="14.42578125" style="9" customWidth="1"/>
    <col min="16130" max="16130" width="3.42578125" style="9" customWidth="1"/>
    <col min="16131" max="16131" width="3" style="9" customWidth="1"/>
    <col min="16132" max="16132" width="3.28515625" style="9" customWidth="1"/>
    <col min="16133" max="16133" width="3.140625" style="9" customWidth="1"/>
    <col min="16134" max="16134" width="3.42578125" style="9" customWidth="1"/>
    <col min="16135" max="16135" width="24.7109375" style="9" customWidth="1"/>
    <col min="16136" max="16136" width="7.85546875" style="9" customWidth="1"/>
    <col min="16137" max="16137" width="7.28515625" style="9" customWidth="1"/>
    <col min="16138" max="16138" width="11.7109375" style="9" bestFit="1" customWidth="1"/>
    <col min="16139" max="16139" width="14.42578125" style="9" customWidth="1"/>
    <col min="16140" max="16140" width="8.85546875" style="9"/>
    <col min="16141" max="16141" width="14.28515625" style="9" bestFit="1" customWidth="1"/>
    <col min="16142" max="16142" width="10" style="9" customWidth="1"/>
    <col min="16143" max="16384" width="8.85546875" style="9"/>
  </cols>
  <sheetData>
    <row r="1" spans="2:21" ht="14.25" thickTop="1" thickBot="1">
      <c r="B1" s="3400"/>
      <c r="C1" s="3319"/>
      <c r="D1" s="3319"/>
      <c r="E1" s="3319"/>
      <c r="F1" s="3319"/>
      <c r="G1" s="3319"/>
      <c r="H1" s="3319"/>
      <c r="I1" s="3319"/>
      <c r="J1" s="3319"/>
      <c r="K1" s="3320"/>
    </row>
    <row r="2" spans="2:2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38" t="s">
        <v>1</v>
      </c>
    </row>
    <row r="3" spans="2:21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39" t="s">
        <v>3</v>
      </c>
    </row>
    <row r="4" spans="2:2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21">
      <c r="B5" s="3467" t="s">
        <v>31</v>
      </c>
      <c r="C5" s="3312"/>
      <c r="D5" s="3312"/>
      <c r="E5" s="3312"/>
      <c r="F5" s="3312"/>
      <c r="G5" s="3312" t="s">
        <v>38</v>
      </c>
      <c r="H5" s="3312"/>
      <c r="I5" s="3312"/>
      <c r="J5" s="3312"/>
      <c r="K5" s="3313"/>
    </row>
    <row r="6" spans="2:2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21" s="13" customFormat="1" ht="30" customHeight="1">
      <c r="B7" s="3655" t="s">
        <v>33</v>
      </c>
      <c r="C7" s="3656"/>
      <c r="D7" s="3656"/>
      <c r="E7" s="3656"/>
      <c r="F7" s="3656"/>
      <c r="G7" s="3650" t="s">
        <v>83</v>
      </c>
      <c r="H7" s="3650"/>
      <c r="I7" s="3650"/>
      <c r="J7" s="3650"/>
      <c r="K7" s="3651"/>
      <c r="S7" s="297"/>
      <c r="T7" s="297"/>
      <c r="U7" s="297"/>
    </row>
    <row r="8" spans="2:21" ht="15" customHeight="1">
      <c r="B8" s="3341" t="s">
        <v>34</v>
      </c>
      <c r="C8" s="3339"/>
      <c r="D8" s="3339"/>
      <c r="E8" s="3339"/>
      <c r="F8" s="3339"/>
      <c r="G8" s="3339" t="s">
        <v>271</v>
      </c>
      <c r="H8" s="3339"/>
      <c r="I8" s="3339"/>
      <c r="J8" s="3339"/>
      <c r="K8" s="3340"/>
    </row>
    <row r="9" spans="2:2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2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21">
      <c r="B11" s="3314" t="s">
        <v>37</v>
      </c>
      <c r="C11" s="3315"/>
      <c r="D11" s="3315"/>
      <c r="E11" s="3315"/>
      <c r="F11" s="3315"/>
      <c r="G11" s="3315" t="s">
        <v>273</v>
      </c>
      <c r="H11" s="3315"/>
      <c r="I11" s="3315"/>
      <c r="J11" s="3315"/>
      <c r="K11" s="3316"/>
    </row>
    <row r="12" spans="2:21">
      <c r="B12" s="3468" t="s">
        <v>89</v>
      </c>
      <c r="C12" s="3469"/>
      <c r="D12" s="3469"/>
      <c r="E12" s="3469"/>
      <c r="F12" s="3469"/>
      <c r="G12" s="3469"/>
      <c r="H12" s="3469"/>
      <c r="I12" s="3469"/>
      <c r="J12" s="3469"/>
      <c r="K12" s="3470"/>
    </row>
    <row r="13" spans="2:21">
      <c r="B13" s="3468" t="s">
        <v>5</v>
      </c>
      <c r="C13" s="3469"/>
      <c r="D13" s="3469"/>
      <c r="E13" s="3469"/>
      <c r="F13" s="3509"/>
      <c r="G13" s="3510" t="s">
        <v>90</v>
      </c>
      <c r="H13" s="3511"/>
      <c r="I13" s="3510" t="s">
        <v>7</v>
      </c>
      <c r="J13" s="3512"/>
      <c r="K13" s="3513"/>
    </row>
    <row r="14" spans="2:21" ht="16.5" customHeight="1">
      <c r="B14" s="3462" t="s">
        <v>8</v>
      </c>
      <c r="C14" s="3463"/>
      <c r="D14" s="3463"/>
      <c r="E14" s="3463"/>
      <c r="F14" s="3464"/>
      <c r="G14" s="3445" t="s">
        <v>419</v>
      </c>
      <c r="H14" s="3448"/>
      <c r="I14" s="3450">
        <v>1</v>
      </c>
      <c r="J14" s="3451"/>
      <c r="K14" s="3452"/>
    </row>
    <row r="15" spans="2:21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285500000</v>
      </c>
      <c r="J15" s="3454"/>
      <c r="K15" s="3455"/>
    </row>
    <row r="16" spans="2:21" ht="16.5" customHeight="1">
      <c r="B16" s="3439" t="s">
        <v>10</v>
      </c>
      <c r="C16" s="3451"/>
      <c r="D16" s="3451"/>
      <c r="E16" s="3451"/>
      <c r="F16" s="3460"/>
      <c r="G16" s="3445" t="s">
        <v>418</v>
      </c>
      <c r="H16" s="3448"/>
      <c r="I16" s="3456">
        <v>1</v>
      </c>
      <c r="J16" s="3457"/>
      <c r="K16" s="3458"/>
    </row>
    <row r="17" spans="2:21" ht="15" customHeight="1">
      <c r="B17" s="3439" t="s">
        <v>11</v>
      </c>
      <c r="C17" s="3451"/>
      <c r="D17" s="3451"/>
      <c r="E17" s="3451"/>
      <c r="F17" s="3460"/>
      <c r="G17" s="3445" t="s">
        <v>420</v>
      </c>
      <c r="H17" s="3448"/>
      <c r="I17" s="3456">
        <v>1</v>
      </c>
      <c r="J17" s="3457"/>
      <c r="K17" s="3458"/>
    </row>
    <row r="18" spans="2:21">
      <c r="B18" s="3442" t="s">
        <v>13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21" ht="16.5" customHeight="1">
      <c r="B19" s="3528" t="s">
        <v>87</v>
      </c>
      <c r="C19" s="3529"/>
      <c r="D19" s="3529"/>
      <c r="E19" s="3529"/>
      <c r="F19" s="3529"/>
      <c r="G19" s="3529"/>
      <c r="H19" s="3529"/>
      <c r="I19" s="3529"/>
      <c r="J19" s="3529"/>
      <c r="K19" s="3530"/>
    </row>
    <row r="20" spans="2:21" ht="15" customHeight="1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</row>
    <row r="21" spans="2:21" ht="16.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0" t="s">
        <v>17</v>
      </c>
      <c r="L21" s="305"/>
      <c r="M21" s="305"/>
      <c r="N21" s="305"/>
      <c r="O21" s="305"/>
      <c r="P21" s="305"/>
      <c r="Q21" s="303"/>
      <c r="R21" s="303"/>
    </row>
    <row r="22" spans="2:21" ht="15" customHeight="1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39" t="s">
        <v>21</v>
      </c>
      <c r="L22" s="3378" t="s">
        <v>158</v>
      </c>
      <c r="M22" s="3378"/>
      <c r="N22" s="3378"/>
      <c r="O22" s="3378"/>
      <c r="P22" s="3378"/>
      <c r="Q22" s="3378"/>
      <c r="R22" s="3378" t="s">
        <v>17</v>
      </c>
    </row>
    <row r="23" spans="2:21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41" t="s">
        <v>22</v>
      </c>
      <c r="L23" s="901"/>
      <c r="M23" s="901"/>
      <c r="N23" s="901"/>
      <c r="O23" s="901"/>
      <c r="P23" s="901"/>
      <c r="Q23" s="901"/>
      <c r="R23" s="3378"/>
    </row>
    <row r="24" spans="2:21" ht="12.75" customHeight="1">
      <c r="B24" s="19">
        <v>5</v>
      </c>
      <c r="C24" s="15">
        <v>2</v>
      </c>
      <c r="D24" s="15"/>
      <c r="E24" s="15"/>
      <c r="F24" s="15"/>
      <c r="G24" s="20" t="s">
        <v>23</v>
      </c>
      <c r="H24" s="861"/>
      <c r="I24" s="20"/>
      <c r="J24" s="20"/>
      <c r="K24" s="1217">
        <f>K25</f>
        <v>285500000</v>
      </c>
      <c r="L24" s="900" t="s">
        <v>177</v>
      </c>
      <c r="M24" s="900" t="s">
        <v>594</v>
      </c>
      <c r="N24" s="900" t="s">
        <v>651</v>
      </c>
      <c r="O24" s="900" t="s">
        <v>595</v>
      </c>
      <c r="P24" s="900" t="s">
        <v>652</v>
      </c>
      <c r="Q24" s="900" t="s">
        <v>593</v>
      </c>
      <c r="R24" s="3379"/>
    </row>
    <row r="25" spans="2:21" ht="12.75" customHeight="1">
      <c r="B25" s="19">
        <v>5</v>
      </c>
      <c r="C25" s="15">
        <v>2</v>
      </c>
      <c r="D25" s="15">
        <v>3</v>
      </c>
      <c r="E25" s="15"/>
      <c r="F25" s="15"/>
      <c r="G25" s="20" t="s">
        <v>78</v>
      </c>
      <c r="H25" s="861"/>
      <c r="I25" s="20"/>
      <c r="J25" s="20"/>
      <c r="K25" s="1217">
        <f>+K26</f>
        <v>285500000</v>
      </c>
      <c r="L25" s="901">
        <v>6</v>
      </c>
      <c r="M25" s="901">
        <v>7</v>
      </c>
      <c r="N25" s="901">
        <v>8</v>
      </c>
      <c r="O25" s="901">
        <v>9</v>
      </c>
      <c r="P25" s="901">
        <v>10</v>
      </c>
      <c r="Q25" s="901">
        <v>11</v>
      </c>
      <c r="R25" s="901">
        <v>12</v>
      </c>
    </row>
    <row r="26" spans="2:21" s="27" customFormat="1" ht="25.5">
      <c r="B26" s="346">
        <v>5</v>
      </c>
      <c r="C26" s="371">
        <v>2</v>
      </c>
      <c r="D26" s="371">
        <v>3</v>
      </c>
      <c r="E26" s="372">
        <v>30</v>
      </c>
      <c r="F26" s="368"/>
      <c r="G26" s="381" t="s">
        <v>1057</v>
      </c>
      <c r="H26" s="933"/>
      <c r="I26" s="393"/>
      <c r="J26" s="445"/>
      <c r="K26" s="453">
        <f>K27+K31+K37</f>
        <v>285500000</v>
      </c>
      <c r="L26" s="377"/>
      <c r="M26" s="600"/>
      <c r="N26" s="466"/>
      <c r="O26" s="466"/>
      <c r="P26" s="466"/>
      <c r="Q26" s="378"/>
      <c r="R26" s="378"/>
      <c r="S26" s="298"/>
      <c r="T26" s="298"/>
      <c r="U26" s="298"/>
    </row>
    <row r="27" spans="2:21" ht="15">
      <c r="B27" s="346">
        <v>5</v>
      </c>
      <c r="C27" s="371">
        <v>2</v>
      </c>
      <c r="D27" s="371">
        <v>3</v>
      </c>
      <c r="E27" s="372">
        <v>30</v>
      </c>
      <c r="F27" s="372" t="s">
        <v>24</v>
      </c>
      <c r="G27" s="381" t="s">
        <v>511</v>
      </c>
      <c r="H27" s="645"/>
      <c r="I27" s="393"/>
      <c r="J27" s="438"/>
      <c r="K27" s="453">
        <f>SUM(K28:K29)</f>
        <v>23000000</v>
      </c>
      <c r="L27" s="377"/>
      <c r="M27" s="569"/>
      <c r="N27" s="378"/>
      <c r="O27" s="378"/>
      <c r="P27" s="378"/>
      <c r="Q27" s="466"/>
      <c r="R27" s="378"/>
    </row>
    <row r="28" spans="2:21" ht="15">
      <c r="B28" s="458"/>
      <c r="C28" s="380"/>
      <c r="D28" s="380"/>
      <c r="E28" s="459"/>
      <c r="F28" s="459"/>
      <c r="G28" s="391" t="s">
        <v>1715</v>
      </c>
      <c r="H28" s="597">
        <v>3</v>
      </c>
      <c r="I28" s="635" t="s">
        <v>293</v>
      </c>
      <c r="J28" s="438">
        <v>3000000</v>
      </c>
      <c r="K28" s="1218">
        <f>H28*J28</f>
        <v>9000000</v>
      </c>
      <c r="L28" s="377">
        <f>K28</f>
        <v>9000000</v>
      </c>
      <c r="M28" s="448"/>
      <c r="N28" s="377"/>
      <c r="O28" s="377"/>
      <c r="P28" s="377"/>
      <c r="Q28" s="378"/>
      <c r="R28" s="565"/>
    </row>
    <row r="29" spans="2:21" ht="15">
      <c r="B29" s="29"/>
      <c r="C29" s="4"/>
      <c r="D29" s="4"/>
      <c r="E29" s="30"/>
      <c r="F29" s="30"/>
      <c r="G29" s="32" t="s">
        <v>1059</v>
      </c>
      <c r="H29" s="355">
        <v>4</v>
      </c>
      <c r="I29" s="25" t="s">
        <v>85</v>
      </c>
      <c r="J29" s="26">
        <v>3500000</v>
      </c>
      <c r="K29" s="1219">
        <f>H29*J29</f>
        <v>14000000</v>
      </c>
      <c r="L29" s="377">
        <f>K29</f>
        <v>14000000</v>
      </c>
      <c r="M29" s="401"/>
      <c r="N29" s="377"/>
      <c r="O29" s="305"/>
      <c r="P29" s="305"/>
      <c r="Q29" s="306"/>
      <c r="R29" s="316"/>
    </row>
    <row r="30" spans="2:21" ht="15">
      <c r="B30" s="458"/>
      <c r="C30" s="380"/>
      <c r="D30" s="380"/>
      <c r="E30" s="459"/>
      <c r="F30" s="459"/>
      <c r="G30" s="391"/>
      <c r="H30" s="597"/>
      <c r="I30" s="635"/>
      <c r="J30" s="438"/>
      <c r="K30" s="1218"/>
      <c r="L30" s="377"/>
      <c r="M30" s="569"/>
      <c r="N30" s="378"/>
      <c r="O30" s="378"/>
      <c r="P30" s="378"/>
      <c r="Q30" s="378"/>
      <c r="R30" s="378"/>
    </row>
    <row r="31" spans="2:21" ht="15">
      <c r="B31" s="346">
        <v>5</v>
      </c>
      <c r="C31" s="371">
        <v>2</v>
      </c>
      <c r="D31" s="371">
        <v>3</v>
      </c>
      <c r="E31" s="372">
        <v>30</v>
      </c>
      <c r="F31" s="372" t="s">
        <v>44</v>
      </c>
      <c r="G31" s="381" t="s">
        <v>512</v>
      </c>
      <c r="H31" s="645"/>
      <c r="I31" s="393"/>
      <c r="J31" s="445"/>
      <c r="K31" s="453">
        <f>SUM(K32:K36)</f>
        <v>67500000</v>
      </c>
      <c r="L31" s="377"/>
      <c r="M31" s="569"/>
      <c r="N31" s="378"/>
      <c r="O31" s="378"/>
      <c r="P31" s="378"/>
      <c r="Q31" s="378"/>
      <c r="R31" s="378"/>
    </row>
    <row r="32" spans="2:21" ht="15">
      <c r="B32" s="458"/>
      <c r="C32" s="380"/>
      <c r="D32" s="380"/>
      <c r="E32" s="459"/>
      <c r="F32" s="459"/>
      <c r="G32" s="391" t="s">
        <v>1716</v>
      </c>
      <c r="H32" s="597">
        <v>6</v>
      </c>
      <c r="I32" s="635" t="s">
        <v>85</v>
      </c>
      <c r="J32" s="438">
        <v>1250000</v>
      </c>
      <c r="K32" s="1218">
        <f>H32*J32</f>
        <v>7500000</v>
      </c>
      <c r="L32" s="377">
        <f t="shared" ref="L32:L35" si="0">K32</f>
        <v>7500000</v>
      </c>
      <c r="M32" s="448"/>
      <c r="N32" s="377"/>
      <c r="O32" s="378"/>
      <c r="P32" s="378"/>
      <c r="Q32" s="378"/>
      <c r="R32" s="378"/>
    </row>
    <row r="33" spans="2:21" ht="15">
      <c r="B33" s="29"/>
      <c r="C33" s="4"/>
      <c r="D33" s="4"/>
      <c r="E33" s="30"/>
      <c r="F33" s="30"/>
      <c r="G33" s="32" t="s">
        <v>1454</v>
      </c>
      <c r="H33" s="355">
        <v>10</v>
      </c>
      <c r="I33" s="25" t="s">
        <v>85</v>
      </c>
      <c r="J33" s="26">
        <v>3500000</v>
      </c>
      <c r="K33" s="1219">
        <f>H33*J33</f>
        <v>35000000</v>
      </c>
      <c r="L33" s="377">
        <f t="shared" si="0"/>
        <v>35000000</v>
      </c>
      <c r="M33" s="401"/>
      <c r="N33" s="377"/>
      <c r="O33" s="306"/>
      <c r="P33" s="306"/>
      <c r="Q33" s="306"/>
      <c r="R33" s="306"/>
      <c r="T33" s="41">
        <f>S33*35%</f>
        <v>0</v>
      </c>
      <c r="U33" s="41">
        <f>SUM(S33:T33)</f>
        <v>0</v>
      </c>
    </row>
    <row r="34" spans="2:21" ht="15">
      <c r="B34" s="458"/>
      <c r="C34" s="380"/>
      <c r="D34" s="380"/>
      <c r="E34" s="459"/>
      <c r="F34" s="459"/>
      <c r="G34" s="32" t="s">
        <v>1171</v>
      </c>
      <c r="H34" s="597">
        <v>30</v>
      </c>
      <c r="I34" s="25" t="s">
        <v>85</v>
      </c>
      <c r="J34" s="26">
        <v>750000</v>
      </c>
      <c r="K34" s="1219">
        <f>H34*J34</f>
        <v>22500000</v>
      </c>
      <c r="L34" s="377">
        <f t="shared" si="0"/>
        <v>22500000</v>
      </c>
      <c r="M34" s="401"/>
      <c r="N34" s="377"/>
      <c r="O34" s="378"/>
      <c r="P34" s="378"/>
      <c r="Q34" s="378"/>
      <c r="R34" s="378"/>
    </row>
    <row r="35" spans="2:21" s="1793" customFormat="1" ht="15">
      <c r="B35" s="1899"/>
      <c r="C35" s="1889"/>
      <c r="D35" s="1889"/>
      <c r="E35" s="1900"/>
      <c r="F35" s="1900"/>
      <c r="G35" s="1891" t="s">
        <v>1748</v>
      </c>
      <c r="H35" s="1901">
        <v>2</v>
      </c>
      <c r="I35" s="1902" t="s">
        <v>85</v>
      </c>
      <c r="J35" s="1905">
        <v>1250000</v>
      </c>
      <c r="K35" s="1904">
        <f>H35*J35</f>
        <v>2500000</v>
      </c>
      <c r="L35" s="377">
        <f t="shared" si="0"/>
        <v>2500000</v>
      </c>
      <c r="M35" s="1906"/>
      <c r="N35" s="377"/>
      <c r="O35" s="1890"/>
      <c r="P35" s="1890"/>
      <c r="Q35" s="1890"/>
      <c r="R35" s="1890"/>
      <c r="S35" s="1846"/>
      <c r="T35" s="1846"/>
      <c r="U35" s="1846"/>
    </row>
    <row r="36" spans="2:21" ht="15">
      <c r="B36" s="458"/>
      <c r="C36" s="380"/>
      <c r="D36" s="380"/>
      <c r="E36" s="459"/>
      <c r="F36" s="459"/>
      <c r="G36" s="391"/>
      <c r="H36" s="597"/>
      <c r="I36" s="635"/>
      <c r="J36" s="438"/>
      <c r="K36" s="1218"/>
      <c r="L36" s="377"/>
      <c r="M36" s="978"/>
      <c r="N36" s="378"/>
      <c r="O36" s="378"/>
      <c r="P36" s="378"/>
      <c r="Q36" s="378"/>
      <c r="R36" s="378"/>
    </row>
    <row r="37" spans="2:21" ht="15">
      <c r="B37" s="346">
        <v>5</v>
      </c>
      <c r="C37" s="371">
        <v>2</v>
      </c>
      <c r="D37" s="371">
        <v>3</v>
      </c>
      <c r="E37" s="372">
        <v>30</v>
      </c>
      <c r="F37" s="372" t="s">
        <v>77</v>
      </c>
      <c r="G37" s="638" t="s">
        <v>1058</v>
      </c>
      <c r="H37" s="645"/>
      <c r="I37" s="393"/>
      <c r="J37" s="445"/>
      <c r="K37" s="453">
        <f>SUM(K38:K41)</f>
        <v>195000000</v>
      </c>
      <c r="L37" s="377"/>
      <c r="M37" s="569"/>
      <c r="N37" s="378"/>
      <c r="O37" s="378"/>
      <c r="P37" s="378"/>
      <c r="Q37" s="378"/>
      <c r="R37" s="378"/>
    </row>
    <row r="38" spans="2:21" ht="15">
      <c r="B38" s="970"/>
      <c r="C38" s="383"/>
      <c r="D38" s="383"/>
      <c r="E38" s="968"/>
      <c r="F38" s="968"/>
      <c r="G38" s="373" t="s">
        <v>965</v>
      </c>
      <c r="H38" s="645">
        <v>1</v>
      </c>
      <c r="I38" s="393" t="s">
        <v>114</v>
      </c>
      <c r="J38" s="445">
        <v>160000000</v>
      </c>
      <c r="K38" s="1219">
        <f>H38*J38</f>
        <v>160000000</v>
      </c>
      <c r="L38" s="377">
        <f t="shared" ref="L38:L40" si="1">K38</f>
        <v>160000000</v>
      </c>
      <c r="M38" s="401"/>
      <c r="N38" s="972"/>
      <c r="O38" s="969"/>
      <c r="P38" s="969"/>
      <c r="Q38" s="969"/>
      <c r="R38" s="969"/>
    </row>
    <row r="39" spans="2:21" ht="15">
      <c r="B39" s="458"/>
      <c r="C39" s="380"/>
      <c r="D39" s="380"/>
      <c r="E39" s="459"/>
      <c r="F39" s="459"/>
      <c r="G39" s="391" t="s">
        <v>1717</v>
      </c>
      <c r="H39" s="597">
        <v>1</v>
      </c>
      <c r="I39" s="635" t="s">
        <v>85</v>
      </c>
      <c r="J39" s="438">
        <v>5000000</v>
      </c>
      <c r="K39" s="1218">
        <f>H39*J39</f>
        <v>5000000</v>
      </c>
      <c r="L39" s="377">
        <f t="shared" si="1"/>
        <v>5000000</v>
      </c>
      <c r="M39" s="401"/>
      <c r="N39" s="972"/>
      <c r="O39" s="378"/>
      <c r="P39" s="378"/>
      <c r="Q39" s="378"/>
      <c r="R39" s="378"/>
      <c r="S39" s="41">
        <v>805000</v>
      </c>
      <c r="T39" s="41">
        <f>S39*35%</f>
        <v>281750</v>
      </c>
      <c r="U39" s="41">
        <f>SUM(S39:T39)</f>
        <v>1086750</v>
      </c>
    </row>
    <row r="40" spans="2:21" s="1793" customFormat="1" ht="15">
      <c r="B40" s="1899"/>
      <c r="C40" s="1889"/>
      <c r="D40" s="1889"/>
      <c r="E40" s="1900"/>
      <c r="F40" s="1900"/>
      <c r="G40" s="1891" t="s">
        <v>1803</v>
      </c>
      <c r="H40" s="1901">
        <v>1</v>
      </c>
      <c r="I40" s="1902" t="s">
        <v>147</v>
      </c>
      <c r="J40" s="1903">
        <v>30000000</v>
      </c>
      <c r="K40" s="1904">
        <f>H40*J40</f>
        <v>30000000</v>
      </c>
      <c r="L40" s="377">
        <f t="shared" si="1"/>
        <v>30000000</v>
      </c>
      <c r="M40" s="1769"/>
      <c r="N40" s="972"/>
      <c r="O40" s="1890"/>
      <c r="P40" s="1890"/>
      <c r="Q40" s="1890"/>
      <c r="R40" s="1890"/>
      <c r="S40" s="1846"/>
      <c r="T40" s="1846"/>
      <c r="U40" s="1846"/>
    </row>
    <row r="41" spans="2:21" ht="15">
      <c r="B41" s="29"/>
      <c r="C41" s="4"/>
      <c r="D41" s="4"/>
      <c r="E41" s="30"/>
      <c r="F41" s="30"/>
      <c r="G41" s="32"/>
      <c r="H41" s="355"/>
      <c r="I41" s="25"/>
      <c r="J41" s="26"/>
      <c r="K41" s="1219"/>
      <c r="L41" s="305"/>
      <c r="M41" s="310"/>
      <c r="N41" s="306"/>
      <c r="O41" s="306"/>
      <c r="P41" s="306"/>
      <c r="Q41" s="306"/>
      <c r="R41" s="306"/>
    </row>
    <row r="42" spans="2:21" ht="14.45" customHeight="1" thickBot="1">
      <c r="B42" s="3652" t="s">
        <v>30</v>
      </c>
      <c r="C42" s="3653"/>
      <c r="D42" s="3653"/>
      <c r="E42" s="3653"/>
      <c r="F42" s="3653"/>
      <c r="G42" s="3653"/>
      <c r="H42" s="3653"/>
      <c r="I42" s="3653"/>
      <c r="J42" s="3654"/>
      <c r="K42" s="1220">
        <f>K24</f>
        <v>285500000</v>
      </c>
      <c r="L42" s="1087">
        <f t="shared" ref="L42:Q42" si="2">SUM(L26:L41)</f>
        <v>285500000</v>
      </c>
      <c r="M42" s="1087">
        <f t="shared" si="2"/>
        <v>0</v>
      </c>
      <c r="N42" s="1087">
        <f t="shared" si="2"/>
        <v>0</v>
      </c>
      <c r="O42" s="1087">
        <f t="shared" si="2"/>
        <v>0</v>
      </c>
      <c r="P42" s="1087">
        <f t="shared" si="2"/>
        <v>0</v>
      </c>
      <c r="Q42" s="1087">
        <f t="shared" si="2"/>
        <v>0</v>
      </c>
      <c r="R42" s="314">
        <f>SUM(L42:Q42)</f>
        <v>285500000</v>
      </c>
      <c r="S42" s="41">
        <v>658250000</v>
      </c>
      <c r="T42" s="41">
        <f>S42-K42</f>
        <v>372750000</v>
      </c>
    </row>
    <row r="43" spans="2:21" ht="15.75" thickTop="1">
      <c r="L43" s="305"/>
      <c r="M43" s="310"/>
      <c r="N43" s="306"/>
      <c r="O43" s="306"/>
      <c r="P43" s="306"/>
      <c r="Q43" s="306"/>
      <c r="R43" s="306"/>
    </row>
    <row r="44" spans="2:21" ht="15">
      <c r="L44" s="564"/>
      <c r="M44" s="569"/>
      <c r="N44" s="378"/>
      <c r="O44" s="378"/>
      <c r="P44" s="378"/>
      <c r="Q44" s="378"/>
      <c r="R44" s="378"/>
    </row>
    <row r="45" spans="2:21" ht="15">
      <c r="H45" s="3336" t="s">
        <v>1534</v>
      </c>
      <c r="I45" s="3336"/>
      <c r="J45" s="3336"/>
      <c r="K45" s="945"/>
      <c r="L45" s="564"/>
      <c r="M45" s="310"/>
      <c r="N45" s="306"/>
      <c r="O45" s="306"/>
      <c r="P45" s="306"/>
      <c r="Q45" s="306"/>
      <c r="R45" s="306"/>
    </row>
    <row r="46" spans="2:21" ht="15">
      <c r="H46" s="3337" t="s">
        <v>272</v>
      </c>
      <c r="I46" s="3337"/>
      <c r="J46" s="3485"/>
      <c r="K46" s="945"/>
      <c r="L46" s="564"/>
      <c r="M46" s="310"/>
      <c r="N46" s="306"/>
      <c r="O46" s="306"/>
      <c r="P46" s="306"/>
      <c r="Q46" s="306"/>
      <c r="R46" s="306"/>
    </row>
    <row r="47" spans="2:21" ht="15">
      <c r="H47" s="127"/>
      <c r="I47" s="127"/>
      <c r="J47" s="127"/>
      <c r="K47" s="945"/>
      <c r="L47" s="564"/>
      <c r="M47" s="310"/>
      <c r="N47" s="306"/>
      <c r="O47" s="306"/>
      <c r="P47" s="306"/>
      <c r="Q47" s="306"/>
      <c r="R47" s="306"/>
    </row>
    <row r="48" spans="2:21" ht="15">
      <c r="H48" s="127"/>
      <c r="I48" s="127"/>
      <c r="J48" s="127"/>
      <c r="K48" s="945"/>
      <c r="L48" s="564"/>
      <c r="M48" s="310"/>
      <c r="N48" s="306"/>
      <c r="O48" s="306"/>
      <c r="P48" s="306"/>
      <c r="Q48" s="306"/>
      <c r="R48" s="306"/>
    </row>
    <row r="49" spans="8:18" ht="15">
      <c r="H49" s="3434" t="s">
        <v>904</v>
      </c>
      <c r="I49" s="3434"/>
      <c r="J49" s="3434"/>
      <c r="K49" s="945"/>
      <c r="L49" s="564"/>
      <c r="M49" s="310"/>
      <c r="N49" s="306"/>
      <c r="O49" s="306"/>
      <c r="P49" s="306"/>
      <c r="Q49" s="306"/>
      <c r="R49" s="306"/>
    </row>
    <row r="50" spans="8:18" ht="15">
      <c r="H50" s="3434" t="s">
        <v>906</v>
      </c>
      <c r="I50" s="3434"/>
      <c r="J50" s="3434"/>
      <c r="K50" s="945"/>
      <c r="L50" s="564"/>
      <c r="M50" s="310"/>
      <c r="N50" s="306"/>
      <c r="O50" s="306"/>
      <c r="P50" s="306"/>
      <c r="Q50" s="306"/>
      <c r="R50" s="306"/>
    </row>
  </sheetData>
  <mergeCells count="50">
    <mergeCell ref="L22:Q22"/>
    <mergeCell ref="R22:R24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20:K20"/>
    <mergeCell ref="B15:F15"/>
    <mergeCell ref="G15:H15"/>
    <mergeCell ref="I15:K15"/>
    <mergeCell ref="B16:F16"/>
    <mergeCell ref="G16:H16"/>
    <mergeCell ref="I16:K16"/>
    <mergeCell ref="B17:F17"/>
    <mergeCell ref="G17:H17"/>
    <mergeCell ref="I17:K17"/>
    <mergeCell ref="B18:K18"/>
    <mergeCell ref="B19:K19"/>
    <mergeCell ref="H46:J46"/>
    <mergeCell ref="H49:J49"/>
    <mergeCell ref="H50:J50"/>
    <mergeCell ref="B21:F22"/>
    <mergeCell ref="G21:G22"/>
    <mergeCell ref="H21:J21"/>
    <mergeCell ref="B23:F23"/>
    <mergeCell ref="B42:J42"/>
    <mergeCell ref="H45:J45"/>
  </mergeCells>
  <pageMargins left="0.23622047244094491" right="0.19685039370078741" top="0.55118110236220474" bottom="0.51181102362204722" header="0.31496062992125984" footer="0.23622047244094491"/>
  <pageSetup paperSize="5" scale="87" orientation="portrait" horizontalDpi="4294967293" verticalDpi="4294967293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R110"/>
  <sheetViews>
    <sheetView showGridLines="0" view="pageBreakPreview" topLeftCell="C49" zoomScale="90" zoomScaleNormal="80" zoomScaleSheetLayoutView="90" workbookViewId="0">
      <selection activeCell="D60" sqref="D60"/>
    </sheetView>
  </sheetViews>
  <sheetFormatPr defaultRowHeight="15"/>
  <cols>
    <col min="1" max="1" width="1.28515625" style="255" customWidth="1"/>
    <col min="2" max="2" width="11.42578125" style="274" customWidth="1"/>
    <col min="3" max="3" width="3.7109375" style="258" customWidth="1"/>
    <col min="4" max="4" width="58.7109375" style="261" customWidth="1"/>
    <col min="5" max="5" width="54.28515625" style="259" customWidth="1"/>
    <col min="6" max="6" width="11.7109375" style="260" customWidth="1"/>
    <col min="7" max="7" width="24.42578125" style="260" customWidth="1"/>
    <col min="8" max="8" width="22.85546875" style="260" customWidth="1"/>
    <col min="9" max="9" width="23" style="255" bestFit="1" customWidth="1"/>
    <col min="10" max="11" width="21.7109375" style="263" bestFit="1" customWidth="1"/>
    <col min="12" max="12" width="20.42578125" style="263" bestFit="1" customWidth="1"/>
    <col min="13" max="13" width="8.140625" style="263" bestFit="1" customWidth="1"/>
    <col min="14" max="15" width="21.7109375" style="263" bestFit="1" customWidth="1"/>
    <col min="16" max="16" width="10.140625" style="263" bestFit="1" customWidth="1"/>
    <col min="17" max="18" width="9.140625" style="263"/>
    <col min="19" max="16384" width="9.140625" style="255"/>
  </cols>
  <sheetData>
    <row r="1" spans="1:18" s="246" customFormat="1">
      <c r="B1" s="248"/>
      <c r="C1" s="248"/>
      <c r="D1" s="248"/>
      <c r="E1" s="248"/>
      <c r="F1" s="248"/>
      <c r="G1" s="247"/>
      <c r="H1" s="965"/>
      <c r="J1" s="1057"/>
      <c r="K1" s="1057"/>
      <c r="L1" s="1057"/>
      <c r="M1" s="1057"/>
      <c r="N1" s="1057"/>
      <c r="O1" s="1057"/>
      <c r="P1" s="1057"/>
      <c r="Q1" s="1057"/>
      <c r="R1" s="1057"/>
    </row>
    <row r="2" spans="1:18" s="246" customFormat="1">
      <c r="B2" s="248" t="s">
        <v>522</v>
      </c>
      <c r="C2" s="247" t="s">
        <v>523</v>
      </c>
      <c r="D2" s="248" t="s">
        <v>1232</v>
      </c>
      <c r="E2" s="248"/>
      <c r="F2" s="248"/>
      <c r="G2" s="249"/>
      <c r="H2" s="249"/>
      <c r="J2" s="1057"/>
      <c r="K2" s="1057"/>
      <c r="L2" s="1057"/>
      <c r="M2" s="1057"/>
      <c r="N2" s="1057"/>
      <c r="O2" s="1057"/>
      <c r="P2" s="1057"/>
      <c r="Q2" s="1057"/>
      <c r="R2" s="1057"/>
    </row>
    <row r="3" spans="1:18" s="246" customFormat="1">
      <c r="B3" s="250"/>
      <c r="C3" s="247"/>
      <c r="D3" s="247"/>
      <c r="E3" s="247"/>
      <c r="F3" s="247"/>
      <c r="G3" s="247">
        <v>25368611880</v>
      </c>
      <c r="H3" s="965"/>
      <c r="J3" s="1057"/>
      <c r="K3" s="1057"/>
      <c r="L3" s="1057"/>
      <c r="M3" s="1057"/>
      <c r="N3" s="1057"/>
      <c r="O3" s="1057"/>
      <c r="P3" s="1057"/>
      <c r="Q3" s="1057"/>
      <c r="R3" s="1057"/>
    </row>
    <row r="4" spans="1:18" s="246" customFormat="1">
      <c r="B4" s="251" t="s">
        <v>524</v>
      </c>
      <c r="C4" s="247" t="s">
        <v>523</v>
      </c>
      <c r="D4" s="252" t="s">
        <v>525</v>
      </c>
      <c r="E4" s="253"/>
      <c r="F4" s="254"/>
      <c r="G4" s="254"/>
      <c r="H4" s="2248"/>
      <c r="I4" s="2243"/>
      <c r="J4" s="1057"/>
      <c r="K4" s="2199"/>
      <c r="L4" s="2198"/>
      <c r="M4" s="1057"/>
      <c r="N4" s="1057"/>
      <c r="O4" s="1057"/>
      <c r="P4" s="1057"/>
      <c r="Q4" s="1057"/>
      <c r="R4" s="1057"/>
    </row>
    <row r="5" spans="1:18">
      <c r="B5" s="256" t="s">
        <v>526</v>
      </c>
      <c r="C5" s="257" t="s">
        <v>523</v>
      </c>
      <c r="D5" s="258" t="s">
        <v>527</v>
      </c>
      <c r="H5" s="2247"/>
      <c r="I5" s="2197"/>
      <c r="J5" s="2198"/>
      <c r="K5" s="2198"/>
      <c r="L5" s="2198"/>
    </row>
    <row r="6" spans="1:18">
      <c r="B6" s="256"/>
      <c r="I6" s="2197">
        <v>25678830580</v>
      </c>
      <c r="J6" s="2198">
        <f>G11-I6</f>
        <v>-307818700</v>
      </c>
      <c r="K6" s="2198"/>
      <c r="L6" s="2198"/>
    </row>
    <row r="7" spans="1:18" s="262" customFormat="1" ht="31.5" customHeight="1">
      <c r="B7" s="3027" t="s">
        <v>528</v>
      </c>
      <c r="C7" s="3029" t="s">
        <v>529</v>
      </c>
      <c r="D7" s="3030"/>
      <c r="E7" s="3033" t="s">
        <v>530</v>
      </c>
      <c r="F7" s="3033" t="s">
        <v>531</v>
      </c>
      <c r="G7" s="1184" t="s">
        <v>532</v>
      </c>
      <c r="H7" s="3046" t="s">
        <v>862</v>
      </c>
      <c r="I7" s="3024" t="s">
        <v>158</v>
      </c>
      <c r="J7" s="3020"/>
      <c r="K7" s="3020"/>
      <c r="L7" s="3020"/>
      <c r="M7" s="3020"/>
      <c r="N7" s="3020"/>
      <c r="O7" s="3020" t="s">
        <v>17</v>
      </c>
      <c r="P7" s="1171"/>
      <c r="Q7" s="1171"/>
      <c r="R7" s="1171"/>
    </row>
    <row r="8" spans="1:18" s="262" customFormat="1">
      <c r="B8" s="3028"/>
      <c r="C8" s="3031"/>
      <c r="D8" s="3032"/>
      <c r="E8" s="3034"/>
      <c r="F8" s="3034"/>
      <c r="G8" s="977" t="s">
        <v>1051</v>
      </c>
      <c r="H8" s="3046"/>
      <c r="I8" s="483" t="s">
        <v>177</v>
      </c>
      <c r="J8" s="1147" t="s">
        <v>594</v>
      </c>
      <c r="K8" s="1147" t="s">
        <v>651</v>
      </c>
      <c r="L8" s="1147" t="s">
        <v>595</v>
      </c>
      <c r="M8" s="1147" t="s">
        <v>652</v>
      </c>
      <c r="N8" s="1147" t="s">
        <v>593</v>
      </c>
      <c r="O8" s="3020"/>
      <c r="P8" s="1171"/>
      <c r="Q8" s="1171"/>
      <c r="R8" s="1171"/>
    </row>
    <row r="9" spans="1:18" s="263" customFormat="1" ht="15.75" customHeight="1">
      <c r="B9" s="487">
        <v>1</v>
      </c>
      <c r="C9" s="3041">
        <v>2</v>
      </c>
      <c r="D9" s="3042"/>
      <c r="E9" s="488">
        <v>3</v>
      </c>
      <c r="F9" s="488">
        <v>4</v>
      </c>
      <c r="G9" s="1185">
        <v>5</v>
      </c>
      <c r="H9" s="848">
        <v>6</v>
      </c>
      <c r="I9" s="483">
        <v>6</v>
      </c>
      <c r="J9" s="1147">
        <v>7</v>
      </c>
      <c r="K9" s="1147">
        <v>8</v>
      </c>
      <c r="L9" s="1147">
        <v>9</v>
      </c>
      <c r="M9" s="1147">
        <v>10</v>
      </c>
      <c r="N9" s="1147">
        <v>11</v>
      </c>
      <c r="O9" s="1147">
        <v>12</v>
      </c>
    </row>
    <row r="10" spans="1:18" s="264" customFormat="1" ht="19.5" customHeight="1">
      <c r="B10" s="489"/>
      <c r="C10" s="3043" t="s">
        <v>139</v>
      </c>
      <c r="D10" s="3044"/>
      <c r="E10" s="490"/>
      <c r="F10" s="490"/>
      <c r="G10" s="491">
        <f>+G11</f>
        <v>25371011880</v>
      </c>
      <c r="H10" s="966"/>
      <c r="I10" s="484"/>
      <c r="J10" s="336"/>
      <c r="K10" s="336"/>
      <c r="L10" s="336"/>
      <c r="M10" s="336"/>
      <c r="N10" s="336"/>
      <c r="O10" s="336"/>
      <c r="P10" s="266"/>
      <c r="Q10" s="266"/>
      <c r="R10" s="266"/>
    </row>
    <row r="11" spans="1:18" s="265" customFormat="1" ht="30" customHeight="1">
      <c r="B11" s="492"/>
      <c r="C11" s="493"/>
      <c r="D11" s="494" t="s">
        <v>140</v>
      </c>
      <c r="E11" s="495" t="s">
        <v>533</v>
      </c>
      <c r="F11" s="496" t="s">
        <v>534</v>
      </c>
      <c r="G11" s="661">
        <v>25371011880</v>
      </c>
      <c r="H11" s="742"/>
      <c r="I11" s="485">
        <v>15155711880</v>
      </c>
      <c r="J11" s="337"/>
      <c r="K11" s="337">
        <v>10215300000</v>
      </c>
      <c r="L11" s="337"/>
      <c r="M11" s="337"/>
      <c r="N11" s="338"/>
      <c r="O11" s="339">
        <f>SUM(I11:N11)</f>
        <v>25371011880</v>
      </c>
      <c r="P11" s="662">
        <f>O11-G11</f>
        <v>0</v>
      </c>
    </row>
    <row r="12" spans="1:18" s="263" customFormat="1">
      <c r="A12" s="266"/>
      <c r="B12" s="489"/>
      <c r="C12" s="3045" t="s">
        <v>535</v>
      </c>
      <c r="D12" s="3045"/>
      <c r="E12" s="497"/>
      <c r="F12" s="490"/>
      <c r="G12" s="491">
        <f>G13+G25+G29+G31+G33+G41+G46+G53+G57+G59</f>
        <v>66663590638</v>
      </c>
      <c r="H12" s="966"/>
      <c r="I12" s="485"/>
      <c r="J12" s="337"/>
      <c r="K12" s="337"/>
      <c r="L12" s="337"/>
      <c r="M12" s="337"/>
      <c r="N12" s="338"/>
      <c r="O12" s="336"/>
      <c r="P12" s="662"/>
    </row>
    <row r="13" spans="1:18" s="268" customFormat="1">
      <c r="A13" s="267"/>
      <c r="B13" s="498">
        <v>1</v>
      </c>
      <c r="C13" s="499" t="s">
        <v>159</v>
      </c>
      <c r="D13" s="500"/>
      <c r="E13" s="501"/>
      <c r="F13" s="502"/>
      <c r="G13" s="568">
        <f>SUM(G14:G24)</f>
        <v>6412820952</v>
      </c>
      <c r="H13" s="742"/>
      <c r="I13" s="486"/>
      <c r="J13" s="338"/>
      <c r="K13" s="338"/>
      <c r="L13" s="338"/>
      <c r="M13" s="338"/>
      <c r="N13" s="338"/>
      <c r="O13" s="336"/>
      <c r="P13" s="662"/>
      <c r="Q13" s="263"/>
      <c r="R13" s="263"/>
    </row>
    <row r="14" spans="1:18" s="268" customFormat="1" ht="30.75" customHeight="1">
      <c r="A14" s="267"/>
      <c r="B14" s="498"/>
      <c r="C14" s="503"/>
      <c r="D14" s="500" t="s">
        <v>160</v>
      </c>
      <c r="E14" s="501" t="s">
        <v>536</v>
      </c>
      <c r="F14" s="504" t="s">
        <v>537</v>
      </c>
      <c r="G14" s="505">
        <f>Surat!K35</f>
        <v>8000000</v>
      </c>
      <c r="H14" s="742"/>
      <c r="I14" s="485">
        <f>Surat!L35</f>
        <v>8000000</v>
      </c>
      <c r="J14" s="337">
        <f>Surat!M35</f>
        <v>0</v>
      </c>
      <c r="K14" s="337">
        <f>Surat!N35</f>
        <v>0</v>
      </c>
      <c r="L14" s="337">
        <f>Surat!O35</f>
        <v>0</v>
      </c>
      <c r="M14" s="337">
        <f>Surat!P35</f>
        <v>0</v>
      </c>
      <c r="N14" s="337">
        <f>Surat!Q35</f>
        <v>0</v>
      </c>
      <c r="O14" s="339">
        <f>SUM(I14:N14)</f>
        <v>8000000</v>
      </c>
      <c r="P14" s="662">
        <f t="shared" ref="P14:P24" si="0">O14-G14</f>
        <v>0</v>
      </c>
      <c r="Q14" s="263"/>
      <c r="R14" s="263"/>
    </row>
    <row r="15" spans="1:18" s="268" customFormat="1">
      <c r="A15" s="267"/>
      <c r="B15" s="498"/>
      <c r="C15" s="503"/>
      <c r="D15" s="500" t="s">
        <v>538</v>
      </c>
      <c r="E15" s="501" t="s">
        <v>539</v>
      </c>
      <c r="F15" s="506" t="s">
        <v>534</v>
      </c>
      <c r="G15" s="505">
        <f>Komunikasi!K44</f>
        <v>1786721246</v>
      </c>
      <c r="H15" s="742"/>
      <c r="I15" s="485">
        <f>Komunikasi!L44</f>
        <v>1786721246</v>
      </c>
      <c r="J15" s="337">
        <f>Komunikasi!M44</f>
        <v>0</v>
      </c>
      <c r="K15" s="337">
        <f>Komunikasi!N44</f>
        <v>0</v>
      </c>
      <c r="L15" s="337">
        <f>Komunikasi!O44</f>
        <v>0</v>
      </c>
      <c r="M15" s="337">
        <f>Komunikasi!P44</f>
        <v>0</v>
      </c>
      <c r="N15" s="337">
        <f>Komunikasi!Q44</f>
        <v>0</v>
      </c>
      <c r="O15" s="339">
        <f>SUM(I15:N15)</f>
        <v>1786721246</v>
      </c>
      <c r="P15" s="662">
        <f>O15-G15</f>
        <v>0</v>
      </c>
      <c r="Q15" s="263"/>
      <c r="R15" s="263"/>
    </row>
    <row r="16" spans="1:18" s="268" customFormat="1">
      <c r="A16" s="267"/>
      <c r="B16" s="498"/>
      <c r="C16" s="503"/>
      <c r="D16" s="500" t="s">
        <v>162</v>
      </c>
      <c r="E16" s="501" t="s">
        <v>540</v>
      </c>
      <c r="F16" s="506" t="s">
        <v>534</v>
      </c>
      <c r="G16" s="507">
        <f>Kebersihan!K49</f>
        <v>1744889000</v>
      </c>
      <c r="H16" s="742"/>
      <c r="I16" s="485">
        <f>Kebersihan!L49</f>
        <v>144889000</v>
      </c>
      <c r="J16" s="337">
        <f>Kebersihan!M49</f>
        <v>1600000000</v>
      </c>
      <c r="K16" s="337">
        <f>Kebersihan!N49</f>
        <v>0</v>
      </c>
      <c r="L16" s="337">
        <f>Kebersihan!O49</f>
        <v>0</v>
      </c>
      <c r="M16" s="337">
        <f>Kebersihan!P49</f>
        <v>0</v>
      </c>
      <c r="N16" s="337">
        <f>Kebersihan!Q49</f>
        <v>0</v>
      </c>
      <c r="O16" s="339">
        <f>SUM(I16:N16)</f>
        <v>1744889000</v>
      </c>
      <c r="P16" s="662">
        <f t="shared" si="0"/>
        <v>0</v>
      </c>
      <c r="Q16" s="263"/>
      <c r="R16" s="263"/>
    </row>
    <row r="17" spans="1:18" s="268" customFormat="1" ht="30">
      <c r="A17" s="267"/>
      <c r="B17" s="498"/>
      <c r="C17" s="508"/>
      <c r="D17" s="500" t="s">
        <v>97</v>
      </c>
      <c r="E17" s="501" t="s">
        <v>541</v>
      </c>
      <c r="F17" s="504" t="s">
        <v>542</v>
      </c>
      <c r="G17" s="505">
        <f>ATK!K115</f>
        <v>159238000</v>
      </c>
      <c r="H17" s="742"/>
      <c r="I17" s="485">
        <f>ATK!L115</f>
        <v>159238000</v>
      </c>
      <c r="J17" s="337">
        <f>ATK!M115</f>
        <v>0</v>
      </c>
      <c r="K17" s="337">
        <f>ATK!N115</f>
        <v>0</v>
      </c>
      <c r="L17" s="337">
        <f>ATK!O115</f>
        <v>0</v>
      </c>
      <c r="M17" s="337">
        <f>ATK!P115</f>
        <v>0</v>
      </c>
      <c r="N17" s="337">
        <f>ATK!Q115</f>
        <v>0</v>
      </c>
      <c r="O17" s="339">
        <f>SUM(I17:N17)</f>
        <v>159238000</v>
      </c>
      <c r="P17" s="662">
        <f t="shared" si="0"/>
        <v>0</v>
      </c>
      <c r="Q17" s="263"/>
      <c r="R17" s="263"/>
    </row>
    <row r="18" spans="1:18" s="263" customFormat="1" ht="32.25" customHeight="1">
      <c r="A18" s="265"/>
      <c r="B18" s="731"/>
      <c r="C18" s="732"/>
      <c r="D18" s="733" t="s">
        <v>543</v>
      </c>
      <c r="E18" s="734" t="s">
        <v>544</v>
      </c>
      <c r="F18" s="735" t="s">
        <v>542</v>
      </c>
      <c r="G18" s="507">
        <f>Listrik!K87</f>
        <v>98624000</v>
      </c>
      <c r="H18" s="742"/>
      <c r="I18" s="485">
        <f>Listrik!L87</f>
        <v>98624000</v>
      </c>
      <c r="J18" s="337">
        <f>Listrik!M87</f>
        <v>0</v>
      </c>
      <c r="K18" s="337">
        <f>Listrik!N87</f>
        <v>0</v>
      </c>
      <c r="L18" s="337">
        <f>Listrik!O87</f>
        <v>0</v>
      </c>
      <c r="M18" s="337">
        <f>Listrik!P87</f>
        <v>0</v>
      </c>
      <c r="N18" s="337">
        <f>Listrik!Q87</f>
        <v>0</v>
      </c>
      <c r="O18" s="339">
        <f>SUM(I18:N18)</f>
        <v>98624000</v>
      </c>
      <c r="P18" s="662">
        <f t="shared" si="0"/>
        <v>0</v>
      </c>
    </row>
    <row r="19" spans="1:18" s="268" customFormat="1">
      <c r="A19" s="267"/>
      <c r="B19" s="498"/>
      <c r="C19" s="508"/>
      <c r="D19" s="500" t="s">
        <v>545</v>
      </c>
      <c r="E19" s="501" t="s">
        <v>546</v>
      </c>
      <c r="F19" s="504" t="s">
        <v>542</v>
      </c>
      <c r="G19" s="507">
        <f>Kantor!K79</f>
        <v>633805706</v>
      </c>
      <c r="H19" s="742"/>
      <c r="I19" s="485">
        <f>Kantor!L79</f>
        <v>621655706</v>
      </c>
      <c r="J19" s="337">
        <f>Kantor!M79</f>
        <v>0</v>
      </c>
      <c r="K19" s="337">
        <f>Kantor!N79</f>
        <v>12150000</v>
      </c>
      <c r="L19" s="337">
        <f>Kantor!O79</f>
        <v>0</v>
      </c>
      <c r="M19" s="337">
        <f>Kantor!P79</f>
        <v>0</v>
      </c>
      <c r="N19" s="337">
        <f>Kantor!Q79</f>
        <v>0</v>
      </c>
      <c r="O19" s="339">
        <f t="shared" ref="O19:O60" si="1">SUM(I19:N19)</f>
        <v>633805706</v>
      </c>
      <c r="P19" s="662">
        <f t="shared" si="0"/>
        <v>0</v>
      </c>
      <c r="Q19" s="263"/>
      <c r="R19" s="263"/>
    </row>
    <row r="20" spans="1:18" s="268" customFormat="1">
      <c r="A20" s="267"/>
      <c r="B20" s="498"/>
      <c r="C20" s="508"/>
      <c r="D20" s="500" t="s">
        <v>547</v>
      </c>
      <c r="E20" s="501" t="s">
        <v>548</v>
      </c>
      <c r="F20" s="504" t="s">
        <v>542</v>
      </c>
      <c r="G20" s="505">
        <f>RT!K45</f>
        <v>161890000</v>
      </c>
      <c r="H20" s="742"/>
      <c r="I20" s="485">
        <f>RT!L45</f>
        <v>161890000</v>
      </c>
      <c r="J20" s="337">
        <f>RT!M45</f>
        <v>0</v>
      </c>
      <c r="K20" s="337">
        <f>RT!N45</f>
        <v>0</v>
      </c>
      <c r="L20" s="337">
        <f>RT!O45</f>
        <v>0</v>
      </c>
      <c r="M20" s="337">
        <f>RT!P45</f>
        <v>0</v>
      </c>
      <c r="N20" s="337">
        <f>RT!Q45</f>
        <v>0</v>
      </c>
      <c r="O20" s="339">
        <f t="shared" si="1"/>
        <v>161890000</v>
      </c>
      <c r="P20" s="662">
        <f t="shared" si="0"/>
        <v>0</v>
      </c>
      <c r="Q20" s="263"/>
      <c r="R20" s="263"/>
    </row>
    <row r="21" spans="1:18" s="268" customFormat="1" ht="30">
      <c r="A21" s="267"/>
      <c r="B21" s="498"/>
      <c r="C21" s="508"/>
      <c r="D21" s="509" t="s">
        <v>549</v>
      </c>
      <c r="E21" s="501" t="s">
        <v>811</v>
      </c>
      <c r="F21" s="504" t="s">
        <v>537</v>
      </c>
      <c r="G21" s="505">
        <f>Bacaan!K30</f>
        <v>10800000</v>
      </c>
      <c r="H21" s="742"/>
      <c r="I21" s="485">
        <f>Bacaan!L30</f>
        <v>10800000</v>
      </c>
      <c r="J21" s="337">
        <f>Bacaan!M30</f>
        <v>0</v>
      </c>
      <c r="K21" s="337">
        <f>Bacaan!N30</f>
        <v>0</v>
      </c>
      <c r="L21" s="337">
        <f>Bacaan!O30</f>
        <v>0</v>
      </c>
      <c r="M21" s="337">
        <f>Bacaan!P30</f>
        <v>0</v>
      </c>
      <c r="N21" s="337">
        <f>Bacaan!Q30</f>
        <v>0</v>
      </c>
      <c r="O21" s="339">
        <f t="shared" si="1"/>
        <v>10800000</v>
      </c>
      <c r="P21" s="662">
        <f t="shared" si="0"/>
        <v>0</v>
      </c>
      <c r="Q21" s="263"/>
      <c r="R21" s="263"/>
    </row>
    <row r="22" spans="1:18" s="268" customFormat="1">
      <c r="A22" s="267"/>
      <c r="B22" s="498"/>
      <c r="C22" s="508"/>
      <c r="D22" s="500" t="s">
        <v>166</v>
      </c>
      <c r="E22" s="501" t="s">
        <v>550</v>
      </c>
      <c r="F22" s="504" t="s">
        <v>537</v>
      </c>
      <c r="G22" s="505">
        <f>Makan!K37</f>
        <v>35800000</v>
      </c>
      <c r="H22" s="742"/>
      <c r="I22" s="485">
        <f>Makan!L37</f>
        <v>35800000</v>
      </c>
      <c r="J22" s="337">
        <f>Makan!M37</f>
        <v>0</v>
      </c>
      <c r="K22" s="337">
        <f>Makan!N37</f>
        <v>0</v>
      </c>
      <c r="L22" s="337">
        <f>Makan!O37</f>
        <v>0</v>
      </c>
      <c r="M22" s="337">
        <f>Makan!P37</f>
        <v>0</v>
      </c>
      <c r="N22" s="337">
        <f>Makan!Q37</f>
        <v>0</v>
      </c>
      <c r="O22" s="339">
        <f t="shared" si="1"/>
        <v>35800000</v>
      </c>
      <c r="P22" s="662">
        <f t="shared" si="0"/>
        <v>0</v>
      </c>
      <c r="Q22" s="263"/>
      <c r="R22" s="263"/>
    </row>
    <row r="23" spans="1:18" s="268" customFormat="1" ht="33" customHeight="1">
      <c r="A23" s="267"/>
      <c r="B23" s="498"/>
      <c r="C23" s="508"/>
      <c r="D23" s="500" t="s">
        <v>551</v>
      </c>
      <c r="E23" s="501" t="s">
        <v>552</v>
      </c>
      <c r="F23" s="504" t="s">
        <v>537</v>
      </c>
      <c r="G23" s="505">
        <f>Rapat!K50</f>
        <v>260777000</v>
      </c>
      <c r="H23" s="742"/>
      <c r="I23" s="485">
        <f>Rapat!L50</f>
        <v>260777000</v>
      </c>
      <c r="J23" s="337">
        <f>Rapat!M50</f>
        <v>0</v>
      </c>
      <c r="K23" s="337">
        <f>Rapat!N50</f>
        <v>0</v>
      </c>
      <c r="L23" s="337">
        <f>Rapat!O50</f>
        <v>0</v>
      </c>
      <c r="M23" s="337">
        <f>Rapat!P50</f>
        <v>0</v>
      </c>
      <c r="N23" s="337">
        <f>Rapat!Q50</f>
        <v>0</v>
      </c>
      <c r="O23" s="339">
        <f t="shared" si="1"/>
        <v>260777000</v>
      </c>
      <c r="P23" s="662">
        <f t="shared" si="0"/>
        <v>0</v>
      </c>
      <c r="Q23" s="263"/>
      <c r="R23" s="263"/>
    </row>
    <row r="24" spans="1:18" s="268" customFormat="1">
      <c r="A24" s="267"/>
      <c r="B24" s="498"/>
      <c r="C24" s="508"/>
      <c r="D24" s="876" t="s">
        <v>553</v>
      </c>
      <c r="E24" s="501" t="s">
        <v>812</v>
      </c>
      <c r="F24" s="504" t="s">
        <v>537</v>
      </c>
      <c r="G24" s="505">
        <f>'ADM kantor'!K90</f>
        <v>1512276000</v>
      </c>
      <c r="H24" s="742"/>
      <c r="I24" s="485">
        <f>'ADM kantor'!L90</f>
        <v>1512276000</v>
      </c>
      <c r="J24" s="337">
        <f>'ADM kantor'!M90</f>
        <v>0</v>
      </c>
      <c r="K24" s="337">
        <f>'ADM kantor'!N90</f>
        <v>0</v>
      </c>
      <c r="L24" s="337">
        <f>'ADM kantor'!O90</f>
        <v>0</v>
      </c>
      <c r="M24" s="337">
        <f>'ADM kantor'!P90</f>
        <v>0</v>
      </c>
      <c r="N24" s="337">
        <f>'ADM kantor'!Q90</f>
        <v>0</v>
      </c>
      <c r="O24" s="339">
        <f t="shared" si="1"/>
        <v>1512276000</v>
      </c>
      <c r="P24" s="662">
        <f t="shared" si="0"/>
        <v>0</v>
      </c>
      <c r="Q24" s="263"/>
      <c r="R24" s="263"/>
    </row>
    <row r="25" spans="1:18" s="268" customFormat="1" ht="30" customHeight="1">
      <c r="A25" s="267"/>
      <c r="B25" s="498">
        <v>2</v>
      </c>
      <c r="C25" s="3037" t="s">
        <v>554</v>
      </c>
      <c r="D25" s="3038"/>
      <c r="E25" s="501"/>
      <c r="F25" s="510"/>
      <c r="G25" s="566">
        <f>SUM(G26:G28)</f>
        <v>240012000</v>
      </c>
      <c r="H25" s="746"/>
      <c r="I25" s="485"/>
      <c r="J25" s="334"/>
      <c r="K25" s="334"/>
      <c r="L25" s="334"/>
      <c r="M25" s="334"/>
      <c r="N25" s="333"/>
      <c r="O25" s="339">
        <f t="shared" si="1"/>
        <v>0</v>
      </c>
      <c r="P25" s="662"/>
      <c r="Q25" s="263"/>
      <c r="R25" s="263"/>
    </row>
    <row r="26" spans="1:18" s="268" customFormat="1" ht="30" customHeight="1">
      <c r="A26" s="267"/>
      <c r="B26" s="498"/>
      <c r="C26" s="499"/>
      <c r="D26" s="500" t="s">
        <v>291</v>
      </c>
      <c r="E26" s="501" t="s">
        <v>405</v>
      </c>
      <c r="F26" s="504" t="s">
        <v>537</v>
      </c>
      <c r="G26" s="505">
        <f>'mbl jabatan'!K31</f>
        <v>0</v>
      </c>
      <c r="H26" s="742"/>
      <c r="I26" s="485">
        <f>'mbl jabatan'!L31</f>
        <v>0</v>
      </c>
      <c r="J26" s="485">
        <f>'mbl jabatan'!M31</f>
        <v>0</v>
      </c>
      <c r="K26" s="485">
        <f>'mbl jabatan'!N31</f>
        <v>0</v>
      </c>
      <c r="L26" s="485">
        <f>'mbl jabatan'!O31</f>
        <v>0</v>
      </c>
      <c r="M26" s="485">
        <f>'mbl jabatan'!P31</f>
        <v>0</v>
      </c>
      <c r="N26" s="485">
        <f>'mbl jabatan'!Q31</f>
        <v>0</v>
      </c>
      <c r="O26" s="339">
        <f t="shared" si="1"/>
        <v>0</v>
      </c>
      <c r="P26" s="662">
        <f>O26-G26</f>
        <v>0</v>
      </c>
      <c r="Q26" s="263"/>
      <c r="R26" s="263"/>
    </row>
    <row r="27" spans="1:18" s="268" customFormat="1">
      <c r="A27" s="267"/>
      <c r="B27" s="498"/>
      <c r="C27" s="499"/>
      <c r="D27" s="2280" t="s">
        <v>630</v>
      </c>
      <c r="E27" s="501" t="s">
        <v>813</v>
      </c>
      <c r="F27" s="511" t="s">
        <v>537</v>
      </c>
      <c r="G27" s="505">
        <f>'Perleng Rmh dinas'!K30</f>
        <v>0</v>
      </c>
      <c r="H27" s="742"/>
      <c r="I27" s="485">
        <f>'Perleng Rmh dinas'!L30</f>
        <v>0</v>
      </c>
      <c r="J27" s="485">
        <f>'Perleng Rmh dinas'!M30</f>
        <v>0</v>
      </c>
      <c r="K27" s="485">
        <f>'Perleng Rmh dinas'!N30</f>
        <v>0</v>
      </c>
      <c r="L27" s="485">
        <f>'Perleng Rmh dinas'!O30</f>
        <v>0</v>
      </c>
      <c r="M27" s="485">
        <f>'Perleng Rmh dinas'!P30</f>
        <v>0</v>
      </c>
      <c r="N27" s="485">
        <f>'Perleng Rmh dinas'!Q30</f>
        <v>0</v>
      </c>
      <c r="O27" s="339">
        <f t="shared" si="1"/>
        <v>0</v>
      </c>
      <c r="P27" s="662">
        <f>O27-G27</f>
        <v>0</v>
      </c>
      <c r="Q27" s="263"/>
      <c r="R27" s="263"/>
    </row>
    <row r="28" spans="1:18" s="268" customFormat="1" ht="30">
      <c r="A28" s="267"/>
      <c r="B28" s="498"/>
      <c r="C28" s="508"/>
      <c r="D28" s="509" t="s">
        <v>555</v>
      </c>
      <c r="E28" s="501" t="s">
        <v>814</v>
      </c>
      <c r="F28" s="504" t="s">
        <v>537</v>
      </c>
      <c r="G28" s="505">
        <f>'P. Kendaraaan '!K42</f>
        <v>240012000</v>
      </c>
      <c r="H28" s="742"/>
      <c r="I28" s="485">
        <f>'P. Kendaraaan '!L42</f>
        <v>240012000</v>
      </c>
      <c r="J28" s="337">
        <f>'P. Kendaraaan '!M42</f>
        <v>0</v>
      </c>
      <c r="K28" s="337">
        <f>'P. Kendaraaan '!N42</f>
        <v>0</v>
      </c>
      <c r="L28" s="337">
        <f>'P. Kendaraaan '!O42</f>
        <v>0</v>
      </c>
      <c r="M28" s="337">
        <f>'P. Kendaraaan '!P42</f>
        <v>0</v>
      </c>
      <c r="N28" s="337">
        <f>'P. Kendaraaan '!Q42</f>
        <v>0</v>
      </c>
      <c r="O28" s="339">
        <f t="shared" si="1"/>
        <v>240012000</v>
      </c>
      <c r="P28" s="662">
        <f>O28-G28</f>
        <v>0</v>
      </c>
      <c r="Q28" s="263"/>
      <c r="R28" s="263"/>
    </row>
    <row r="29" spans="1:18" s="270" customFormat="1" ht="30" customHeight="1">
      <c r="A29" s="269"/>
      <c r="B29" s="512">
        <v>3</v>
      </c>
      <c r="C29" s="513" t="s">
        <v>170</v>
      </c>
      <c r="D29" s="514"/>
      <c r="E29" s="515"/>
      <c r="F29" s="516"/>
      <c r="G29" s="567">
        <f>SUM(G30)</f>
        <v>460040000</v>
      </c>
      <c r="H29" s="742"/>
      <c r="I29" s="485"/>
      <c r="J29" s="333"/>
      <c r="K29" s="333"/>
      <c r="L29" s="333"/>
      <c r="M29" s="333"/>
      <c r="N29" s="333"/>
      <c r="O29" s="339">
        <f t="shared" si="1"/>
        <v>0</v>
      </c>
      <c r="P29" s="662"/>
      <c r="Q29" s="1172"/>
      <c r="R29" s="1172"/>
    </row>
    <row r="30" spans="1:18" s="270" customFormat="1" ht="30" customHeight="1">
      <c r="A30" s="269"/>
      <c r="B30" s="512"/>
      <c r="C30" s="518"/>
      <c r="D30" s="509" t="s">
        <v>171</v>
      </c>
      <c r="E30" s="501" t="s">
        <v>556</v>
      </c>
      <c r="F30" s="511" t="s">
        <v>537</v>
      </c>
      <c r="G30" s="505">
        <f>Pakaian!K45</f>
        <v>460040000</v>
      </c>
      <c r="H30" s="742"/>
      <c r="I30" s="485">
        <f>Pakaian!L45</f>
        <v>171840000</v>
      </c>
      <c r="J30" s="337">
        <f>Pakaian!M45</f>
        <v>0</v>
      </c>
      <c r="K30" s="337">
        <f>Pakaian!N45</f>
        <v>288200000</v>
      </c>
      <c r="L30" s="337">
        <f>Pakaian!O45</f>
        <v>0</v>
      </c>
      <c r="M30" s="337">
        <f>Pakaian!P45</f>
        <v>0</v>
      </c>
      <c r="N30" s="337">
        <f>Pakaian!Q45</f>
        <v>0</v>
      </c>
      <c r="O30" s="339">
        <f t="shared" si="1"/>
        <v>460040000</v>
      </c>
      <c r="P30" s="662">
        <f>O30-G30</f>
        <v>0</v>
      </c>
      <c r="Q30" s="1172"/>
      <c r="R30" s="1172"/>
    </row>
    <row r="31" spans="1:18" s="268" customFormat="1" ht="33.75" customHeight="1">
      <c r="A31" s="267"/>
      <c r="B31" s="498">
        <v>4</v>
      </c>
      <c r="C31" s="3037" t="s">
        <v>172</v>
      </c>
      <c r="D31" s="3038"/>
      <c r="E31" s="519"/>
      <c r="F31" s="510"/>
      <c r="G31" s="566">
        <f>SUM(G32)</f>
        <v>76925000</v>
      </c>
      <c r="H31" s="742"/>
      <c r="I31" s="485"/>
      <c r="J31" s="333"/>
      <c r="K31" s="333"/>
      <c r="L31" s="333"/>
      <c r="M31" s="333"/>
      <c r="N31" s="333"/>
      <c r="O31" s="339">
        <f t="shared" si="1"/>
        <v>0</v>
      </c>
      <c r="P31" s="662"/>
      <c r="Q31" s="263"/>
      <c r="R31" s="263"/>
    </row>
    <row r="32" spans="1:18" s="268" customFormat="1" ht="30">
      <c r="A32" s="267"/>
      <c r="B32" s="498"/>
      <c r="C32" s="508"/>
      <c r="D32" s="520" t="s">
        <v>346</v>
      </c>
      <c r="E32" s="501" t="s">
        <v>557</v>
      </c>
      <c r="F32" s="504" t="s">
        <v>558</v>
      </c>
      <c r="G32" s="505">
        <f>Agama!K49</f>
        <v>76925000</v>
      </c>
      <c r="H32" s="742"/>
      <c r="I32" s="485">
        <f>Agama!L49</f>
        <v>0</v>
      </c>
      <c r="J32" s="337">
        <f>Agama!M49</f>
        <v>0</v>
      </c>
      <c r="K32" s="337">
        <f>Agama!N49</f>
        <v>76925000</v>
      </c>
      <c r="L32" s="337">
        <f>Agama!O49</f>
        <v>0</v>
      </c>
      <c r="M32" s="337">
        <f>Agama!P49</f>
        <v>0</v>
      </c>
      <c r="N32" s="337">
        <f>Agama!Q49</f>
        <v>0</v>
      </c>
      <c r="O32" s="339">
        <f t="shared" si="1"/>
        <v>76925000</v>
      </c>
      <c r="P32" s="662">
        <f>O32-G32</f>
        <v>0</v>
      </c>
      <c r="Q32" s="263"/>
      <c r="R32" s="263"/>
    </row>
    <row r="33" spans="2:18" s="267" customFormat="1" ht="51" customHeight="1">
      <c r="B33" s="498">
        <v>5</v>
      </c>
      <c r="C33" s="3037" t="s">
        <v>559</v>
      </c>
      <c r="D33" s="3015"/>
      <c r="E33" s="519"/>
      <c r="F33" s="510"/>
      <c r="G33" s="566">
        <f>SUM(G34:G40)</f>
        <v>5080669391</v>
      </c>
      <c r="H33" s="746"/>
      <c r="I33" s="485"/>
      <c r="J33" s="333"/>
      <c r="K33" s="333"/>
      <c r="L33" s="333"/>
      <c r="M33" s="333"/>
      <c r="N33" s="333"/>
      <c r="O33" s="339">
        <f t="shared" si="1"/>
        <v>0</v>
      </c>
      <c r="P33" s="662"/>
      <c r="Q33" s="265"/>
      <c r="R33" s="265"/>
    </row>
    <row r="34" spans="2:18" s="270" customFormat="1">
      <c r="B34" s="512"/>
      <c r="C34" s="521"/>
      <c r="D34" s="2512" t="s">
        <v>174</v>
      </c>
      <c r="E34" s="1407" t="s">
        <v>1356</v>
      </c>
      <c r="F34" s="522" t="s">
        <v>537</v>
      </c>
      <c r="G34" s="505">
        <f>'Pembangunan RS'!K37</f>
        <v>0</v>
      </c>
      <c r="H34" s="742"/>
      <c r="I34" s="485">
        <f>'Pembangunan RS'!L37</f>
        <v>0</v>
      </c>
      <c r="J34" s="485">
        <f>'Pembangunan RS'!M37</f>
        <v>0</v>
      </c>
      <c r="K34" s="485">
        <f>'Pembangunan RS'!N37</f>
        <v>0</v>
      </c>
      <c r="L34" s="485">
        <f>'Pembangunan RS'!O37</f>
        <v>0</v>
      </c>
      <c r="M34" s="485">
        <f>'Pembangunan RS'!P37</f>
        <v>0</v>
      </c>
      <c r="N34" s="485">
        <f>'Pembangunan RS'!Q37</f>
        <v>0</v>
      </c>
      <c r="O34" s="339">
        <f t="shared" si="1"/>
        <v>0</v>
      </c>
      <c r="P34" s="662">
        <f t="shared" ref="P34:P40" si="2">O34-G34</f>
        <v>0</v>
      </c>
      <c r="Q34" s="1172"/>
      <c r="R34" s="1172"/>
    </row>
    <row r="35" spans="2:18" s="270" customFormat="1" ht="30">
      <c r="B35" s="797"/>
      <c r="C35" s="1201"/>
      <c r="D35" s="2513" t="s">
        <v>1197</v>
      </c>
      <c r="E35" s="1205" t="s">
        <v>1198</v>
      </c>
      <c r="F35" s="1203" t="s">
        <v>1199</v>
      </c>
      <c r="G35" s="744">
        <f>'R.Rawat Inap'!K30</f>
        <v>0</v>
      </c>
      <c r="H35" s="742"/>
      <c r="I35" s="485">
        <f>'R.Rawat Inap'!L30</f>
        <v>0</v>
      </c>
      <c r="J35" s="485">
        <f>'R.Rawat Inap'!M30</f>
        <v>0</v>
      </c>
      <c r="K35" s="485">
        <f>'R.Rawat Inap'!N30</f>
        <v>0</v>
      </c>
      <c r="L35" s="485">
        <f>'R.Rawat Inap'!O30</f>
        <v>0</v>
      </c>
      <c r="M35" s="485">
        <f>'R.Rawat Inap'!P30</f>
        <v>0</v>
      </c>
      <c r="N35" s="485">
        <f>'R.Rawat Inap'!Q30</f>
        <v>0</v>
      </c>
      <c r="O35" s="339">
        <f t="shared" si="1"/>
        <v>0</v>
      </c>
      <c r="P35" s="662">
        <f t="shared" si="2"/>
        <v>0</v>
      </c>
      <c r="Q35" s="1172"/>
      <c r="R35" s="1172"/>
    </row>
    <row r="36" spans="2:18" s="268" customFormat="1">
      <c r="B36" s="523"/>
      <c r="C36" s="524"/>
      <c r="D36" s="525" t="s">
        <v>175</v>
      </c>
      <c r="E36" s="501" t="s">
        <v>560</v>
      </c>
      <c r="F36" s="522" t="s">
        <v>537</v>
      </c>
      <c r="G36" s="505">
        <f>Rehabilitasi!K57</f>
        <v>775454000</v>
      </c>
      <c r="H36" s="742"/>
      <c r="I36" s="485">
        <f>Rehabilitasi!L57</f>
        <v>48354000</v>
      </c>
      <c r="J36" s="485">
        <f>Rehabilitasi!M57</f>
        <v>677600000</v>
      </c>
      <c r="K36" s="485">
        <f>Rehabilitasi!N57</f>
        <v>49500000</v>
      </c>
      <c r="L36" s="485">
        <f>Rehabilitasi!O57</f>
        <v>0</v>
      </c>
      <c r="M36" s="485">
        <f>Rehabilitasi!P57</f>
        <v>0</v>
      </c>
      <c r="N36" s="485">
        <f>Rehabilitasi!Q57</f>
        <v>0</v>
      </c>
      <c r="O36" s="339">
        <f t="shared" si="1"/>
        <v>775454000</v>
      </c>
      <c r="P36" s="662">
        <f t="shared" si="2"/>
        <v>0</v>
      </c>
      <c r="Q36" s="263"/>
      <c r="R36" s="263"/>
    </row>
    <row r="37" spans="2:18" s="268" customFormat="1">
      <c r="B37" s="778"/>
      <c r="C37" s="801"/>
      <c r="D37" s="1202" t="s">
        <v>1200</v>
      </c>
      <c r="E37" s="1205" t="s">
        <v>1201</v>
      </c>
      <c r="F37" s="1203" t="s">
        <v>537</v>
      </c>
      <c r="G37" s="744">
        <f>Alkes!K96</f>
        <v>3229406741</v>
      </c>
      <c r="H37" s="742"/>
      <c r="I37" s="485">
        <f>Alkes!L96</f>
        <v>867620655</v>
      </c>
      <c r="J37" s="485">
        <f>Alkes!M96</f>
        <v>2361786086</v>
      </c>
      <c r="K37" s="485">
        <f>Alkes!N96</f>
        <v>0</v>
      </c>
      <c r="L37" s="485">
        <f>Alkes!O96</f>
        <v>0</v>
      </c>
      <c r="M37" s="485">
        <f>Alkes!P96</f>
        <v>0</v>
      </c>
      <c r="N37" s="485">
        <f>Alkes!Q96</f>
        <v>0</v>
      </c>
      <c r="O37" s="339">
        <f t="shared" ref="O37" si="3">SUM(I37:N37)</f>
        <v>3229406741</v>
      </c>
      <c r="P37" s="662">
        <f t="shared" si="2"/>
        <v>0</v>
      </c>
      <c r="Q37" s="263"/>
      <c r="R37" s="263"/>
    </row>
    <row r="38" spans="2:18" s="268" customFormat="1">
      <c r="B38" s="778"/>
      <c r="C38" s="801"/>
      <c r="D38" s="2279" t="s">
        <v>1203</v>
      </c>
      <c r="E38" s="1205" t="s">
        <v>1204</v>
      </c>
      <c r="F38" s="1203" t="s">
        <v>1205</v>
      </c>
      <c r="G38" s="744">
        <f>Ambulance!K30</f>
        <v>0</v>
      </c>
      <c r="H38" s="742"/>
      <c r="I38" s="485">
        <f>Ambulance!L30</f>
        <v>0</v>
      </c>
      <c r="J38" s="485">
        <f>Ambulance!M30</f>
        <v>0</v>
      </c>
      <c r="K38" s="485">
        <f>Ambulance!N30</f>
        <v>0</v>
      </c>
      <c r="L38" s="485">
        <f>Ambulance!O30</f>
        <v>0</v>
      </c>
      <c r="M38" s="485">
        <f>Ambulance!P30</f>
        <v>0</v>
      </c>
      <c r="N38" s="485">
        <f>Ambulance!Q30</f>
        <v>0</v>
      </c>
      <c r="O38" s="339">
        <f t="shared" ref="O38" si="4">SUM(I38:N38)</f>
        <v>0</v>
      </c>
      <c r="P38" s="662">
        <f t="shared" si="2"/>
        <v>0</v>
      </c>
      <c r="Q38" s="263"/>
      <c r="R38" s="263"/>
    </row>
    <row r="39" spans="2:18" s="268" customFormat="1">
      <c r="B39" s="523"/>
      <c r="C39" s="524"/>
      <c r="D39" s="520" t="s">
        <v>561</v>
      </c>
      <c r="E39" s="501" t="s">
        <v>562</v>
      </c>
      <c r="F39" s="522" t="s">
        <v>537</v>
      </c>
      <c r="G39" s="505">
        <f>Mebeleur!K42</f>
        <v>285500000</v>
      </c>
      <c r="H39" s="742"/>
      <c r="I39" s="485">
        <f>Mebeleur!L42</f>
        <v>285500000</v>
      </c>
      <c r="J39" s="485">
        <f>Mebeleur!M42</f>
        <v>0</v>
      </c>
      <c r="K39" s="485">
        <f>Mebeleur!N42</f>
        <v>0</v>
      </c>
      <c r="L39" s="485">
        <f>Mebeleur!O42</f>
        <v>0</v>
      </c>
      <c r="M39" s="485">
        <f>Mebeleur!P42</f>
        <v>0</v>
      </c>
      <c r="N39" s="485">
        <f>Mebeleur!Q42</f>
        <v>0</v>
      </c>
      <c r="O39" s="339">
        <f t="shared" si="1"/>
        <v>285500000</v>
      </c>
      <c r="P39" s="662">
        <f t="shared" si="2"/>
        <v>0</v>
      </c>
      <c r="Q39" s="263"/>
      <c r="R39" s="263"/>
    </row>
    <row r="40" spans="2:18" s="268" customFormat="1" ht="30">
      <c r="B40" s="523"/>
      <c r="C40" s="524"/>
      <c r="D40" s="526" t="s">
        <v>563</v>
      </c>
      <c r="E40" s="552" t="s">
        <v>564</v>
      </c>
      <c r="F40" s="522" t="s">
        <v>537</v>
      </c>
      <c r="G40" s="505">
        <f>'Cetak&amp;Penggandaan'!J193</f>
        <v>790308650</v>
      </c>
      <c r="H40" s="742"/>
      <c r="I40" s="485">
        <f>'Cetak&amp;Penggandaan'!K193</f>
        <v>0</v>
      </c>
      <c r="J40" s="337">
        <f>'Cetak&amp;Penggandaan'!L193</f>
        <v>728161650</v>
      </c>
      <c r="K40" s="337">
        <f>'Cetak&amp;Penggandaan'!M193</f>
        <v>62147000</v>
      </c>
      <c r="L40" s="337">
        <f>'Cetak&amp;Penggandaan'!N193</f>
        <v>0</v>
      </c>
      <c r="M40" s="337">
        <f>'Cetak&amp;Penggandaan'!O193</f>
        <v>0</v>
      </c>
      <c r="N40" s="337">
        <f>'Cetak&amp;Penggandaan'!P193</f>
        <v>0</v>
      </c>
      <c r="O40" s="339">
        <f t="shared" si="1"/>
        <v>790308650</v>
      </c>
      <c r="P40" s="662">
        <f t="shared" si="2"/>
        <v>0</v>
      </c>
      <c r="Q40" s="263"/>
      <c r="R40" s="263"/>
    </row>
    <row r="41" spans="2:18" s="268" customFormat="1">
      <c r="B41" s="523">
        <v>6</v>
      </c>
      <c r="C41" s="3016" t="s">
        <v>565</v>
      </c>
      <c r="D41" s="3017"/>
      <c r="E41" s="519"/>
      <c r="F41" s="510"/>
      <c r="G41" s="566">
        <f>SUM(G42:G45)</f>
        <v>1514360000</v>
      </c>
      <c r="H41" s="746"/>
      <c r="I41" s="485"/>
      <c r="J41" s="333"/>
      <c r="K41" s="333"/>
      <c r="L41" s="333"/>
      <c r="M41" s="333"/>
      <c r="N41" s="333"/>
      <c r="O41" s="339">
        <f t="shared" si="1"/>
        <v>0</v>
      </c>
      <c r="P41" s="662"/>
      <c r="Q41" s="263"/>
      <c r="R41" s="263"/>
    </row>
    <row r="42" spans="2:18" s="268" customFormat="1">
      <c r="B42" s="523"/>
      <c r="C42" s="527"/>
      <c r="D42" s="520" t="s">
        <v>566</v>
      </c>
      <c r="E42" s="501" t="s">
        <v>567</v>
      </c>
      <c r="F42" s="522" t="s">
        <v>537</v>
      </c>
      <c r="G42" s="528">
        <f>Pel.rs!K42</f>
        <v>222650000</v>
      </c>
      <c r="H42" s="742"/>
      <c r="I42" s="485">
        <f>Pel.rs!L42</f>
        <v>0</v>
      </c>
      <c r="J42" s="485">
        <f>Pel.rs!M42</f>
        <v>0</v>
      </c>
      <c r="K42" s="485">
        <f>Pel.rs!N42</f>
        <v>222650000</v>
      </c>
      <c r="L42" s="485">
        <f>Pel.rs!O42</f>
        <v>0</v>
      </c>
      <c r="M42" s="485">
        <f>Pel.rs!P42</f>
        <v>0</v>
      </c>
      <c r="N42" s="485">
        <f>Pel.rs!Q42</f>
        <v>0</v>
      </c>
      <c r="O42" s="339">
        <f t="shared" si="1"/>
        <v>222650000</v>
      </c>
      <c r="P42" s="662">
        <f>O42-G42</f>
        <v>0</v>
      </c>
      <c r="Q42" s="263"/>
      <c r="R42" s="263"/>
    </row>
    <row r="43" spans="2:18" s="268" customFormat="1" ht="30">
      <c r="B43" s="523"/>
      <c r="C43" s="527"/>
      <c r="D43" s="529" t="s">
        <v>568</v>
      </c>
      <c r="E43" s="501" t="s">
        <v>815</v>
      </c>
      <c r="F43" s="522" t="s">
        <v>537</v>
      </c>
      <c r="G43" s="505">
        <f>Pem.limbah!K103</f>
        <v>201844000</v>
      </c>
      <c r="H43" s="742"/>
      <c r="I43" s="485">
        <f>Pem.limbah!L103</f>
        <v>138000000</v>
      </c>
      <c r="J43" s="337">
        <f>Pem.limbah!M103</f>
        <v>0</v>
      </c>
      <c r="K43" s="337">
        <f>Pem.limbah!N103</f>
        <v>63844000</v>
      </c>
      <c r="L43" s="337">
        <f>Pem.limbah!O103</f>
        <v>0</v>
      </c>
      <c r="M43" s="337">
        <f>Pem.limbah!P103</f>
        <v>0</v>
      </c>
      <c r="N43" s="337">
        <f>Pem.limbah!Q103</f>
        <v>0</v>
      </c>
      <c r="O43" s="339">
        <f t="shared" si="1"/>
        <v>201844000</v>
      </c>
      <c r="P43" s="662">
        <f>O43-G43</f>
        <v>0</v>
      </c>
      <c r="Q43" s="263"/>
      <c r="R43" s="263"/>
    </row>
    <row r="44" spans="2:18" s="268" customFormat="1" ht="30">
      <c r="B44" s="523"/>
      <c r="C44" s="527"/>
      <c r="D44" s="529" t="s">
        <v>569</v>
      </c>
      <c r="E44" s="501" t="s">
        <v>816</v>
      </c>
      <c r="F44" s="522" t="s">
        <v>537</v>
      </c>
      <c r="G44" s="505">
        <f>Pem.alkes!K64</f>
        <v>425745000</v>
      </c>
      <c r="H44" s="742"/>
      <c r="I44" s="485">
        <f>Pem.alkes!L64</f>
        <v>0</v>
      </c>
      <c r="J44" s="337">
        <f>Pem.alkes!M64</f>
        <v>0</v>
      </c>
      <c r="K44" s="337">
        <f>Pem.alkes!N64</f>
        <v>425745000</v>
      </c>
      <c r="L44" s="337">
        <f>Pem.alkes!O64</f>
        <v>0</v>
      </c>
      <c r="M44" s="337">
        <f>Pem.alkes!P64</f>
        <v>0</v>
      </c>
      <c r="N44" s="337">
        <f>Pem.alkes!Q64</f>
        <v>0</v>
      </c>
      <c r="O44" s="339">
        <f t="shared" si="1"/>
        <v>425745000</v>
      </c>
      <c r="P44" s="662">
        <f>O44-G44</f>
        <v>0</v>
      </c>
      <c r="Q44" s="263"/>
      <c r="R44" s="263"/>
    </row>
    <row r="45" spans="2:18" s="268" customFormat="1">
      <c r="B45" s="523"/>
      <c r="C45" s="527"/>
      <c r="D45" s="529" t="s">
        <v>743</v>
      </c>
      <c r="E45" s="501" t="s">
        <v>817</v>
      </c>
      <c r="F45" s="522" t="s">
        <v>537</v>
      </c>
      <c r="G45" s="505">
        <f>Pem.per.RS!K86</f>
        <v>664121000</v>
      </c>
      <c r="H45" s="742"/>
      <c r="I45" s="485">
        <f>Pem.per.RS!L86</f>
        <v>218640000</v>
      </c>
      <c r="J45" s="485">
        <f>Pem.per.RS!M86</f>
        <v>0</v>
      </c>
      <c r="K45" s="485">
        <f>Pem.per.RS!N86</f>
        <v>445481000</v>
      </c>
      <c r="L45" s="485">
        <f>Pem.per.RS!O86</f>
        <v>0</v>
      </c>
      <c r="M45" s="485">
        <f>Pem.per.RS!P86</f>
        <v>0</v>
      </c>
      <c r="N45" s="485">
        <f>Pem.per.RS!Q86</f>
        <v>0</v>
      </c>
      <c r="O45" s="339">
        <f t="shared" si="1"/>
        <v>664121000</v>
      </c>
      <c r="P45" s="662">
        <f>O45-G45</f>
        <v>0</v>
      </c>
      <c r="Q45" s="263"/>
      <c r="R45" s="263"/>
    </row>
    <row r="46" spans="2:18" s="268" customFormat="1">
      <c r="B46" s="523">
        <v>7</v>
      </c>
      <c r="C46" s="3037" t="s">
        <v>279</v>
      </c>
      <c r="D46" s="3039"/>
      <c r="E46" s="519"/>
      <c r="F46" s="510"/>
      <c r="G46" s="566">
        <f>SUM(G47:G52)</f>
        <v>13603014029</v>
      </c>
      <c r="H46" s="746"/>
      <c r="I46" s="485"/>
      <c r="J46" s="333"/>
      <c r="K46" s="333"/>
      <c r="L46" s="333"/>
      <c r="M46" s="333"/>
      <c r="N46" s="333"/>
      <c r="O46" s="339">
        <f t="shared" si="1"/>
        <v>0</v>
      </c>
      <c r="P46" s="662"/>
      <c r="Q46" s="263"/>
      <c r="R46" s="263"/>
    </row>
    <row r="47" spans="2:18" s="268" customFormat="1">
      <c r="B47" s="523"/>
      <c r="C47" s="530"/>
      <c r="D47" s="529" t="s">
        <v>739</v>
      </c>
      <c r="E47" s="501" t="s">
        <v>741</v>
      </c>
      <c r="F47" s="504" t="s">
        <v>558</v>
      </c>
      <c r="G47" s="505">
        <f>IGD!K35</f>
        <v>833571724</v>
      </c>
      <c r="H47" s="742"/>
      <c r="I47" s="485">
        <f>IGD!L35</f>
        <v>0</v>
      </c>
      <c r="J47" s="337">
        <f>IGD!M35</f>
        <v>615600000</v>
      </c>
      <c r="K47" s="337">
        <f>IGD!N35</f>
        <v>0</v>
      </c>
      <c r="L47" s="337">
        <f>IGD!O35</f>
        <v>217971724</v>
      </c>
      <c r="M47" s="337">
        <f>IGD!P35</f>
        <v>0</v>
      </c>
      <c r="N47" s="337">
        <f>IGD!Q35</f>
        <v>0</v>
      </c>
      <c r="O47" s="339">
        <f t="shared" si="1"/>
        <v>833571724</v>
      </c>
      <c r="P47" s="662">
        <f t="shared" ref="P47:P52" si="5">O47-G47</f>
        <v>0</v>
      </c>
      <c r="Q47" s="263"/>
      <c r="R47" s="263"/>
    </row>
    <row r="48" spans="2:18" s="268" customFormat="1" ht="30">
      <c r="B48" s="523"/>
      <c r="C48" s="508"/>
      <c r="D48" s="520" t="s">
        <v>323</v>
      </c>
      <c r="E48" s="501" t="s">
        <v>740</v>
      </c>
      <c r="F48" s="504" t="s">
        <v>558</v>
      </c>
      <c r="G48" s="534">
        <f>COT!K37</f>
        <v>1042961476</v>
      </c>
      <c r="H48" s="742"/>
      <c r="I48" s="485">
        <f>COT!L37</f>
        <v>0</v>
      </c>
      <c r="J48" s="337">
        <f>COT!M37</f>
        <v>0</v>
      </c>
      <c r="K48" s="337">
        <f>COT!N37</f>
        <v>90000000</v>
      </c>
      <c r="L48" s="337">
        <f>COT!O37</f>
        <v>952961476</v>
      </c>
      <c r="M48" s="337">
        <f>COT!P37</f>
        <v>0</v>
      </c>
      <c r="N48" s="337">
        <f>COT!Q37</f>
        <v>0</v>
      </c>
      <c r="O48" s="339">
        <f t="shared" si="1"/>
        <v>1042961476</v>
      </c>
      <c r="P48" s="662">
        <f t="shared" si="5"/>
        <v>0</v>
      </c>
      <c r="Q48" s="263"/>
      <c r="R48" s="263"/>
    </row>
    <row r="49" spans="1:18" s="268" customFormat="1">
      <c r="B49" s="523"/>
      <c r="C49" s="508"/>
      <c r="D49" s="520" t="s">
        <v>324</v>
      </c>
      <c r="E49" s="501" t="s">
        <v>570</v>
      </c>
      <c r="F49" s="504" t="s">
        <v>558</v>
      </c>
      <c r="G49" s="531">
        <f>I.Anak!K40</f>
        <v>2807542879</v>
      </c>
      <c r="H49" s="742"/>
      <c r="I49" s="485">
        <f>I.Anak!L40</f>
        <v>0</v>
      </c>
      <c r="J49" s="337">
        <f>I.Anak!M40</f>
        <v>0</v>
      </c>
      <c r="K49" s="337">
        <f>I.Anak!N40</f>
        <v>250000000</v>
      </c>
      <c r="L49" s="337">
        <f>I.Anak!O40</f>
        <v>2557542879</v>
      </c>
      <c r="M49" s="337">
        <f>I.Anak!P40</f>
        <v>0</v>
      </c>
      <c r="N49" s="337">
        <f>I.Anak!Q40</f>
        <v>0</v>
      </c>
      <c r="O49" s="339">
        <f t="shared" si="1"/>
        <v>2807542879</v>
      </c>
      <c r="P49" s="662">
        <f t="shared" si="5"/>
        <v>0</v>
      </c>
      <c r="Q49" s="263"/>
      <c r="R49" s="263"/>
    </row>
    <row r="50" spans="1:18" s="270" customFormat="1">
      <c r="B50" s="532"/>
      <c r="C50" s="518"/>
      <c r="D50" s="520" t="s">
        <v>325</v>
      </c>
      <c r="E50" s="501" t="s">
        <v>818</v>
      </c>
      <c r="F50" s="511" t="s">
        <v>558</v>
      </c>
      <c r="G50" s="533">
        <f>I.Dewasa!K36</f>
        <v>1305331620</v>
      </c>
      <c r="H50" s="742"/>
      <c r="I50" s="485">
        <f>I.Dewasa!L36</f>
        <v>0</v>
      </c>
      <c r="J50" s="337">
        <f>I.Dewasa!M36</f>
        <v>138000000</v>
      </c>
      <c r="K50" s="337">
        <f>I.Dewasa!N36</f>
        <v>0</v>
      </c>
      <c r="L50" s="337">
        <f>I.Dewasa!O36</f>
        <v>1167331620</v>
      </c>
      <c r="M50" s="337">
        <f>I.Dewasa!P36</f>
        <v>0</v>
      </c>
      <c r="N50" s="337">
        <f>I.Dewasa!Q36</f>
        <v>0</v>
      </c>
      <c r="O50" s="339">
        <f t="shared" si="1"/>
        <v>1305331620</v>
      </c>
      <c r="P50" s="662">
        <f t="shared" si="5"/>
        <v>0</v>
      </c>
      <c r="Q50" s="1172"/>
      <c r="R50" s="1172"/>
    </row>
    <row r="51" spans="1:18" s="268" customFormat="1">
      <c r="B51" s="523"/>
      <c r="C51" s="508"/>
      <c r="D51" s="520" t="s">
        <v>326</v>
      </c>
      <c r="E51" s="501" t="s">
        <v>819</v>
      </c>
      <c r="F51" s="504" t="s">
        <v>558</v>
      </c>
      <c r="G51" s="531">
        <f>R.Jalan!K70</f>
        <v>1464376529</v>
      </c>
      <c r="H51" s="742"/>
      <c r="I51" s="485">
        <f>R.Jalan!L70</f>
        <v>45400000</v>
      </c>
      <c r="J51" s="337">
        <f>R.Jalan!M70</f>
        <v>720000000</v>
      </c>
      <c r="K51" s="337">
        <f>R.Jalan!N70</f>
        <v>111800000</v>
      </c>
      <c r="L51" s="337">
        <f>R.Jalan!O70</f>
        <v>587176529</v>
      </c>
      <c r="M51" s="337">
        <f>R.Jalan!P70</f>
        <v>0</v>
      </c>
      <c r="N51" s="337">
        <f>R.Jalan!Q70</f>
        <v>0</v>
      </c>
      <c r="O51" s="339">
        <f t="shared" si="1"/>
        <v>1464376529</v>
      </c>
      <c r="P51" s="662">
        <f t="shared" si="5"/>
        <v>0</v>
      </c>
      <c r="Q51" s="263"/>
      <c r="R51" s="263"/>
    </row>
    <row r="52" spans="1:18" s="268" customFormat="1">
      <c r="B52" s="523"/>
      <c r="C52" s="508"/>
      <c r="D52" s="520" t="s">
        <v>327</v>
      </c>
      <c r="E52" s="501" t="s">
        <v>820</v>
      </c>
      <c r="F52" s="504" t="s">
        <v>558</v>
      </c>
      <c r="G52" s="531">
        <f>R.Inap!K96</f>
        <v>6149229801</v>
      </c>
      <c r="H52" s="742"/>
      <c r="I52" s="485">
        <f>R.Inap!L96</f>
        <v>0</v>
      </c>
      <c r="J52" s="337">
        <f>R.Inap!M96</f>
        <v>4876591800</v>
      </c>
      <c r="K52" s="337">
        <f>R.Inap!N96</f>
        <v>523477997</v>
      </c>
      <c r="L52" s="337">
        <f>R.Inap!O96</f>
        <v>749160004</v>
      </c>
      <c r="M52" s="337">
        <f>R.Inap!P96</f>
        <v>0</v>
      </c>
      <c r="N52" s="337">
        <f>R.Inap!Q96</f>
        <v>0</v>
      </c>
      <c r="O52" s="339">
        <f t="shared" si="1"/>
        <v>6149229801</v>
      </c>
      <c r="P52" s="662">
        <f t="shared" si="5"/>
        <v>0</v>
      </c>
      <c r="Q52" s="263"/>
      <c r="R52" s="263"/>
    </row>
    <row r="53" spans="1:18" s="268" customFormat="1">
      <c r="B53" s="523">
        <v>8</v>
      </c>
      <c r="C53" s="3037" t="s">
        <v>263</v>
      </c>
      <c r="D53" s="3039"/>
      <c r="E53" s="519"/>
      <c r="F53" s="510"/>
      <c r="G53" s="566">
        <f>SUM(G54:G56)</f>
        <v>85840000</v>
      </c>
      <c r="H53" s="746"/>
      <c r="I53" s="485"/>
      <c r="J53" s="333"/>
      <c r="K53" s="333"/>
      <c r="L53" s="333"/>
      <c r="M53" s="333"/>
      <c r="N53" s="333"/>
      <c r="O53" s="339">
        <f t="shared" si="1"/>
        <v>0</v>
      </c>
      <c r="P53" s="662"/>
      <c r="Q53" s="263"/>
      <c r="R53" s="263"/>
    </row>
    <row r="54" spans="1:18" s="270" customFormat="1">
      <c r="B54" s="532"/>
      <c r="C54" s="518"/>
      <c r="D54" s="2278" t="s">
        <v>330</v>
      </c>
      <c r="E54" s="501" t="s">
        <v>821</v>
      </c>
      <c r="F54" s="504" t="s">
        <v>558</v>
      </c>
      <c r="G54" s="517">
        <f>Radiologi!K30</f>
        <v>0</v>
      </c>
      <c r="H54" s="742"/>
      <c r="I54" s="485">
        <f>Radiologi!L30</f>
        <v>0</v>
      </c>
      <c r="J54" s="337">
        <f>Radiologi!M30</f>
        <v>0</v>
      </c>
      <c r="K54" s="337">
        <f>Radiologi!N30</f>
        <v>0</v>
      </c>
      <c r="L54" s="337">
        <f>Radiologi!O30</f>
        <v>0</v>
      </c>
      <c r="M54" s="337">
        <f>Radiologi!P30</f>
        <v>0</v>
      </c>
      <c r="N54" s="337">
        <f>Radiologi!Q30</f>
        <v>0</v>
      </c>
      <c r="O54" s="339">
        <f t="shared" si="1"/>
        <v>0</v>
      </c>
      <c r="P54" s="662">
        <f>O54-G54</f>
        <v>0</v>
      </c>
      <c r="Q54" s="1172"/>
      <c r="R54" s="1172"/>
    </row>
    <row r="55" spans="1:18" s="268" customFormat="1">
      <c r="B55" s="523"/>
      <c r="C55" s="508"/>
      <c r="D55" s="2278" t="s">
        <v>264</v>
      </c>
      <c r="E55" s="501" t="s">
        <v>822</v>
      </c>
      <c r="F55" s="504" t="s">
        <v>558</v>
      </c>
      <c r="G55" s="534">
        <f>Gizi!K30</f>
        <v>0</v>
      </c>
      <c r="H55" s="742"/>
      <c r="I55" s="485">
        <f>Gizi!L30</f>
        <v>0</v>
      </c>
      <c r="J55" s="337">
        <f>Gizi!M30</f>
        <v>0</v>
      </c>
      <c r="K55" s="337">
        <f>Gizi!N30</f>
        <v>0</v>
      </c>
      <c r="L55" s="337">
        <f>Gizi!O30</f>
        <v>0</v>
      </c>
      <c r="M55" s="337">
        <f>Gizi!P30</f>
        <v>0</v>
      </c>
      <c r="N55" s="337">
        <f>Gizi!Q30</f>
        <v>0</v>
      </c>
      <c r="O55" s="339">
        <f t="shared" si="1"/>
        <v>0</v>
      </c>
      <c r="P55" s="662">
        <f>O55-G55</f>
        <v>0</v>
      </c>
      <c r="Q55" s="263"/>
      <c r="R55" s="263"/>
    </row>
    <row r="56" spans="1:18" s="268" customFormat="1">
      <c r="B56" s="523"/>
      <c r="C56" s="508"/>
      <c r="D56" s="2277" t="s">
        <v>571</v>
      </c>
      <c r="E56" s="501" t="s">
        <v>823</v>
      </c>
      <c r="F56" s="504" t="s">
        <v>558</v>
      </c>
      <c r="G56" s="505">
        <f>Laundry!K42</f>
        <v>85840000</v>
      </c>
      <c r="H56" s="742"/>
      <c r="I56" s="485">
        <f>Laundry!L42</f>
        <v>0</v>
      </c>
      <c r="J56" s="337">
        <f>Laundry!M42</f>
        <v>0</v>
      </c>
      <c r="K56" s="337">
        <f>Laundry!N42</f>
        <v>85840000</v>
      </c>
      <c r="L56" s="337">
        <f>Laundry!O42</f>
        <v>0</v>
      </c>
      <c r="M56" s="337">
        <f>Laundry!P42</f>
        <v>0</v>
      </c>
      <c r="N56" s="337">
        <f>Laundry!Q42</f>
        <v>0</v>
      </c>
      <c r="O56" s="339">
        <f t="shared" si="1"/>
        <v>85840000</v>
      </c>
      <c r="P56" s="662">
        <f>O56-G56</f>
        <v>0</v>
      </c>
      <c r="Q56" s="263"/>
      <c r="R56" s="263"/>
    </row>
    <row r="57" spans="1:18" s="268" customFormat="1">
      <c r="B57" s="523">
        <v>9</v>
      </c>
      <c r="C57" s="3037" t="s">
        <v>572</v>
      </c>
      <c r="D57" s="3040"/>
      <c r="E57" s="501"/>
      <c r="F57" s="504"/>
      <c r="G57" s="566">
        <f>SUM(G58)</f>
        <v>1789409266</v>
      </c>
      <c r="H57" s="746"/>
      <c r="I57" s="485"/>
      <c r="J57" s="333"/>
      <c r="K57" s="333"/>
      <c r="L57" s="333"/>
      <c r="M57" s="333"/>
      <c r="N57" s="333"/>
      <c r="O57" s="339">
        <f t="shared" si="1"/>
        <v>0</v>
      </c>
      <c r="P57" s="662"/>
      <c r="Q57" s="263"/>
      <c r="R57" s="263"/>
    </row>
    <row r="58" spans="1:18" s="268" customFormat="1" ht="30">
      <c r="B58" s="523"/>
      <c r="C58" s="530"/>
      <c r="D58" s="529" t="s">
        <v>573</v>
      </c>
      <c r="E58" s="501" t="s">
        <v>806</v>
      </c>
      <c r="F58" s="504" t="s">
        <v>558</v>
      </c>
      <c r="G58" s="507">
        <f>'Pelatihan (2)'!O170</f>
        <v>1789409266</v>
      </c>
      <c r="H58" s="742"/>
      <c r="I58" s="485">
        <f>'Pelatihan (2)'!R170</f>
        <v>0</v>
      </c>
      <c r="J58" s="485">
        <f>'Pelatihan (2)'!S170</f>
        <v>1789409266</v>
      </c>
      <c r="K58" s="485">
        <f>'Pelatihan (2)'!T170</f>
        <v>0</v>
      </c>
      <c r="L58" s="485">
        <f>'Pelatihan (2)'!U170</f>
        <v>0</v>
      </c>
      <c r="M58" s="485">
        <f>'Pelatihan (2)'!V170</f>
        <v>0</v>
      </c>
      <c r="N58" s="485">
        <f>'Pelatihan (2)'!W170</f>
        <v>0</v>
      </c>
      <c r="O58" s="339">
        <f>SUM(I58:N58)</f>
        <v>1789409266</v>
      </c>
      <c r="P58" s="662">
        <f>O58-G58</f>
        <v>0</v>
      </c>
      <c r="Q58" s="263"/>
      <c r="R58" s="263"/>
    </row>
    <row r="59" spans="1:18" s="268" customFormat="1">
      <c r="B59" s="523">
        <v>10</v>
      </c>
      <c r="C59" s="3037" t="s">
        <v>574</v>
      </c>
      <c r="D59" s="3039"/>
      <c r="E59" s="501"/>
      <c r="F59" s="510"/>
      <c r="G59" s="566">
        <f>SUM(G60)</f>
        <v>37400500000</v>
      </c>
      <c r="H59" s="746"/>
      <c r="I59" s="485"/>
      <c r="J59" s="333"/>
      <c r="K59" s="333"/>
      <c r="L59" s="333"/>
      <c r="M59" s="333"/>
      <c r="N59" s="333"/>
      <c r="O59" s="339">
        <f t="shared" si="1"/>
        <v>0</v>
      </c>
      <c r="P59" s="662"/>
      <c r="Q59" s="263"/>
      <c r="R59" s="263"/>
    </row>
    <row r="60" spans="1:18" s="268" customFormat="1" ht="30">
      <c r="B60" s="523"/>
      <c r="C60" s="508"/>
      <c r="D60" s="520" t="s">
        <v>329</v>
      </c>
      <c r="E60" s="501" t="s">
        <v>575</v>
      </c>
      <c r="F60" s="504" t="s">
        <v>558</v>
      </c>
      <c r="G60" s="505">
        <f>J.Layanan!K245</f>
        <v>37400500000</v>
      </c>
      <c r="H60" s="742"/>
      <c r="I60" s="485">
        <f>J.Layanan!L245</f>
        <v>0</v>
      </c>
      <c r="J60" s="337">
        <f>J.Layanan!M245</f>
        <v>0</v>
      </c>
      <c r="K60" s="337">
        <f>J.Layanan!N245</f>
        <v>0</v>
      </c>
      <c r="L60" s="337">
        <f>J.Layanan!O245</f>
        <v>0</v>
      </c>
      <c r="M60" s="337">
        <f>J.Layanan!P245</f>
        <v>0</v>
      </c>
      <c r="N60" s="337">
        <f>J.Layanan!Q245</f>
        <v>37400500000</v>
      </c>
      <c r="O60" s="339">
        <f t="shared" si="1"/>
        <v>37400500000</v>
      </c>
      <c r="P60" s="662">
        <f>O60-G60</f>
        <v>0</v>
      </c>
      <c r="Q60" s="263"/>
      <c r="R60" s="263"/>
    </row>
    <row r="61" spans="1:18" s="271" customFormat="1" ht="30" customHeight="1">
      <c r="A61" s="265"/>
      <c r="B61" s="535"/>
      <c r="C61" s="3035" t="s">
        <v>265</v>
      </c>
      <c r="D61" s="3036"/>
      <c r="E61" s="536"/>
      <c r="F61" s="537"/>
      <c r="G61" s="538">
        <f>+G10+G12</f>
        <v>92034602518</v>
      </c>
      <c r="H61" s="967"/>
      <c r="I61" s="948">
        <f>SUM(I10:I60)</f>
        <v>21971749487</v>
      </c>
      <c r="J61" s="949">
        <f>SUM(J10:J60)</f>
        <v>13507148802</v>
      </c>
      <c r="K61" s="949">
        <f t="shared" ref="K61:N61" si="6">SUM(K10:K60)</f>
        <v>12923059997</v>
      </c>
      <c r="L61" s="949">
        <f>SUM(L10:L60)</f>
        <v>6232144232</v>
      </c>
      <c r="M61" s="949">
        <f t="shared" si="6"/>
        <v>0</v>
      </c>
      <c r="N61" s="949">
        <f t="shared" si="6"/>
        <v>37400500000</v>
      </c>
      <c r="O61" s="1542">
        <f>SUM(I61:N61)</f>
        <v>92034602518</v>
      </c>
      <c r="P61" s="662">
        <f>O61-G61</f>
        <v>0</v>
      </c>
      <c r="Q61" s="266"/>
      <c r="R61" s="266"/>
    </row>
    <row r="62" spans="1:18">
      <c r="B62" s="272"/>
      <c r="G62" s="1178"/>
      <c r="H62" s="280"/>
      <c r="I62" s="1058">
        <f>14846272623+8509496887</f>
        <v>23355769510</v>
      </c>
      <c r="J62" s="1059">
        <v>13888250002</v>
      </c>
      <c r="K62" s="1060">
        <f>10426380000+2991767500</f>
        <v>13418147500</v>
      </c>
      <c r="L62" s="1061">
        <v>6232144232</v>
      </c>
      <c r="M62" s="1062"/>
      <c r="N62" s="1060">
        <v>37400500000</v>
      </c>
      <c r="O62" s="1063">
        <f>SUM(I62:N62)</f>
        <v>94294811244</v>
      </c>
    </row>
    <row r="63" spans="1:18">
      <c r="B63" s="272"/>
      <c r="G63" s="1178"/>
      <c r="H63" s="280"/>
      <c r="I63" s="2073">
        <f>I61-I62</f>
        <v>-1384020023</v>
      </c>
      <c r="J63" s="2073">
        <f>J61-J62</f>
        <v>-381101200</v>
      </c>
      <c r="K63" s="2073">
        <f>K61-K62</f>
        <v>-495087503</v>
      </c>
      <c r="L63" s="2073">
        <f>L61-L62</f>
        <v>0</v>
      </c>
      <c r="M63" s="2073"/>
      <c r="N63" s="2073">
        <f>N61-N62</f>
        <v>0</v>
      </c>
      <c r="O63" s="2073">
        <f>O61-O62</f>
        <v>-2260208726</v>
      </c>
    </row>
    <row r="64" spans="1:18">
      <c r="B64" s="272"/>
      <c r="F64" s="255"/>
      <c r="G64" s="273" t="s">
        <v>1534</v>
      </c>
      <c r="I64" s="849"/>
      <c r="J64" s="1051"/>
      <c r="K64" s="1071"/>
      <c r="L64" s="850"/>
      <c r="M64" s="850"/>
      <c r="N64" s="850"/>
      <c r="O64" s="850"/>
    </row>
    <row r="65" spans="2:15" ht="15.75">
      <c r="B65" s="272"/>
      <c r="F65" s="255"/>
      <c r="G65" s="273" t="s">
        <v>576</v>
      </c>
      <c r="I65" s="1083">
        <f>I61-I11</f>
        <v>6816037607</v>
      </c>
      <c r="J65" s="1051"/>
      <c r="K65" s="1053"/>
      <c r="L65" s="850"/>
      <c r="M65" s="850"/>
      <c r="N65" s="850"/>
      <c r="O65" s="1053"/>
    </row>
    <row r="66" spans="2:15">
      <c r="B66" s="272"/>
      <c r="F66" s="255"/>
      <c r="G66" s="273" t="s">
        <v>577</v>
      </c>
      <c r="I66" s="950"/>
      <c r="J66" s="850"/>
      <c r="K66" s="1051"/>
      <c r="L66" s="850"/>
      <c r="M66" s="850"/>
      <c r="N66" s="850"/>
      <c r="O66" s="1051"/>
    </row>
    <row r="67" spans="2:15" ht="15.75">
      <c r="B67" s="272"/>
      <c r="F67" s="255"/>
      <c r="G67" s="273"/>
      <c r="I67" s="2329">
        <v>8200057630</v>
      </c>
      <c r="J67" s="2269">
        <v>13888250002</v>
      </c>
      <c r="K67" s="2330">
        <v>2817343500</v>
      </c>
      <c r="L67" s="2331">
        <v>6232144232</v>
      </c>
      <c r="M67" s="1628"/>
      <c r="N67" s="2331">
        <v>37400500000</v>
      </c>
      <c r="O67" s="1628"/>
    </row>
    <row r="68" spans="2:15" ht="15.75">
      <c r="F68" s="255"/>
      <c r="G68" s="273"/>
      <c r="I68" s="2330">
        <f>I67+I11</f>
        <v>23355769510</v>
      </c>
      <c r="J68" s="1630">
        <f>J67</f>
        <v>13888250002</v>
      </c>
      <c r="K68" s="1632">
        <f>K11+K67</f>
        <v>13032643500</v>
      </c>
      <c r="L68" s="2269">
        <f>L67</f>
        <v>6232144232</v>
      </c>
      <c r="M68" s="1628"/>
      <c r="N68" s="1630">
        <f>N67</f>
        <v>37400500000</v>
      </c>
      <c r="O68" s="1630">
        <f>SUM(I68:N68)</f>
        <v>93909307244</v>
      </c>
    </row>
    <row r="69" spans="2:15">
      <c r="F69" s="255"/>
      <c r="G69" s="273"/>
      <c r="I69" s="320">
        <f>I61-I68</f>
        <v>-1384020023</v>
      </c>
      <c r="J69" s="320">
        <f t="shared" ref="J69:N69" si="7">J61-J68</f>
        <v>-381101200</v>
      </c>
      <c r="K69" s="320">
        <f t="shared" si="7"/>
        <v>-109583503</v>
      </c>
      <c r="L69" s="320">
        <f t="shared" si="7"/>
        <v>0</v>
      </c>
      <c r="M69" s="320"/>
      <c r="N69" s="320">
        <f t="shared" si="7"/>
        <v>0</v>
      </c>
      <c r="O69" s="321"/>
    </row>
    <row r="70" spans="2:15">
      <c r="F70" s="255"/>
      <c r="G70" s="273"/>
      <c r="I70" s="320"/>
      <c r="J70" s="1092"/>
      <c r="K70" s="321"/>
      <c r="L70" s="321"/>
      <c r="M70" s="321"/>
      <c r="N70" s="321"/>
      <c r="O70" s="321"/>
    </row>
    <row r="71" spans="2:15">
      <c r="F71" s="255"/>
      <c r="G71" s="273" t="s">
        <v>904</v>
      </c>
      <c r="I71" s="320"/>
      <c r="J71" s="321"/>
      <c r="K71" s="321"/>
      <c r="L71" s="321"/>
      <c r="M71" s="321"/>
      <c r="N71" s="321"/>
      <c r="O71" s="321"/>
    </row>
    <row r="72" spans="2:15">
      <c r="F72" s="255"/>
      <c r="G72" s="273" t="s">
        <v>906</v>
      </c>
      <c r="I72" s="320"/>
      <c r="J72" s="2327"/>
      <c r="K72" s="321"/>
      <c r="L72" s="321"/>
      <c r="M72" s="321"/>
      <c r="N72" s="553"/>
      <c r="O72" s="321"/>
    </row>
    <row r="73" spans="2:15" ht="15.75">
      <c r="I73" s="2333"/>
      <c r="J73" s="1636"/>
      <c r="K73" s="1070"/>
      <c r="L73" s="321"/>
      <c r="M73" s="321"/>
      <c r="N73" s="321" t="s">
        <v>1891</v>
      </c>
      <c r="O73" s="321"/>
    </row>
    <row r="74" spans="2:15" ht="15.75">
      <c r="G74" s="1408"/>
      <c r="I74" s="2334">
        <v>86812668044</v>
      </c>
      <c r="J74" s="2324">
        <v>94294811244</v>
      </c>
      <c r="K74" s="1070"/>
      <c r="L74" s="321"/>
      <c r="M74" s="321"/>
      <c r="N74" s="321"/>
      <c r="O74" s="553"/>
    </row>
    <row r="75" spans="2:15" ht="15.75">
      <c r="G75" s="581">
        <v>93580901218</v>
      </c>
      <c r="H75" s="581">
        <f>G75-H77</f>
        <v>93273082518</v>
      </c>
      <c r="I75" s="2333">
        <f>G61-I74</f>
        <v>5221934474</v>
      </c>
      <c r="J75" s="2324">
        <f>J74-G61</f>
        <v>2260208726</v>
      </c>
      <c r="K75" s="1074"/>
      <c r="L75" s="1054"/>
      <c r="M75" s="321"/>
      <c r="N75" s="321"/>
      <c r="O75" s="321"/>
    </row>
    <row r="76" spans="2:15" ht="15.75">
      <c r="E76" s="275"/>
      <c r="G76" s="539">
        <f>G75-H77</f>
        <v>93273082518</v>
      </c>
      <c r="H76" s="539">
        <f>H75-G61</f>
        <v>1238480000</v>
      </c>
      <c r="I76" s="2333">
        <f>I74-G59</f>
        <v>49412168044</v>
      </c>
      <c r="J76" s="1643"/>
      <c r="K76" s="1070"/>
      <c r="L76" s="1054"/>
      <c r="M76" s="321"/>
      <c r="N76" s="321"/>
      <c r="O76" s="321"/>
    </row>
    <row r="77" spans="2:15" ht="15.75">
      <c r="E77" s="275"/>
      <c r="G77" s="581">
        <f>G76-G61</f>
        <v>1238480000</v>
      </c>
      <c r="H77" s="581">
        <v>307818700</v>
      </c>
      <c r="I77" s="2330"/>
      <c r="J77" s="1628"/>
      <c r="K77" s="321"/>
      <c r="L77" s="1054"/>
      <c r="M77" s="321"/>
      <c r="N77" s="321"/>
      <c r="O77" s="321"/>
    </row>
    <row r="78" spans="2:15" ht="15.75">
      <c r="G78" s="539"/>
      <c r="H78" s="2867">
        <f>G77-H77</f>
        <v>930661300</v>
      </c>
      <c r="I78" s="2330"/>
      <c r="J78" s="1628"/>
      <c r="K78" s="321"/>
      <c r="L78" s="321"/>
      <c r="M78" s="321"/>
      <c r="N78" s="321"/>
      <c r="O78" s="321"/>
    </row>
    <row r="79" spans="2:15">
      <c r="D79" s="282"/>
      <c r="E79" s="284"/>
      <c r="I79" s="2332"/>
      <c r="J79" s="2328"/>
      <c r="K79" s="321"/>
      <c r="L79" s="321"/>
      <c r="M79" s="321"/>
      <c r="N79" s="321"/>
      <c r="O79" s="321"/>
    </row>
    <row r="80" spans="2:15">
      <c r="D80" s="282"/>
      <c r="E80" s="284"/>
      <c r="I80" s="849"/>
      <c r="J80" s="553"/>
      <c r="K80" s="321"/>
      <c r="L80" s="321"/>
      <c r="M80" s="321"/>
      <c r="N80" s="321"/>
      <c r="O80" s="321"/>
    </row>
    <row r="81" spans="4:15">
      <c r="D81" s="282"/>
      <c r="E81" s="281"/>
      <c r="I81" s="849">
        <v>23355769510</v>
      </c>
      <c r="J81" s="321">
        <v>13888250002</v>
      </c>
      <c r="K81" s="321">
        <v>13418147500</v>
      </c>
      <c r="L81" s="321">
        <v>6232144232</v>
      </c>
      <c r="M81" s="321"/>
      <c r="N81" s="321">
        <v>37400500000</v>
      </c>
      <c r="O81" s="321"/>
    </row>
    <row r="82" spans="4:15">
      <c r="D82" s="282"/>
      <c r="E82" s="285"/>
      <c r="I82" s="849"/>
      <c r="J82" s="321"/>
      <c r="K82" s="321"/>
      <c r="L82" s="321"/>
      <c r="M82" s="321"/>
      <c r="N82" s="321"/>
      <c r="O82" s="321"/>
    </row>
    <row r="83" spans="4:15">
      <c r="D83" s="282"/>
      <c r="E83" s="281"/>
      <c r="I83" s="950"/>
      <c r="J83" s="321"/>
      <c r="K83" s="321"/>
      <c r="L83" s="321"/>
      <c r="M83" s="321"/>
      <c r="N83" s="321"/>
      <c r="O83" s="321"/>
    </row>
    <row r="84" spans="4:15">
      <c r="D84" s="282"/>
      <c r="E84" s="281"/>
      <c r="I84" s="320"/>
      <c r="J84" s="321"/>
      <c r="K84" s="321"/>
      <c r="L84" s="321"/>
      <c r="M84" s="321"/>
      <c r="N84" s="321"/>
      <c r="O84" s="321"/>
    </row>
    <row r="85" spans="4:15">
      <c r="D85" s="283"/>
      <c r="E85" s="281"/>
      <c r="I85" s="320"/>
      <c r="J85" s="321"/>
      <c r="K85" s="321"/>
      <c r="L85" s="321"/>
      <c r="M85" s="321"/>
      <c r="N85" s="321"/>
      <c r="O85" s="321"/>
    </row>
    <row r="86" spans="4:15">
      <c r="E86" s="281"/>
      <c r="I86" s="320"/>
      <c r="J86" s="321"/>
      <c r="K86" s="321"/>
      <c r="L86" s="321"/>
      <c r="M86" s="321"/>
      <c r="N86" s="321"/>
      <c r="O86" s="321"/>
    </row>
    <row r="87" spans="4:15">
      <c r="E87" s="277"/>
      <c r="I87" s="320"/>
      <c r="J87" s="321"/>
      <c r="K87" s="321"/>
      <c r="L87" s="321"/>
      <c r="M87" s="321"/>
      <c r="N87" s="321"/>
      <c r="O87" s="321"/>
    </row>
    <row r="88" spans="4:15">
      <c r="E88" s="276"/>
      <c r="I88" s="320"/>
      <c r="J88" s="321"/>
      <c r="K88" s="321"/>
      <c r="L88" s="321"/>
      <c r="M88" s="321"/>
      <c r="N88" s="321"/>
      <c r="O88" s="321"/>
    </row>
    <row r="89" spans="4:15">
      <c r="E89" s="277"/>
      <c r="I89" s="320"/>
      <c r="J89" s="321"/>
      <c r="K89" s="1177"/>
      <c r="L89" s="321"/>
      <c r="M89" s="321"/>
      <c r="N89" s="321"/>
      <c r="O89" s="321"/>
    </row>
    <row r="90" spans="4:15">
      <c r="I90" s="320"/>
      <c r="J90" s="321"/>
      <c r="K90" s="321"/>
      <c r="L90" s="321"/>
      <c r="M90" s="321"/>
      <c r="N90" s="321"/>
      <c r="O90" s="321"/>
    </row>
    <row r="91" spans="4:15">
      <c r="E91" s="281"/>
      <c r="I91" s="320"/>
      <c r="J91" s="321"/>
      <c r="K91" s="321"/>
      <c r="L91" s="321"/>
      <c r="M91" s="321"/>
      <c r="N91" s="321"/>
      <c r="O91" s="321"/>
    </row>
    <row r="92" spans="4:15">
      <c r="E92" s="277"/>
      <c r="I92" s="320"/>
      <c r="J92" s="321"/>
      <c r="K92" s="321"/>
      <c r="L92" s="321"/>
      <c r="M92" s="321"/>
      <c r="N92" s="321"/>
      <c r="O92" s="321"/>
    </row>
    <row r="93" spans="4:15">
      <c r="E93" s="738"/>
      <c r="I93" s="320"/>
      <c r="J93" s="321"/>
      <c r="K93" s="321"/>
      <c r="L93" s="321"/>
      <c r="M93" s="321"/>
      <c r="N93" s="321"/>
      <c r="O93" s="321"/>
    </row>
    <row r="94" spans="4:15">
      <c r="I94" s="320"/>
      <c r="J94" s="321"/>
      <c r="K94" s="321"/>
      <c r="L94" s="321"/>
      <c r="M94" s="321"/>
      <c r="N94" s="321"/>
      <c r="O94" s="321"/>
    </row>
    <row r="95" spans="4:15">
      <c r="E95" s="281">
        <v>1451450000</v>
      </c>
      <c r="I95" s="320"/>
      <c r="J95" s="321"/>
      <c r="K95" s="321"/>
      <c r="L95" s="321"/>
      <c r="M95" s="321"/>
      <c r="N95" s="321"/>
      <c r="O95" s="321"/>
    </row>
    <row r="96" spans="4:15">
      <c r="E96" s="281">
        <v>1522519985</v>
      </c>
      <c r="I96" s="320"/>
      <c r="J96" s="321"/>
      <c r="K96" s="321"/>
      <c r="L96" s="321"/>
      <c r="M96" s="321"/>
      <c r="N96" s="321"/>
      <c r="O96" s="321"/>
    </row>
    <row r="97" spans="5:15">
      <c r="E97" s="738">
        <f>SUM(E95:E96)</f>
        <v>2973969985</v>
      </c>
      <c r="I97" s="320"/>
      <c r="J97" s="321"/>
      <c r="K97" s="321"/>
      <c r="L97" s="321"/>
      <c r="M97" s="321"/>
      <c r="N97" s="321"/>
      <c r="O97" s="321"/>
    </row>
    <row r="98" spans="5:15">
      <c r="I98" s="320"/>
      <c r="J98" s="321"/>
      <c r="K98" s="321"/>
      <c r="L98" s="321"/>
      <c r="M98" s="321"/>
      <c r="N98" s="321"/>
      <c r="O98" s="321"/>
    </row>
    <row r="99" spans="5:15">
      <c r="I99" s="320"/>
      <c r="J99" s="321"/>
      <c r="K99" s="321"/>
      <c r="L99" s="321"/>
      <c r="M99" s="321"/>
      <c r="N99" s="321"/>
      <c r="O99" s="321"/>
    </row>
    <row r="100" spans="5:15">
      <c r="I100" s="320"/>
      <c r="J100" s="321"/>
      <c r="K100" s="321"/>
      <c r="L100" s="321"/>
      <c r="M100" s="321"/>
      <c r="N100" s="321"/>
      <c r="O100" s="321"/>
    </row>
    <row r="101" spans="5:15">
      <c r="I101" s="320"/>
      <c r="J101" s="321"/>
      <c r="K101" s="321"/>
      <c r="L101" s="321"/>
      <c r="M101" s="321"/>
      <c r="N101" s="321"/>
      <c r="O101" s="321"/>
    </row>
    <row r="102" spans="5:15">
      <c r="I102" s="320"/>
      <c r="J102" s="321"/>
      <c r="K102" s="321"/>
      <c r="L102" s="321"/>
      <c r="M102" s="321"/>
      <c r="N102" s="321"/>
      <c r="O102" s="321"/>
    </row>
    <row r="103" spans="5:15">
      <c r="I103" s="320"/>
      <c r="J103" s="321"/>
      <c r="K103" s="321"/>
      <c r="L103" s="321"/>
      <c r="M103" s="321"/>
      <c r="N103" s="321"/>
      <c r="O103" s="321"/>
    </row>
    <row r="104" spans="5:15">
      <c r="I104" s="320"/>
      <c r="J104" s="321"/>
      <c r="K104" s="321"/>
      <c r="L104" s="321"/>
      <c r="M104" s="321"/>
      <c r="N104" s="321"/>
      <c r="O104" s="321"/>
    </row>
    <row r="105" spans="5:15">
      <c r="I105" s="320"/>
      <c r="J105" s="321"/>
      <c r="K105" s="321"/>
      <c r="L105" s="321"/>
      <c r="M105" s="321"/>
      <c r="N105" s="321"/>
      <c r="O105" s="321"/>
    </row>
    <row r="106" spans="5:15">
      <c r="I106" s="320"/>
      <c r="J106" s="321"/>
      <c r="K106" s="321"/>
      <c r="L106" s="321"/>
      <c r="M106" s="321"/>
      <c r="N106" s="321"/>
      <c r="O106" s="321"/>
    </row>
    <row r="107" spans="5:15">
      <c r="I107" s="320"/>
      <c r="J107" s="321"/>
      <c r="K107" s="321"/>
      <c r="L107" s="321"/>
      <c r="M107" s="321"/>
      <c r="N107" s="321"/>
      <c r="O107" s="321"/>
    </row>
    <row r="108" spans="5:15">
      <c r="I108" s="320"/>
      <c r="J108" s="321"/>
      <c r="K108" s="321"/>
      <c r="L108" s="321"/>
      <c r="M108" s="321"/>
      <c r="N108" s="321"/>
      <c r="O108" s="321"/>
    </row>
    <row r="109" spans="5:15">
      <c r="I109" s="320"/>
      <c r="J109" s="321"/>
      <c r="K109" s="321"/>
      <c r="L109" s="321"/>
      <c r="M109" s="321"/>
      <c r="N109" s="321"/>
      <c r="O109" s="321"/>
    </row>
    <row r="110" spans="5:15">
      <c r="I110" s="321"/>
      <c r="J110" s="321"/>
      <c r="K110" s="321"/>
      <c r="L110" s="321"/>
      <c r="M110" s="321"/>
      <c r="N110" s="321"/>
      <c r="O110" s="321"/>
    </row>
  </sheetData>
  <mergeCells count="19">
    <mergeCell ref="O7:O8"/>
    <mergeCell ref="I7:N7"/>
    <mergeCell ref="C9:D9"/>
    <mergeCell ref="C10:D10"/>
    <mergeCell ref="C12:D12"/>
    <mergeCell ref="H7:H8"/>
    <mergeCell ref="B7:B8"/>
    <mergeCell ref="C7:D8"/>
    <mergeCell ref="E7:E8"/>
    <mergeCell ref="F7:F8"/>
    <mergeCell ref="C61:D61"/>
    <mergeCell ref="C25:D25"/>
    <mergeCell ref="C31:D31"/>
    <mergeCell ref="C33:D33"/>
    <mergeCell ref="C41:D41"/>
    <mergeCell ref="C46:D46"/>
    <mergeCell ref="C53:D53"/>
    <mergeCell ref="C57:D57"/>
    <mergeCell ref="C59:D59"/>
  </mergeCells>
  <printOptions horizontalCentered="1"/>
  <pageMargins left="0.23622047244094491" right="0.27559055118110237" top="0.23622047244094491" bottom="0.70866141732283472" header="0.11811023622047245" footer="0.35433070866141736"/>
  <pageSetup paperSize="5" scale="54" fitToHeight="100" orientation="portrait" r:id="rId1"/>
  <headerFooter>
    <oddFooter>&amp;CHal &amp;P dari &amp;N</oddFooter>
  </headerFooter>
  <rowBreaks count="1" manualBreakCount="1">
    <brk id="72" min="1" max="8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7030A0"/>
  </sheetPr>
  <dimension ref="A1:S206"/>
  <sheetViews>
    <sheetView view="pageBreakPreview" topLeftCell="A176" zoomScaleSheetLayoutView="100" workbookViewId="0">
      <selection activeCell="A183" sqref="A183:J191"/>
    </sheetView>
  </sheetViews>
  <sheetFormatPr defaultRowHeight="12.75"/>
  <cols>
    <col min="1" max="1" width="3.140625" style="9" customWidth="1"/>
    <col min="2" max="2" width="3.28515625" style="9" customWidth="1"/>
    <col min="3" max="4" width="3.5703125" style="9" customWidth="1"/>
    <col min="5" max="5" width="4.42578125" style="9" customWidth="1"/>
    <col min="6" max="6" width="50.42578125" style="9" customWidth="1"/>
    <col min="7" max="8" width="11.28515625" style="9" bestFit="1" customWidth="1"/>
    <col min="9" max="9" width="13.5703125" style="9" bestFit="1" customWidth="1"/>
    <col min="10" max="10" width="15" style="9" bestFit="1" customWidth="1"/>
    <col min="11" max="11" width="4.28515625" style="9" bestFit="1" customWidth="1"/>
    <col min="12" max="12" width="15.28515625" style="9" bestFit="1" customWidth="1"/>
    <col min="13" max="13" width="11.7109375" style="9" bestFit="1" customWidth="1"/>
    <col min="14" max="14" width="4.140625" style="9" bestFit="1" customWidth="1"/>
    <col min="15" max="15" width="6" style="9" bestFit="1" customWidth="1"/>
    <col min="16" max="16" width="5" style="9" bestFit="1" customWidth="1"/>
    <col min="17" max="17" width="15.28515625" style="9" bestFit="1" customWidth="1"/>
    <col min="18" max="18" width="15" style="9" bestFit="1" customWidth="1"/>
    <col min="19" max="16384" width="9.140625" style="9"/>
  </cols>
  <sheetData>
    <row r="1" spans="1:12" ht="14.25" thickTop="1" thickBot="1">
      <c r="A1" s="3471"/>
      <c r="B1" s="3472"/>
      <c r="C1" s="3472"/>
      <c r="D1" s="3473"/>
      <c r="E1" s="3473"/>
      <c r="F1" s="3473"/>
      <c r="G1" s="3473"/>
      <c r="H1" s="3473"/>
      <c r="I1" s="3473"/>
      <c r="J1" s="3474"/>
    </row>
    <row r="2" spans="1:12" ht="17.25" customHeight="1" thickTop="1">
      <c r="A2" s="3321"/>
      <c r="B2" s="3322"/>
      <c r="C2" s="3322"/>
      <c r="D2" s="3475" t="s">
        <v>274</v>
      </c>
      <c r="E2" s="3476"/>
      <c r="F2" s="3476"/>
      <c r="G2" s="3477"/>
      <c r="H2" s="3328" t="s">
        <v>0</v>
      </c>
      <c r="I2" s="3329"/>
      <c r="J2" s="11" t="s">
        <v>1</v>
      </c>
    </row>
    <row r="3" spans="1:12" ht="16.5" customHeight="1">
      <c r="A3" s="3323"/>
      <c r="B3" s="3324"/>
      <c r="C3" s="3324"/>
      <c r="D3" s="3330" t="s">
        <v>2</v>
      </c>
      <c r="E3" s="3331"/>
      <c r="F3" s="3331"/>
      <c r="G3" s="3332"/>
      <c r="H3" s="3333"/>
      <c r="I3" s="3334"/>
      <c r="J3" s="12" t="s">
        <v>3</v>
      </c>
    </row>
    <row r="4" spans="1:12" ht="16.5" customHeight="1">
      <c r="A4" s="3357" t="s">
        <v>1151</v>
      </c>
      <c r="B4" s="3358"/>
      <c r="C4" s="3358"/>
      <c r="D4" s="3358"/>
      <c r="E4" s="3358"/>
      <c r="F4" s="3358"/>
      <c r="G4" s="3358"/>
      <c r="H4" s="3358"/>
      <c r="I4" s="3358"/>
      <c r="J4" s="3359"/>
    </row>
    <row r="5" spans="1:12">
      <c r="A5" s="3310" t="s">
        <v>31</v>
      </c>
      <c r="B5" s="3311"/>
      <c r="C5" s="3311"/>
      <c r="D5" s="3311"/>
      <c r="E5" s="3311"/>
      <c r="F5" s="3312" t="s">
        <v>38</v>
      </c>
      <c r="G5" s="3312"/>
      <c r="H5" s="3312"/>
      <c r="I5" s="3312"/>
      <c r="J5" s="3313"/>
    </row>
    <row r="6" spans="1:12">
      <c r="A6" s="3314" t="s">
        <v>32</v>
      </c>
      <c r="B6" s="3315"/>
      <c r="C6" s="3315"/>
      <c r="D6" s="3315"/>
      <c r="E6" s="3315"/>
      <c r="F6" s="3315" t="s">
        <v>39</v>
      </c>
      <c r="G6" s="3315"/>
      <c r="H6" s="3315"/>
      <c r="I6" s="3315"/>
      <c r="J6" s="3316"/>
    </row>
    <row r="7" spans="1:12" ht="23.25" customHeight="1">
      <c r="A7" s="3657" t="s">
        <v>33</v>
      </c>
      <c r="B7" s="3658"/>
      <c r="C7" s="3658"/>
      <c r="D7" s="3658"/>
      <c r="E7" s="3658"/>
      <c r="F7" s="3649" t="s">
        <v>83</v>
      </c>
      <c r="G7" s="3649"/>
      <c r="H7" s="3649"/>
      <c r="I7" s="3649"/>
      <c r="J7" s="3659"/>
    </row>
    <row r="8" spans="1:12">
      <c r="A8" s="3341" t="s">
        <v>34</v>
      </c>
      <c r="B8" s="3339"/>
      <c r="C8" s="3339"/>
      <c r="D8" s="3339"/>
      <c r="E8" s="3339"/>
      <c r="F8" s="3339" t="s">
        <v>1110</v>
      </c>
      <c r="G8" s="3339"/>
      <c r="H8" s="3339"/>
      <c r="I8" s="3339"/>
      <c r="J8" s="3340"/>
      <c r="L8" s="9">
        <v>55</v>
      </c>
    </row>
    <row r="9" spans="1:12">
      <c r="A9" s="6" t="s">
        <v>35</v>
      </c>
      <c r="B9" s="7"/>
      <c r="C9" s="7"/>
      <c r="D9" s="7"/>
      <c r="E9" s="7"/>
      <c r="F9" s="3339" t="s">
        <v>1152</v>
      </c>
      <c r="G9" s="3339"/>
      <c r="H9" s="3339"/>
      <c r="I9" s="3339"/>
      <c r="J9" s="3340"/>
      <c r="L9" s="41">
        <v>10000</v>
      </c>
    </row>
    <row r="10" spans="1:12">
      <c r="A10" s="3341" t="s">
        <v>36</v>
      </c>
      <c r="B10" s="3339"/>
      <c r="C10" s="3339"/>
      <c r="D10" s="3339"/>
      <c r="E10" s="3339"/>
      <c r="F10" s="3339" t="s">
        <v>41</v>
      </c>
      <c r="G10" s="3339"/>
      <c r="H10" s="3339"/>
      <c r="I10" s="3339"/>
      <c r="J10" s="3340"/>
      <c r="L10" s="41">
        <f>L8*L9</f>
        <v>550000</v>
      </c>
    </row>
    <row r="11" spans="1:12">
      <c r="A11" s="3314" t="s">
        <v>37</v>
      </c>
      <c r="B11" s="3315"/>
      <c r="C11" s="3315"/>
      <c r="D11" s="3315"/>
      <c r="E11" s="3315"/>
      <c r="F11" s="3315" t="s">
        <v>42</v>
      </c>
      <c r="G11" s="3315"/>
      <c r="H11" s="3315"/>
      <c r="I11" s="3315"/>
      <c r="J11" s="3316"/>
    </row>
    <row r="12" spans="1:12">
      <c r="A12" s="3305" t="s">
        <v>4</v>
      </c>
      <c r="B12" s="3306"/>
      <c r="C12" s="3306"/>
      <c r="D12" s="3306"/>
      <c r="E12" s="3306"/>
      <c r="F12" s="3306"/>
      <c r="G12" s="3306"/>
      <c r="H12" s="3306"/>
      <c r="I12" s="3306"/>
      <c r="J12" s="3309"/>
    </row>
    <row r="13" spans="1:12">
      <c r="A13" s="3401" t="s">
        <v>5</v>
      </c>
      <c r="B13" s="3402"/>
      <c r="C13" s="3402"/>
      <c r="D13" s="3402"/>
      <c r="E13" s="3403"/>
      <c r="F13" s="3404" t="s">
        <v>6</v>
      </c>
      <c r="G13" s="3405"/>
      <c r="H13" s="3404" t="s">
        <v>7</v>
      </c>
      <c r="I13" s="3406"/>
      <c r="J13" s="3407"/>
    </row>
    <row r="14" spans="1:12" ht="25.5" customHeight="1">
      <c r="A14" s="3462" t="s">
        <v>8</v>
      </c>
      <c r="B14" s="3463"/>
      <c r="C14" s="3463"/>
      <c r="D14" s="3463"/>
      <c r="E14" s="3464"/>
      <c r="F14" s="3445" t="s">
        <v>1868</v>
      </c>
      <c r="G14" s="3448"/>
      <c r="H14" s="3450">
        <v>1</v>
      </c>
      <c r="I14" s="3451"/>
      <c r="J14" s="3452"/>
    </row>
    <row r="15" spans="1:12">
      <c r="A15" s="3459" t="s">
        <v>9</v>
      </c>
      <c r="B15" s="3451"/>
      <c r="C15" s="3451"/>
      <c r="D15" s="3451"/>
      <c r="E15" s="3460"/>
      <c r="F15" s="3461" t="s">
        <v>47</v>
      </c>
      <c r="G15" s="3457"/>
      <c r="H15" s="3453">
        <f>J24</f>
        <v>790308650</v>
      </c>
      <c r="I15" s="3454"/>
      <c r="J15" s="3455"/>
    </row>
    <row r="16" spans="1:12" ht="24" customHeight="1">
      <c r="A16" s="3439" t="s">
        <v>10</v>
      </c>
      <c r="B16" s="3451"/>
      <c r="C16" s="3451"/>
      <c r="D16" s="3451"/>
      <c r="E16" s="3460"/>
      <c r="F16" s="3445" t="s">
        <v>1869</v>
      </c>
      <c r="G16" s="3448"/>
      <c r="H16" s="3456">
        <v>1</v>
      </c>
      <c r="I16" s="3457"/>
      <c r="J16" s="3458"/>
    </row>
    <row r="17" spans="1:19">
      <c r="A17" s="3439" t="s">
        <v>11</v>
      </c>
      <c r="B17" s="3451"/>
      <c r="C17" s="3451"/>
      <c r="D17" s="3451"/>
      <c r="E17" s="3460"/>
      <c r="F17" s="3445" t="s">
        <v>1870</v>
      </c>
      <c r="G17" s="3446"/>
      <c r="H17" s="3456">
        <v>1</v>
      </c>
      <c r="I17" s="3457"/>
      <c r="J17" s="3458"/>
    </row>
    <row r="18" spans="1:19" ht="12.75" customHeight="1">
      <c r="A18" s="3482" t="s">
        <v>262</v>
      </c>
      <c r="B18" s="3489"/>
      <c r="C18" s="3489"/>
      <c r="D18" s="3489"/>
      <c r="E18" s="3489"/>
      <c r="F18" s="3489"/>
      <c r="G18" s="3489"/>
      <c r="H18" s="3489"/>
      <c r="I18" s="3489"/>
      <c r="J18" s="3483"/>
    </row>
    <row r="19" spans="1:19" ht="15" customHeight="1">
      <c r="A19" s="3292" t="s">
        <v>72</v>
      </c>
      <c r="B19" s="3293"/>
      <c r="C19" s="3293"/>
      <c r="D19" s="3293"/>
      <c r="E19" s="3293"/>
      <c r="F19" s="3293"/>
      <c r="G19" s="3293"/>
      <c r="H19" s="3293"/>
      <c r="I19" s="3293"/>
      <c r="J19" s="3294"/>
      <c r="K19" s="305"/>
      <c r="L19" s="305"/>
      <c r="M19" s="305"/>
      <c r="N19" s="305"/>
      <c r="O19" s="305"/>
      <c r="P19" s="303"/>
      <c r="Q19" s="303"/>
    </row>
    <row r="20" spans="1:19">
      <c r="A20" s="3295"/>
      <c r="B20" s="3296"/>
      <c r="C20" s="3296"/>
      <c r="D20" s="3296"/>
      <c r="E20" s="3296"/>
      <c r="F20" s="3296"/>
      <c r="G20" s="3296"/>
      <c r="H20" s="3296"/>
      <c r="I20" s="3296"/>
      <c r="J20" s="3297"/>
      <c r="K20" s="3378" t="s">
        <v>158</v>
      </c>
      <c r="L20" s="3378"/>
      <c r="M20" s="3378"/>
      <c r="N20" s="3378"/>
      <c r="O20" s="3378"/>
      <c r="P20" s="3378"/>
      <c r="Q20" s="3378" t="s">
        <v>17</v>
      </c>
    </row>
    <row r="21" spans="1:19" ht="16.5" customHeight="1">
      <c r="A21" s="3292" t="s">
        <v>14</v>
      </c>
      <c r="B21" s="3293"/>
      <c r="C21" s="3293"/>
      <c r="D21" s="3293"/>
      <c r="E21" s="3298"/>
      <c r="F21" s="3300" t="s">
        <v>15</v>
      </c>
      <c r="G21" s="3302" t="s">
        <v>16</v>
      </c>
      <c r="H21" s="3303"/>
      <c r="I21" s="3304"/>
      <c r="J21" s="14" t="s">
        <v>17</v>
      </c>
      <c r="K21" s="1678"/>
      <c r="L21" s="1678"/>
      <c r="M21" s="1678"/>
      <c r="N21" s="1678"/>
      <c r="O21" s="1678"/>
      <c r="P21" s="1678"/>
      <c r="Q21" s="3378"/>
    </row>
    <row r="22" spans="1:19">
      <c r="A22" s="3295"/>
      <c r="B22" s="3296"/>
      <c r="C22" s="3296"/>
      <c r="D22" s="3296"/>
      <c r="E22" s="3299"/>
      <c r="F22" s="3301"/>
      <c r="G22" s="15" t="s">
        <v>18</v>
      </c>
      <c r="H22" s="15" t="s">
        <v>19</v>
      </c>
      <c r="I22" s="15" t="s">
        <v>20</v>
      </c>
      <c r="J22" s="12" t="s">
        <v>21</v>
      </c>
      <c r="K22" s="1677" t="s">
        <v>177</v>
      </c>
      <c r="L22" s="1677" t="s">
        <v>594</v>
      </c>
      <c r="M22" s="1677" t="s">
        <v>651</v>
      </c>
      <c r="N22" s="1677" t="s">
        <v>595</v>
      </c>
      <c r="O22" s="1677" t="s">
        <v>652</v>
      </c>
      <c r="P22" s="1677" t="s">
        <v>593</v>
      </c>
      <c r="Q22" s="3379"/>
    </row>
    <row r="23" spans="1:19">
      <c r="A23" s="3305">
        <v>1</v>
      </c>
      <c r="B23" s="3306"/>
      <c r="C23" s="3306"/>
      <c r="D23" s="3306"/>
      <c r="E23" s="3307"/>
      <c r="F23" s="16">
        <v>2</v>
      </c>
      <c r="G23" s="17">
        <v>3</v>
      </c>
      <c r="H23" s="17">
        <v>4</v>
      </c>
      <c r="I23" s="17">
        <v>5</v>
      </c>
      <c r="J23" s="18" t="s">
        <v>22</v>
      </c>
      <c r="K23" s="1678">
        <v>6</v>
      </c>
      <c r="L23" s="1678">
        <v>7</v>
      </c>
      <c r="M23" s="1678">
        <v>8</v>
      </c>
      <c r="N23" s="1678">
        <v>9</v>
      </c>
      <c r="O23" s="1678">
        <v>10</v>
      </c>
      <c r="P23" s="1678">
        <v>11</v>
      </c>
      <c r="Q23" s="1678">
        <v>12</v>
      </c>
    </row>
    <row r="24" spans="1:19" ht="15.75" customHeight="1">
      <c r="A24" s="43">
        <v>5</v>
      </c>
      <c r="B24" s="17">
        <v>2</v>
      </c>
      <c r="C24" s="17"/>
      <c r="D24" s="17"/>
      <c r="E24" s="17"/>
      <c r="F24" s="44" t="s">
        <v>23</v>
      </c>
      <c r="G24" s="45"/>
      <c r="H24" s="17"/>
      <c r="I24" s="46"/>
      <c r="J24" s="47">
        <f>J25</f>
        <v>790308650</v>
      </c>
      <c r="K24" s="305"/>
      <c r="L24" s="305"/>
      <c r="M24" s="305"/>
      <c r="N24" s="305"/>
      <c r="O24" s="305"/>
      <c r="P24" s="303"/>
      <c r="Q24" s="303"/>
    </row>
    <row r="25" spans="1:19" ht="14.25" customHeight="1">
      <c r="A25" s="43">
        <v>5</v>
      </c>
      <c r="B25" s="17">
        <v>2</v>
      </c>
      <c r="C25" s="17">
        <v>2</v>
      </c>
      <c r="D25" s="17"/>
      <c r="E25" s="17"/>
      <c r="F25" s="44" t="s">
        <v>43</v>
      </c>
      <c r="G25" s="856"/>
      <c r="H25" s="17"/>
      <c r="I25" s="46"/>
      <c r="J25" s="47">
        <f>J26</f>
        <v>790308650</v>
      </c>
      <c r="K25" s="305"/>
      <c r="L25" s="305"/>
      <c r="M25" s="305"/>
      <c r="N25" s="305"/>
      <c r="O25" s="305"/>
      <c r="P25" s="303"/>
      <c r="Q25" s="303"/>
    </row>
    <row r="26" spans="1:19" ht="15" customHeight="1">
      <c r="A26" s="43">
        <v>5</v>
      </c>
      <c r="B26" s="17">
        <v>2</v>
      </c>
      <c r="C26" s="17">
        <v>2</v>
      </c>
      <c r="D26" s="65" t="s">
        <v>66</v>
      </c>
      <c r="E26" s="17"/>
      <c r="F26" s="44" t="s">
        <v>101</v>
      </c>
      <c r="G26" s="856"/>
      <c r="H26" s="17"/>
      <c r="I26" s="46"/>
      <c r="J26" s="47">
        <f>J27+J183+J188</f>
        <v>790308650</v>
      </c>
      <c r="K26" s="304"/>
      <c r="L26" s="303"/>
      <c r="M26" s="303"/>
      <c r="N26" s="303"/>
      <c r="O26" s="303"/>
      <c r="P26" s="303"/>
      <c r="Q26" s="303"/>
    </row>
    <row r="27" spans="1:19">
      <c r="A27" s="19">
        <v>5</v>
      </c>
      <c r="B27" s="15">
        <v>2</v>
      </c>
      <c r="C27" s="15">
        <v>2</v>
      </c>
      <c r="D27" s="28" t="s">
        <v>66</v>
      </c>
      <c r="E27" s="28" t="s">
        <v>24</v>
      </c>
      <c r="F27" s="48" t="s">
        <v>102</v>
      </c>
      <c r="G27" s="1005"/>
      <c r="H27" s="123"/>
      <c r="I27" s="278"/>
      <c r="J27" s="50">
        <f>SUM(J29:J182)</f>
        <v>728161650</v>
      </c>
      <c r="K27" s="305"/>
      <c r="L27" s="305"/>
      <c r="M27" s="305"/>
      <c r="N27" s="305"/>
      <c r="O27" s="305"/>
      <c r="P27" s="303"/>
      <c r="Q27" s="303"/>
      <c r="R27" s="41">
        <v>294951025</v>
      </c>
    </row>
    <row r="28" spans="1:19">
      <c r="A28" s="1713"/>
      <c r="B28" s="1706"/>
      <c r="C28" s="1706"/>
      <c r="D28" s="1707"/>
      <c r="E28" s="1707"/>
      <c r="F28" s="2028" t="s">
        <v>1885</v>
      </c>
      <c r="G28" s="2029"/>
      <c r="H28" s="2030"/>
      <c r="I28" s="2031"/>
      <c r="J28" s="2032"/>
      <c r="K28" s="1656"/>
      <c r="L28" s="1656"/>
      <c r="M28" s="1656"/>
      <c r="N28" s="1656"/>
      <c r="O28" s="1656"/>
      <c r="P28" s="1657"/>
      <c r="Q28" s="1657"/>
      <c r="R28" s="41"/>
    </row>
    <row r="29" spans="1:19">
      <c r="A29" s="19"/>
      <c r="B29" s="15"/>
      <c r="C29" s="15"/>
      <c r="D29" s="28"/>
      <c r="E29" s="30"/>
      <c r="F29" s="349" t="s">
        <v>210</v>
      </c>
      <c r="G29" s="666">
        <v>5000</v>
      </c>
      <c r="H29" s="288" t="s">
        <v>103</v>
      </c>
      <c r="I29" s="1669">
        <v>310</v>
      </c>
      <c r="J29" s="279">
        <f>G29*I29</f>
        <v>1550000</v>
      </c>
      <c r="K29" s="305"/>
      <c r="L29" s="399">
        <f>J29</f>
        <v>1550000</v>
      </c>
      <c r="M29" s="399"/>
      <c r="N29" s="303"/>
      <c r="O29" s="303"/>
      <c r="P29" s="303"/>
      <c r="Q29" s="303"/>
      <c r="R29" s="158">
        <f>J27-R27</f>
        <v>433210625</v>
      </c>
      <c r="S29" s="158"/>
    </row>
    <row r="30" spans="1:19">
      <c r="A30" s="19"/>
      <c r="B30" s="15"/>
      <c r="C30" s="15"/>
      <c r="D30" s="28"/>
      <c r="E30" s="30"/>
      <c r="F30" s="349" t="s">
        <v>211</v>
      </c>
      <c r="G30" s="666">
        <v>1000</v>
      </c>
      <c r="H30" s="288" t="s">
        <v>103</v>
      </c>
      <c r="I30" s="1669">
        <v>828</v>
      </c>
      <c r="J30" s="279">
        <f t="shared" ref="J30:J100" si="0">G30*I30</f>
        <v>828000</v>
      </c>
      <c r="K30" s="305"/>
      <c r="L30" s="399">
        <f t="shared" ref="L30:L100" si="1">J30</f>
        <v>828000</v>
      </c>
      <c r="M30" s="399"/>
      <c r="N30" s="305"/>
      <c r="O30" s="305"/>
      <c r="P30" s="303"/>
      <c r="Q30" s="303"/>
      <c r="R30" s="158"/>
    </row>
    <row r="31" spans="1:19">
      <c r="A31" s="19"/>
      <c r="B31" s="15"/>
      <c r="C31" s="15"/>
      <c r="D31" s="28"/>
      <c r="E31" s="30"/>
      <c r="F31" s="349" t="s">
        <v>1583</v>
      </c>
      <c r="G31" s="666">
        <v>500</v>
      </c>
      <c r="H31" s="288" t="s">
        <v>103</v>
      </c>
      <c r="I31" s="1669">
        <v>1345</v>
      </c>
      <c r="J31" s="279">
        <f t="shared" si="0"/>
        <v>672500</v>
      </c>
      <c r="K31" s="305"/>
      <c r="L31" s="399">
        <f t="shared" si="1"/>
        <v>672500</v>
      </c>
      <c r="M31" s="399"/>
      <c r="N31" s="303"/>
      <c r="O31" s="303"/>
      <c r="P31" s="303"/>
      <c r="Q31" s="303"/>
    </row>
    <row r="32" spans="1:19">
      <c r="A32" s="19"/>
      <c r="B32" s="15"/>
      <c r="C32" s="15"/>
      <c r="D32" s="28"/>
      <c r="E32" s="30"/>
      <c r="F32" s="349" t="s">
        <v>1584</v>
      </c>
      <c r="G32" s="666">
        <v>500</v>
      </c>
      <c r="H32" s="288" t="s">
        <v>103</v>
      </c>
      <c r="I32" s="1669">
        <v>2070</v>
      </c>
      <c r="J32" s="279">
        <f t="shared" si="0"/>
        <v>1035000</v>
      </c>
      <c r="K32" s="305"/>
      <c r="L32" s="399">
        <f t="shared" si="1"/>
        <v>1035000</v>
      </c>
      <c r="M32" s="399"/>
      <c r="N32" s="305"/>
      <c r="O32" s="305"/>
      <c r="P32" s="303"/>
      <c r="Q32" s="303"/>
    </row>
    <row r="33" spans="1:17" ht="15">
      <c r="A33" s="19"/>
      <c r="B33" s="15"/>
      <c r="C33" s="15"/>
      <c r="D33" s="28"/>
      <c r="E33" s="30"/>
      <c r="F33" s="349" t="s">
        <v>1585</v>
      </c>
      <c r="G33" s="666">
        <v>1200</v>
      </c>
      <c r="H33" s="288" t="s">
        <v>103</v>
      </c>
      <c r="I33" s="1669">
        <v>2587</v>
      </c>
      <c r="J33" s="279">
        <f t="shared" si="0"/>
        <v>3104400</v>
      </c>
      <c r="K33" s="305"/>
      <c r="L33" s="399">
        <f t="shared" si="1"/>
        <v>3104400</v>
      </c>
      <c r="M33" s="399"/>
      <c r="N33" s="305"/>
      <c r="O33" s="305"/>
      <c r="P33" s="306"/>
      <c r="Q33" s="306"/>
    </row>
    <row r="34" spans="1:17" ht="15">
      <c r="A34" s="19"/>
      <c r="B34" s="15"/>
      <c r="C34" s="15"/>
      <c r="D34" s="28"/>
      <c r="E34" s="30"/>
      <c r="F34" s="349" t="s">
        <v>1586</v>
      </c>
      <c r="G34" s="666">
        <v>1200</v>
      </c>
      <c r="H34" s="288" t="s">
        <v>103</v>
      </c>
      <c r="I34" s="1669">
        <v>2300</v>
      </c>
      <c r="J34" s="279">
        <f t="shared" si="0"/>
        <v>2760000</v>
      </c>
      <c r="K34" s="318"/>
      <c r="L34" s="399">
        <f t="shared" si="1"/>
        <v>2760000</v>
      </c>
      <c r="M34" s="399"/>
      <c r="N34" s="330"/>
      <c r="O34" s="330"/>
      <c r="P34" s="319"/>
      <c r="Q34" s="319"/>
    </row>
    <row r="35" spans="1:17" ht="15">
      <c r="A35" s="19"/>
      <c r="B35" s="15"/>
      <c r="C35" s="15"/>
      <c r="D35" s="28"/>
      <c r="E35" s="30"/>
      <c r="F35" s="169" t="s">
        <v>213</v>
      </c>
      <c r="G35" s="666">
        <v>1500</v>
      </c>
      <c r="H35" s="287" t="s">
        <v>103</v>
      </c>
      <c r="I35" s="1669">
        <v>11500</v>
      </c>
      <c r="J35" s="279">
        <f t="shared" si="0"/>
        <v>17250000</v>
      </c>
      <c r="K35" s="305"/>
      <c r="L35" s="399">
        <f t="shared" si="1"/>
        <v>17250000</v>
      </c>
      <c r="M35" s="399"/>
      <c r="N35" s="309"/>
      <c r="O35" s="309"/>
      <c r="P35" s="306"/>
      <c r="Q35" s="306"/>
    </row>
    <row r="36" spans="1:17" ht="15">
      <c r="A36" s="19"/>
      <c r="B36" s="15"/>
      <c r="C36" s="15"/>
      <c r="D36" s="28"/>
      <c r="E36" s="30"/>
      <c r="F36" s="350" t="s">
        <v>212</v>
      </c>
      <c r="G36" s="1008">
        <v>3500</v>
      </c>
      <c r="H36" s="351" t="s">
        <v>103</v>
      </c>
      <c r="I36" s="1670">
        <v>3000</v>
      </c>
      <c r="J36" s="279">
        <f t="shared" si="0"/>
        <v>10500000</v>
      </c>
      <c r="K36" s="305"/>
      <c r="L36" s="399">
        <f t="shared" si="1"/>
        <v>10500000</v>
      </c>
      <c r="M36" s="399"/>
      <c r="N36" s="306"/>
      <c r="O36" s="306"/>
      <c r="P36" s="309"/>
      <c r="Q36" s="306"/>
    </row>
    <row r="37" spans="1:17" ht="15">
      <c r="A37" s="19"/>
      <c r="B37" s="15"/>
      <c r="C37" s="15"/>
      <c r="D37" s="28"/>
      <c r="E37" s="30"/>
      <c r="F37" s="350" t="s">
        <v>580</v>
      </c>
      <c r="G37" s="1008">
        <v>1500</v>
      </c>
      <c r="H37" s="351" t="s">
        <v>103</v>
      </c>
      <c r="I37" s="1670">
        <v>3000</v>
      </c>
      <c r="J37" s="279">
        <f t="shared" si="0"/>
        <v>4500000</v>
      </c>
      <c r="K37" s="305"/>
      <c r="L37" s="399">
        <f t="shared" si="1"/>
        <v>4500000</v>
      </c>
      <c r="M37" s="399"/>
      <c r="N37" s="305"/>
      <c r="O37" s="305"/>
      <c r="P37" s="306"/>
      <c r="Q37" s="316"/>
    </row>
    <row r="38" spans="1:17" ht="15">
      <c r="A38" s="19"/>
      <c r="B38" s="15"/>
      <c r="C38" s="15"/>
      <c r="D38" s="28"/>
      <c r="E38" s="30"/>
      <c r="F38" s="349" t="s">
        <v>581</v>
      </c>
      <c r="G38" s="666">
        <v>10000</v>
      </c>
      <c r="H38" s="288" t="s">
        <v>103</v>
      </c>
      <c r="I38" s="1669">
        <v>800</v>
      </c>
      <c r="J38" s="279">
        <f t="shared" si="0"/>
        <v>8000000</v>
      </c>
      <c r="K38" s="305"/>
      <c r="L38" s="399">
        <f t="shared" si="1"/>
        <v>8000000</v>
      </c>
      <c r="M38" s="399"/>
      <c r="N38" s="309"/>
      <c r="O38" s="309"/>
      <c r="P38" s="306"/>
      <c r="Q38" s="306"/>
    </row>
    <row r="39" spans="1:17" ht="15">
      <c r="A39" s="19"/>
      <c r="B39" s="15"/>
      <c r="C39" s="15"/>
      <c r="D39" s="28"/>
      <c r="E39" s="30"/>
      <c r="F39" s="349" t="s">
        <v>582</v>
      </c>
      <c r="G39" s="666">
        <v>5000</v>
      </c>
      <c r="H39" s="288" t="s">
        <v>103</v>
      </c>
      <c r="I39" s="1669">
        <v>170</v>
      </c>
      <c r="J39" s="279">
        <f t="shared" si="0"/>
        <v>850000</v>
      </c>
      <c r="K39" s="305"/>
      <c r="L39" s="399">
        <f t="shared" si="1"/>
        <v>850000</v>
      </c>
      <c r="M39" s="399"/>
      <c r="N39" s="312"/>
      <c r="O39" s="312"/>
      <c r="P39" s="306"/>
      <c r="Q39" s="306"/>
    </row>
    <row r="40" spans="1:17" ht="15">
      <c r="A40" s="19"/>
      <c r="B40" s="15"/>
      <c r="C40" s="15"/>
      <c r="D40" s="28"/>
      <c r="E40" s="30"/>
      <c r="F40" s="169" t="s">
        <v>1654</v>
      </c>
      <c r="G40" s="666">
        <v>500</v>
      </c>
      <c r="H40" s="287" t="s">
        <v>103</v>
      </c>
      <c r="I40" s="1669">
        <v>800</v>
      </c>
      <c r="J40" s="279">
        <f t="shared" si="0"/>
        <v>400000</v>
      </c>
      <c r="K40" s="305"/>
      <c r="L40" s="399">
        <f t="shared" si="1"/>
        <v>400000</v>
      </c>
      <c r="M40" s="399"/>
      <c r="N40" s="314"/>
      <c r="O40" s="314"/>
      <c r="P40" s="306"/>
      <c r="Q40" s="306"/>
    </row>
    <row r="41" spans="1:17" ht="15">
      <c r="A41" s="19"/>
      <c r="B41" s="15"/>
      <c r="C41" s="15"/>
      <c r="D41" s="28"/>
      <c r="E41" s="30"/>
      <c r="F41" s="169" t="s">
        <v>1587</v>
      </c>
      <c r="G41" s="666">
        <v>2000</v>
      </c>
      <c r="H41" s="287" t="s">
        <v>103</v>
      </c>
      <c r="I41" s="1669">
        <v>2875</v>
      </c>
      <c r="J41" s="279">
        <f t="shared" si="0"/>
        <v>5750000</v>
      </c>
      <c r="K41" s="305"/>
      <c r="L41" s="399">
        <f t="shared" si="1"/>
        <v>5750000</v>
      </c>
      <c r="M41" s="399"/>
      <c r="N41" s="306"/>
      <c r="O41" s="306"/>
      <c r="P41" s="306"/>
      <c r="Q41" s="306"/>
    </row>
    <row r="42" spans="1:17" ht="15">
      <c r="A42" s="19"/>
      <c r="B42" s="15"/>
      <c r="C42" s="15"/>
      <c r="D42" s="28"/>
      <c r="E42" s="30"/>
      <c r="F42" s="352" t="s">
        <v>583</v>
      </c>
      <c r="G42" s="1008">
        <v>700</v>
      </c>
      <c r="H42" s="351" t="s">
        <v>103</v>
      </c>
      <c r="I42" s="1669">
        <v>700</v>
      </c>
      <c r="J42" s="279">
        <f t="shared" si="0"/>
        <v>490000</v>
      </c>
      <c r="K42" s="305"/>
      <c r="L42" s="399">
        <f t="shared" si="1"/>
        <v>490000</v>
      </c>
      <c r="M42" s="399"/>
      <c r="N42" s="306"/>
      <c r="O42" s="306"/>
      <c r="P42" s="306"/>
      <c r="Q42" s="306"/>
    </row>
    <row r="43" spans="1:17" ht="15">
      <c r="A43" s="19"/>
      <c r="B43" s="15"/>
      <c r="C43" s="15"/>
      <c r="D43" s="28"/>
      <c r="E43" s="30"/>
      <c r="F43" s="352" t="s">
        <v>615</v>
      </c>
      <c r="G43" s="1009">
        <v>600</v>
      </c>
      <c r="H43" s="351" t="s">
        <v>103</v>
      </c>
      <c r="I43" s="1670">
        <v>650</v>
      </c>
      <c r="J43" s="279">
        <f t="shared" si="0"/>
        <v>390000</v>
      </c>
      <c r="K43" s="305"/>
      <c r="L43" s="399">
        <f t="shared" si="1"/>
        <v>390000</v>
      </c>
      <c r="M43" s="399"/>
      <c r="N43" s="306"/>
      <c r="O43" s="306"/>
      <c r="P43" s="306"/>
      <c r="Q43" s="306"/>
    </row>
    <row r="44" spans="1:17" ht="15">
      <c r="A44" s="19"/>
      <c r="B44" s="15"/>
      <c r="C44" s="15"/>
      <c r="D44" s="28"/>
      <c r="E44" s="30"/>
      <c r="F44" s="352" t="s">
        <v>928</v>
      </c>
      <c r="G44" s="1008">
        <v>500</v>
      </c>
      <c r="H44" s="351" t="s">
        <v>103</v>
      </c>
      <c r="I44" s="1670">
        <v>800</v>
      </c>
      <c r="J44" s="279">
        <f t="shared" si="0"/>
        <v>400000</v>
      </c>
      <c r="K44" s="305"/>
      <c r="L44" s="399">
        <f t="shared" si="1"/>
        <v>400000</v>
      </c>
      <c r="M44" s="399"/>
      <c r="N44" s="306"/>
      <c r="O44" s="306"/>
      <c r="P44" s="306"/>
      <c r="Q44" s="306"/>
    </row>
    <row r="45" spans="1:17" ht="15">
      <c r="A45" s="19"/>
      <c r="B45" s="15"/>
      <c r="C45" s="15"/>
      <c r="D45" s="28"/>
      <c r="E45" s="30"/>
      <c r="F45" s="352" t="s">
        <v>310</v>
      </c>
      <c r="G45" s="1008">
        <v>500</v>
      </c>
      <c r="H45" s="351" t="s">
        <v>103</v>
      </c>
      <c r="I45" s="1669">
        <v>400</v>
      </c>
      <c r="J45" s="279">
        <f t="shared" si="0"/>
        <v>200000</v>
      </c>
      <c r="K45" s="305"/>
      <c r="L45" s="399">
        <f t="shared" si="1"/>
        <v>200000</v>
      </c>
      <c r="M45" s="399"/>
      <c r="N45" s="306"/>
      <c r="O45" s="306"/>
      <c r="P45" s="306"/>
      <c r="Q45" s="306"/>
    </row>
    <row r="46" spans="1:17" ht="15">
      <c r="A46" s="19"/>
      <c r="B46" s="15"/>
      <c r="C46" s="15"/>
      <c r="D46" s="28"/>
      <c r="E46" s="30"/>
      <c r="F46" s="1666" t="s">
        <v>1553</v>
      </c>
      <c r="G46" s="1014">
        <v>120000</v>
      </c>
      <c r="H46" s="873" t="s">
        <v>103</v>
      </c>
      <c r="I46" s="874">
        <f>(180*25%)+180</f>
        <v>225</v>
      </c>
      <c r="J46" s="279">
        <f t="shared" si="0"/>
        <v>27000000</v>
      </c>
      <c r="K46" s="305"/>
      <c r="L46" s="399">
        <f t="shared" si="1"/>
        <v>27000000</v>
      </c>
      <c r="M46" s="399"/>
      <c r="N46" s="306"/>
      <c r="O46" s="306"/>
      <c r="P46" s="306"/>
      <c r="Q46" s="306"/>
    </row>
    <row r="47" spans="1:17" ht="15">
      <c r="A47" s="19"/>
      <c r="B47" s="15"/>
      <c r="C47" s="15"/>
      <c r="D47" s="28"/>
      <c r="E47" s="30"/>
      <c r="F47" s="1666" t="s">
        <v>1563</v>
      </c>
      <c r="G47" s="1014">
        <v>50000</v>
      </c>
      <c r="H47" s="873" t="s">
        <v>103</v>
      </c>
      <c r="I47" s="874">
        <v>225</v>
      </c>
      <c r="J47" s="279">
        <f t="shared" si="0"/>
        <v>11250000</v>
      </c>
      <c r="K47" s="305"/>
      <c r="L47" s="399">
        <f t="shared" si="1"/>
        <v>11250000</v>
      </c>
      <c r="M47" s="399"/>
      <c r="N47" s="306"/>
      <c r="O47" s="306"/>
      <c r="P47" s="306"/>
      <c r="Q47" s="306"/>
    </row>
    <row r="48" spans="1:17" ht="15">
      <c r="A48" s="19"/>
      <c r="B48" s="15"/>
      <c r="C48" s="15"/>
      <c r="D48" s="28"/>
      <c r="E48" s="30"/>
      <c r="F48" s="1666" t="s">
        <v>1564</v>
      </c>
      <c r="G48" s="1014">
        <v>50000</v>
      </c>
      <c r="H48" s="873" t="s">
        <v>103</v>
      </c>
      <c r="I48" s="874">
        <v>225</v>
      </c>
      <c r="J48" s="279">
        <f t="shared" si="0"/>
        <v>11250000</v>
      </c>
      <c r="K48" s="305"/>
      <c r="L48" s="399">
        <f t="shared" si="1"/>
        <v>11250000</v>
      </c>
      <c r="M48" s="399"/>
      <c r="N48" s="306"/>
      <c r="O48" s="306"/>
      <c r="P48" s="306"/>
      <c r="Q48" s="306"/>
    </row>
    <row r="49" spans="1:17" ht="15">
      <c r="A49" s="19"/>
      <c r="B49" s="15"/>
      <c r="C49" s="15"/>
      <c r="D49" s="28"/>
      <c r="E49" s="30"/>
      <c r="F49" s="1666" t="s">
        <v>1554</v>
      </c>
      <c r="G49" s="1014">
        <v>1000</v>
      </c>
      <c r="H49" s="873" t="s">
        <v>103</v>
      </c>
      <c r="I49" s="874">
        <v>500</v>
      </c>
      <c r="J49" s="279">
        <f t="shared" si="0"/>
        <v>500000</v>
      </c>
      <c r="K49" s="315"/>
      <c r="L49" s="399">
        <f t="shared" si="1"/>
        <v>500000</v>
      </c>
      <c r="M49" s="399"/>
      <c r="N49" s="306"/>
      <c r="O49" s="306"/>
      <c r="P49" s="306"/>
      <c r="Q49" s="306"/>
    </row>
    <row r="50" spans="1:17" ht="15">
      <c r="A50" s="19"/>
      <c r="B50" s="15"/>
      <c r="C50" s="15"/>
      <c r="D50" s="28"/>
      <c r="E50" s="30"/>
      <c r="F50" s="1666" t="s">
        <v>1565</v>
      </c>
      <c r="G50" s="1014">
        <v>10000</v>
      </c>
      <c r="H50" s="873" t="s">
        <v>103</v>
      </c>
      <c r="I50" s="874">
        <v>225</v>
      </c>
      <c r="J50" s="279">
        <f t="shared" si="0"/>
        <v>2250000</v>
      </c>
      <c r="K50" s="305"/>
      <c r="L50" s="399">
        <f t="shared" si="1"/>
        <v>2250000</v>
      </c>
      <c r="M50" s="399"/>
      <c r="N50" s="306"/>
      <c r="O50" s="306"/>
      <c r="P50" s="306"/>
      <c r="Q50" s="306"/>
    </row>
    <row r="51" spans="1:17" ht="15">
      <c r="A51" s="1659"/>
      <c r="B51" s="1660"/>
      <c r="C51" s="1660"/>
      <c r="D51" s="1661"/>
      <c r="E51" s="1661"/>
      <c r="F51" s="1666" t="s">
        <v>1568</v>
      </c>
      <c r="G51" s="1702">
        <f>50000/100</f>
        <v>500</v>
      </c>
      <c r="H51" s="1703" t="s">
        <v>1664</v>
      </c>
      <c r="I51" s="1704">
        <v>13000</v>
      </c>
      <c r="J51" s="279">
        <f t="shared" ref="J51:J60" si="2">G51*I51</f>
        <v>6500000</v>
      </c>
      <c r="K51" s="1668"/>
      <c r="L51" s="399">
        <f t="shared" ref="L51:L60" si="3">J51</f>
        <v>6500000</v>
      </c>
      <c r="M51" s="1658"/>
      <c r="N51" s="1668"/>
      <c r="O51" s="1668"/>
      <c r="P51" s="1668"/>
      <c r="Q51" s="1668"/>
    </row>
    <row r="52" spans="1:17" ht="15">
      <c r="A52" s="1659"/>
      <c r="B52" s="1660"/>
      <c r="C52" s="1660"/>
      <c r="D52" s="1661"/>
      <c r="E52" s="1661"/>
      <c r="F52" s="1666" t="s">
        <v>1569</v>
      </c>
      <c r="G52" s="1702">
        <f>50000/100</f>
        <v>500</v>
      </c>
      <c r="H52" s="1703" t="s">
        <v>1665</v>
      </c>
      <c r="I52" s="1704">
        <v>13000</v>
      </c>
      <c r="J52" s="279">
        <f t="shared" si="2"/>
        <v>6500000</v>
      </c>
      <c r="K52" s="1668"/>
      <c r="L52" s="399">
        <f t="shared" si="3"/>
        <v>6500000</v>
      </c>
      <c r="M52" s="1658"/>
      <c r="N52" s="1668"/>
      <c r="O52" s="1668"/>
      <c r="P52" s="1668"/>
      <c r="Q52" s="1668"/>
    </row>
    <row r="53" spans="1:17" ht="15">
      <c r="A53" s="1659"/>
      <c r="B53" s="1660"/>
      <c r="C53" s="1660"/>
      <c r="D53" s="1661"/>
      <c r="E53" s="1661"/>
      <c r="F53" s="1666" t="s">
        <v>1566</v>
      </c>
      <c r="G53" s="1702">
        <f>150000/(4*500)</f>
        <v>75</v>
      </c>
      <c r="H53" s="1703" t="s">
        <v>370</v>
      </c>
      <c r="I53" s="1670">
        <v>112000</v>
      </c>
      <c r="J53" s="279">
        <f t="shared" si="2"/>
        <v>8400000</v>
      </c>
      <c r="K53" s="1668"/>
      <c r="L53" s="399">
        <f t="shared" si="3"/>
        <v>8400000</v>
      </c>
      <c r="M53" s="1658"/>
      <c r="N53" s="1668"/>
      <c r="O53" s="1668"/>
      <c r="P53" s="1668"/>
      <c r="Q53" s="1668"/>
    </row>
    <row r="54" spans="1:17" ht="15">
      <c r="A54" s="1659"/>
      <c r="B54" s="1660"/>
      <c r="C54" s="1660"/>
      <c r="D54" s="1661"/>
      <c r="E54" s="1661"/>
      <c r="F54" s="1666" t="s">
        <v>1567</v>
      </c>
      <c r="G54" s="1702">
        <f>50000/(4*500)</f>
        <v>25</v>
      </c>
      <c r="H54" s="1703" t="s">
        <v>370</v>
      </c>
      <c r="I54" s="1670">
        <v>112000</v>
      </c>
      <c r="J54" s="279">
        <f t="shared" si="2"/>
        <v>2800000</v>
      </c>
      <c r="K54" s="1668"/>
      <c r="L54" s="399">
        <f t="shared" si="3"/>
        <v>2800000</v>
      </c>
      <c r="M54" s="1658"/>
      <c r="N54" s="1668"/>
      <c r="O54" s="1668"/>
      <c r="P54" s="1668"/>
      <c r="Q54" s="1668"/>
    </row>
    <row r="55" spans="1:17" ht="15">
      <c r="A55" s="19"/>
      <c r="B55" s="15"/>
      <c r="C55" s="15"/>
      <c r="D55" s="28"/>
      <c r="E55" s="30"/>
      <c r="F55" s="352" t="s">
        <v>1661</v>
      </c>
      <c r="G55" s="1008">
        <v>5</v>
      </c>
      <c r="H55" s="351" t="s">
        <v>370</v>
      </c>
      <c r="I55" s="1670">
        <v>112000</v>
      </c>
      <c r="J55" s="279">
        <f t="shared" si="2"/>
        <v>560000</v>
      </c>
      <c r="K55" s="305"/>
      <c r="L55" s="399">
        <f t="shared" si="3"/>
        <v>560000</v>
      </c>
      <c r="M55" s="399"/>
      <c r="N55" s="306"/>
      <c r="O55" s="306"/>
      <c r="P55" s="306"/>
      <c r="Q55" s="306"/>
    </row>
    <row r="56" spans="1:17" ht="15">
      <c r="A56" s="1659"/>
      <c r="B56" s="1660"/>
      <c r="C56" s="1660"/>
      <c r="D56" s="1661"/>
      <c r="E56" s="1661"/>
      <c r="F56" s="1666" t="s">
        <v>1658</v>
      </c>
      <c r="G56" s="1702">
        <v>10</v>
      </c>
      <c r="H56" s="1703" t="s">
        <v>370</v>
      </c>
      <c r="I56" s="1670">
        <v>112000</v>
      </c>
      <c r="J56" s="279">
        <f t="shared" si="2"/>
        <v>1120000</v>
      </c>
      <c r="K56" s="1668"/>
      <c r="L56" s="399">
        <f t="shared" si="3"/>
        <v>1120000</v>
      </c>
      <c r="M56" s="1658"/>
      <c r="N56" s="1668"/>
      <c r="O56" s="1668"/>
      <c r="P56" s="1668"/>
      <c r="Q56" s="1668"/>
    </row>
    <row r="57" spans="1:17" ht="15">
      <c r="A57" s="1659"/>
      <c r="B57" s="1660"/>
      <c r="C57" s="1660"/>
      <c r="D57" s="1661"/>
      <c r="E57" s="1661"/>
      <c r="F57" s="1666" t="s">
        <v>1659</v>
      </c>
      <c r="G57" s="1702">
        <v>10</v>
      </c>
      <c r="H57" s="1703" t="s">
        <v>370</v>
      </c>
      <c r="I57" s="1670">
        <v>112000</v>
      </c>
      <c r="J57" s="279">
        <f t="shared" si="2"/>
        <v>1120000</v>
      </c>
      <c r="K57" s="1668"/>
      <c r="L57" s="399">
        <f t="shared" si="3"/>
        <v>1120000</v>
      </c>
      <c r="M57" s="1658"/>
      <c r="N57" s="1668"/>
      <c r="O57" s="1668"/>
      <c r="P57" s="1668"/>
      <c r="Q57" s="1668"/>
    </row>
    <row r="58" spans="1:17" ht="15">
      <c r="A58" s="1659"/>
      <c r="B58" s="1660"/>
      <c r="C58" s="1660"/>
      <c r="D58" s="1661"/>
      <c r="E58" s="1661"/>
      <c r="F58" s="1666" t="s">
        <v>1660</v>
      </c>
      <c r="G58" s="1702">
        <v>10</v>
      </c>
      <c r="H58" s="1703" t="s">
        <v>370</v>
      </c>
      <c r="I58" s="1670">
        <v>112000</v>
      </c>
      <c r="J58" s="279">
        <f t="shared" si="2"/>
        <v>1120000</v>
      </c>
      <c r="K58" s="1668"/>
      <c r="L58" s="399">
        <f t="shared" si="3"/>
        <v>1120000</v>
      </c>
      <c r="M58" s="1658"/>
      <c r="N58" s="1668"/>
      <c r="O58" s="1668"/>
      <c r="P58" s="1668"/>
      <c r="Q58" s="1668"/>
    </row>
    <row r="59" spans="1:17" ht="15">
      <c r="A59" s="19"/>
      <c r="B59" s="15"/>
      <c r="C59" s="15"/>
      <c r="D59" s="28"/>
      <c r="E59" s="30"/>
      <c r="F59" s="352" t="s">
        <v>1662</v>
      </c>
      <c r="G59" s="1008">
        <v>3</v>
      </c>
      <c r="H59" s="351" t="s">
        <v>370</v>
      </c>
      <c r="I59" s="1671">
        <v>112000</v>
      </c>
      <c r="J59" s="279">
        <f t="shared" si="2"/>
        <v>336000</v>
      </c>
      <c r="K59" s="305"/>
      <c r="L59" s="399">
        <f t="shared" si="3"/>
        <v>336000</v>
      </c>
      <c r="M59" s="399"/>
      <c r="N59" s="306"/>
      <c r="O59" s="306"/>
      <c r="P59" s="306"/>
      <c r="Q59" s="306"/>
    </row>
    <row r="60" spans="1:17" ht="15">
      <c r="A60" s="19"/>
      <c r="B60" s="15"/>
      <c r="C60" s="15"/>
      <c r="D60" s="28"/>
      <c r="E60" s="30"/>
      <c r="F60" s="352" t="s">
        <v>1663</v>
      </c>
      <c r="G60" s="1008">
        <v>5</v>
      </c>
      <c r="H60" s="351" t="s">
        <v>370</v>
      </c>
      <c r="I60" s="1670">
        <v>112000</v>
      </c>
      <c r="J60" s="279">
        <f t="shared" si="2"/>
        <v>560000</v>
      </c>
      <c r="K60" s="305"/>
      <c r="L60" s="399">
        <f t="shared" si="3"/>
        <v>560000</v>
      </c>
      <c r="M60" s="399"/>
      <c r="N60" s="306"/>
      <c r="O60" s="306"/>
      <c r="P60" s="306"/>
      <c r="Q60" s="306"/>
    </row>
    <row r="61" spans="1:17" ht="15">
      <c r="A61" s="19"/>
      <c r="B61" s="15"/>
      <c r="C61" s="15"/>
      <c r="D61" s="28"/>
      <c r="E61" s="30"/>
      <c r="F61" s="352" t="s">
        <v>929</v>
      </c>
      <c r="G61" s="1008">
        <v>1</v>
      </c>
      <c r="H61" s="351" t="s">
        <v>370</v>
      </c>
      <c r="I61" s="1670">
        <v>112000</v>
      </c>
      <c r="J61" s="279">
        <f t="shared" si="0"/>
        <v>112000</v>
      </c>
      <c r="K61" s="305"/>
      <c r="L61" s="399">
        <f t="shared" si="1"/>
        <v>112000</v>
      </c>
      <c r="M61" s="399"/>
      <c r="N61" s="306"/>
      <c r="O61" s="306"/>
      <c r="P61" s="306"/>
      <c r="Q61" s="306"/>
    </row>
    <row r="62" spans="1:17" ht="15">
      <c r="A62" s="19"/>
      <c r="B62" s="15"/>
      <c r="C62" s="15"/>
      <c r="D62" s="28"/>
      <c r="E62" s="30"/>
      <c r="F62" s="352" t="s">
        <v>930</v>
      </c>
      <c r="G62" s="1008">
        <v>10</v>
      </c>
      <c r="H62" s="351" t="s">
        <v>370</v>
      </c>
      <c r="I62" s="1670">
        <v>112000</v>
      </c>
      <c r="J62" s="279">
        <f t="shared" si="0"/>
        <v>1120000</v>
      </c>
      <c r="K62" s="305"/>
      <c r="L62" s="399">
        <f t="shared" si="1"/>
        <v>1120000</v>
      </c>
      <c r="M62" s="399"/>
      <c r="N62" s="306"/>
      <c r="O62" s="306"/>
      <c r="P62" s="306"/>
      <c r="Q62" s="306"/>
    </row>
    <row r="63" spans="1:17" ht="15">
      <c r="A63" s="19"/>
      <c r="B63" s="15"/>
      <c r="C63" s="15"/>
      <c r="D63" s="28"/>
      <c r="E63" s="30"/>
      <c r="F63" s="352" t="s">
        <v>950</v>
      </c>
      <c r="G63" s="1008">
        <v>3</v>
      </c>
      <c r="H63" s="351" t="s">
        <v>370</v>
      </c>
      <c r="I63" s="1670">
        <v>112000</v>
      </c>
      <c r="J63" s="279">
        <f t="shared" si="0"/>
        <v>336000</v>
      </c>
      <c r="K63" s="305"/>
      <c r="L63" s="399">
        <f t="shared" si="1"/>
        <v>336000</v>
      </c>
      <c r="M63" s="399"/>
      <c r="N63" s="306"/>
      <c r="O63" s="306"/>
      <c r="P63" s="306"/>
      <c r="Q63" s="306"/>
    </row>
    <row r="64" spans="1:17" ht="15">
      <c r="A64" s="19"/>
      <c r="B64" s="15"/>
      <c r="C64" s="15"/>
      <c r="D64" s="28"/>
      <c r="E64" s="30"/>
      <c r="F64" s="352" t="s">
        <v>931</v>
      </c>
      <c r="G64" s="1008">
        <v>7</v>
      </c>
      <c r="H64" s="351" t="s">
        <v>370</v>
      </c>
      <c r="I64" s="1670">
        <v>112000</v>
      </c>
      <c r="J64" s="279">
        <f t="shared" si="0"/>
        <v>784000</v>
      </c>
      <c r="K64" s="305"/>
      <c r="L64" s="399">
        <f t="shared" si="1"/>
        <v>784000</v>
      </c>
      <c r="M64" s="399"/>
      <c r="N64" s="306"/>
      <c r="O64" s="306"/>
      <c r="P64" s="306"/>
      <c r="Q64" s="306"/>
    </row>
    <row r="65" spans="1:17" ht="15">
      <c r="A65" s="19"/>
      <c r="B65" s="15"/>
      <c r="C65" s="15"/>
      <c r="D65" s="28"/>
      <c r="E65" s="30"/>
      <c r="F65" s="352" t="s">
        <v>951</v>
      </c>
      <c r="G65" s="1008">
        <v>1</v>
      </c>
      <c r="H65" s="351" t="s">
        <v>370</v>
      </c>
      <c r="I65" s="1670">
        <v>112000</v>
      </c>
      <c r="J65" s="279">
        <f t="shared" si="0"/>
        <v>112000</v>
      </c>
      <c r="K65" s="305"/>
      <c r="L65" s="399">
        <f t="shared" si="1"/>
        <v>112000</v>
      </c>
      <c r="M65" s="399"/>
      <c r="N65" s="306"/>
      <c r="O65" s="306"/>
      <c r="P65" s="306"/>
      <c r="Q65" s="306"/>
    </row>
    <row r="66" spans="1:17" ht="15">
      <c r="A66" s="19"/>
      <c r="B66" s="15"/>
      <c r="C66" s="15"/>
      <c r="D66" s="28"/>
      <c r="E66" s="30"/>
      <c r="F66" s="352" t="s">
        <v>833</v>
      </c>
      <c r="G66" s="1008">
        <v>3</v>
      </c>
      <c r="H66" s="351" t="s">
        <v>370</v>
      </c>
      <c r="I66" s="1670">
        <v>112000</v>
      </c>
      <c r="J66" s="279">
        <f t="shared" si="0"/>
        <v>336000</v>
      </c>
      <c r="K66" s="305"/>
      <c r="L66" s="399">
        <f t="shared" si="1"/>
        <v>336000</v>
      </c>
      <c r="M66" s="399"/>
      <c r="N66" s="306"/>
      <c r="O66" s="306"/>
      <c r="P66" s="306"/>
      <c r="Q66" s="306"/>
    </row>
    <row r="67" spans="1:17" ht="15">
      <c r="A67" s="19"/>
      <c r="B67" s="15"/>
      <c r="C67" s="15"/>
      <c r="D67" s="28"/>
      <c r="E67" s="30"/>
      <c r="F67" s="349" t="s">
        <v>834</v>
      </c>
      <c r="G67" s="666">
        <v>5</v>
      </c>
      <c r="H67" s="288" t="s">
        <v>370</v>
      </c>
      <c r="I67" s="1670">
        <v>112000</v>
      </c>
      <c r="J67" s="279">
        <f t="shared" si="0"/>
        <v>560000</v>
      </c>
      <c r="K67" s="305"/>
      <c r="L67" s="399">
        <f t="shared" si="1"/>
        <v>560000</v>
      </c>
      <c r="M67" s="399"/>
      <c r="N67" s="306"/>
      <c r="O67" s="306"/>
      <c r="P67" s="306"/>
      <c r="Q67" s="306"/>
    </row>
    <row r="68" spans="1:17" ht="15">
      <c r="A68" s="19"/>
      <c r="B68" s="15"/>
      <c r="C68" s="15"/>
      <c r="D68" s="28"/>
      <c r="E68" s="30"/>
      <c r="F68" s="169" t="s">
        <v>835</v>
      </c>
      <c r="G68" s="666">
        <v>2</v>
      </c>
      <c r="H68" s="287" t="s">
        <v>370</v>
      </c>
      <c r="I68" s="1669">
        <v>112000</v>
      </c>
      <c r="J68" s="279">
        <f t="shared" si="0"/>
        <v>224000</v>
      </c>
      <c r="K68" s="305"/>
      <c r="L68" s="399">
        <f t="shared" si="1"/>
        <v>224000</v>
      </c>
      <c r="M68" s="399"/>
      <c r="N68" s="306"/>
      <c r="O68" s="306"/>
      <c r="P68" s="306"/>
      <c r="Q68" s="306"/>
    </row>
    <row r="69" spans="1:17" ht="15">
      <c r="A69" s="19"/>
      <c r="B69" s="15"/>
      <c r="C69" s="15"/>
      <c r="D69" s="28"/>
      <c r="E69" s="30"/>
      <c r="F69" s="169" t="s">
        <v>836</v>
      </c>
      <c r="G69" s="666">
        <v>3</v>
      </c>
      <c r="H69" s="287" t="s">
        <v>370</v>
      </c>
      <c r="I69" s="1669">
        <v>112000</v>
      </c>
      <c r="J69" s="279">
        <f t="shared" si="0"/>
        <v>336000</v>
      </c>
      <c r="K69" s="305"/>
      <c r="L69" s="399">
        <f t="shared" si="1"/>
        <v>336000</v>
      </c>
      <c r="M69" s="399"/>
      <c r="N69" s="306"/>
      <c r="O69" s="306"/>
      <c r="P69" s="306"/>
      <c r="Q69" s="306"/>
    </row>
    <row r="70" spans="1:17" ht="15">
      <c r="A70" s="19"/>
      <c r="B70" s="15"/>
      <c r="C70" s="15"/>
      <c r="D70" s="28"/>
      <c r="E70" s="30"/>
      <c r="F70" s="169" t="s">
        <v>952</v>
      </c>
      <c r="G70" s="666">
        <v>3</v>
      </c>
      <c r="H70" s="287" t="s">
        <v>370</v>
      </c>
      <c r="I70" s="1669">
        <v>112000</v>
      </c>
      <c r="J70" s="279">
        <f t="shared" si="0"/>
        <v>336000</v>
      </c>
      <c r="K70" s="305"/>
      <c r="L70" s="399">
        <f t="shared" si="1"/>
        <v>336000</v>
      </c>
      <c r="M70" s="399"/>
      <c r="N70" s="306"/>
      <c r="O70" s="306"/>
      <c r="P70" s="306"/>
      <c r="Q70" s="306"/>
    </row>
    <row r="71" spans="1:17" ht="15">
      <c r="A71" s="19"/>
      <c r="B71" s="15"/>
      <c r="C71" s="15"/>
      <c r="D71" s="28"/>
      <c r="E71" s="30"/>
      <c r="F71" s="169" t="s">
        <v>837</v>
      </c>
      <c r="G71" s="666">
        <v>2</v>
      </c>
      <c r="H71" s="287" t="s">
        <v>370</v>
      </c>
      <c r="I71" s="1669">
        <v>112000</v>
      </c>
      <c r="J71" s="279">
        <f t="shared" si="0"/>
        <v>224000</v>
      </c>
      <c r="K71" s="305"/>
      <c r="L71" s="399">
        <f t="shared" si="1"/>
        <v>224000</v>
      </c>
      <c r="M71" s="399"/>
      <c r="N71" s="306"/>
      <c r="O71" s="306"/>
      <c r="P71" s="306"/>
      <c r="Q71" s="306"/>
    </row>
    <row r="72" spans="1:17" ht="15">
      <c r="A72" s="19"/>
      <c r="B72" s="15"/>
      <c r="C72" s="15"/>
      <c r="D72" s="28"/>
      <c r="E72" s="30"/>
      <c r="F72" s="169" t="s">
        <v>1588</v>
      </c>
      <c r="G72" s="666">
        <v>2</v>
      </c>
      <c r="H72" s="288" t="s">
        <v>370</v>
      </c>
      <c r="I72" s="1669">
        <v>112000</v>
      </c>
      <c r="J72" s="279">
        <f t="shared" si="0"/>
        <v>224000</v>
      </c>
      <c r="K72" s="305"/>
      <c r="L72" s="399">
        <f t="shared" si="1"/>
        <v>224000</v>
      </c>
      <c r="M72" s="399"/>
      <c r="N72" s="306"/>
      <c r="O72" s="306"/>
      <c r="P72" s="306"/>
      <c r="Q72" s="306"/>
    </row>
    <row r="73" spans="1:17" ht="15">
      <c r="A73" s="19"/>
      <c r="B73" s="15"/>
      <c r="C73" s="15"/>
      <c r="D73" s="28"/>
      <c r="E73" s="30"/>
      <c r="F73" s="169" t="s">
        <v>371</v>
      </c>
      <c r="G73" s="666">
        <v>2</v>
      </c>
      <c r="H73" s="288" t="s">
        <v>370</v>
      </c>
      <c r="I73" s="1669">
        <v>112000</v>
      </c>
      <c r="J73" s="279">
        <f t="shared" si="0"/>
        <v>224000</v>
      </c>
      <c r="K73" s="305"/>
      <c r="L73" s="399">
        <f t="shared" si="1"/>
        <v>224000</v>
      </c>
      <c r="M73" s="399"/>
      <c r="N73" s="306"/>
      <c r="O73" s="306"/>
      <c r="P73" s="306"/>
      <c r="Q73" s="306"/>
    </row>
    <row r="74" spans="1:17" ht="15">
      <c r="A74" s="19"/>
      <c r="B74" s="15"/>
      <c r="C74" s="15"/>
      <c r="D74" s="28"/>
      <c r="E74" s="30"/>
      <c r="F74" s="289" t="s">
        <v>294</v>
      </c>
      <c r="G74" s="1010">
        <v>4</v>
      </c>
      <c r="H74" s="290" t="s">
        <v>370</v>
      </c>
      <c r="I74" s="1672">
        <v>112000</v>
      </c>
      <c r="J74" s="279">
        <f t="shared" si="0"/>
        <v>448000</v>
      </c>
      <c r="K74" s="305"/>
      <c r="L74" s="399">
        <f t="shared" si="1"/>
        <v>448000</v>
      </c>
      <c r="M74" s="399"/>
      <c r="N74" s="306"/>
      <c r="O74" s="306"/>
      <c r="P74" s="306"/>
      <c r="Q74" s="306"/>
    </row>
    <row r="75" spans="1:17" ht="15">
      <c r="A75" s="19"/>
      <c r="B75" s="15"/>
      <c r="C75" s="15"/>
      <c r="D75" s="28"/>
      <c r="E75" s="30"/>
      <c r="F75" s="169" t="s">
        <v>953</v>
      </c>
      <c r="G75" s="666">
        <v>6</v>
      </c>
      <c r="H75" s="288" t="s">
        <v>370</v>
      </c>
      <c r="I75" s="1669">
        <v>112000</v>
      </c>
      <c r="J75" s="279">
        <f t="shared" si="0"/>
        <v>672000</v>
      </c>
      <c r="K75" s="305"/>
      <c r="L75" s="399">
        <f t="shared" si="1"/>
        <v>672000</v>
      </c>
      <c r="M75" s="399"/>
      <c r="N75" s="306"/>
      <c r="O75" s="306"/>
      <c r="P75" s="306"/>
      <c r="Q75" s="306"/>
    </row>
    <row r="76" spans="1:17" ht="15">
      <c r="A76" s="19"/>
      <c r="B76" s="15"/>
      <c r="C76" s="15"/>
      <c r="D76" s="28"/>
      <c r="E76" s="30"/>
      <c r="F76" s="169" t="s">
        <v>1589</v>
      </c>
      <c r="G76" s="666">
        <v>25</v>
      </c>
      <c r="H76" s="288" t="s">
        <v>370</v>
      </c>
      <c r="I76" s="1669">
        <v>112000</v>
      </c>
      <c r="J76" s="279">
        <f t="shared" si="0"/>
        <v>2800000</v>
      </c>
      <c r="K76" s="305"/>
      <c r="L76" s="399">
        <f t="shared" si="1"/>
        <v>2800000</v>
      </c>
      <c r="M76" s="399"/>
      <c r="N76" s="306"/>
      <c r="O76" s="306"/>
      <c r="P76" s="306"/>
      <c r="Q76" s="306"/>
    </row>
    <row r="77" spans="1:17" ht="15">
      <c r="A77" s="19"/>
      <c r="B77" s="15"/>
      <c r="C77" s="15"/>
      <c r="D77" s="28"/>
      <c r="E77" s="30"/>
      <c r="F77" s="169" t="s">
        <v>297</v>
      </c>
      <c r="G77" s="666">
        <v>50</v>
      </c>
      <c r="H77" s="288" t="s">
        <v>370</v>
      </c>
      <c r="I77" s="1669">
        <v>112000</v>
      </c>
      <c r="J77" s="279">
        <f t="shared" si="0"/>
        <v>5600000</v>
      </c>
      <c r="K77" s="305"/>
      <c r="L77" s="399">
        <f t="shared" si="1"/>
        <v>5600000</v>
      </c>
      <c r="M77" s="399"/>
      <c r="N77" s="306"/>
      <c r="O77" s="306"/>
      <c r="P77" s="306"/>
      <c r="Q77" s="306"/>
    </row>
    <row r="78" spans="1:17" ht="15">
      <c r="A78" s="19"/>
      <c r="B78" s="15"/>
      <c r="C78" s="15"/>
      <c r="D78" s="28"/>
      <c r="E78" s="30"/>
      <c r="F78" s="169" t="s">
        <v>932</v>
      </c>
      <c r="G78" s="666">
        <v>20</v>
      </c>
      <c r="H78" s="288" t="s">
        <v>370</v>
      </c>
      <c r="I78" s="1669">
        <v>112000</v>
      </c>
      <c r="J78" s="279">
        <f t="shared" si="0"/>
        <v>2240000</v>
      </c>
      <c r="K78" s="305"/>
      <c r="L78" s="399">
        <f t="shared" si="1"/>
        <v>2240000</v>
      </c>
      <c r="M78" s="399"/>
      <c r="N78" s="306"/>
      <c r="O78" s="306"/>
      <c r="P78" s="306"/>
      <c r="Q78" s="306"/>
    </row>
    <row r="79" spans="1:17" ht="15">
      <c r="A79" s="19"/>
      <c r="B79" s="15"/>
      <c r="C79" s="15"/>
      <c r="D79" s="28"/>
      <c r="E79" s="30"/>
      <c r="F79" s="169" t="s">
        <v>298</v>
      </c>
      <c r="G79" s="666">
        <v>2</v>
      </c>
      <c r="H79" s="288" t="s">
        <v>370</v>
      </c>
      <c r="I79" s="1669">
        <v>112000</v>
      </c>
      <c r="J79" s="279">
        <f t="shared" si="0"/>
        <v>224000</v>
      </c>
      <c r="K79" s="305"/>
      <c r="L79" s="399">
        <f t="shared" si="1"/>
        <v>224000</v>
      </c>
      <c r="M79" s="399"/>
      <c r="N79" s="306"/>
      <c r="O79" s="306"/>
      <c r="P79" s="306"/>
      <c r="Q79" s="306"/>
    </row>
    <row r="80" spans="1:17" ht="15">
      <c r="A80" s="19"/>
      <c r="B80" s="15"/>
      <c r="C80" s="15"/>
      <c r="D80" s="28"/>
      <c r="E80" s="30"/>
      <c r="F80" s="1709" t="s">
        <v>296</v>
      </c>
      <c r="G80" s="1011">
        <v>1</v>
      </c>
      <c r="H80" s="288" t="s">
        <v>370</v>
      </c>
      <c r="I80" s="1669">
        <v>112000</v>
      </c>
      <c r="J80" s="279">
        <f t="shared" si="0"/>
        <v>112000</v>
      </c>
      <c r="K80" s="305"/>
      <c r="L80" s="399">
        <f t="shared" si="1"/>
        <v>112000</v>
      </c>
      <c r="M80" s="399"/>
      <c r="N80" s="306"/>
      <c r="O80" s="306"/>
      <c r="P80" s="306"/>
      <c r="Q80" s="306"/>
    </row>
    <row r="81" spans="1:17" ht="15">
      <c r="A81" s="19"/>
      <c r="B81" s="15"/>
      <c r="C81" s="15"/>
      <c r="D81" s="28"/>
      <c r="E81" s="30"/>
      <c r="F81" s="349" t="s">
        <v>205</v>
      </c>
      <c r="G81" s="666">
        <v>5</v>
      </c>
      <c r="H81" s="288" t="s">
        <v>370</v>
      </c>
      <c r="I81" s="1669">
        <v>112000</v>
      </c>
      <c r="J81" s="279">
        <f t="shared" si="0"/>
        <v>560000</v>
      </c>
      <c r="K81" s="305"/>
      <c r="L81" s="399">
        <f t="shared" si="1"/>
        <v>560000</v>
      </c>
      <c r="M81" s="399"/>
      <c r="N81" s="306"/>
      <c r="O81" s="306"/>
      <c r="P81" s="306"/>
      <c r="Q81" s="306"/>
    </row>
    <row r="82" spans="1:17" ht="15">
      <c r="A82" s="51"/>
      <c r="B82" s="52"/>
      <c r="C82" s="52"/>
      <c r="D82" s="53"/>
      <c r="E82" s="30"/>
      <c r="F82" s="349" t="s">
        <v>584</v>
      </c>
      <c r="G82" s="666">
        <v>3</v>
      </c>
      <c r="H82" s="288" t="s">
        <v>370</v>
      </c>
      <c r="I82" s="1669">
        <v>112000</v>
      </c>
      <c r="J82" s="279">
        <f t="shared" si="0"/>
        <v>336000</v>
      </c>
      <c r="K82" s="305"/>
      <c r="L82" s="399">
        <f t="shared" si="1"/>
        <v>336000</v>
      </c>
      <c r="M82" s="399"/>
      <c r="N82" s="306"/>
      <c r="O82" s="306"/>
      <c r="P82" s="306"/>
      <c r="Q82" s="306"/>
    </row>
    <row r="83" spans="1:17" ht="15">
      <c r="A83" s="22"/>
      <c r="B83" s="23"/>
      <c r="C83" s="23"/>
      <c r="D83" s="24"/>
      <c r="E83" s="30"/>
      <c r="F83" s="349" t="s">
        <v>838</v>
      </c>
      <c r="G83" s="1008">
        <v>5</v>
      </c>
      <c r="H83" s="351" t="s">
        <v>370</v>
      </c>
      <c r="I83" s="1670">
        <v>120000</v>
      </c>
      <c r="J83" s="279">
        <f t="shared" si="0"/>
        <v>600000</v>
      </c>
      <c r="K83" s="305"/>
      <c r="L83" s="399">
        <f t="shared" si="1"/>
        <v>600000</v>
      </c>
      <c r="M83" s="399"/>
      <c r="N83" s="306"/>
      <c r="O83" s="306"/>
      <c r="P83" s="306"/>
      <c r="Q83" s="306"/>
    </row>
    <row r="84" spans="1:17" ht="15">
      <c r="A84" s="66"/>
      <c r="B84" s="20"/>
      <c r="C84" s="20"/>
      <c r="D84" s="67"/>
      <c r="E84" s="30"/>
      <c r="F84" s="349" t="s">
        <v>305</v>
      </c>
      <c r="G84" s="666">
        <v>1</v>
      </c>
      <c r="H84" s="288" t="s">
        <v>370</v>
      </c>
      <c r="I84" s="1669">
        <v>120000</v>
      </c>
      <c r="J84" s="279">
        <f t="shared" si="0"/>
        <v>120000</v>
      </c>
      <c r="K84" s="305"/>
      <c r="L84" s="399">
        <f t="shared" si="1"/>
        <v>120000</v>
      </c>
      <c r="M84" s="399"/>
      <c r="N84" s="306"/>
      <c r="O84" s="306"/>
      <c r="P84" s="306"/>
      <c r="Q84" s="306"/>
    </row>
    <row r="85" spans="1:17" ht="15">
      <c r="A85" s="66"/>
      <c r="B85" s="20"/>
      <c r="C85" s="20"/>
      <c r="D85" s="67"/>
      <c r="E85" s="30"/>
      <c r="F85" s="349" t="s">
        <v>306</v>
      </c>
      <c r="G85" s="666">
        <v>1</v>
      </c>
      <c r="H85" s="288" t="s">
        <v>370</v>
      </c>
      <c r="I85" s="1669">
        <v>112000</v>
      </c>
      <c r="J85" s="279">
        <f t="shared" si="0"/>
        <v>112000</v>
      </c>
      <c r="K85" s="305"/>
      <c r="L85" s="399">
        <f t="shared" si="1"/>
        <v>112000</v>
      </c>
      <c r="M85" s="399"/>
      <c r="N85" s="306"/>
      <c r="O85" s="306"/>
      <c r="P85" s="306"/>
      <c r="Q85" s="306"/>
    </row>
    <row r="86" spans="1:17" ht="15">
      <c r="A86" s="66"/>
      <c r="B86" s="20"/>
      <c r="C86" s="20"/>
      <c r="D86" s="67"/>
      <c r="E86" s="30"/>
      <c r="F86" s="349" t="s">
        <v>304</v>
      </c>
      <c r="G86" s="666">
        <v>3</v>
      </c>
      <c r="H86" s="288" t="s">
        <v>370</v>
      </c>
      <c r="I86" s="1669">
        <v>112000</v>
      </c>
      <c r="J86" s="279">
        <f t="shared" si="0"/>
        <v>336000</v>
      </c>
      <c r="K86" s="305"/>
      <c r="L86" s="399">
        <f t="shared" si="1"/>
        <v>336000</v>
      </c>
      <c r="M86" s="399"/>
      <c r="N86" s="306"/>
      <c r="O86" s="306"/>
      <c r="P86" s="306"/>
      <c r="Q86" s="306"/>
    </row>
    <row r="87" spans="1:17" ht="15">
      <c r="A87" s="19"/>
      <c r="B87" s="98"/>
      <c r="C87" s="98"/>
      <c r="D87" s="104"/>
      <c r="E87" s="30"/>
      <c r="F87" s="349" t="s">
        <v>207</v>
      </c>
      <c r="G87" s="666">
        <v>1</v>
      </c>
      <c r="H87" s="288" t="s">
        <v>370</v>
      </c>
      <c r="I87" s="1669">
        <v>120000</v>
      </c>
      <c r="J87" s="279">
        <f t="shared" si="0"/>
        <v>120000</v>
      </c>
      <c r="K87" s="305"/>
      <c r="L87" s="399">
        <f t="shared" si="1"/>
        <v>120000</v>
      </c>
      <c r="M87" s="399"/>
      <c r="N87" s="306"/>
      <c r="O87" s="306"/>
      <c r="P87" s="306"/>
      <c r="Q87" s="306"/>
    </row>
    <row r="88" spans="1:17" ht="15">
      <c r="A88" s="29"/>
      <c r="B88" s="4"/>
      <c r="C88" s="4"/>
      <c r="D88" s="30"/>
      <c r="E88" s="30"/>
      <c r="F88" s="349" t="s">
        <v>585</v>
      </c>
      <c r="G88" s="666">
        <v>2</v>
      </c>
      <c r="H88" s="288" t="s">
        <v>370</v>
      </c>
      <c r="I88" s="1670">
        <v>112000</v>
      </c>
      <c r="J88" s="279">
        <f t="shared" si="0"/>
        <v>224000</v>
      </c>
      <c r="K88" s="305"/>
      <c r="L88" s="399">
        <f t="shared" si="1"/>
        <v>224000</v>
      </c>
      <c r="M88" s="399"/>
      <c r="N88" s="306"/>
      <c r="O88" s="306"/>
      <c r="P88" s="306"/>
      <c r="Q88" s="306"/>
    </row>
    <row r="89" spans="1:17" ht="15">
      <c r="A89" s="29"/>
      <c r="B89" s="59"/>
      <c r="C89" s="59"/>
      <c r="D89" s="60"/>
      <c r="E89" s="30"/>
      <c r="F89" s="349" t="s">
        <v>208</v>
      </c>
      <c r="G89" s="666">
        <v>1</v>
      </c>
      <c r="H89" s="288" t="s">
        <v>370</v>
      </c>
      <c r="I89" s="1673">
        <v>112000</v>
      </c>
      <c r="J89" s="279">
        <f t="shared" si="0"/>
        <v>112000</v>
      </c>
      <c r="K89" s="305"/>
      <c r="L89" s="399">
        <f t="shared" si="1"/>
        <v>112000</v>
      </c>
      <c r="M89" s="399"/>
      <c r="N89" s="306"/>
      <c r="O89" s="306"/>
      <c r="P89" s="306"/>
      <c r="Q89" s="306"/>
    </row>
    <row r="90" spans="1:17" ht="15">
      <c r="A90" s="29"/>
      <c r="B90" s="59"/>
      <c r="C90" s="59"/>
      <c r="D90" s="60"/>
      <c r="E90" s="30"/>
      <c r="F90" s="169" t="s">
        <v>303</v>
      </c>
      <c r="G90" s="666">
        <v>2</v>
      </c>
      <c r="H90" s="288" t="s">
        <v>370</v>
      </c>
      <c r="I90" s="1673">
        <v>112000</v>
      </c>
      <c r="J90" s="279">
        <f t="shared" si="0"/>
        <v>224000</v>
      </c>
      <c r="K90" s="305"/>
      <c r="L90" s="399">
        <f t="shared" si="1"/>
        <v>224000</v>
      </c>
      <c r="M90" s="399"/>
      <c r="N90" s="306"/>
      <c r="O90" s="306"/>
      <c r="P90" s="306"/>
      <c r="Q90" s="306"/>
    </row>
    <row r="91" spans="1:17" ht="15">
      <c r="A91" s="29"/>
      <c r="B91" s="59"/>
      <c r="C91" s="59"/>
      <c r="D91" s="60"/>
      <c r="E91" s="30"/>
      <c r="F91" s="1709" t="s">
        <v>586</v>
      </c>
      <c r="G91" s="1011">
        <v>1</v>
      </c>
      <c r="H91" s="288" t="s">
        <v>370</v>
      </c>
      <c r="I91" s="1669">
        <v>112000</v>
      </c>
      <c r="J91" s="279">
        <f t="shared" si="0"/>
        <v>112000</v>
      </c>
      <c r="K91" s="305"/>
      <c r="L91" s="399">
        <f t="shared" si="1"/>
        <v>112000</v>
      </c>
      <c r="M91" s="399"/>
      <c r="N91" s="306"/>
      <c r="O91" s="306"/>
      <c r="P91" s="306"/>
      <c r="Q91" s="306"/>
    </row>
    <row r="92" spans="1:17" ht="15">
      <c r="A92" s="29"/>
      <c r="B92" s="59"/>
      <c r="C92" s="59"/>
      <c r="D92" s="60"/>
      <c r="E92" s="30"/>
      <c r="F92" s="349" t="s">
        <v>295</v>
      </c>
      <c r="G92" s="666">
        <v>2</v>
      </c>
      <c r="H92" s="288" t="s">
        <v>370</v>
      </c>
      <c r="I92" s="1669">
        <v>112000</v>
      </c>
      <c r="J92" s="279">
        <f t="shared" si="0"/>
        <v>224000</v>
      </c>
      <c r="K92" s="305"/>
      <c r="L92" s="399">
        <f t="shared" si="1"/>
        <v>224000</v>
      </c>
      <c r="M92" s="399"/>
      <c r="N92" s="306"/>
      <c r="O92" s="306"/>
      <c r="P92" s="306"/>
      <c r="Q92" s="306"/>
    </row>
    <row r="93" spans="1:17" ht="15">
      <c r="A93" s="29"/>
      <c r="B93" s="4"/>
      <c r="C93" s="4"/>
      <c r="D93" s="30"/>
      <c r="E93" s="30"/>
      <c r="F93" s="349" t="s">
        <v>308</v>
      </c>
      <c r="G93" s="666">
        <v>2</v>
      </c>
      <c r="H93" s="288" t="s">
        <v>370</v>
      </c>
      <c r="I93" s="1669">
        <v>112000</v>
      </c>
      <c r="J93" s="279">
        <f t="shared" si="0"/>
        <v>224000</v>
      </c>
      <c r="K93" s="305"/>
      <c r="L93" s="399">
        <f t="shared" si="1"/>
        <v>224000</v>
      </c>
      <c r="M93" s="399"/>
      <c r="N93" s="306"/>
      <c r="O93" s="306"/>
      <c r="P93" s="306"/>
      <c r="Q93" s="306"/>
    </row>
    <row r="94" spans="1:17" ht="24.75">
      <c r="A94" s="29"/>
      <c r="B94" s="4"/>
      <c r="C94" s="4"/>
      <c r="D94" s="30"/>
      <c r="E94" s="30"/>
      <c r="F94" s="349" t="s">
        <v>1655</v>
      </c>
      <c r="G94" s="666">
        <v>5</v>
      </c>
      <c r="H94" s="288" t="s">
        <v>370</v>
      </c>
      <c r="I94" s="1669">
        <v>112000</v>
      </c>
      <c r="J94" s="279">
        <f t="shared" si="0"/>
        <v>560000</v>
      </c>
      <c r="K94" s="305"/>
      <c r="L94" s="399">
        <f t="shared" si="1"/>
        <v>560000</v>
      </c>
      <c r="M94" s="399"/>
      <c r="N94" s="306"/>
      <c r="O94" s="306"/>
      <c r="P94" s="306"/>
      <c r="Q94" s="306"/>
    </row>
    <row r="95" spans="1:17" ht="24.75">
      <c r="A95" s="29"/>
      <c r="B95" s="4"/>
      <c r="C95" s="4"/>
      <c r="D95" s="30"/>
      <c r="E95" s="30"/>
      <c r="F95" s="169" t="s">
        <v>1653</v>
      </c>
      <c r="G95" s="666">
        <v>5</v>
      </c>
      <c r="H95" s="288" t="s">
        <v>370</v>
      </c>
      <c r="I95" s="1669">
        <v>112000</v>
      </c>
      <c r="J95" s="279">
        <f t="shared" si="0"/>
        <v>560000</v>
      </c>
      <c r="K95" s="305"/>
      <c r="L95" s="399">
        <f t="shared" si="1"/>
        <v>560000</v>
      </c>
      <c r="M95" s="399"/>
      <c r="N95" s="306"/>
      <c r="O95" s="306"/>
      <c r="P95" s="306"/>
      <c r="Q95" s="306"/>
    </row>
    <row r="96" spans="1:17" ht="15">
      <c r="A96" s="29"/>
      <c r="B96" s="4"/>
      <c r="C96" s="4"/>
      <c r="D96" s="30"/>
      <c r="E96" s="30"/>
      <c r="F96" s="169" t="s">
        <v>307</v>
      </c>
      <c r="G96" s="1009">
        <v>2</v>
      </c>
      <c r="H96" s="351" t="s">
        <v>370</v>
      </c>
      <c r="I96" s="1670">
        <v>112000</v>
      </c>
      <c r="J96" s="279">
        <f t="shared" si="0"/>
        <v>224000</v>
      </c>
      <c r="K96" s="305"/>
      <c r="L96" s="399">
        <f t="shared" si="1"/>
        <v>224000</v>
      </c>
      <c r="M96" s="399"/>
      <c r="N96" s="306"/>
      <c r="O96" s="306"/>
      <c r="P96" s="306"/>
      <c r="Q96" s="306"/>
    </row>
    <row r="97" spans="1:17" ht="15">
      <c r="A97" s="29"/>
      <c r="B97" s="4"/>
      <c r="C97" s="4"/>
      <c r="D97" s="30"/>
      <c r="E97" s="30"/>
      <c r="F97" s="169" t="s">
        <v>587</v>
      </c>
      <c r="G97" s="1008">
        <v>2</v>
      </c>
      <c r="H97" s="351" t="s">
        <v>370</v>
      </c>
      <c r="I97" s="1670">
        <v>112000</v>
      </c>
      <c r="J97" s="279">
        <f t="shared" si="0"/>
        <v>224000</v>
      </c>
      <c r="K97" s="305"/>
      <c r="L97" s="399">
        <f t="shared" si="1"/>
        <v>224000</v>
      </c>
      <c r="M97" s="399"/>
      <c r="N97" s="306"/>
      <c r="O97" s="306"/>
      <c r="P97" s="306"/>
      <c r="Q97" s="306"/>
    </row>
    <row r="98" spans="1:17" ht="15">
      <c r="A98" s="29"/>
      <c r="B98" s="4"/>
      <c r="C98" s="4"/>
      <c r="D98" s="30"/>
      <c r="E98" s="30"/>
      <c r="F98" s="352" t="s">
        <v>302</v>
      </c>
      <c r="G98" s="1008">
        <v>3</v>
      </c>
      <c r="H98" s="351" t="s">
        <v>370</v>
      </c>
      <c r="I98" s="1669">
        <v>120000</v>
      </c>
      <c r="J98" s="279">
        <f t="shared" si="0"/>
        <v>360000</v>
      </c>
      <c r="K98" s="305"/>
      <c r="L98" s="399">
        <f t="shared" si="1"/>
        <v>360000</v>
      </c>
      <c r="M98" s="399"/>
      <c r="N98" s="306"/>
      <c r="O98" s="306"/>
      <c r="P98" s="306"/>
      <c r="Q98" s="306"/>
    </row>
    <row r="99" spans="1:17" ht="15">
      <c r="A99" s="29"/>
      <c r="B99" s="4"/>
      <c r="C99" s="4"/>
      <c r="D99" s="30"/>
      <c r="E99" s="30"/>
      <c r="F99" s="169" t="s">
        <v>588</v>
      </c>
      <c r="G99" s="1011">
        <v>4</v>
      </c>
      <c r="H99" s="288" t="s">
        <v>370</v>
      </c>
      <c r="I99" s="1669">
        <v>112000</v>
      </c>
      <c r="J99" s="279">
        <f t="shared" si="0"/>
        <v>448000</v>
      </c>
      <c r="K99" s="305"/>
      <c r="L99" s="399">
        <f t="shared" si="1"/>
        <v>448000</v>
      </c>
      <c r="M99" s="399"/>
      <c r="N99" s="306"/>
      <c r="O99" s="306"/>
      <c r="P99" s="306"/>
      <c r="Q99" s="306"/>
    </row>
    <row r="100" spans="1:17" ht="15">
      <c r="A100" s="29"/>
      <c r="B100" s="4"/>
      <c r="C100" s="4"/>
      <c r="D100" s="30"/>
      <c r="E100" s="30"/>
      <c r="F100" s="349" t="s">
        <v>206</v>
      </c>
      <c r="G100" s="666">
        <v>3</v>
      </c>
      <c r="H100" s="288" t="s">
        <v>370</v>
      </c>
      <c r="I100" s="1669">
        <v>112000</v>
      </c>
      <c r="J100" s="279">
        <f t="shared" si="0"/>
        <v>336000</v>
      </c>
      <c r="K100" s="305"/>
      <c r="L100" s="399">
        <f t="shared" si="1"/>
        <v>336000</v>
      </c>
      <c r="M100" s="399"/>
      <c r="N100" s="306"/>
      <c r="O100" s="306"/>
      <c r="P100" s="306"/>
      <c r="Q100" s="306"/>
    </row>
    <row r="101" spans="1:17" ht="15">
      <c r="A101" s="29"/>
      <c r="B101" s="4"/>
      <c r="C101" s="4"/>
      <c r="D101" s="30"/>
      <c r="E101" s="30"/>
      <c r="F101" s="352" t="s">
        <v>616</v>
      </c>
      <c r="G101" s="1008">
        <v>2</v>
      </c>
      <c r="H101" s="351" t="s">
        <v>370</v>
      </c>
      <c r="I101" s="1669">
        <v>112000</v>
      </c>
      <c r="J101" s="279">
        <f t="shared" ref="J101:J157" si="4">G101*I101</f>
        <v>224000</v>
      </c>
      <c r="K101" s="305"/>
      <c r="L101" s="399">
        <f t="shared" ref="L101:L157" si="5">J101</f>
        <v>224000</v>
      </c>
      <c r="M101" s="399"/>
      <c r="N101" s="306"/>
      <c r="O101" s="306"/>
      <c r="P101" s="306"/>
      <c r="Q101" s="306"/>
    </row>
    <row r="102" spans="1:17" ht="15">
      <c r="A102" s="29"/>
      <c r="B102" s="4"/>
      <c r="C102" s="4"/>
      <c r="D102" s="30"/>
      <c r="E102" s="30"/>
      <c r="F102" s="1709" t="s">
        <v>301</v>
      </c>
      <c r="G102" s="1011">
        <v>1</v>
      </c>
      <c r="H102" s="287" t="s">
        <v>370</v>
      </c>
      <c r="I102" s="1669">
        <v>112000</v>
      </c>
      <c r="J102" s="279">
        <f t="shared" si="4"/>
        <v>112000</v>
      </c>
      <c r="K102" s="305"/>
      <c r="L102" s="399">
        <f t="shared" si="5"/>
        <v>112000</v>
      </c>
      <c r="M102" s="399"/>
      <c r="N102" s="306"/>
      <c r="O102" s="306"/>
      <c r="P102" s="306"/>
      <c r="Q102" s="306"/>
    </row>
    <row r="103" spans="1:17" ht="15">
      <c r="A103" s="29"/>
      <c r="B103" s="4"/>
      <c r="C103" s="4"/>
      <c r="D103" s="30"/>
      <c r="E103" s="30"/>
      <c r="F103" s="352" t="s">
        <v>300</v>
      </c>
      <c r="G103" s="1008">
        <v>5</v>
      </c>
      <c r="H103" s="351" t="s">
        <v>370</v>
      </c>
      <c r="I103" s="1670">
        <v>112000</v>
      </c>
      <c r="J103" s="279">
        <f t="shared" si="4"/>
        <v>560000</v>
      </c>
      <c r="K103" s="305"/>
      <c r="L103" s="399">
        <f t="shared" si="5"/>
        <v>560000</v>
      </c>
      <c r="M103" s="399"/>
      <c r="N103" s="306"/>
      <c r="O103" s="306"/>
      <c r="P103" s="306"/>
      <c r="Q103" s="306"/>
    </row>
    <row r="104" spans="1:17" ht="15">
      <c r="A104" s="29"/>
      <c r="B104" s="4"/>
      <c r="C104" s="4"/>
      <c r="D104" s="30"/>
      <c r="E104" s="30"/>
      <c r="F104" s="349" t="s">
        <v>299</v>
      </c>
      <c r="G104" s="666">
        <v>2</v>
      </c>
      <c r="H104" s="288" t="s">
        <v>370</v>
      </c>
      <c r="I104" s="1669">
        <v>112000</v>
      </c>
      <c r="J104" s="279">
        <f t="shared" si="4"/>
        <v>224000</v>
      </c>
      <c r="K104" s="305"/>
      <c r="L104" s="399">
        <f t="shared" si="5"/>
        <v>224000</v>
      </c>
      <c r="M104" s="399"/>
      <c r="N104" s="306"/>
      <c r="O104" s="306"/>
      <c r="P104" s="306"/>
      <c r="Q104" s="306"/>
    </row>
    <row r="105" spans="1:17" ht="15">
      <c r="A105" s="29"/>
      <c r="B105" s="4"/>
      <c r="C105" s="4"/>
      <c r="D105" s="30"/>
      <c r="E105" s="30"/>
      <c r="F105" s="349" t="s">
        <v>589</v>
      </c>
      <c r="G105" s="1011">
        <v>3</v>
      </c>
      <c r="H105" s="288" t="s">
        <v>370</v>
      </c>
      <c r="I105" s="1669">
        <v>112000</v>
      </c>
      <c r="J105" s="279">
        <f t="shared" si="4"/>
        <v>336000</v>
      </c>
      <c r="K105" s="305"/>
      <c r="L105" s="399">
        <f t="shared" si="5"/>
        <v>336000</v>
      </c>
      <c r="M105" s="399"/>
      <c r="N105" s="306"/>
      <c r="O105" s="306"/>
      <c r="P105" s="306"/>
      <c r="Q105" s="306"/>
    </row>
    <row r="106" spans="1:17" ht="15">
      <c r="A106" s="29"/>
      <c r="B106" s="4"/>
      <c r="C106" s="4"/>
      <c r="D106" s="30"/>
      <c r="E106" s="30"/>
      <c r="F106" s="352" t="s">
        <v>933</v>
      </c>
      <c r="G106" s="1008">
        <v>6</v>
      </c>
      <c r="H106" s="351" t="s">
        <v>370</v>
      </c>
      <c r="I106" s="1669">
        <v>112000</v>
      </c>
      <c r="J106" s="279">
        <f t="shared" si="4"/>
        <v>672000</v>
      </c>
      <c r="K106" s="305"/>
      <c r="L106" s="399">
        <f t="shared" si="5"/>
        <v>672000</v>
      </c>
      <c r="M106" s="399"/>
      <c r="N106" s="306"/>
      <c r="O106" s="306"/>
      <c r="P106" s="306"/>
      <c r="Q106" s="306"/>
    </row>
    <row r="107" spans="1:17" ht="15">
      <c r="A107" s="29"/>
      <c r="B107" s="4"/>
      <c r="C107" s="4"/>
      <c r="D107" s="30"/>
      <c r="E107" s="30"/>
      <c r="F107" s="352" t="s">
        <v>1651</v>
      </c>
      <c r="G107" s="1008">
        <v>3</v>
      </c>
      <c r="H107" s="351" t="s">
        <v>370</v>
      </c>
      <c r="I107" s="1669">
        <v>112000</v>
      </c>
      <c r="J107" s="279">
        <f t="shared" si="4"/>
        <v>336000</v>
      </c>
      <c r="K107" s="305"/>
      <c r="L107" s="399">
        <f t="shared" si="5"/>
        <v>336000</v>
      </c>
      <c r="M107" s="399"/>
      <c r="N107" s="306"/>
      <c r="O107" s="306"/>
      <c r="P107" s="306"/>
      <c r="Q107" s="306"/>
    </row>
    <row r="108" spans="1:17" ht="15">
      <c r="A108" s="29"/>
      <c r="B108" s="4"/>
      <c r="C108" s="4"/>
      <c r="D108" s="30"/>
      <c r="E108" s="30"/>
      <c r="F108" s="352" t="s">
        <v>1652</v>
      </c>
      <c r="G108" s="1009">
        <v>3</v>
      </c>
      <c r="H108" s="351" t="s">
        <v>370</v>
      </c>
      <c r="I108" s="1669">
        <v>112000</v>
      </c>
      <c r="J108" s="279">
        <f t="shared" si="4"/>
        <v>336000</v>
      </c>
      <c r="K108" s="305"/>
      <c r="L108" s="399">
        <f t="shared" si="5"/>
        <v>336000</v>
      </c>
      <c r="M108" s="399"/>
      <c r="N108" s="306"/>
      <c r="O108" s="306"/>
      <c r="P108" s="306"/>
      <c r="Q108" s="306"/>
    </row>
    <row r="109" spans="1:17" ht="15">
      <c r="A109" s="29"/>
      <c r="B109" s="4"/>
      <c r="C109" s="4"/>
      <c r="D109" s="30"/>
      <c r="E109" s="30"/>
      <c r="F109" s="352" t="s">
        <v>1650</v>
      </c>
      <c r="G109" s="1009">
        <v>3</v>
      </c>
      <c r="H109" s="351" t="s">
        <v>370</v>
      </c>
      <c r="I109" s="1670">
        <v>112000</v>
      </c>
      <c r="J109" s="279">
        <f t="shared" si="4"/>
        <v>336000</v>
      </c>
      <c r="K109" s="305"/>
      <c r="L109" s="399">
        <f t="shared" si="5"/>
        <v>336000</v>
      </c>
      <c r="M109" s="399"/>
      <c r="N109" s="306"/>
      <c r="O109" s="306"/>
      <c r="P109" s="306"/>
      <c r="Q109" s="306"/>
    </row>
    <row r="110" spans="1:17" ht="15">
      <c r="A110" s="29"/>
      <c r="B110" s="4"/>
      <c r="C110" s="4"/>
      <c r="D110" s="30"/>
      <c r="E110" s="30"/>
      <c r="F110" s="918" t="s">
        <v>1649</v>
      </c>
      <c r="G110" s="1009">
        <v>3</v>
      </c>
      <c r="H110" s="919" t="s">
        <v>370</v>
      </c>
      <c r="I110" s="1670">
        <v>112000</v>
      </c>
      <c r="J110" s="279">
        <f t="shared" si="4"/>
        <v>336000</v>
      </c>
      <c r="K110" s="305"/>
      <c r="L110" s="399">
        <f t="shared" si="5"/>
        <v>336000</v>
      </c>
      <c r="M110" s="399"/>
      <c r="N110" s="306"/>
      <c r="O110" s="306"/>
      <c r="P110" s="306"/>
      <c r="Q110" s="306"/>
    </row>
    <row r="111" spans="1:17" ht="15">
      <c r="A111" s="29"/>
      <c r="B111" s="4"/>
      <c r="C111" s="4"/>
      <c r="D111" s="30"/>
      <c r="E111" s="30"/>
      <c r="F111" s="352" t="s">
        <v>1647</v>
      </c>
      <c r="G111" s="1009">
        <v>3</v>
      </c>
      <c r="H111" s="351" t="s">
        <v>370</v>
      </c>
      <c r="I111" s="1669">
        <v>112000</v>
      </c>
      <c r="J111" s="279">
        <f t="shared" si="4"/>
        <v>336000</v>
      </c>
      <c r="K111" s="305"/>
      <c r="L111" s="399">
        <f t="shared" si="5"/>
        <v>336000</v>
      </c>
      <c r="M111" s="399"/>
      <c r="N111" s="306"/>
      <c r="O111" s="306"/>
      <c r="P111" s="306"/>
      <c r="Q111" s="306"/>
    </row>
    <row r="112" spans="1:17" ht="15">
      <c r="A112" s="29"/>
      <c r="B112" s="4"/>
      <c r="C112" s="4"/>
      <c r="D112" s="30"/>
      <c r="E112" s="30"/>
      <c r="F112" s="352" t="s">
        <v>1648</v>
      </c>
      <c r="G112" s="1008">
        <v>3</v>
      </c>
      <c r="H112" s="351" t="s">
        <v>370</v>
      </c>
      <c r="I112" s="1669">
        <v>112000</v>
      </c>
      <c r="J112" s="279">
        <f t="shared" si="4"/>
        <v>336000</v>
      </c>
      <c r="K112" s="305"/>
      <c r="L112" s="399">
        <f t="shared" si="5"/>
        <v>336000</v>
      </c>
      <c r="M112" s="399"/>
      <c r="N112" s="306"/>
      <c r="O112" s="306"/>
      <c r="P112" s="306"/>
      <c r="Q112" s="306"/>
    </row>
    <row r="113" spans="1:17" ht="24.75">
      <c r="A113" s="29"/>
      <c r="B113" s="4"/>
      <c r="C113" s="4"/>
      <c r="D113" s="30"/>
      <c r="E113" s="30"/>
      <c r="F113" s="1709" t="s">
        <v>1646</v>
      </c>
      <c r="G113" s="1011">
        <v>3</v>
      </c>
      <c r="H113" s="287" t="s">
        <v>370</v>
      </c>
      <c r="I113" s="1669">
        <v>112000</v>
      </c>
      <c r="J113" s="279">
        <f t="shared" si="4"/>
        <v>336000</v>
      </c>
      <c r="K113" s="305"/>
      <c r="L113" s="399">
        <f t="shared" si="5"/>
        <v>336000</v>
      </c>
      <c r="M113" s="399"/>
      <c r="N113" s="306"/>
      <c r="O113" s="306"/>
      <c r="P113" s="306"/>
      <c r="Q113" s="306"/>
    </row>
    <row r="114" spans="1:17" ht="15">
      <c r="A114" s="29"/>
      <c r="B114" s="4"/>
      <c r="C114" s="4"/>
      <c r="D114" s="30"/>
      <c r="E114" s="30"/>
      <c r="F114" s="169" t="s">
        <v>934</v>
      </c>
      <c r="G114" s="1011">
        <v>3</v>
      </c>
      <c r="H114" s="287" t="s">
        <v>370</v>
      </c>
      <c r="I114" s="1669">
        <v>112000</v>
      </c>
      <c r="J114" s="279">
        <f t="shared" si="4"/>
        <v>336000</v>
      </c>
      <c r="K114" s="305"/>
      <c r="L114" s="399">
        <f t="shared" si="5"/>
        <v>336000</v>
      </c>
      <c r="M114" s="399"/>
      <c r="N114" s="306"/>
      <c r="O114" s="306"/>
      <c r="P114" s="306"/>
      <c r="Q114" s="306"/>
    </row>
    <row r="115" spans="1:17" ht="15">
      <c r="A115" s="29"/>
      <c r="B115" s="4"/>
      <c r="C115" s="4"/>
      <c r="D115" s="30"/>
      <c r="E115" s="30"/>
      <c r="F115" s="349" t="s">
        <v>954</v>
      </c>
      <c r="G115" s="1011">
        <v>20</v>
      </c>
      <c r="H115" s="288" t="s">
        <v>370</v>
      </c>
      <c r="I115" s="1669">
        <v>112000</v>
      </c>
      <c r="J115" s="279">
        <f t="shared" si="4"/>
        <v>2240000</v>
      </c>
      <c r="K115" s="305"/>
      <c r="L115" s="399">
        <f t="shared" si="5"/>
        <v>2240000</v>
      </c>
      <c r="M115" s="399"/>
      <c r="N115" s="306"/>
      <c r="O115" s="306"/>
      <c r="P115" s="306"/>
      <c r="Q115" s="306"/>
    </row>
    <row r="116" spans="1:17" ht="15">
      <c r="A116" s="29"/>
      <c r="B116" s="4"/>
      <c r="C116" s="4"/>
      <c r="D116" s="30"/>
      <c r="E116" s="30"/>
      <c r="F116" s="1709" t="s">
        <v>955</v>
      </c>
      <c r="G116" s="1011">
        <v>20</v>
      </c>
      <c r="H116" s="287" t="s">
        <v>370</v>
      </c>
      <c r="I116" s="1669">
        <v>112000</v>
      </c>
      <c r="J116" s="279">
        <f t="shared" si="4"/>
        <v>2240000</v>
      </c>
      <c r="K116" s="305"/>
      <c r="L116" s="399">
        <f t="shared" si="5"/>
        <v>2240000</v>
      </c>
      <c r="M116" s="399"/>
      <c r="N116" s="306"/>
      <c r="O116" s="306"/>
      <c r="P116" s="306"/>
      <c r="Q116" s="306"/>
    </row>
    <row r="117" spans="1:17" ht="15">
      <c r="A117" s="29"/>
      <c r="B117" s="4"/>
      <c r="C117" s="4"/>
      <c r="D117" s="30"/>
      <c r="E117" s="30"/>
      <c r="F117" s="918" t="s">
        <v>839</v>
      </c>
      <c r="G117" s="1009">
        <v>2</v>
      </c>
      <c r="H117" s="919" t="s">
        <v>370</v>
      </c>
      <c r="I117" s="1670">
        <v>112000</v>
      </c>
      <c r="J117" s="279">
        <f t="shared" si="4"/>
        <v>224000</v>
      </c>
      <c r="K117" s="305"/>
      <c r="L117" s="399">
        <f t="shared" si="5"/>
        <v>224000</v>
      </c>
      <c r="M117" s="399"/>
      <c r="N117" s="306"/>
      <c r="O117" s="306"/>
      <c r="P117" s="306"/>
      <c r="Q117" s="306"/>
    </row>
    <row r="118" spans="1:17" ht="15">
      <c r="A118" s="29"/>
      <c r="B118" s="4"/>
      <c r="C118" s="4"/>
      <c r="D118" s="30"/>
      <c r="E118" s="30"/>
      <c r="F118" s="349" t="s">
        <v>1656</v>
      </c>
      <c r="G118" s="666">
        <v>3</v>
      </c>
      <c r="H118" s="288" t="s">
        <v>370</v>
      </c>
      <c r="I118" s="1669">
        <v>170000</v>
      </c>
      <c r="J118" s="279">
        <f t="shared" si="4"/>
        <v>510000</v>
      </c>
      <c r="K118" s="305"/>
      <c r="L118" s="399">
        <f t="shared" si="5"/>
        <v>510000</v>
      </c>
      <c r="M118" s="399"/>
      <c r="N118" s="306"/>
      <c r="O118" s="306"/>
      <c r="P118" s="306"/>
      <c r="Q118" s="306"/>
    </row>
    <row r="119" spans="1:17" ht="15">
      <c r="A119" s="29"/>
      <c r="B119" s="4"/>
      <c r="C119" s="4"/>
      <c r="D119" s="30"/>
      <c r="E119" s="30"/>
      <c r="F119" s="349" t="s">
        <v>1657</v>
      </c>
      <c r="G119" s="666">
        <v>3</v>
      </c>
      <c r="H119" s="288" t="s">
        <v>370</v>
      </c>
      <c r="I119" s="1669">
        <v>170000</v>
      </c>
      <c r="J119" s="279">
        <f t="shared" si="4"/>
        <v>510000</v>
      </c>
      <c r="K119" s="305"/>
      <c r="L119" s="399">
        <f t="shared" si="5"/>
        <v>510000</v>
      </c>
      <c r="M119" s="399"/>
      <c r="N119" s="306"/>
      <c r="O119" s="306"/>
      <c r="P119" s="306"/>
      <c r="Q119" s="306"/>
    </row>
    <row r="120" spans="1:17" ht="15">
      <c r="A120" s="29"/>
      <c r="B120" s="4"/>
      <c r="C120" s="4"/>
      <c r="D120" s="30"/>
      <c r="E120" s="30"/>
      <c r="F120" s="349" t="s">
        <v>1590</v>
      </c>
      <c r="G120" s="666">
        <v>20</v>
      </c>
      <c r="H120" s="288" t="s">
        <v>370</v>
      </c>
      <c r="I120" s="1669">
        <v>112000</v>
      </c>
      <c r="J120" s="279">
        <f t="shared" si="4"/>
        <v>2240000</v>
      </c>
      <c r="K120" s="305"/>
      <c r="L120" s="399">
        <f t="shared" si="5"/>
        <v>2240000</v>
      </c>
      <c r="M120" s="399"/>
      <c r="N120" s="306"/>
      <c r="O120" s="306"/>
      <c r="P120" s="306"/>
      <c r="Q120" s="306"/>
    </row>
    <row r="121" spans="1:17" ht="15">
      <c r="A121" s="29"/>
      <c r="B121" s="4"/>
      <c r="C121" s="4"/>
      <c r="D121" s="30"/>
      <c r="E121" s="30"/>
      <c r="F121" s="169" t="s">
        <v>1591</v>
      </c>
      <c r="G121" s="666">
        <v>15</v>
      </c>
      <c r="H121" s="288" t="s">
        <v>370</v>
      </c>
      <c r="I121" s="1669">
        <v>112000</v>
      </c>
      <c r="J121" s="279">
        <f t="shared" si="4"/>
        <v>1680000</v>
      </c>
      <c r="K121" s="305"/>
      <c r="L121" s="399">
        <f t="shared" si="5"/>
        <v>1680000</v>
      </c>
      <c r="M121" s="399"/>
      <c r="N121" s="306"/>
      <c r="O121" s="306"/>
      <c r="P121" s="306"/>
      <c r="Q121" s="306"/>
    </row>
    <row r="122" spans="1:17" ht="15">
      <c r="A122" s="29"/>
      <c r="B122" s="4"/>
      <c r="C122" s="4"/>
      <c r="D122" s="30"/>
      <c r="E122" s="30"/>
      <c r="F122" s="349" t="s">
        <v>1592</v>
      </c>
      <c r="G122" s="666">
        <v>35</v>
      </c>
      <c r="H122" s="288" t="s">
        <v>370</v>
      </c>
      <c r="I122" s="1669">
        <v>112000</v>
      </c>
      <c r="J122" s="279">
        <f t="shared" si="4"/>
        <v>3920000</v>
      </c>
      <c r="K122" s="305"/>
      <c r="L122" s="399">
        <f t="shared" si="5"/>
        <v>3920000</v>
      </c>
      <c r="M122" s="399"/>
      <c r="N122" s="306"/>
      <c r="O122" s="306"/>
      <c r="P122" s="306"/>
      <c r="Q122" s="306"/>
    </row>
    <row r="123" spans="1:17" ht="15">
      <c r="A123" s="29"/>
      <c r="B123" s="4"/>
      <c r="C123" s="4"/>
      <c r="D123" s="30"/>
      <c r="E123" s="30"/>
      <c r="F123" s="169" t="s">
        <v>1593</v>
      </c>
      <c r="G123" s="666">
        <v>7</v>
      </c>
      <c r="H123" s="287" t="s">
        <v>370</v>
      </c>
      <c r="I123" s="1669">
        <v>120000</v>
      </c>
      <c r="J123" s="279">
        <f t="shared" si="4"/>
        <v>840000</v>
      </c>
      <c r="K123" s="305"/>
      <c r="L123" s="399">
        <f t="shared" si="5"/>
        <v>840000</v>
      </c>
      <c r="M123" s="399"/>
      <c r="N123" s="306"/>
      <c r="O123" s="306"/>
      <c r="P123" s="306"/>
      <c r="Q123" s="306"/>
    </row>
    <row r="124" spans="1:17" ht="15">
      <c r="A124" s="29"/>
      <c r="B124" s="4"/>
      <c r="C124" s="4"/>
      <c r="D124" s="30"/>
      <c r="E124" s="30"/>
      <c r="F124" s="352" t="s">
        <v>1594</v>
      </c>
      <c r="G124" s="1008">
        <v>5</v>
      </c>
      <c r="H124" s="351" t="s">
        <v>370</v>
      </c>
      <c r="I124" s="1669">
        <v>112000</v>
      </c>
      <c r="J124" s="279">
        <f t="shared" si="4"/>
        <v>560000</v>
      </c>
      <c r="K124" s="305"/>
      <c r="L124" s="399">
        <f t="shared" si="5"/>
        <v>560000</v>
      </c>
      <c r="M124" s="399"/>
      <c r="N124" s="306"/>
      <c r="O124" s="306"/>
      <c r="P124" s="306"/>
      <c r="Q124" s="306"/>
    </row>
    <row r="125" spans="1:17" ht="15">
      <c r="A125" s="29"/>
      <c r="B125" s="4"/>
      <c r="C125" s="4"/>
      <c r="D125" s="30"/>
      <c r="E125" s="30"/>
      <c r="F125" s="349" t="s">
        <v>1595</v>
      </c>
      <c r="G125" s="1011">
        <v>80</v>
      </c>
      <c r="H125" s="288" t="s">
        <v>370</v>
      </c>
      <c r="I125" s="1669">
        <v>120000</v>
      </c>
      <c r="J125" s="279">
        <f t="shared" si="4"/>
        <v>9600000</v>
      </c>
      <c r="K125" s="305"/>
      <c r="L125" s="399">
        <f t="shared" si="5"/>
        <v>9600000</v>
      </c>
      <c r="M125" s="399"/>
      <c r="N125" s="306"/>
      <c r="O125" s="306"/>
      <c r="P125" s="306"/>
      <c r="Q125" s="306"/>
    </row>
    <row r="126" spans="1:17" ht="15">
      <c r="A126" s="29"/>
      <c r="B126" s="4"/>
      <c r="C126" s="4"/>
      <c r="D126" s="30"/>
      <c r="E126" s="30"/>
      <c r="F126" s="169" t="s">
        <v>1596</v>
      </c>
      <c r="G126" s="666">
        <v>20</v>
      </c>
      <c r="H126" s="288" t="s">
        <v>370</v>
      </c>
      <c r="I126" s="1669">
        <v>120000</v>
      </c>
      <c r="J126" s="279">
        <f t="shared" si="4"/>
        <v>2400000</v>
      </c>
      <c r="K126" s="306"/>
      <c r="L126" s="399">
        <f t="shared" si="5"/>
        <v>2400000</v>
      </c>
      <c r="M126" s="399"/>
      <c r="N126" s="306"/>
      <c r="O126" s="306"/>
      <c r="P126" s="306"/>
      <c r="Q126" s="306"/>
    </row>
    <row r="127" spans="1:17" ht="15">
      <c r="A127" s="29"/>
      <c r="B127" s="4"/>
      <c r="C127" s="4"/>
      <c r="D127" s="30"/>
      <c r="E127" s="30"/>
      <c r="F127" s="352" t="s">
        <v>1597</v>
      </c>
      <c r="G127" s="1009">
        <v>5</v>
      </c>
      <c r="H127" s="351" t="s">
        <v>370</v>
      </c>
      <c r="I127" s="1669">
        <v>112000</v>
      </c>
      <c r="J127" s="279">
        <f t="shared" si="4"/>
        <v>560000</v>
      </c>
      <c r="K127" s="306"/>
      <c r="L127" s="399">
        <f t="shared" si="5"/>
        <v>560000</v>
      </c>
      <c r="M127" s="399"/>
      <c r="N127" s="306"/>
      <c r="O127" s="306"/>
      <c r="P127" s="306"/>
      <c r="Q127" s="306"/>
    </row>
    <row r="128" spans="1:17" ht="15">
      <c r="A128" s="29"/>
      <c r="B128" s="4"/>
      <c r="C128" s="4"/>
      <c r="D128" s="30"/>
      <c r="E128" s="30"/>
      <c r="F128" s="352" t="s">
        <v>1598</v>
      </c>
      <c r="G128" s="1009">
        <v>12</v>
      </c>
      <c r="H128" s="351" t="s">
        <v>370</v>
      </c>
      <c r="I128" s="1669">
        <v>112000</v>
      </c>
      <c r="J128" s="279">
        <f t="shared" si="4"/>
        <v>1344000</v>
      </c>
      <c r="K128" s="306"/>
      <c r="L128" s="399">
        <f t="shared" si="5"/>
        <v>1344000</v>
      </c>
      <c r="M128" s="399"/>
      <c r="N128" s="306"/>
      <c r="O128" s="306"/>
      <c r="P128" s="306"/>
      <c r="Q128" s="306"/>
    </row>
    <row r="129" spans="1:17" ht="15">
      <c r="A129" s="29"/>
      <c r="B129" s="4"/>
      <c r="C129" s="4"/>
      <c r="D129" s="30"/>
      <c r="E129" s="30"/>
      <c r="F129" s="169" t="s">
        <v>1599</v>
      </c>
      <c r="G129" s="666">
        <v>5</v>
      </c>
      <c r="H129" s="288" t="s">
        <v>370</v>
      </c>
      <c r="I129" s="1669">
        <v>112000</v>
      </c>
      <c r="J129" s="279">
        <f t="shared" si="4"/>
        <v>560000</v>
      </c>
      <c r="K129" s="306"/>
      <c r="L129" s="399">
        <f t="shared" si="5"/>
        <v>560000</v>
      </c>
      <c r="M129" s="399"/>
      <c r="N129" s="306"/>
      <c r="O129" s="306"/>
      <c r="P129" s="306"/>
      <c r="Q129" s="306"/>
    </row>
    <row r="130" spans="1:17" ht="15">
      <c r="A130" s="29"/>
      <c r="B130" s="4"/>
      <c r="C130" s="4"/>
      <c r="D130" s="30"/>
      <c r="E130" s="30"/>
      <c r="F130" s="349" t="s">
        <v>1600</v>
      </c>
      <c r="G130" s="1011">
        <v>15</v>
      </c>
      <c r="H130" s="288" t="s">
        <v>370</v>
      </c>
      <c r="I130" s="1669">
        <v>112000</v>
      </c>
      <c r="J130" s="279">
        <f t="shared" si="4"/>
        <v>1680000</v>
      </c>
      <c r="K130" s="306"/>
      <c r="L130" s="399">
        <f t="shared" si="5"/>
        <v>1680000</v>
      </c>
      <c r="M130" s="399"/>
      <c r="N130" s="306"/>
      <c r="O130" s="306"/>
      <c r="P130" s="306"/>
      <c r="Q130" s="306"/>
    </row>
    <row r="131" spans="1:17" ht="15">
      <c r="A131" s="29"/>
      <c r="B131" s="4"/>
      <c r="C131" s="4"/>
      <c r="D131" s="30"/>
      <c r="E131" s="30"/>
      <c r="F131" s="169" t="s">
        <v>1601</v>
      </c>
      <c r="G131" s="666">
        <v>15</v>
      </c>
      <c r="H131" s="288" t="s">
        <v>370</v>
      </c>
      <c r="I131" s="1669">
        <v>112000</v>
      </c>
      <c r="J131" s="279">
        <f t="shared" si="4"/>
        <v>1680000</v>
      </c>
      <c r="K131" s="306"/>
      <c r="L131" s="399">
        <f t="shared" si="5"/>
        <v>1680000</v>
      </c>
      <c r="M131" s="399"/>
      <c r="N131" s="306"/>
      <c r="O131" s="306"/>
      <c r="P131" s="306"/>
      <c r="Q131" s="306"/>
    </row>
    <row r="132" spans="1:17" ht="15">
      <c r="A132" s="29"/>
      <c r="B132" s="4"/>
      <c r="C132" s="4"/>
      <c r="D132" s="30"/>
      <c r="E132" s="30"/>
      <c r="F132" s="349" t="s">
        <v>1602</v>
      </c>
      <c r="G132" s="1011">
        <v>10</v>
      </c>
      <c r="H132" s="288" t="s">
        <v>370</v>
      </c>
      <c r="I132" s="1669">
        <v>112000</v>
      </c>
      <c r="J132" s="279">
        <f t="shared" si="4"/>
        <v>1120000</v>
      </c>
      <c r="K132" s="306"/>
      <c r="L132" s="399">
        <f t="shared" si="5"/>
        <v>1120000</v>
      </c>
      <c r="M132" s="399"/>
      <c r="N132" s="306"/>
      <c r="O132" s="306"/>
      <c r="P132" s="306"/>
      <c r="Q132" s="306"/>
    </row>
    <row r="133" spans="1:17" ht="15">
      <c r="A133" s="29"/>
      <c r="B133" s="4"/>
      <c r="C133" s="4"/>
      <c r="D133" s="30"/>
      <c r="E133" s="30"/>
      <c r="F133" s="349" t="s">
        <v>1603</v>
      </c>
      <c r="G133" s="666">
        <v>15</v>
      </c>
      <c r="H133" s="288" t="s">
        <v>370</v>
      </c>
      <c r="I133" s="1669">
        <v>112000</v>
      </c>
      <c r="J133" s="279">
        <f t="shared" si="4"/>
        <v>1680000</v>
      </c>
      <c r="K133" s="306"/>
      <c r="L133" s="399">
        <f t="shared" si="5"/>
        <v>1680000</v>
      </c>
      <c r="M133" s="399"/>
      <c r="N133" s="306"/>
      <c r="O133" s="306"/>
      <c r="P133" s="306"/>
      <c r="Q133" s="306"/>
    </row>
    <row r="134" spans="1:17" ht="15">
      <c r="A134" s="29"/>
      <c r="B134" s="4"/>
      <c r="C134" s="4"/>
      <c r="D134" s="30"/>
      <c r="E134" s="30"/>
      <c r="F134" s="349" t="s">
        <v>1604</v>
      </c>
      <c r="G134" s="1011">
        <v>10</v>
      </c>
      <c r="H134" s="288" t="s">
        <v>370</v>
      </c>
      <c r="I134" s="1669">
        <v>112000</v>
      </c>
      <c r="J134" s="279">
        <f t="shared" si="4"/>
        <v>1120000</v>
      </c>
      <c r="K134" s="306"/>
      <c r="L134" s="399">
        <f t="shared" si="5"/>
        <v>1120000</v>
      </c>
      <c r="M134" s="399"/>
      <c r="N134" s="306"/>
      <c r="O134" s="306"/>
      <c r="P134" s="306"/>
      <c r="Q134" s="306"/>
    </row>
    <row r="135" spans="1:17" ht="15">
      <c r="A135" s="29"/>
      <c r="B135" s="4"/>
      <c r="C135" s="4"/>
      <c r="D135" s="30"/>
      <c r="E135" s="30"/>
      <c r="F135" s="349" t="s">
        <v>1605</v>
      </c>
      <c r="G135" s="1011">
        <v>5</v>
      </c>
      <c r="H135" s="288" t="s">
        <v>370</v>
      </c>
      <c r="I135" s="1669">
        <v>112000</v>
      </c>
      <c r="J135" s="279">
        <f t="shared" si="4"/>
        <v>560000</v>
      </c>
      <c r="K135" s="306"/>
      <c r="L135" s="399">
        <f t="shared" si="5"/>
        <v>560000</v>
      </c>
      <c r="M135" s="399"/>
      <c r="N135" s="306"/>
      <c r="O135" s="306"/>
      <c r="P135" s="306"/>
      <c r="Q135" s="306"/>
    </row>
    <row r="136" spans="1:17" ht="15">
      <c r="A136" s="29"/>
      <c r="B136" s="4"/>
      <c r="C136" s="4"/>
      <c r="D136" s="30"/>
      <c r="E136" s="30"/>
      <c r="F136" s="169" t="s">
        <v>1606</v>
      </c>
      <c r="G136" s="666">
        <v>5</v>
      </c>
      <c r="H136" s="288" t="s">
        <v>370</v>
      </c>
      <c r="I136" s="1669">
        <v>112000</v>
      </c>
      <c r="J136" s="279">
        <f t="shared" si="4"/>
        <v>560000</v>
      </c>
      <c r="K136" s="306"/>
      <c r="L136" s="399">
        <f t="shared" si="5"/>
        <v>560000</v>
      </c>
      <c r="M136" s="399"/>
      <c r="N136" s="306"/>
      <c r="O136" s="306"/>
      <c r="P136" s="306"/>
      <c r="Q136" s="306"/>
    </row>
    <row r="137" spans="1:17" ht="15">
      <c r="A137" s="29"/>
      <c r="B137" s="4"/>
      <c r="C137" s="4"/>
      <c r="D137" s="30"/>
      <c r="E137" s="30"/>
      <c r="F137" s="349" t="s">
        <v>1607</v>
      </c>
      <c r="G137" s="666">
        <v>5</v>
      </c>
      <c r="H137" s="288" t="s">
        <v>370</v>
      </c>
      <c r="I137" s="1669">
        <v>112000</v>
      </c>
      <c r="J137" s="279">
        <f t="shared" si="4"/>
        <v>560000</v>
      </c>
      <c r="K137" s="306"/>
      <c r="L137" s="399">
        <f t="shared" si="5"/>
        <v>560000</v>
      </c>
      <c r="M137" s="399"/>
      <c r="N137" s="306"/>
      <c r="O137" s="306"/>
      <c r="P137" s="306"/>
      <c r="Q137" s="306"/>
    </row>
    <row r="138" spans="1:17" ht="15">
      <c r="A138" s="29"/>
      <c r="B138" s="4"/>
      <c r="C138" s="4"/>
      <c r="D138" s="30"/>
      <c r="E138" s="30"/>
      <c r="F138" s="169" t="s">
        <v>1608</v>
      </c>
      <c r="G138" s="666">
        <v>5</v>
      </c>
      <c r="H138" s="288" t="s">
        <v>370</v>
      </c>
      <c r="I138" s="1669">
        <v>112000</v>
      </c>
      <c r="J138" s="279">
        <f t="shared" si="4"/>
        <v>560000</v>
      </c>
      <c r="K138" s="306"/>
      <c r="L138" s="399">
        <f t="shared" si="5"/>
        <v>560000</v>
      </c>
      <c r="M138" s="399"/>
      <c r="N138" s="306"/>
      <c r="O138" s="306"/>
      <c r="P138" s="306"/>
      <c r="Q138" s="306"/>
    </row>
    <row r="139" spans="1:17" ht="15">
      <c r="A139" s="29"/>
      <c r="B139" s="4"/>
      <c r="C139" s="4"/>
      <c r="D139" s="30"/>
      <c r="E139" s="30"/>
      <c r="F139" s="350" t="s">
        <v>1609</v>
      </c>
      <c r="G139" s="1009">
        <v>5</v>
      </c>
      <c r="H139" s="353" t="s">
        <v>370</v>
      </c>
      <c r="I139" s="1669">
        <v>112000</v>
      </c>
      <c r="J139" s="279">
        <f t="shared" si="4"/>
        <v>560000</v>
      </c>
      <c r="K139" s="306"/>
      <c r="L139" s="399">
        <f t="shared" si="5"/>
        <v>560000</v>
      </c>
      <c r="M139" s="399"/>
      <c r="N139" s="306"/>
      <c r="O139" s="306"/>
      <c r="P139" s="306"/>
      <c r="Q139" s="306"/>
    </row>
    <row r="140" spans="1:17" ht="15">
      <c r="A140" s="29"/>
      <c r="B140" s="4"/>
      <c r="C140" s="4"/>
      <c r="D140" s="30"/>
      <c r="E140" s="30"/>
      <c r="F140" s="169" t="s">
        <v>1638</v>
      </c>
      <c r="G140" s="1011">
        <v>20</v>
      </c>
      <c r="H140" s="288" t="s">
        <v>372</v>
      </c>
      <c r="I140" s="1669">
        <v>7475</v>
      </c>
      <c r="J140" s="279">
        <f t="shared" si="4"/>
        <v>149500</v>
      </c>
      <c r="K140" s="306"/>
      <c r="L140" s="399">
        <f t="shared" si="5"/>
        <v>149500</v>
      </c>
      <c r="M140" s="399"/>
      <c r="N140" s="306"/>
      <c r="O140" s="306"/>
      <c r="P140" s="306"/>
      <c r="Q140" s="306"/>
    </row>
    <row r="141" spans="1:17" ht="15">
      <c r="A141" s="29"/>
      <c r="B141" s="4"/>
      <c r="C141" s="4"/>
      <c r="D141" s="30"/>
      <c r="E141" s="30"/>
      <c r="F141" s="352" t="s">
        <v>1639</v>
      </c>
      <c r="G141" s="1009">
        <v>50</v>
      </c>
      <c r="H141" s="351" t="s">
        <v>372</v>
      </c>
      <c r="I141" s="1669">
        <v>17250</v>
      </c>
      <c r="J141" s="279">
        <f t="shared" si="4"/>
        <v>862500</v>
      </c>
      <c r="K141" s="306"/>
      <c r="L141" s="399">
        <f t="shared" si="5"/>
        <v>862500</v>
      </c>
      <c r="M141" s="399"/>
      <c r="N141" s="306"/>
      <c r="O141" s="306"/>
      <c r="P141" s="306"/>
      <c r="Q141" s="306"/>
    </row>
    <row r="142" spans="1:17" ht="15">
      <c r="A142" s="29"/>
      <c r="B142" s="4"/>
      <c r="C142" s="4"/>
      <c r="D142" s="30"/>
      <c r="E142" s="30"/>
      <c r="F142" s="352" t="s">
        <v>1643</v>
      </c>
      <c r="G142" s="1009">
        <v>50</v>
      </c>
      <c r="H142" s="351" t="s">
        <v>372</v>
      </c>
      <c r="I142" s="1669">
        <v>11500</v>
      </c>
      <c r="J142" s="279">
        <f t="shared" si="4"/>
        <v>575000</v>
      </c>
      <c r="K142" s="306"/>
      <c r="L142" s="399">
        <f t="shared" si="5"/>
        <v>575000</v>
      </c>
      <c r="M142" s="399"/>
      <c r="N142" s="306"/>
      <c r="O142" s="306"/>
      <c r="P142" s="306"/>
      <c r="Q142" s="306"/>
    </row>
    <row r="143" spans="1:17" ht="15">
      <c r="A143" s="29"/>
      <c r="B143" s="4"/>
      <c r="C143" s="4"/>
      <c r="D143" s="30"/>
      <c r="E143" s="30"/>
      <c r="F143" s="1709" t="s">
        <v>1644</v>
      </c>
      <c r="G143" s="1011">
        <v>600</v>
      </c>
      <c r="H143" s="287" t="s">
        <v>372</v>
      </c>
      <c r="I143" s="1669">
        <v>17250</v>
      </c>
      <c r="J143" s="279">
        <f t="shared" si="4"/>
        <v>10350000</v>
      </c>
      <c r="K143" s="306"/>
      <c r="L143" s="399">
        <f t="shared" si="5"/>
        <v>10350000</v>
      </c>
      <c r="M143" s="399"/>
      <c r="N143" s="306"/>
      <c r="O143" s="306"/>
      <c r="P143" s="306"/>
      <c r="Q143" s="306"/>
    </row>
    <row r="144" spans="1:17" ht="15">
      <c r="A144" s="29"/>
      <c r="B144" s="4"/>
      <c r="C144" s="4"/>
      <c r="D144" s="30"/>
      <c r="E144" s="30"/>
      <c r="F144" s="352" t="s">
        <v>1645</v>
      </c>
      <c r="G144" s="1008">
        <v>50</v>
      </c>
      <c r="H144" s="351" t="s">
        <v>372</v>
      </c>
      <c r="I144" s="1669">
        <v>17250</v>
      </c>
      <c r="J144" s="279">
        <f t="shared" si="4"/>
        <v>862500</v>
      </c>
      <c r="K144" s="306"/>
      <c r="L144" s="399">
        <f t="shared" si="5"/>
        <v>862500</v>
      </c>
      <c r="M144" s="399"/>
      <c r="N144" s="306"/>
      <c r="O144" s="306"/>
      <c r="P144" s="306"/>
      <c r="Q144" s="306"/>
    </row>
    <row r="145" spans="1:18" ht="15">
      <c r="A145" s="29"/>
      <c r="B145" s="4"/>
      <c r="C145" s="4"/>
      <c r="D145" s="30"/>
      <c r="E145" s="30"/>
      <c r="F145" s="1709" t="s">
        <v>309</v>
      </c>
      <c r="G145" s="1011">
        <v>50</v>
      </c>
      <c r="H145" s="287" t="s">
        <v>372</v>
      </c>
      <c r="I145" s="1669">
        <v>7475</v>
      </c>
      <c r="J145" s="279">
        <f t="shared" si="4"/>
        <v>373750</v>
      </c>
      <c r="K145" s="306"/>
      <c r="L145" s="399">
        <f t="shared" si="5"/>
        <v>373750</v>
      </c>
      <c r="M145" s="399"/>
      <c r="N145" s="306"/>
      <c r="O145" s="306"/>
      <c r="P145" s="306"/>
      <c r="Q145" s="306"/>
    </row>
    <row r="146" spans="1:18" ht="15">
      <c r="A146" s="29"/>
      <c r="B146" s="4"/>
      <c r="C146" s="4"/>
      <c r="D146" s="30"/>
      <c r="E146" s="30"/>
      <c r="F146" s="1711" t="s">
        <v>1640</v>
      </c>
      <c r="G146" s="1012">
        <v>250</v>
      </c>
      <c r="H146" s="351" t="s">
        <v>372</v>
      </c>
      <c r="I146" s="1669">
        <v>6900</v>
      </c>
      <c r="J146" s="279">
        <f t="shared" si="4"/>
        <v>1725000</v>
      </c>
      <c r="K146" s="306"/>
      <c r="L146" s="399">
        <f t="shared" si="5"/>
        <v>1725000</v>
      </c>
      <c r="M146" s="399"/>
      <c r="N146" s="306"/>
      <c r="O146" s="306"/>
      <c r="P146" s="306"/>
      <c r="Q146" s="306"/>
    </row>
    <row r="147" spans="1:18" ht="15">
      <c r="A147" s="29"/>
      <c r="B147" s="4"/>
      <c r="C147" s="4"/>
      <c r="D147" s="30"/>
      <c r="E147" s="30"/>
      <c r="F147" s="1712" t="s">
        <v>1641</v>
      </c>
      <c r="G147" s="666">
        <v>500</v>
      </c>
      <c r="H147" s="288" t="s">
        <v>372</v>
      </c>
      <c r="I147" s="1669">
        <v>7475</v>
      </c>
      <c r="J147" s="279">
        <f t="shared" si="4"/>
        <v>3737500</v>
      </c>
      <c r="K147" s="306"/>
      <c r="L147" s="399">
        <f t="shared" si="5"/>
        <v>3737500</v>
      </c>
      <c r="M147" s="399"/>
      <c r="N147" s="306"/>
      <c r="O147" s="306"/>
      <c r="P147" s="306"/>
      <c r="Q147" s="306"/>
    </row>
    <row r="148" spans="1:18" ht="24.75">
      <c r="A148" s="29"/>
      <c r="B148" s="4"/>
      <c r="C148" s="4"/>
      <c r="D148" s="30"/>
      <c r="E148" s="30"/>
      <c r="F148" s="1712" t="s">
        <v>1642</v>
      </c>
      <c r="G148" s="666">
        <v>70</v>
      </c>
      <c r="H148" s="288" t="s">
        <v>372</v>
      </c>
      <c r="I148" s="1669">
        <v>46000</v>
      </c>
      <c r="J148" s="279">
        <f t="shared" si="4"/>
        <v>3220000</v>
      </c>
      <c r="K148" s="306"/>
      <c r="L148" s="399">
        <f t="shared" si="5"/>
        <v>3220000</v>
      </c>
      <c r="M148" s="399"/>
      <c r="N148" s="306"/>
      <c r="O148" s="306"/>
      <c r="P148" s="306"/>
      <c r="Q148" s="306"/>
    </row>
    <row r="149" spans="1:18" ht="15">
      <c r="A149" s="29"/>
      <c r="B149" s="4"/>
      <c r="C149" s="4"/>
      <c r="D149" s="30"/>
      <c r="E149" s="30"/>
      <c r="F149" s="917" t="s">
        <v>1637</v>
      </c>
      <c r="G149" s="666">
        <v>100</v>
      </c>
      <c r="H149" s="288" t="s">
        <v>372</v>
      </c>
      <c r="I149" s="1669">
        <v>40250</v>
      </c>
      <c r="J149" s="279">
        <f t="shared" si="4"/>
        <v>4025000</v>
      </c>
      <c r="K149" s="306"/>
      <c r="L149" s="399">
        <f t="shared" si="5"/>
        <v>4025000</v>
      </c>
      <c r="M149" s="399"/>
      <c r="N149" s="306"/>
      <c r="O149" s="306"/>
      <c r="P149" s="306"/>
      <c r="Q149" s="306"/>
    </row>
    <row r="150" spans="1:18" ht="15">
      <c r="A150" s="29"/>
      <c r="B150" s="4"/>
      <c r="C150" s="4"/>
      <c r="D150" s="30"/>
      <c r="E150" s="30"/>
      <c r="F150" s="1712" t="s">
        <v>1610</v>
      </c>
      <c r="G150" s="666">
        <v>100</v>
      </c>
      <c r="H150" s="288" t="s">
        <v>372</v>
      </c>
      <c r="I150" s="1669">
        <v>17250</v>
      </c>
      <c r="J150" s="279">
        <f t="shared" si="4"/>
        <v>1725000</v>
      </c>
      <c r="K150" s="306"/>
      <c r="L150" s="399">
        <f t="shared" si="5"/>
        <v>1725000</v>
      </c>
      <c r="M150" s="399"/>
      <c r="N150" s="306"/>
      <c r="O150" s="306"/>
      <c r="P150" s="306"/>
      <c r="Q150" s="306"/>
      <c r="R150" s="9">
        <v>8666</v>
      </c>
    </row>
    <row r="151" spans="1:18" ht="15">
      <c r="A151" s="29"/>
      <c r="B151" s="4"/>
      <c r="C151" s="4"/>
      <c r="D151" s="30"/>
      <c r="E151" s="30"/>
      <c r="F151" s="349" t="s">
        <v>1611</v>
      </c>
      <c r="G151" s="666">
        <v>100</v>
      </c>
      <c r="H151" s="288" t="s">
        <v>372</v>
      </c>
      <c r="I151" s="1669">
        <v>5000</v>
      </c>
      <c r="J151" s="279">
        <f t="shared" si="4"/>
        <v>500000</v>
      </c>
      <c r="K151" s="306"/>
      <c r="L151" s="399">
        <f t="shared" si="5"/>
        <v>500000</v>
      </c>
      <c r="M151" s="399"/>
      <c r="N151" s="306"/>
      <c r="O151" s="306"/>
      <c r="P151" s="306"/>
      <c r="Q151" s="306"/>
    </row>
    <row r="152" spans="1:18" ht="15">
      <c r="A152" s="458"/>
      <c r="B152" s="380"/>
      <c r="C152" s="380"/>
      <c r="D152" s="459"/>
      <c r="E152" s="30"/>
      <c r="F152" s="665" t="s">
        <v>1633</v>
      </c>
      <c r="G152" s="959">
        <v>100</v>
      </c>
      <c r="H152" s="288" t="s">
        <v>372</v>
      </c>
      <c r="I152" s="1674">
        <v>17250</v>
      </c>
      <c r="J152" s="279">
        <f t="shared" si="4"/>
        <v>1725000</v>
      </c>
      <c r="K152" s="378"/>
      <c r="L152" s="399">
        <f t="shared" si="5"/>
        <v>1725000</v>
      </c>
      <c r="M152" s="473"/>
      <c r="N152" s="378"/>
      <c r="O152" s="378"/>
      <c r="P152" s="378"/>
      <c r="Q152" s="378"/>
    </row>
    <row r="153" spans="1:18" ht="15">
      <c r="A153" s="29"/>
      <c r="B153" s="4"/>
      <c r="C153" s="4"/>
      <c r="D153" s="30"/>
      <c r="E153" s="30"/>
      <c r="F153" s="349" t="s">
        <v>1632</v>
      </c>
      <c r="G153" s="666">
        <v>40</v>
      </c>
      <c r="H153" s="288" t="s">
        <v>372</v>
      </c>
      <c r="I153" s="1669">
        <v>11500</v>
      </c>
      <c r="J153" s="279">
        <f t="shared" si="4"/>
        <v>460000</v>
      </c>
      <c r="K153" s="306"/>
      <c r="L153" s="399">
        <f t="shared" si="5"/>
        <v>460000</v>
      </c>
      <c r="M153" s="399"/>
      <c r="N153" s="306"/>
      <c r="O153" s="306"/>
      <c r="P153" s="306"/>
      <c r="Q153" s="306"/>
    </row>
    <row r="154" spans="1:18" ht="15">
      <c r="A154" s="29"/>
      <c r="B154" s="4"/>
      <c r="C154" s="4"/>
      <c r="D154" s="30"/>
      <c r="E154" s="30"/>
      <c r="F154" s="349" t="s">
        <v>1636</v>
      </c>
      <c r="G154" s="666">
        <v>50</v>
      </c>
      <c r="H154" s="288" t="s">
        <v>372</v>
      </c>
      <c r="I154" s="1669">
        <v>40250</v>
      </c>
      <c r="J154" s="279">
        <f t="shared" si="4"/>
        <v>2012500</v>
      </c>
      <c r="K154" s="306"/>
      <c r="L154" s="399">
        <f t="shared" si="5"/>
        <v>2012500</v>
      </c>
      <c r="M154" s="399"/>
      <c r="N154" s="306"/>
      <c r="O154" s="306"/>
      <c r="P154" s="306"/>
      <c r="Q154" s="306"/>
    </row>
    <row r="155" spans="1:18" ht="15">
      <c r="A155" s="29"/>
      <c r="B155" s="4"/>
      <c r="C155" s="4"/>
      <c r="D155" s="30"/>
      <c r="E155" s="30"/>
      <c r="F155" s="349" t="s">
        <v>1635</v>
      </c>
      <c r="G155" s="666">
        <v>30</v>
      </c>
      <c r="H155" s="288" t="s">
        <v>372</v>
      </c>
      <c r="I155" s="1669">
        <v>11500</v>
      </c>
      <c r="J155" s="279">
        <f t="shared" si="4"/>
        <v>345000</v>
      </c>
      <c r="K155" s="306"/>
      <c r="L155" s="399">
        <f t="shared" si="5"/>
        <v>345000</v>
      </c>
      <c r="M155" s="399"/>
      <c r="N155" s="306"/>
      <c r="O155" s="306"/>
      <c r="P155" s="306"/>
      <c r="Q155" s="306"/>
    </row>
    <row r="156" spans="1:18" ht="15">
      <c r="A156" s="458"/>
      <c r="B156" s="380"/>
      <c r="C156" s="380"/>
      <c r="D156" s="459"/>
      <c r="E156" s="30"/>
      <c r="F156" s="575" t="s">
        <v>1634</v>
      </c>
      <c r="G156" s="1013">
        <v>40</v>
      </c>
      <c r="H156" s="576" t="s">
        <v>372</v>
      </c>
      <c r="I156" s="577">
        <v>11500</v>
      </c>
      <c r="J156" s="279">
        <f t="shared" si="4"/>
        <v>460000</v>
      </c>
      <c r="K156" s="378"/>
      <c r="L156" s="399">
        <f t="shared" si="5"/>
        <v>460000</v>
      </c>
      <c r="M156" s="399"/>
      <c r="N156" s="378"/>
      <c r="O156" s="378"/>
      <c r="P156" s="378"/>
      <c r="Q156" s="378"/>
    </row>
    <row r="157" spans="1:18" ht="15">
      <c r="A157" s="458"/>
      <c r="B157" s="380"/>
      <c r="C157" s="380"/>
      <c r="D157" s="459"/>
      <c r="E157" s="30"/>
      <c r="F157" s="575" t="s">
        <v>1631</v>
      </c>
      <c r="G157" s="1014">
        <v>100</v>
      </c>
      <c r="H157" s="873" t="s">
        <v>372</v>
      </c>
      <c r="I157" s="874">
        <v>40250</v>
      </c>
      <c r="J157" s="279">
        <f t="shared" si="4"/>
        <v>4025000</v>
      </c>
      <c r="K157" s="378"/>
      <c r="L157" s="399">
        <f t="shared" si="5"/>
        <v>4025000</v>
      </c>
      <c r="M157" s="399"/>
      <c r="N157" s="378"/>
      <c r="O157" s="378"/>
      <c r="P157" s="378"/>
      <c r="Q157" s="378"/>
    </row>
    <row r="158" spans="1:18" ht="15">
      <c r="A158" s="1659"/>
      <c r="B158" s="1660"/>
      <c r="C158" s="1660"/>
      <c r="D158" s="1661"/>
      <c r="E158" s="30"/>
      <c r="F158" s="1666" t="s">
        <v>1629</v>
      </c>
      <c r="G158" s="1014">
        <v>40</v>
      </c>
      <c r="H158" s="873" t="s">
        <v>372</v>
      </c>
      <c r="I158" s="874">
        <v>17250</v>
      </c>
      <c r="J158" s="279">
        <f t="shared" ref="J158:J160" si="6">G158*I158</f>
        <v>690000</v>
      </c>
      <c r="K158" s="378"/>
      <c r="L158" s="399">
        <f t="shared" ref="L158:L160" si="7">J158</f>
        <v>690000</v>
      </c>
      <c r="M158" s="1658"/>
      <c r="N158" s="1668"/>
      <c r="O158" s="1668"/>
      <c r="P158" s="1668"/>
      <c r="Q158" s="1668"/>
    </row>
    <row r="159" spans="1:18" ht="24.75">
      <c r="A159" s="1659"/>
      <c r="B159" s="1660"/>
      <c r="C159" s="1660"/>
      <c r="D159" s="1661"/>
      <c r="E159" s="30"/>
      <c r="F159" s="1666" t="s">
        <v>1630</v>
      </c>
      <c r="G159" s="1014">
        <v>100</v>
      </c>
      <c r="H159" s="873" t="s">
        <v>372</v>
      </c>
      <c r="I159" s="874">
        <v>17250</v>
      </c>
      <c r="J159" s="279">
        <f t="shared" si="6"/>
        <v>1725000</v>
      </c>
      <c r="K159" s="378"/>
      <c r="L159" s="399">
        <f t="shared" si="7"/>
        <v>1725000</v>
      </c>
      <c r="M159" s="1658"/>
      <c r="N159" s="1668"/>
      <c r="O159" s="1668"/>
      <c r="P159" s="1668"/>
      <c r="Q159" s="1668"/>
    </row>
    <row r="160" spans="1:18" ht="15">
      <c r="A160" s="1659"/>
      <c r="B160" s="1660"/>
      <c r="C160" s="1660"/>
      <c r="D160" s="1661"/>
      <c r="E160" s="30"/>
      <c r="F160" s="1710" t="s">
        <v>1628</v>
      </c>
      <c r="G160" s="1014">
        <v>100</v>
      </c>
      <c r="H160" s="873" t="s">
        <v>372</v>
      </c>
      <c r="I160" s="874">
        <v>46000</v>
      </c>
      <c r="J160" s="279">
        <f t="shared" si="6"/>
        <v>4600000</v>
      </c>
      <c r="K160" s="378"/>
      <c r="L160" s="399">
        <f t="shared" si="7"/>
        <v>4600000</v>
      </c>
      <c r="M160" s="1658"/>
      <c r="N160" s="1668"/>
      <c r="O160" s="1668"/>
      <c r="P160" s="1668"/>
      <c r="Q160" s="1668"/>
    </row>
    <row r="161" spans="1:17" ht="15">
      <c r="A161" s="1659"/>
      <c r="B161" s="1660"/>
      <c r="C161" s="1660"/>
      <c r="D161" s="1661"/>
      <c r="E161" s="1661"/>
      <c r="F161" s="1666" t="s">
        <v>1626</v>
      </c>
      <c r="G161" s="1702">
        <v>200</v>
      </c>
      <c r="H161" s="873" t="s">
        <v>372</v>
      </c>
      <c r="I161" s="1704">
        <v>17250</v>
      </c>
      <c r="J161" s="279">
        <f t="shared" ref="J161:J181" si="8">G161*I161</f>
        <v>3450000</v>
      </c>
      <c r="K161" s="378"/>
      <c r="L161" s="399">
        <f t="shared" ref="L161:L181" si="9">J161</f>
        <v>3450000</v>
      </c>
      <c r="M161" s="1658"/>
      <c r="N161" s="1668"/>
      <c r="O161" s="1668"/>
      <c r="P161" s="1668"/>
      <c r="Q161" s="1668"/>
    </row>
    <row r="162" spans="1:17" ht="15">
      <c r="A162" s="1659"/>
      <c r="B162" s="1660"/>
      <c r="C162" s="1660"/>
      <c r="D162" s="1661"/>
      <c r="E162" s="1661"/>
      <c r="F162" s="1666" t="s">
        <v>209</v>
      </c>
      <c r="G162" s="1702">
        <v>250</v>
      </c>
      <c r="H162" s="873" t="s">
        <v>372</v>
      </c>
      <c r="I162" s="1704">
        <v>6000</v>
      </c>
      <c r="J162" s="279">
        <f t="shared" si="8"/>
        <v>1500000</v>
      </c>
      <c r="K162" s="378"/>
      <c r="L162" s="399">
        <f t="shared" si="9"/>
        <v>1500000</v>
      </c>
      <c r="M162" s="1658"/>
      <c r="N162" s="1668"/>
      <c r="O162" s="1668"/>
      <c r="P162" s="1668"/>
      <c r="Q162" s="1668"/>
    </row>
    <row r="163" spans="1:17" ht="24.75">
      <c r="A163" s="1659"/>
      <c r="B163" s="1660"/>
      <c r="C163" s="1660"/>
      <c r="D163" s="1661"/>
      <c r="E163" s="1661"/>
      <c r="F163" s="1666" t="s">
        <v>1627</v>
      </c>
      <c r="G163" s="1702">
        <v>5</v>
      </c>
      <c r="H163" s="873" t="s">
        <v>372</v>
      </c>
      <c r="I163" s="1704">
        <v>20000</v>
      </c>
      <c r="J163" s="279">
        <f t="shared" si="8"/>
        <v>100000</v>
      </c>
      <c r="K163" s="378"/>
      <c r="L163" s="399">
        <f t="shared" si="9"/>
        <v>100000</v>
      </c>
      <c r="M163" s="1658"/>
      <c r="N163" s="1668"/>
      <c r="O163" s="1668"/>
      <c r="P163" s="1668"/>
      <c r="Q163" s="1668"/>
    </row>
    <row r="164" spans="1:17" ht="15">
      <c r="A164" s="1659"/>
      <c r="B164" s="1660"/>
      <c r="C164" s="1660"/>
      <c r="D164" s="1661"/>
      <c r="E164" s="1661"/>
      <c r="F164" s="1666" t="s">
        <v>578</v>
      </c>
      <c r="G164" s="1702">
        <v>10</v>
      </c>
      <c r="H164" s="873" t="s">
        <v>372</v>
      </c>
      <c r="I164" s="1704">
        <v>11500</v>
      </c>
      <c r="J164" s="279">
        <f t="shared" si="8"/>
        <v>115000</v>
      </c>
      <c r="K164" s="378"/>
      <c r="L164" s="399">
        <f t="shared" si="9"/>
        <v>115000</v>
      </c>
      <c r="M164" s="1658"/>
      <c r="N164" s="1668"/>
      <c r="O164" s="1668"/>
      <c r="P164" s="1668"/>
      <c r="Q164" s="1668"/>
    </row>
    <row r="165" spans="1:17" ht="15">
      <c r="A165" s="1659"/>
      <c r="B165" s="1660"/>
      <c r="C165" s="1660"/>
      <c r="D165" s="1661"/>
      <c r="E165" s="1661"/>
      <c r="F165" s="1666" t="s">
        <v>1625</v>
      </c>
      <c r="G165" s="1702">
        <v>8</v>
      </c>
      <c r="H165" s="873" t="s">
        <v>372</v>
      </c>
      <c r="I165" s="1704">
        <v>46000</v>
      </c>
      <c r="J165" s="279">
        <f t="shared" si="8"/>
        <v>368000</v>
      </c>
      <c r="K165" s="378"/>
      <c r="L165" s="399">
        <f t="shared" si="9"/>
        <v>368000</v>
      </c>
      <c r="M165" s="1658"/>
      <c r="N165" s="1668"/>
      <c r="O165" s="1668"/>
      <c r="P165" s="1668"/>
      <c r="Q165" s="1668"/>
    </row>
    <row r="166" spans="1:17" ht="15">
      <c r="A166" s="1659"/>
      <c r="B166" s="1660"/>
      <c r="C166" s="1660"/>
      <c r="D166" s="1661"/>
      <c r="E166" s="1661"/>
      <c r="F166" s="1666" t="s">
        <v>1624</v>
      </c>
      <c r="G166" s="1702">
        <v>10</v>
      </c>
      <c r="H166" s="873" t="s">
        <v>372</v>
      </c>
      <c r="I166" s="1704">
        <v>46000</v>
      </c>
      <c r="J166" s="279">
        <f t="shared" si="8"/>
        <v>460000</v>
      </c>
      <c r="K166" s="378"/>
      <c r="L166" s="399">
        <f t="shared" si="9"/>
        <v>460000</v>
      </c>
      <c r="M166" s="1658"/>
      <c r="N166" s="1668"/>
      <c r="O166" s="1668"/>
      <c r="P166" s="1668"/>
      <c r="Q166" s="1668"/>
    </row>
    <row r="167" spans="1:17" ht="15">
      <c r="A167" s="1659"/>
      <c r="B167" s="1660"/>
      <c r="C167" s="1660"/>
      <c r="D167" s="1661"/>
      <c r="E167" s="1661"/>
      <c r="F167" s="1710" t="s">
        <v>1613</v>
      </c>
      <c r="G167" s="1702">
        <v>100</v>
      </c>
      <c r="H167" s="873" t="s">
        <v>372</v>
      </c>
      <c r="I167" s="1704">
        <v>46000</v>
      </c>
      <c r="J167" s="279">
        <f t="shared" si="8"/>
        <v>4600000</v>
      </c>
      <c r="K167" s="378"/>
      <c r="L167" s="399">
        <f t="shared" si="9"/>
        <v>4600000</v>
      </c>
      <c r="M167" s="1658"/>
      <c r="N167" s="1668"/>
      <c r="O167" s="1668"/>
      <c r="P167" s="1668"/>
      <c r="Q167" s="1668"/>
    </row>
    <row r="168" spans="1:17" ht="15">
      <c r="A168" s="1659"/>
      <c r="B168" s="1660"/>
      <c r="C168" s="1660"/>
      <c r="D168" s="1661"/>
      <c r="E168" s="1661"/>
      <c r="F168" s="1666" t="s">
        <v>1552</v>
      </c>
      <c r="G168" s="1702">
        <v>10</v>
      </c>
      <c r="H168" s="873" t="s">
        <v>372</v>
      </c>
      <c r="I168" s="1704">
        <v>40250</v>
      </c>
      <c r="J168" s="279">
        <f t="shared" si="8"/>
        <v>402500</v>
      </c>
      <c r="K168" s="378"/>
      <c r="L168" s="399">
        <f t="shared" si="9"/>
        <v>402500</v>
      </c>
      <c r="M168" s="1658"/>
      <c r="N168" s="1668"/>
      <c r="O168" s="1668"/>
      <c r="P168" s="1668"/>
      <c r="Q168" s="1668"/>
    </row>
    <row r="169" spans="1:17" ht="15">
      <c r="A169" s="1659"/>
      <c r="B169" s="1660"/>
      <c r="C169" s="1660"/>
      <c r="D169" s="1661"/>
      <c r="E169" s="1661"/>
      <c r="F169" s="1666" t="s">
        <v>1623</v>
      </c>
      <c r="G169" s="1702">
        <v>50</v>
      </c>
      <c r="H169" s="873" t="s">
        <v>372</v>
      </c>
      <c r="I169" s="1704">
        <v>57500</v>
      </c>
      <c r="J169" s="279">
        <f t="shared" si="8"/>
        <v>2875000</v>
      </c>
      <c r="K169" s="378"/>
      <c r="L169" s="399">
        <f t="shared" si="9"/>
        <v>2875000</v>
      </c>
      <c r="M169" s="1658"/>
      <c r="N169" s="1668"/>
      <c r="O169" s="1668"/>
      <c r="P169" s="1668"/>
      <c r="Q169" s="1668"/>
    </row>
    <row r="170" spans="1:17" ht="15">
      <c r="A170" s="1659"/>
      <c r="B170" s="1660"/>
      <c r="C170" s="1660"/>
      <c r="D170" s="1661"/>
      <c r="E170" s="1661"/>
      <c r="F170" s="1710" t="s">
        <v>1579</v>
      </c>
      <c r="G170" s="1702">
        <v>50</v>
      </c>
      <c r="H170" s="873" t="s">
        <v>372</v>
      </c>
      <c r="I170" s="1704">
        <v>11500</v>
      </c>
      <c r="J170" s="279">
        <f t="shared" si="8"/>
        <v>575000</v>
      </c>
      <c r="K170" s="378"/>
      <c r="L170" s="399">
        <f t="shared" si="9"/>
        <v>575000</v>
      </c>
      <c r="M170" s="1658"/>
      <c r="N170" s="1668"/>
      <c r="O170" s="1668"/>
      <c r="P170" s="1668"/>
      <c r="Q170" s="1668"/>
    </row>
    <row r="171" spans="1:17" ht="15">
      <c r="A171" s="1659"/>
      <c r="B171" s="1660"/>
      <c r="C171" s="1660"/>
      <c r="D171" s="1661"/>
      <c r="E171" s="1661"/>
      <c r="F171" s="1666" t="s">
        <v>1622</v>
      </c>
      <c r="G171" s="1702">
        <v>20000</v>
      </c>
      <c r="H171" s="873" t="s">
        <v>114</v>
      </c>
      <c r="I171" s="1704">
        <v>5200</v>
      </c>
      <c r="J171" s="279">
        <f t="shared" si="8"/>
        <v>104000000</v>
      </c>
      <c r="K171" s="378"/>
      <c r="L171" s="399">
        <f t="shared" si="9"/>
        <v>104000000</v>
      </c>
      <c r="M171" s="1658"/>
      <c r="N171" s="1668"/>
      <c r="O171" s="1668"/>
      <c r="P171" s="1668"/>
      <c r="Q171" s="1668"/>
    </row>
    <row r="172" spans="1:17" ht="15">
      <c r="A172" s="1659"/>
      <c r="B172" s="1660"/>
      <c r="C172" s="1660"/>
      <c r="D172" s="1661"/>
      <c r="E172" s="1661"/>
      <c r="F172" s="1666" t="s">
        <v>1612</v>
      </c>
      <c r="G172" s="1702">
        <v>30000</v>
      </c>
      <c r="H172" s="873" t="s">
        <v>114</v>
      </c>
      <c r="I172" s="1704">
        <v>5500</v>
      </c>
      <c r="J172" s="279">
        <f t="shared" si="8"/>
        <v>165000000</v>
      </c>
      <c r="K172" s="378"/>
      <c r="L172" s="399">
        <f t="shared" si="9"/>
        <v>165000000</v>
      </c>
      <c r="M172" s="1658"/>
      <c r="N172" s="1668"/>
      <c r="O172" s="1668"/>
      <c r="P172" s="1668"/>
      <c r="Q172" s="1668"/>
    </row>
    <row r="173" spans="1:17" ht="15">
      <c r="A173" s="1659"/>
      <c r="B173" s="1660"/>
      <c r="C173" s="1660"/>
      <c r="D173" s="1661"/>
      <c r="E173" s="1661"/>
      <c r="F173" s="1666" t="s">
        <v>1619</v>
      </c>
      <c r="G173" s="1702">
        <v>3000</v>
      </c>
      <c r="H173" s="873" t="s">
        <v>114</v>
      </c>
      <c r="I173" s="1704">
        <v>13360</v>
      </c>
      <c r="J173" s="279">
        <f t="shared" si="8"/>
        <v>40080000</v>
      </c>
      <c r="K173" s="378"/>
      <c r="L173" s="399">
        <f t="shared" si="9"/>
        <v>40080000</v>
      </c>
      <c r="M173" s="1658"/>
      <c r="N173" s="1668"/>
      <c r="O173" s="1668"/>
      <c r="P173" s="1668"/>
      <c r="Q173" s="1668"/>
    </row>
    <row r="174" spans="1:17" ht="15">
      <c r="A174" s="1659"/>
      <c r="B174" s="1660"/>
      <c r="C174" s="1660"/>
      <c r="D174" s="1661"/>
      <c r="E174" s="1661"/>
      <c r="F174" s="1666" t="s">
        <v>1620</v>
      </c>
      <c r="G174" s="1702">
        <v>4000</v>
      </c>
      <c r="H174" s="873" t="s">
        <v>114</v>
      </c>
      <c r="I174" s="1704">
        <v>13360</v>
      </c>
      <c r="J174" s="279">
        <f t="shared" si="8"/>
        <v>53440000</v>
      </c>
      <c r="K174" s="378"/>
      <c r="L174" s="399">
        <f t="shared" si="9"/>
        <v>53440000</v>
      </c>
      <c r="M174" s="1658"/>
      <c r="N174" s="1668"/>
      <c r="O174" s="1668"/>
      <c r="P174" s="1668"/>
      <c r="Q174" s="1668"/>
    </row>
    <row r="175" spans="1:17" ht="15">
      <c r="A175" s="1659"/>
      <c r="B175" s="1660"/>
      <c r="C175" s="1660"/>
      <c r="D175" s="1661"/>
      <c r="E175" s="1661"/>
      <c r="F175" s="1666" t="s">
        <v>1621</v>
      </c>
      <c r="G175" s="1702">
        <v>6000</v>
      </c>
      <c r="H175" s="873" t="s">
        <v>114</v>
      </c>
      <c r="I175" s="1704">
        <v>13360</v>
      </c>
      <c r="J175" s="279">
        <f t="shared" si="8"/>
        <v>80160000</v>
      </c>
      <c r="K175" s="378"/>
      <c r="L175" s="399">
        <f t="shared" si="9"/>
        <v>80160000</v>
      </c>
      <c r="M175" s="1658"/>
      <c r="N175" s="1668"/>
      <c r="O175" s="1668"/>
      <c r="P175" s="1668"/>
      <c r="Q175" s="1668"/>
    </row>
    <row r="176" spans="1:17" ht="15">
      <c r="A176" s="1659"/>
      <c r="B176" s="1660"/>
      <c r="C176" s="1660"/>
      <c r="D176" s="1661"/>
      <c r="E176" s="1661"/>
      <c r="F176" s="1710" t="s">
        <v>1614</v>
      </c>
      <c r="G176" s="1702">
        <v>1050</v>
      </c>
      <c r="H176" s="873" t="s">
        <v>114</v>
      </c>
      <c r="I176" s="1704">
        <v>13360</v>
      </c>
      <c r="J176" s="279">
        <f t="shared" si="8"/>
        <v>14028000</v>
      </c>
      <c r="K176" s="378"/>
      <c r="L176" s="399">
        <f t="shared" si="9"/>
        <v>14028000</v>
      </c>
      <c r="M176" s="1658"/>
      <c r="N176" s="1668"/>
      <c r="O176" s="1668"/>
      <c r="P176" s="1668"/>
      <c r="Q176" s="1668"/>
    </row>
    <row r="177" spans="1:17" ht="15">
      <c r="A177" s="1659"/>
      <c r="B177" s="1660"/>
      <c r="C177" s="1660"/>
      <c r="D177" s="1661"/>
      <c r="E177" s="1661"/>
      <c r="F177" s="1666" t="s">
        <v>1615</v>
      </c>
      <c r="G177" s="1702">
        <v>10</v>
      </c>
      <c r="H177" s="873" t="s">
        <v>293</v>
      </c>
      <c r="I177" s="1704">
        <v>345000</v>
      </c>
      <c r="J177" s="279">
        <f t="shared" si="8"/>
        <v>3450000</v>
      </c>
      <c r="K177" s="378"/>
      <c r="L177" s="399">
        <f t="shared" si="9"/>
        <v>3450000</v>
      </c>
      <c r="M177" s="1658"/>
      <c r="N177" s="1668"/>
      <c r="O177" s="1668"/>
      <c r="P177" s="1668"/>
      <c r="Q177" s="1668"/>
    </row>
    <row r="178" spans="1:17" ht="15">
      <c r="A178" s="1659"/>
      <c r="B178" s="1660"/>
      <c r="C178" s="1660"/>
      <c r="D178" s="1661"/>
      <c r="E178" s="1661"/>
      <c r="F178" s="1666" t="s">
        <v>1618</v>
      </c>
      <c r="G178" s="1702">
        <v>2</v>
      </c>
      <c r="H178" s="873" t="s">
        <v>293</v>
      </c>
      <c r="I178" s="1704">
        <v>200000</v>
      </c>
      <c r="J178" s="279">
        <f t="shared" si="8"/>
        <v>400000</v>
      </c>
      <c r="K178" s="378"/>
      <c r="L178" s="399">
        <f t="shared" si="9"/>
        <v>400000</v>
      </c>
      <c r="M178" s="1658"/>
      <c r="N178" s="1668"/>
      <c r="O178" s="1668"/>
      <c r="P178" s="1668"/>
      <c r="Q178" s="1668"/>
    </row>
    <row r="179" spans="1:17" ht="15">
      <c r="A179" s="1659"/>
      <c r="B179" s="1660"/>
      <c r="C179" s="1660"/>
      <c r="D179" s="1661"/>
      <c r="E179" s="1661"/>
      <c r="F179" s="1666" t="s">
        <v>1616</v>
      </c>
      <c r="G179" s="1702">
        <v>4</v>
      </c>
      <c r="H179" s="873" t="s">
        <v>293</v>
      </c>
      <c r="I179" s="1704">
        <v>200000</v>
      </c>
      <c r="J179" s="279">
        <f t="shared" si="8"/>
        <v>800000</v>
      </c>
      <c r="K179" s="378"/>
      <c r="L179" s="399">
        <f t="shared" si="9"/>
        <v>800000</v>
      </c>
      <c r="M179" s="1658"/>
      <c r="N179" s="1668"/>
      <c r="O179" s="1668"/>
      <c r="P179" s="1668"/>
      <c r="Q179" s="1668"/>
    </row>
    <row r="180" spans="1:17" ht="15">
      <c r="A180" s="1659"/>
      <c r="B180" s="1660"/>
      <c r="C180" s="1660"/>
      <c r="D180" s="1661"/>
      <c r="E180" s="1661"/>
      <c r="F180" s="1666" t="s">
        <v>1617</v>
      </c>
      <c r="G180" s="1702">
        <v>4</v>
      </c>
      <c r="H180" s="873" t="s">
        <v>293</v>
      </c>
      <c r="I180" s="1704">
        <v>200000</v>
      </c>
      <c r="J180" s="279">
        <f t="shared" si="8"/>
        <v>800000</v>
      </c>
      <c r="K180" s="378"/>
      <c r="L180" s="399">
        <f t="shared" si="9"/>
        <v>800000</v>
      </c>
      <c r="M180" s="1658"/>
      <c r="N180" s="1668"/>
      <c r="O180" s="1668"/>
      <c r="P180" s="1668"/>
      <c r="Q180" s="1668"/>
    </row>
    <row r="181" spans="1:17" ht="15">
      <c r="A181" s="1659"/>
      <c r="B181" s="1660"/>
      <c r="C181" s="1660"/>
      <c r="D181" s="1661"/>
      <c r="E181" s="1661"/>
      <c r="F181" s="1666" t="s">
        <v>579</v>
      </c>
      <c r="G181" s="1702">
        <v>1</v>
      </c>
      <c r="H181" s="873" t="s">
        <v>293</v>
      </c>
      <c r="I181" s="1704">
        <v>100000</v>
      </c>
      <c r="J181" s="279">
        <f t="shared" si="8"/>
        <v>100000</v>
      </c>
      <c r="K181" s="378"/>
      <c r="L181" s="399">
        <f t="shared" si="9"/>
        <v>100000</v>
      </c>
      <c r="M181" s="1658"/>
      <c r="N181" s="1668"/>
      <c r="O181" s="1668"/>
      <c r="P181" s="1668"/>
      <c r="Q181" s="1668"/>
    </row>
    <row r="182" spans="1:17" ht="15">
      <c r="A182" s="1659"/>
      <c r="B182" s="1660"/>
      <c r="C182" s="1660"/>
      <c r="D182" s="1661"/>
      <c r="E182" s="30"/>
      <c r="F182" s="1666"/>
      <c r="G182" s="1014"/>
      <c r="H182" s="873"/>
      <c r="I182" s="874"/>
      <c r="J182" s="1667"/>
      <c r="K182" s="1668"/>
      <c r="L182" s="1658"/>
      <c r="M182" s="1658"/>
      <c r="N182" s="1668"/>
      <c r="O182" s="1668"/>
      <c r="P182" s="1668"/>
      <c r="Q182" s="1668"/>
    </row>
    <row r="183" spans="1:17" ht="15">
      <c r="A183" s="19">
        <v>5</v>
      </c>
      <c r="B183" s="98">
        <v>2</v>
      </c>
      <c r="C183" s="98">
        <v>2</v>
      </c>
      <c r="D183" s="65" t="s">
        <v>66</v>
      </c>
      <c r="E183" s="104" t="s">
        <v>25</v>
      </c>
      <c r="F183" s="20" t="s">
        <v>104</v>
      </c>
      <c r="G183" s="856"/>
      <c r="H183" s="17"/>
      <c r="I183" s="99"/>
      <c r="J183" s="100">
        <f>SUM(J184:J186)</f>
        <v>45247000</v>
      </c>
      <c r="K183" s="306"/>
      <c r="L183" s="306"/>
      <c r="M183" s="399"/>
      <c r="N183" s="306"/>
      <c r="O183" s="306"/>
      <c r="P183" s="306"/>
      <c r="Q183" s="306"/>
    </row>
    <row r="184" spans="1:17" ht="15">
      <c r="A184" s="29"/>
      <c r="B184" s="59"/>
      <c r="C184" s="59"/>
      <c r="D184" s="60"/>
      <c r="E184" s="60"/>
      <c r="F184" s="105" t="s">
        <v>956</v>
      </c>
      <c r="G184" s="857">
        <f>148300+748+26540</f>
        <v>175588</v>
      </c>
      <c r="H184" s="4" t="s">
        <v>103</v>
      </c>
      <c r="I184" s="61">
        <v>250</v>
      </c>
      <c r="J184" s="279">
        <f>G184*I184</f>
        <v>43897000</v>
      </c>
      <c r="K184" s="306"/>
      <c r="L184" s="415"/>
      <c r="M184" s="399">
        <f>J184</f>
        <v>43897000</v>
      </c>
      <c r="N184" s="306"/>
      <c r="O184" s="306"/>
      <c r="P184" s="306"/>
      <c r="Q184" s="306"/>
    </row>
    <row r="185" spans="1:17" ht="15">
      <c r="A185" s="29"/>
      <c r="B185" s="59"/>
      <c r="C185" s="59"/>
      <c r="D185" s="60"/>
      <c r="E185" s="60"/>
      <c r="F185" s="105" t="s">
        <v>957</v>
      </c>
      <c r="G185" s="857">
        <v>100</v>
      </c>
      <c r="H185" s="4" t="s">
        <v>103</v>
      </c>
      <c r="I185" s="61">
        <v>1000</v>
      </c>
      <c r="J185" s="279">
        <f>G185*I185</f>
        <v>100000</v>
      </c>
      <c r="K185" s="306"/>
      <c r="L185" s="415"/>
      <c r="M185" s="399">
        <f>J185</f>
        <v>100000</v>
      </c>
      <c r="N185" s="306"/>
      <c r="O185" s="306"/>
      <c r="P185" s="306"/>
      <c r="Q185" s="306"/>
    </row>
    <row r="186" spans="1:17" ht="15">
      <c r="A186" s="29"/>
      <c r="B186" s="59"/>
      <c r="C186" s="59"/>
      <c r="D186" s="60"/>
      <c r="E186" s="60"/>
      <c r="F186" s="105" t="s">
        <v>318</v>
      </c>
      <c r="G186" s="857">
        <v>250</v>
      </c>
      <c r="H186" s="4" t="s">
        <v>103</v>
      </c>
      <c r="I186" s="61">
        <v>5000</v>
      </c>
      <c r="J186" s="279">
        <f>G186*I186</f>
        <v>1250000</v>
      </c>
      <c r="K186" s="306"/>
      <c r="L186" s="415"/>
      <c r="M186" s="399">
        <f>J186</f>
        <v>1250000</v>
      </c>
      <c r="N186" s="306"/>
      <c r="O186" s="306"/>
      <c r="P186" s="306"/>
      <c r="Q186" s="306"/>
    </row>
    <row r="187" spans="1:17" ht="15">
      <c r="A187" s="29"/>
      <c r="B187" s="59"/>
      <c r="C187" s="59"/>
      <c r="D187" s="60"/>
      <c r="E187" s="60"/>
      <c r="F187" s="105"/>
      <c r="G187" s="857"/>
      <c r="H187" s="4"/>
      <c r="I187" s="61"/>
      <c r="J187" s="62"/>
      <c r="K187" s="306"/>
      <c r="L187" s="306"/>
      <c r="M187" s="399"/>
      <c r="N187" s="306"/>
      <c r="O187" s="306"/>
      <c r="P187" s="306"/>
      <c r="Q187" s="306"/>
    </row>
    <row r="188" spans="1:17" ht="15">
      <c r="A188" s="19">
        <v>5</v>
      </c>
      <c r="B188" s="98">
        <v>2</v>
      </c>
      <c r="C188" s="98">
        <v>2</v>
      </c>
      <c r="D188" s="65" t="s">
        <v>66</v>
      </c>
      <c r="E188" s="104" t="s">
        <v>44</v>
      </c>
      <c r="F188" s="20" t="s">
        <v>513</v>
      </c>
      <c r="G188" s="857"/>
      <c r="H188" s="4"/>
      <c r="I188" s="61"/>
      <c r="J188" s="68">
        <f>SUM(J189:J191)</f>
        <v>16900000</v>
      </c>
      <c r="K188" s="306"/>
      <c r="L188" s="306"/>
      <c r="M188" s="399"/>
      <c r="N188" s="306"/>
      <c r="O188" s="306"/>
      <c r="P188" s="306"/>
      <c r="Q188" s="306"/>
    </row>
    <row r="189" spans="1:17" ht="15">
      <c r="A189" s="29"/>
      <c r="B189" s="59"/>
      <c r="C189" s="59"/>
      <c r="D189" s="60"/>
      <c r="E189" s="60"/>
      <c r="F189" s="105" t="s">
        <v>958</v>
      </c>
      <c r="G189" s="857">
        <v>1400</v>
      </c>
      <c r="H189" s="4" t="s">
        <v>86</v>
      </c>
      <c r="I189" s="61">
        <v>4500</v>
      </c>
      <c r="J189" s="62">
        <f>G189*I189</f>
        <v>6300000</v>
      </c>
      <c r="K189" s="306"/>
      <c r="L189" s="309"/>
      <c r="M189" s="399">
        <f>J189</f>
        <v>6300000</v>
      </c>
      <c r="N189" s="306"/>
      <c r="O189" s="306"/>
      <c r="P189" s="306"/>
      <c r="Q189" s="306"/>
    </row>
    <row r="190" spans="1:17" ht="15">
      <c r="A190" s="29"/>
      <c r="B190" s="59"/>
      <c r="C190" s="59"/>
      <c r="D190" s="60"/>
      <c r="E190" s="60"/>
      <c r="F190" s="105" t="s">
        <v>959</v>
      </c>
      <c r="G190" s="857">
        <v>1200</v>
      </c>
      <c r="H190" s="4" t="s">
        <v>86</v>
      </c>
      <c r="I190" s="61">
        <v>7500</v>
      </c>
      <c r="J190" s="62">
        <f>G190*I190</f>
        <v>9000000</v>
      </c>
      <c r="K190" s="306"/>
      <c r="L190" s="309"/>
      <c r="M190" s="399">
        <f>J190</f>
        <v>9000000</v>
      </c>
      <c r="N190" s="306"/>
      <c r="O190" s="306"/>
      <c r="P190" s="306"/>
      <c r="Q190" s="306"/>
    </row>
    <row r="191" spans="1:17" ht="15">
      <c r="A191" s="29"/>
      <c r="B191" s="59"/>
      <c r="C191" s="59"/>
      <c r="D191" s="60"/>
      <c r="E191" s="60"/>
      <c r="F191" s="105" t="s">
        <v>960</v>
      </c>
      <c r="G191" s="857">
        <v>400</v>
      </c>
      <c r="H191" s="4" t="s">
        <v>103</v>
      </c>
      <c r="I191" s="61">
        <v>4000</v>
      </c>
      <c r="J191" s="62">
        <f>G191*I191</f>
        <v>1600000</v>
      </c>
      <c r="K191" s="306"/>
      <c r="L191" s="309"/>
      <c r="M191" s="399">
        <f>J191</f>
        <v>1600000</v>
      </c>
      <c r="N191" s="306"/>
      <c r="O191" s="306"/>
      <c r="P191" s="306"/>
      <c r="Q191" s="306"/>
    </row>
    <row r="192" spans="1:17" ht="15">
      <c r="A192" s="29"/>
      <c r="B192" s="59"/>
      <c r="C192" s="59"/>
      <c r="D192" s="60"/>
      <c r="E192" s="60"/>
      <c r="F192" s="105"/>
      <c r="G192" s="101"/>
      <c r="H192" s="102"/>
      <c r="I192" s="61"/>
      <c r="J192" s="103"/>
      <c r="K192" s="306"/>
      <c r="L192" s="306"/>
      <c r="M192" s="399"/>
      <c r="N192" s="306"/>
      <c r="O192" s="306"/>
      <c r="P192" s="306"/>
      <c r="Q192" s="306"/>
    </row>
    <row r="193" spans="1:17" ht="15" customHeight="1" thickBot="1">
      <c r="A193" s="3289" t="s">
        <v>30</v>
      </c>
      <c r="B193" s="3290"/>
      <c r="C193" s="3290"/>
      <c r="D193" s="3290"/>
      <c r="E193" s="3290"/>
      <c r="F193" s="3290"/>
      <c r="G193" s="3290"/>
      <c r="H193" s="3290"/>
      <c r="I193" s="3291"/>
      <c r="J193" s="63">
        <f>J25</f>
        <v>790308650</v>
      </c>
      <c r="K193" s="306"/>
      <c r="L193" s="415">
        <f>SUM(L29:L192)</f>
        <v>728161650</v>
      </c>
      <c r="M193" s="399">
        <f>SUM(M29:M192)</f>
        <v>62147000</v>
      </c>
      <c r="N193" s="306"/>
      <c r="O193" s="306"/>
      <c r="P193" s="306"/>
      <c r="Q193" s="400">
        <f>SUM(K193:P193)</f>
        <v>790308650</v>
      </c>
    </row>
    <row r="194" spans="1:17" ht="13.5" thickTop="1">
      <c r="J194" s="41"/>
    </row>
    <row r="195" spans="1:17">
      <c r="J195" s="41"/>
    </row>
    <row r="196" spans="1:17">
      <c r="G196" s="3336" t="s">
        <v>1534</v>
      </c>
      <c r="H196" s="3336"/>
      <c r="I196" s="3336"/>
      <c r="J196" s="937"/>
    </row>
    <row r="197" spans="1:17">
      <c r="G197" s="3337" t="s">
        <v>272</v>
      </c>
      <c r="H197" s="3337"/>
      <c r="I197" s="3485"/>
      <c r="J197" s="8"/>
    </row>
    <row r="198" spans="1:17">
      <c r="G198" s="127"/>
      <c r="H198" s="127"/>
      <c r="I198" s="127"/>
      <c r="J198" s="936"/>
    </row>
    <row r="199" spans="1:17">
      <c r="G199" s="127"/>
      <c r="H199" s="127"/>
      <c r="I199" s="127"/>
      <c r="J199" s="1396"/>
    </row>
    <row r="200" spans="1:17">
      <c r="G200" s="3434" t="s">
        <v>904</v>
      </c>
      <c r="H200" s="3434"/>
      <c r="I200" s="3434"/>
      <c r="J200" s="8"/>
    </row>
    <row r="201" spans="1:17">
      <c r="G201" s="3434" t="s">
        <v>906</v>
      </c>
      <c r="H201" s="3434"/>
      <c r="I201" s="3434"/>
      <c r="J201" s="8"/>
    </row>
    <row r="203" spans="1:17">
      <c r="F203" s="9" t="s">
        <v>1086</v>
      </c>
      <c r="G203" s="9">
        <f>3361*12</f>
        <v>40332</v>
      </c>
      <c r="I203" s="41">
        <v>8000</v>
      </c>
      <c r="J203" s="62">
        <f>G203*I203</f>
        <v>322656000</v>
      </c>
    </row>
    <row r="204" spans="1:17">
      <c r="F204" s="9" t="s">
        <v>1087</v>
      </c>
      <c r="G204" s="9">
        <f>424*12</f>
        <v>5088</v>
      </c>
      <c r="I204" s="41">
        <v>20000</v>
      </c>
      <c r="J204" s="62">
        <f>G204*I204</f>
        <v>101760000</v>
      </c>
    </row>
    <row r="205" spans="1:17">
      <c r="J205" s="158">
        <f>SUM(J203:J204)</f>
        <v>424416000</v>
      </c>
    </row>
    <row r="206" spans="1:17">
      <c r="J206" s="158"/>
    </row>
  </sheetData>
  <mergeCells count="49">
    <mergeCell ref="K20:P20"/>
    <mergeCell ref="Q20:Q22"/>
    <mergeCell ref="A23:E23"/>
    <mergeCell ref="A193:I193"/>
    <mergeCell ref="A18:J18"/>
    <mergeCell ref="A19:J20"/>
    <mergeCell ref="A21:E22"/>
    <mergeCell ref="F21:F22"/>
    <mergeCell ref="G21:I21"/>
    <mergeCell ref="A17:E17"/>
    <mergeCell ref="F17:G17"/>
    <mergeCell ref="H17:J17"/>
    <mergeCell ref="A16:E16"/>
    <mergeCell ref="F16:G16"/>
    <mergeCell ref="H16:J16"/>
    <mergeCell ref="A15:E15"/>
    <mergeCell ref="F15:G15"/>
    <mergeCell ref="H15:J15"/>
    <mergeCell ref="A14:E14"/>
    <mergeCell ref="F14:G14"/>
    <mergeCell ref="H14:J14"/>
    <mergeCell ref="F13:G13"/>
    <mergeCell ref="H13:J13"/>
    <mergeCell ref="A10:E10"/>
    <mergeCell ref="F10:J10"/>
    <mergeCell ref="A11:E11"/>
    <mergeCell ref="F11:J11"/>
    <mergeCell ref="A1:J1"/>
    <mergeCell ref="A2:C3"/>
    <mergeCell ref="D2:G2"/>
    <mergeCell ref="H2:I2"/>
    <mergeCell ref="D3:G3"/>
    <mergeCell ref="H3:I3"/>
    <mergeCell ref="G196:I196"/>
    <mergeCell ref="G197:I197"/>
    <mergeCell ref="G200:I200"/>
    <mergeCell ref="G201:I201"/>
    <mergeCell ref="A4:J4"/>
    <mergeCell ref="A5:E5"/>
    <mergeCell ref="F5:J5"/>
    <mergeCell ref="A8:E8"/>
    <mergeCell ref="F8:J8"/>
    <mergeCell ref="F9:J9"/>
    <mergeCell ref="A6:E6"/>
    <mergeCell ref="F6:J6"/>
    <mergeCell ref="A7:E7"/>
    <mergeCell ref="F7:J7"/>
    <mergeCell ref="A12:J12"/>
    <mergeCell ref="A13:E13"/>
  </mergeCells>
  <printOptions horizontalCentered="1"/>
  <pageMargins left="0.11811023622047245" right="0.11811023622047245" top="0.55118110236220474" bottom="1.6929133858267718" header="0.31496062992125984" footer="0.11811023622047245"/>
  <pageSetup paperSize="5" scale="88" orientation="portrait" horizontalDpi="4294967293" verticalDpi="4294967293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B1:T50"/>
  <sheetViews>
    <sheetView view="pageBreakPreview" topLeftCell="A19" zoomScaleNormal="115" zoomScaleSheetLayoutView="100" workbookViewId="0">
      <selection activeCell="B26" sqref="B26:K40"/>
    </sheetView>
  </sheetViews>
  <sheetFormatPr defaultRowHeight="12.75"/>
  <cols>
    <col min="1" max="1" width="0.7109375" style="9" customWidth="1"/>
    <col min="2" max="6" width="3.5703125" style="9" customWidth="1"/>
    <col min="7" max="7" width="46" style="9" customWidth="1"/>
    <col min="8" max="9" width="8" style="9" customWidth="1"/>
    <col min="10" max="10" width="13.42578125" style="9" customWidth="1"/>
    <col min="11" max="11" width="15.140625" style="9" customWidth="1"/>
    <col min="12" max="12" width="4.7109375" style="9" customWidth="1"/>
    <col min="13" max="13" width="7.42578125" style="157" bestFit="1" customWidth="1"/>
    <col min="14" max="14" width="15" style="157" bestFit="1" customWidth="1"/>
    <col min="15" max="15" width="4.140625" style="157" bestFit="1" customWidth="1"/>
    <col min="16" max="16" width="5.85546875" style="157" bestFit="1" customWidth="1"/>
    <col min="17" max="17" width="5" style="157" bestFit="1" customWidth="1"/>
    <col min="18" max="18" width="12.5703125" style="9" bestFit="1" customWidth="1"/>
    <col min="19" max="19" width="14.28515625" style="9" bestFit="1" customWidth="1"/>
    <col min="20" max="20" width="13.7109375" style="9" bestFit="1" customWidth="1"/>
    <col min="21" max="16384" width="9.140625" style="9"/>
  </cols>
  <sheetData>
    <row r="1" spans="2:17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7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7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7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7">
      <c r="B5" s="3467" t="s">
        <v>31</v>
      </c>
      <c r="C5" s="3312"/>
      <c r="D5" s="3312"/>
      <c r="E5" s="3312"/>
      <c r="F5" s="3312"/>
      <c r="G5" s="3312" t="s">
        <v>38</v>
      </c>
      <c r="H5" s="3312"/>
      <c r="I5" s="3312"/>
      <c r="J5" s="3312"/>
      <c r="K5" s="3313"/>
    </row>
    <row r="6" spans="2:17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7" ht="24.75" customHeight="1">
      <c r="B7" s="3660" t="s">
        <v>33</v>
      </c>
      <c r="C7" s="3661"/>
      <c r="D7" s="3661"/>
      <c r="E7" s="3661"/>
      <c r="F7" s="3661"/>
      <c r="G7" s="3662" t="s">
        <v>214</v>
      </c>
      <c r="H7" s="3662"/>
      <c r="I7" s="3662"/>
      <c r="J7" s="3662"/>
      <c r="K7" s="3663"/>
      <c r="M7" s="9"/>
      <c r="N7" s="9"/>
      <c r="O7" s="9"/>
      <c r="P7" s="9"/>
      <c r="Q7" s="9"/>
    </row>
    <row r="8" spans="2:17">
      <c r="B8" s="3341" t="s">
        <v>34</v>
      </c>
      <c r="C8" s="3339"/>
      <c r="D8" s="3339"/>
      <c r="E8" s="3339"/>
      <c r="F8" s="3339"/>
      <c r="G8" s="3339" t="s">
        <v>215</v>
      </c>
      <c r="H8" s="3339"/>
      <c r="I8" s="3339"/>
      <c r="J8" s="3339"/>
      <c r="K8" s="3340"/>
      <c r="M8" s="9"/>
      <c r="N8" s="9"/>
      <c r="O8" s="9"/>
      <c r="P8" s="9"/>
      <c r="Q8" s="9"/>
    </row>
    <row r="9" spans="2:17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17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17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7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7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7" ht="15" customHeight="1">
      <c r="B14" s="3462" t="s">
        <v>8</v>
      </c>
      <c r="C14" s="3463"/>
      <c r="D14" s="3463"/>
      <c r="E14" s="3463"/>
      <c r="F14" s="3464"/>
      <c r="G14" s="3445" t="s">
        <v>407</v>
      </c>
      <c r="H14" s="3448"/>
      <c r="I14" s="3450">
        <v>1</v>
      </c>
      <c r="J14" s="3451"/>
      <c r="K14" s="3452"/>
    </row>
    <row r="15" spans="2:17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222650000</v>
      </c>
      <c r="J15" s="3454"/>
      <c r="K15" s="3455"/>
    </row>
    <row r="16" spans="2:17">
      <c r="B16" s="3439" t="s">
        <v>10</v>
      </c>
      <c r="C16" s="3451"/>
      <c r="D16" s="3451"/>
      <c r="E16" s="3451"/>
      <c r="F16" s="3460"/>
      <c r="G16" s="3445" t="s">
        <v>408</v>
      </c>
      <c r="H16" s="3448"/>
      <c r="I16" s="3456">
        <v>1</v>
      </c>
      <c r="J16" s="3457"/>
      <c r="K16" s="3458"/>
    </row>
    <row r="17" spans="2:19">
      <c r="B17" s="3439" t="s">
        <v>11</v>
      </c>
      <c r="C17" s="3451"/>
      <c r="D17" s="3451"/>
      <c r="E17" s="3451"/>
      <c r="F17" s="3460"/>
      <c r="G17" s="3445" t="s">
        <v>409</v>
      </c>
      <c r="H17" s="3448"/>
      <c r="I17" s="3456">
        <v>1</v>
      </c>
      <c r="J17" s="3457"/>
      <c r="K17" s="3458"/>
    </row>
    <row r="18" spans="2:19">
      <c r="B18" s="3442" t="s">
        <v>410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9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822"/>
      <c r="M19" s="822"/>
      <c r="N19" s="822"/>
      <c r="O19" s="822"/>
      <c r="P19" s="822"/>
      <c r="Q19" s="823"/>
      <c r="R19" s="823"/>
    </row>
    <row r="20" spans="2:19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466" t="s">
        <v>158</v>
      </c>
      <c r="M20" s="3466"/>
      <c r="N20" s="3466"/>
      <c r="O20" s="3466"/>
      <c r="P20" s="3466"/>
      <c r="Q20" s="3466"/>
      <c r="R20" s="3466" t="s">
        <v>17</v>
      </c>
    </row>
    <row r="21" spans="2:19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473"/>
      <c r="M21" s="1473"/>
      <c r="N21" s="1473"/>
      <c r="O21" s="1473"/>
      <c r="P21" s="1473"/>
      <c r="Q21" s="1473"/>
      <c r="R21" s="3466"/>
    </row>
    <row r="22" spans="2:19" ht="25.5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473" t="s">
        <v>177</v>
      </c>
      <c r="M22" s="1473" t="s">
        <v>594</v>
      </c>
      <c r="N22" s="1473" t="s">
        <v>651</v>
      </c>
      <c r="O22" s="1473" t="s">
        <v>595</v>
      </c>
      <c r="P22" s="1473" t="s">
        <v>652</v>
      </c>
      <c r="Q22" s="1473" t="s">
        <v>593</v>
      </c>
      <c r="R22" s="3466"/>
    </row>
    <row r="23" spans="2:19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473">
        <v>6</v>
      </c>
      <c r="M23" s="1473">
        <v>7</v>
      </c>
      <c r="N23" s="1473">
        <v>8</v>
      </c>
      <c r="O23" s="1473">
        <v>9</v>
      </c>
      <c r="P23" s="1473">
        <v>10</v>
      </c>
      <c r="Q23" s="1473">
        <v>11</v>
      </c>
      <c r="R23" s="1473">
        <v>12</v>
      </c>
    </row>
    <row r="24" spans="2:19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159">
        <f>K25+K30</f>
        <v>222650000</v>
      </c>
      <c r="L24" s="822"/>
      <c r="M24" s="822"/>
      <c r="N24" s="822"/>
      <c r="O24" s="822"/>
      <c r="P24" s="822"/>
      <c r="Q24" s="823"/>
      <c r="R24" s="823"/>
    </row>
    <row r="25" spans="2:19" ht="14.25" customHeight="1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45"/>
      <c r="I25" s="17"/>
      <c r="J25" s="46"/>
      <c r="K25" s="159">
        <f>+K26</f>
        <v>21150000</v>
      </c>
      <c r="L25" s="822"/>
      <c r="M25" s="822"/>
      <c r="N25" s="822"/>
      <c r="O25" s="822"/>
      <c r="P25" s="822"/>
      <c r="Q25" s="823"/>
      <c r="R25" s="823"/>
    </row>
    <row r="26" spans="2:19">
      <c r="B26" s="346">
        <v>5</v>
      </c>
      <c r="C26" s="371">
        <v>2</v>
      </c>
      <c r="D26" s="371">
        <v>2</v>
      </c>
      <c r="E26" s="372" t="s">
        <v>607</v>
      </c>
      <c r="F26" s="368"/>
      <c r="G26" s="381" t="s">
        <v>603</v>
      </c>
      <c r="H26" s="933"/>
      <c r="I26" s="393"/>
      <c r="J26" s="452"/>
      <c r="K26" s="601">
        <f>K27</f>
        <v>21150000</v>
      </c>
      <c r="L26" s="1481"/>
      <c r="M26" s="831"/>
      <c r="N26" s="824"/>
      <c r="O26" s="824"/>
      <c r="P26" s="824"/>
      <c r="Q26" s="824"/>
      <c r="R26" s="824"/>
    </row>
    <row r="27" spans="2:19">
      <c r="B27" s="36">
        <v>5</v>
      </c>
      <c r="C27" s="37">
        <v>2</v>
      </c>
      <c r="D27" s="37">
        <v>2</v>
      </c>
      <c r="E27" s="38" t="s">
        <v>607</v>
      </c>
      <c r="F27" s="38" t="s">
        <v>44</v>
      </c>
      <c r="G27" s="49" t="s">
        <v>604</v>
      </c>
      <c r="H27" s="857"/>
      <c r="I27" s="58"/>
      <c r="J27" s="110"/>
      <c r="K27" s="166">
        <f>SUM(K28:K28)</f>
        <v>21150000</v>
      </c>
      <c r="L27" s="816"/>
      <c r="M27" s="831"/>
      <c r="N27" s="824"/>
      <c r="O27" s="824"/>
      <c r="P27" s="824"/>
      <c r="Q27" s="824"/>
      <c r="R27" s="824"/>
    </row>
    <row r="28" spans="2:19" s="2033" customFormat="1">
      <c r="B28" s="2679"/>
      <c r="C28" s="2680"/>
      <c r="D28" s="2680"/>
      <c r="E28" s="2681"/>
      <c r="F28" s="2681"/>
      <c r="G28" s="2682" t="s">
        <v>986</v>
      </c>
      <c r="H28" s="2683">
        <v>1</v>
      </c>
      <c r="I28" s="2684" t="s">
        <v>147</v>
      </c>
      <c r="J28" s="2685">
        <v>21150000</v>
      </c>
      <c r="K28" s="2686">
        <f>H28*J28</f>
        <v>21150000</v>
      </c>
      <c r="L28" s="2687"/>
      <c r="M28" s="2688"/>
      <c r="N28" s="2689">
        <f>K28</f>
        <v>21150000</v>
      </c>
      <c r="O28" s="2690"/>
      <c r="P28" s="2690"/>
      <c r="Q28" s="2690"/>
      <c r="R28" s="2690"/>
    </row>
    <row r="29" spans="2:19">
      <c r="B29" s="458"/>
      <c r="C29" s="380"/>
      <c r="D29" s="380"/>
      <c r="E29" s="459"/>
      <c r="F29" s="459"/>
      <c r="G29" s="572"/>
      <c r="H29" s="1016"/>
      <c r="I29" s="840"/>
      <c r="J29" s="841"/>
      <c r="K29" s="859"/>
      <c r="L29" s="837"/>
      <c r="M29" s="839"/>
      <c r="N29" s="1483"/>
      <c r="O29" s="838"/>
      <c r="P29" s="838"/>
      <c r="Q29" s="838"/>
      <c r="R29" s="838"/>
    </row>
    <row r="30" spans="2:19">
      <c r="B30" s="43">
        <v>5</v>
      </c>
      <c r="C30" s="17">
        <v>2</v>
      </c>
      <c r="D30" s="17">
        <v>3</v>
      </c>
      <c r="E30" s="17"/>
      <c r="F30" s="17"/>
      <c r="G30" s="44" t="s">
        <v>78</v>
      </c>
      <c r="H30" s="995"/>
      <c r="I30" s="40"/>
      <c r="J30" s="172"/>
      <c r="K30" s="1484">
        <f>K31+K38</f>
        <v>201500000</v>
      </c>
      <c r="L30" s="822"/>
      <c r="M30" s="831"/>
      <c r="N30" s="1485"/>
      <c r="O30" s="824"/>
      <c r="P30" s="824"/>
      <c r="Q30" s="824"/>
      <c r="R30" s="824"/>
      <c r="S30" s="41"/>
    </row>
    <row r="31" spans="2:19">
      <c r="B31" s="1486">
        <v>5</v>
      </c>
      <c r="C31" s="1487">
        <v>2</v>
      </c>
      <c r="D31" s="1487">
        <v>3</v>
      </c>
      <c r="E31" s="1488">
        <v>23</v>
      </c>
      <c r="F31" s="85"/>
      <c r="G31" s="1489" t="s">
        <v>138</v>
      </c>
      <c r="H31" s="997"/>
      <c r="I31" s="85"/>
      <c r="J31" s="1490"/>
      <c r="K31" s="1491">
        <f>K32</f>
        <v>51500000</v>
      </c>
      <c r="L31" s="822"/>
      <c r="M31" s="831"/>
      <c r="N31" s="824"/>
      <c r="O31" s="824"/>
      <c r="P31" s="824"/>
      <c r="Q31" s="824"/>
      <c r="R31" s="824"/>
      <c r="S31" s="41"/>
    </row>
    <row r="32" spans="2:19" ht="25.5">
      <c r="B32" s="1486">
        <v>5</v>
      </c>
      <c r="C32" s="1487">
        <v>2</v>
      </c>
      <c r="D32" s="1487">
        <v>3</v>
      </c>
      <c r="E32" s="1488">
        <v>23</v>
      </c>
      <c r="F32" s="1488" t="s">
        <v>66</v>
      </c>
      <c r="G32" s="1510" t="s">
        <v>508</v>
      </c>
      <c r="H32" s="997"/>
      <c r="I32" s="85"/>
      <c r="J32" s="1492"/>
      <c r="K32" s="1493">
        <f>SUM(K33:K36)</f>
        <v>51500000</v>
      </c>
      <c r="L32" s="822"/>
      <c r="M32" s="831"/>
      <c r="N32" s="824"/>
      <c r="O32" s="824"/>
      <c r="P32" s="824"/>
      <c r="Q32" s="824"/>
      <c r="R32" s="824"/>
      <c r="S32" s="41"/>
    </row>
    <row r="33" spans="2:20">
      <c r="B33" s="1494"/>
      <c r="C33" s="1495"/>
      <c r="D33" s="1495"/>
      <c r="E33" s="1496"/>
      <c r="F33" s="1496"/>
      <c r="G33" s="1497" t="s">
        <v>1170</v>
      </c>
      <c r="H33" s="962">
        <v>2</v>
      </c>
      <c r="I33" s="478" t="s">
        <v>85</v>
      </c>
      <c r="J33" s="1498">
        <v>5000000</v>
      </c>
      <c r="K33" s="1221">
        <f>H33*J33</f>
        <v>10000000</v>
      </c>
      <c r="L33" s="837"/>
      <c r="M33" s="1499"/>
      <c r="N33" s="1482">
        <f t="shared" ref="N33:N36" si="0">K33</f>
        <v>10000000</v>
      </c>
      <c r="O33" s="838"/>
      <c r="P33" s="838"/>
      <c r="Q33" s="838"/>
      <c r="R33" s="838"/>
      <c r="S33" s="41"/>
    </row>
    <row r="34" spans="2:20">
      <c r="B34" s="649"/>
      <c r="C34" s="650"/>
      <c r="D34" s="650"/>
      <c r="E34" s="651"/>
      <c r="F34" s="651"/>
      <c r="G34" s="1044" t="s">
        <v>1718</v>
      </c>
      <c r="H34" s="616">
        <v>1</v>
      </c>
      <c r="I34" s="383" t="s">
        <v>85</v>
      </c>
      <c r="J34" s="1501">
        <v>4500000</v>
      </c>
      <c r="K34" s="1502">
        <f>H34*J34</f>
        <v>4500000</v>
      </c>
      <c r="L34" s="837"/>
      <c r="M34" s="1499"/>
      <c r="N34" s="1482">
        <f t="shared" si="0"/>
        <v>4500000</v>
      </c>
      <c r="O34" s="838"/>
      <c r="P34" s="838"/>
      <c r="Q34" s="838"/>
      <c r="R34" s="838"/>
      <c r="S34" s="41"/>
    </row>
    <row r="35" spans="2:20">
      <c r="B35" s="649"/>
      <c r="C35" s="650"/>
      <c r="D35" s="650"/>
      <c r="E35" s="651"/>
      <c r="F35" s="651"/>
      <c r="G35" s="1503" t="s">
        <v>1719</v>
      </c>
      <c r="H35" s="616">
        <v>1</v>
      </c>
      <c r="I35" s="383" t="s">
        <v>85</v>
      </c>
      <c r="J35" s="1501">
        <v>12000000</v>
      </c>
      <c r="K35" s="1502">
        <f>H35*J35</f>
        <v>12000000</v>
      </c>
      <c r="L35" s="837"/>
      <c r="M35" s="1499"/>
      <c r="N35" s="1482">
        <f t="shared" si="0"/>
        <v>12000000</v>
      </c>
      <c r="O35" s="838"/>
      <c r="P35" s="838"/>
      <c r="Q35" s="838"/>
      <c r="R35" s="838"/>
      <c r="S35" s="41"/>
    </row>
    <row r="36" spans="2:20">
      <c r="B36" s="649"/>
      <c r="C36" s="650"/>
      <c r="D36" s="650"/>
      <c r="E36" s="651"/>
      <c r="F36" s="651"/>
      <c r="G36" s="1504" t="s">
        <v>1159</v>
      </c>
      <c r="H36" s="616">
        <v>1</v>
      </c>
      <c r="I36" s="383" t="s">
        <v>114</v>
      </c>
      <c r="J36" s="1501">
        <v>25000000</v>
      </c>
      <c r="K36" s="1502">
        <f>H36*J36</f>
        <v>25000000</v>
      </c>
      <c r="L36" s="837"/>
      <c r="M36" s="1499"/>
      <c r="N36" s="1482">
        <f t="shared" si="0"/>
        <v>25000000</v>
      </c>
      <c r="O36" s="838"/>
      <c r="P36" s="838"/>
      <c r="Q36" s="838"/>
      <c r="R36" s="838"/>
      <c r="S36" s="41"/>
    </row>
    <row r="37" spans="2:20">
      <c r="B37" s="649"/>
      <c r="C37" s="650"/>
      <c r="D37" s="650"/>
      <c r="E37" s="651"/>
      <c r="F37" s="651"/>
      <c r="G37" s="462"/>
      <c r="H37" s="616"/>
      <c r="I37" s="383"/>
      <c r="J37" s="1501"/>
      <c r="K37" s="1505"/>
      <c r="L37" s="837"/>
      <c r="M37" s="1499"/>
      <c r="N37" s="1500"/>
      <c r="O37" s="838"/>
      <c r="P37" s="838"/>
      <c r="Q37" s="838"/>
      <c r="R37" s="838"/>
      <c r="S37" s="41"/>
    </row>
    <row r="38" spans="2:20">
      <c r="B38" s="1486">
        <v>5</v>
      </c>
      <c r="C38" s="1487">
        <v>2</v>
      </c>
      <c r="D38" s="1487">
        <v>3</v>
      </c>
      <c r="E38" s="1488">
        <v>80</v>
      </c>
      <c r="F38" s="85"/>
      <c r="G38" s="1489" t="s">
        <v>1413</v>
      </c>
      <c r="H38" s="616"/>
      <c r="I38" s="383"/>
      <c r="J38" s="1501"/>
      <c r="K38" s="1506">
        <f>K39</f>
        <v>150000000</v>
      </c>
      <c r="L38" s="837"/>
      <c r="M38" s="1499"/>
      <c r="N38" s="1500"/>
      <c r="O38" s="838"/>
      <c r="P38" s="838"/>
      <c r="Q38" s="838"/>
      <c r="R38" s="838"/>
      <c r="S38" s="41"/>
    </row>
    <row r="39" spans="2:20" ht="25.5">
      <c r="B39" s="1486">
        <v>5</v>
      </c>
      <c r="C39" s="1487">
        <v>2</v>
      </c>
      <c r="D39" s="1487">
        <v>3</v>
      </c>
      <c r="E39" s="1488">
        <v>80</v>
      </c>
      <c r="F39" s="1488" t="s">
        <v>25</v>
      </c>
      <c r="G39" s="1510" t="s">
        <v>1414</v>
      </c>
      <c r="H39" s="616"/>
      <c r="I39" s="383"/>
      <c r="J39" s="1501"/>
      <c r="K39" s="1506">
        <f>K40</f>
        <v>150000000</v>
      </c>
      <c r="L39" s="837"/>
      <c r="M39" s="1499"/>
      <c r="N39" s="1500"/>
      <c r="O39" s="838"/>
      <c r="P39" s="838"/>
      <c r="Q39" s="838"/>
      <c r="R39" s="838"/>
      <c r="S39" s="41"/>
    </row>
    <row r="40" spans="2:20" ht="25.5">
      <c r="B40" s="649"/>
      <c r="C40" s="650"/>
      <c r="D40" s="650"/>
      <c r="E40" s="651"/>
      <c r="F40" s="651"/>
      <c r="G40" s="1507" t="s">
        <v>1415</v>
      </c>
      <c r="H40" s="616">
        <v>1</v>
      </c>
      <c r="I40" s="383" t="s">
        <v>29</v>
      </c>
      <c r="J40" s="1501">
        <v>150000000</v>
      </c>
      <c r="K40" s="1502">
        <f>H40*J40</f>
        <v>150000000</v>
      </c>
      <c r="L40" s="837"/>
      <c r="M40" s="1499"/>
      <c r="N40" s="2930">
        <f>K40</f>
        <v>150000000</v>
      </c>
      <c r="O40" s="838"/>
      <c r="P40" s="838"/>
      <c r="Q40" s="838"/>
      <c r="R40" s="838"/>
      <c r="S40" s="41"/>
    </row>
    <row r="41" spans="2:20">
      <c r="B41" s="649"/>
      <c r="C41" s="650"/>
      <c r="D41" s="650"/>
      <c r="E41" s="651"/>
      <c r="F41" s="651"/>
      <c r="G41" s="1508"/>
      <c r="H41" s="616"/>
      <c r="I41" s="383"/>
      <c r="J41" s="1501"/>
      <c r="K41" s="1505"/>
      <c r="L41" s="837"/>
      <c r="M41" s="1499"/>
      <c r="N41" s="1509"/>
      <c r="O41" s="838"/>
      <c r="P41" s="838"/>
      <c r="Q41" s="838"/>
      <c r="R41" s="838"/>
      <c r="S41" s="41"/>
    </row>
    <row r="42" spans="2:20" ht="15" customHeight="1" thickBot="1">
      <c r="B42" s="3289" t="s">
        <v>30</v>
      </c>
      <c r="C42" s="3290"/>
      <c r="D42" s="3290"/>
      <c r="E42" s="3290"/>
      <c r="F42" s="3290"/>
      <c r="G42" s="3290"/>
      <c r="H42" s="3290"/>
      <c r="I42" s="3290"/>
      <c r="J42" s="3291"/>
      <c r="K42" s="63">
        <f>K24</f>
        <v>222650000</v>
      </c>
      <c r="L42" s="1084">
        <f>SUM(L26:L41)</f>
        <v>0</v>
      </c>
      <c r="M42" s="1084">
        <f>SUM(M26:M41)</f>
        <v>0</v>
      </c>
      <c r="N42" s="1084">
        <f>SUM(N25:N41)</f>
        <v>222650000</v>
      </c>
      <c r="O42" s="1084">
        <f>SUM(O26:O41)</f>
        <v>0</v>
      </c>
      <c r="P42" s="1084">
        <f>SUM(P26:P41)</f>
        <v>0</v>
      </c>
      <c r="Q42" s="1084">
        <f>SUM(Q26:Q41)</f>
        <v>0</v>
      </c>
      <c r="R42" s="1084">
        <f>SUM(L42:Q42)</f>
        <v>222650000</v>
      </c>
      <c r="S42" s="41"/>
      <c r="T42" s="57"/>
    </row>
    <row r="43" spans="2:20" ht="13.5" thickTop="1">
      <c r="K43" s="41"/>
      <c r="L43" s="822"/>
      <c r="M43" s="831"/>
      <c r="N43" s="824"/>
      <c r="O43" s="824"/>
      <c r="P43" s="824"/>
      <c r="Q43" s="824"/>
      <c r="R43" s="824"/>
    </row>
    <row r="44" spans="2:20">
      <c r="K44" s="41"/>
      <c r="L44" s="842"/>
      <c r="M44" s="839"/>
      <c r="N44" s="838"/>
      <c r="O44" s="838"/>
      <c r="P44" s="838"/>
      <c r="Q44" s="838"/>
      <c r="R44" s="838"/>
    </row>
    <row r="45" spans="2:20">
      <c r="H45" s="3336" t="s">
        <v>1534</v>
      </c>
      <c r="I45" s="3336"/>
      <c r="J45" s="3336"/>
      <c r="K45" s="937"/>
      <c r="L45" s="842"/>
      <c r="M45" s="831"/>
      <c r="N45" s="824"/>
      <c r="O45" s="824"/>
      <c r="P45" s="824"/>
      <c r="Q45" s="824"/>
      <c r="R45" s="824"/>
    </row>
    <row r="46" spans="2:20">
      <c r="H46" s="3337" t="s">
        <v>272</v>
      </c>
      <c r="I46" s="3337"/>
      <c r="J46" s="3485"/>
      <c r="K46" s="8"/>
      <c r="L46" s="842"/>
      <c r="M46" s="831"/>
      <c r="N46" s="824"/>
      <c r="O46" s="824"/>
      <c r="P46" s="824"/>
      <c r="Q46" s="824"/>
      <c r="R46" s="824"/>
    </row>
    <row r="47" spans="2:20">
      <c r="G47" s="10"/>
      <c r="H47" s="127"/>
      <c r="I47" s="127"/>
      <c r="J47" s="127"/>
      <c r="K47" s="8"/>
      <c r="L47" s="842"/>
      <c r="M47" s="831"/>
      <c r="N47" s="824"/>
      <c r="O47" s="824"/>
      <c r="P47" s="824"/>
      <c r="Q47" s="824"/>
      <c r="R47" s="824"/>
    </row>
    <row r="48" spans="2:20">
      <c r="H48" s="127"/>
      <c r="I48" s="127"/>
      <c r="J48" s="127"/>
      <c r="K48" s="8"/>
      <c r="L48" s="842"/>
      <c r="M48" s="831"/>
      <c r="N48" s="824"/>
      <c r="O48" s="824"/>
      <c r="P48" s="824"/>
      <c r="Q48" s="824"/>
      <c r="R48" s="824"/>
    </row>
    <row r="49" spans="8:18">
      <c r="H49" s="3434" t="s">
        <v>904</v>
      </c>
      <c r="I49" s="3434"/>
      <c r="J49" s="3434"/>
      <c r="K49" s="8"/>
      <c r="L49" s="842"/>
      <c r="M49" s="831"/>
      <c r="N49" s="824"/>
      <c r="O49" s="824"/>
      <c r="P49" s="824"/>
      <c r="Q49" s="824"/>
      <c r="R49" s="824"/>
    </row>
    <row r="50" spans="8:18">
      <c r="H50" s="3434" t="s">
        <v>906</v>
      </c>
      <c r="I50" s="3434"/>
      <c r="J50" s="3434"/>
      <c r="K50" s="8"/>
      <c r="L50" s="842"/>
      <c r="M50" s="831"/>
      <c r="N50" s="824"/>
      <c r="O50" s="824"/>
      <c r="P50" s="824"/>
      <c r="Q50" s="824"/>
      <c r="R50" s="824"/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G9:K9"/>
    <mergeCell ref="B10:F10"/>
    <mergeCell ref="G10:K10"/>
    <mergeCell ref="B7:F7"/>
    <mergeCell ref="G7:K7"/>
    <mergeCell ref="B8:F8"/>
    <mergeCell ref="G8:K8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50:J50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42:J42"/>
    <mergeCell ref="H45:J45"/>
    <mergeCell ref="H46:J46"/>
    <mergeCell ref="H49:J49"/>
  </mergeCells>
  <pageMargins left="0.12" right="0.22" top="0.37" bottom="0.65" header="0.25" footer="0.14000000000000001"/>
  <pageSetup paperSize="5" scale="95" orientation="portrait" horizontalDpi="4294967293" verticalDpi="4294967293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</sheetPr>
  <dimension ref="B1:S111"/>
  <sheetViews>
    <sheetView view="pageBreakPreview" topLeftCell="A79" zoomScaleNormal="115" zoomScaleSheetLayoutView="100" workbookViewId="0">
      <selection activeCell="B33" sqref="B33:K96"/>
    </sheetView>
  </sheetViews>
  <sheetFormatPr defaultRowHeight="12.75"/>
  <cols>
    <col min="1" max="1" width="1.140625" style="9" customWidth="1"/>
    <col min="2" max="6" width="3.5703125" style="9" customWidth="1"/>
    <col min="7" max="7" width="44.42578125" style="9" customWidth="1"/>
    <col min="8" max="8" width="8" style="9" customWidth="1"/>
    <col min="9" max="9" width="8.28515625" style="147" bestFit="1" customWidth="1"/>
    <col min="10" max="10" width="13.5703125" style="9" bestFit="1" customWidth="1"/>
    <col min="11" max="11" width="15" style="9" customWidth="1"/>
    <col min="12" max="12" width="14.28515625" style="9" bestFit="1" customWidth="1"/>
    <col min="13" max="13" width="6.42578125" style="9" bestFit="1" customWidth="1"/>
    <col min="14" max="14" width="13.42578125" style="9" bestFit="1" customWidth="1"/>
    <col min="15" max="17" width="6.42578125" style="9" customWidth="1"/>
    <col min="18" max="18" width="16.7109375" style="9" customWidth="1"/>
    <col min="19" max="19" width="12.85546875" style="41" bestFit="1" customWidth="1"/>
    <col min="20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55"/>
      <c r="J3" s="3356"/>
      <c r="K3" s="12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60" t="s">
        <v>31</v>
      </c>
      <c r="C5" s="3361"/>
      <c r="D5" s="3361"/>
      <c r="E5" s="3361"/>
      <c r="F5" s="3361"/>
      <c r="G5" s="3362" t="s">
        <v>38</v>
      </c>
      <c r="H5" s="3362"/>
      <c r="I5" s="3362"/>
      <c r="J5" s="3362"/>
      <c r="K5" s="3667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 ht="24.75" customHeight="1">
      <c r="B7" s="3668" t="s">
        <v>33</v>
      </c>
      <c r="C7" s="3669"/>
      <c r="D7" s="3669"/>
      <c r="E7" s="3669"/>
      <c r="F7" s="3669"/>
      <c r="G7" s="3665" t="s">
        <v>214</v>
      </c>
      <c r="H7" s="3665"/>
      <c r="I7" s="3665"/>
      <c r="J7" s="3665"/>
      <c r="K7" s="3666"/>
    </row>
    <row r="8" spans="2:13">
      <c r="B8" s="3341" t="s">
        <v>34</v>
      </c>
      <c r="C8" s="3339"/>
      <c r="D8" s="3339"/>
      <c r="E8" s="3339"/>
      <c r="F8" s="3339"/>
      <c r="G8" s="3339" t="s">
        <v>292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>
      <c r="B12" s="3364" t="s">
        <v>4</v>
      </c>
      <c r="C12" s="3358"/>
      <c r="D12" s="3358"/>
      <c r="E12" s="3358"/>
      <c r="F12" s="3358"/>
      <c r="G12" s="3358"/>
      <c r="H12" s="3358"/>
      <c r="I12" s="3358"/>
      <c r="J12" s="3358"/>
      <c r="K12" s="3359"/>
    </row>
    <row r="13" spans="2:13">
      <c r="B13" s="3380" t="s">
        <v>5</v>
      </c>
      <c r="C13" s="3381"/>
      <c r="D13" s="3381"/>
      <c r="E13" s="3381"/>
      <c r="F13" s="3382"/>
      <c r="G13" s="3383" t="s">
        <v>6</v>
      </c>
      <c r="H13" s="3384"/>
      <c r="I13" s="3383" t="s">
        <v>7</v>
      </c>
      <c r="J13" s="3385"/>
      <c r="K13" s="3386"/>
    </row>
    <row r="14" spans="2:13" ht="15" customHeight="1">
      <c r="B14" s="3387" t="s">
        <v>8</v>
      </c>
      <c r="C14" s="3388"/>
      <c r="D14" s="3388"/>
      <c r="E14" s="3388"/>
      <c r="F14" s="3389"/>
      <c r="G14" s="3350" t="s">
        <v>425</v>
      </c>
      <c r="H14" s="3351"/>
      <c r="I14" s="3390">
        <v>1</v>
      </c>
      <c r="J14" s="3348"/>
      <c r="K14" s="3391"/>
    </row>
    <row r="15" spans="2:13">
      <c r="B15" s="3397" t="s">
        <v>9</v>
      </c>
      <c r="C15" s="3348"/>
      <c r="D15" s="3348"/>
      <c r="E15" s="3348"/>
      <c r="F15" s="3349"/>
      <c r="G15" s="3398" t="s">
        <v>47</v>
      </c>
      <c r="H15" s="3353"/>
      <c r="I15" s="3344">
        <f>K24</f>
        <v>201844000</v>
      </c>
      <c r="J15" s="3345"/>
      <c r="K15" s="3346"/>
    </row>
    <row r="16" spans="2:13" ht="12.75" customHeight="1">
      <c r="B16" s="3347" t="s">
        <v>10</v>
      </c>
      <c r="C16" s="3348"/>
      <c r="D16" s="3348"/>
      <c r="E16" s="3348"/>
      <c r="F16" s="3349"/>
      <c r="G16" s="3350" t="s">
        <v>426</v>
      </c>
      <c r="H16" s="3351"/>
      <c r="I16" s="3352">
        <v>1</v>
      </c>
      <c r="J16" s="3353"/>
      <c r="K16" s="3354"/>
    </row>
    <row r="17" spans="2:19">
      <c r="B17" s="3347" t="s">
        <v>11</v>
      </c>
      <c r="C17" s="3348"/>
      <c r="D17" s="3348"/>
      <c r="E17" s="3348"/>
      <c r="F17" s="3349"/>
      <c r="G17" s="3350" t="s">
        <v>427</v>
      </c>
      <c r="H17" s="3351"/>
      <c r="I17" s="3352">
        <v>1</v>
      </c>
      <c r="J17" s="3353"/>
      <c r="K17" s="3354"/>
    </row>
    <row r="18" spans="2:19">
      <c r="B18" s="3486" t="s">
        <v>428</v>
      </c>
      <c r="C18" s="3487"/>
      <c r="D18" s="3487"/>
      <c r="E18" s="3487"/>
      <c r="F18" s="3487"/>
      <c r="G18" s="3487"/>
      <c r="H18" s="3487"/>
      <c r="I18" s="3487"/>
      <c r="J18" s="3487"/>
      <c r="K18" s="3488"/>
    </row>
    <row r="19" spans="2:19" ht="15" customHeight="1">
      <c r="B19" s="3373" t="s">
        <v>72</v>
      </c>
      <c r="C19" s="3374"/>
      <c r="D19" s="3374"/>
      <c r="E19" s="3374"/>
      <c r="F19" s="3374"/>
      <c r="G19" s="3374"/>
      <c r="H19" s="3374"/>
      <c r="I19" s="3374"/>
      <c r="J19" s="3374"/>
      <c r="K19" s="3664"/>
      <c r="L19" s="564"/>
      <c r="M19" s="305"/>
      <c r="N19" s="305"/>
      <c r="O19" s="305"/>
      <c r="P19" s="305"/>
      <c r="Q19" s="303"/>
      <c r="R19" s="303"/>
    </row>
    <row r="20" spans="2:19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99" t="s">
        <v>158</v>
      </c>
      <c r="M20" s="3378"/>
      <c r="N20" s="3378"/>
      <c r="O20" s="3378"/>
      <c r="P20" s="3378"/>
      <c r="Q20" s="3378"/>
      <c r="R20" s="3378" t="s">
        <v>17</v>
      </c>
    </row>
    <row r="21" spans="2:19" ht="15" customHeight="1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608" t="s">
        <v>17</v>
      </c>
      <c r="L21" s="605"/>
      <c r="M21" s="1150"/>
      <c r="N21" s="1150"/>
      <c r="O21" s="1150"/>
      <c r="P21" s="1150"/>
      <c r="Q21" s="1150"/>
      <c r="R21" s="3378"/>
    </row>
    <row r="22" spans="2:19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1148" t="s">
        <v>177</v>
      </c>
      <c r="M22" s="1149" t="s">
        <v>594</v>
      </c>
      <c r="N22" s="1149" t="s">
        <v>651</v>
      </c>
      <c r="O22" s="1149" t="s">
        <v>595</v>
      </c>
      <c r="P22" s="1149" t="s">
        <v>652</v>
      </c>
      <c r="Q22" s="1149" t="s">
        <v>593</v>
      </c>
      <c r="R22" s="3379"/>
    </row>
    <row r="23" spans="2:19">
      <c r="B23" s="3364">
        <v>1</v>
      </c>
      <c r="C23" s="3358"/>
      <c r="D23" s="3358"/>
      <c r="E23" s="3358"/>
      <c r="F23" s="3365"/>
      <c r="G23" s="425">
        <v>2</v>
      </c>
      <c r="H23" s="368">
        <v>3</v>
      </c>
      <c r="I23" s="424">
        <v>4</v>
      </c>
      <c r="J23" s="368">
        <v>5</v>
      </c>
      <c r="K23" s="426" t="s">
        <v>22</v>
      </c>
      <c r="L23" s="605">
        <v>6</v>
      </c>
      <c r="M23" s="1150">
        <v>7</v>
      </c>
      <c r="N23" s="1150">
        <v>8</v>
      </c>
      <c r="O23" s="1150">
        <v>9</v>
      </c>
      <c r="P23" s="1150">
        <v>10</v>
      </c>
      <c r="Q23" s="1150">
        <v>11</v>
      </c>
      <c r="R23" s="1150">
        <v>12</v>
      </c>
    </row>
    <row r="24" spans="2:19" ht="15.75" customHeight="1">
      <c r="B24" s="427">
        <v>5</v>
      </c>
      <c r="C24" s="368">
        <v>2</v>
      </c>
      <c r="D24" s="368"/>
      <c r="E24" s="368"/>
      <c r="F24" s="368"/>
      <c r="G24" s="366" t="s">
        <v>23</v>
      </c>
      <c r="H24" s="367"/>
      <c r="I24" s="424"/>
      <c r="J24" s="369"/>
      <c r="K24" s="610">
        <f>K25+K32+K98</f>
        <v>201844000</v>
      </c>
      <c r="L24" s="564"/>
      <c r="M24" s="305"/>
      <c r="N24" s="305"/>
      <c r="O24" s="305"/>
      <c r="P24" s="305"/>
      <c r="Q24" s="303"/>
      <c r="R24" s="303"/>
    </row>
    <row r="25" spans="2:19" ht="14.25" customHeight="1">
      <c r="B25" s="427">
        <v>5</v>
      </c>
      <c r="C25" s="368">
        <v>2</v>
      </c>
      <c r="D25" s="368">
        <v>1</v>
      </c>
      <c r="E25" s="368"/>
      <c r="F25" s="368"/>
      <c r="G25" s="366" t="s">
        <v>59</v>
      </c>
      <c r="H25" s="956"/>
      <c r="I25" s="368"/>
      <c r="J25" s="369"/>
      <c r="K25" s="610">
        <f>K26</f>
        <v>138000000</v>
      </c>
      <c r="L25" s="564"/>
      <c r="M25" s="305"/>
      <c r="N25" s="305"/>
      <c r="O25" s="305"/>
      <c r="P25" s="305"/>
      <c r="Q25" s="303"/>
      <c r="R25" s="303"/>
    </row>
    <row r="26" spans="2:19" s="76" customFormat="1" ht="15.75" customHeight="1">
      <c r="B26" s="388">
        <v>5</v>
      </c>
      <c r="C26" s="389">
        <v>2</v>
      </c>
      <c r="D26" s="389">
        <v>1</v>
      </c>
      <c r="E26" s="390" t="s">
        <v>25</v>
      </c>
      <c r="F26" s="390"/>
      <c r="G26" s="396" t="s">
        <v>185</v>
      </c>
      <c r="H26" s="599"/>
      <c r="I26" s="391"/>
      <c r="J26" s="394"/>
      <c r="K26" s="1036">
        <f>K27</f>
        <v>138000000</v>
      </c>
      <c r="L26" s="607"/>
      <c r="M26" s="303"/>
      <c r="N26" s="303"/>
      <c r="O26" s="303"/>
      <c r="P26" s="303"/>
      <c r="Q26" s="303"/>
      <c r="R26" s="303"/>
      <c r="S26" s="79"/>
    </row>
    <row r="27" spans="2:19" s="76" customFormat="1" ht="15.75" customHeight="1">
      <c r="B27" s="388">
        <v>5</v>
      </c>
      <c r="C27" s="389">
        <v>2</v>
      </c>
      <c r="D27" s="389">
        <v>1</v>
      </c>
      <c r="E27" s="390" t="s">
        <v>25</v>
      </c>
      <c r="F27" s="390" t="s">
        <v>25</v>
      </c>
      <c r="G27" s="396" t="s">
        <v>186</v>
      </c>
      <c r="H27" s="599"/>
      <c r="I27" s="391"/>
      <c r="J27" s="394"/>
      <c r="K27" s="1036">
        <f>SUM(K28:K30)</f>
        <v>138000000</v>
      </c>
      <c r="L27" s="564"/>
      <c r="M27" s="305"/>
      <c r="N27" s="305"/>
      <c r="O27" s="305"/>
      <c r="P27" s="305"/>
      <c r="Q27" s="303"/>
      <c r="R27" s="303"/>
      <c r="S27" s="79"/>
    </row>
    <row r="28" spans="2:19" s="76" customFormat="1" ht="15.75" customHeight="1">
      <c r="B28" s="388"/>
      <c r="C28" s="389"/>
      <c r="D28" s="389"/>
      <c r="E28" s="390"/>
      <c r="F28" s="390"/>
      <c r="G28" s="391" t="s">
        <v>640</v>
      </c>
      <c r="H28" s="597">
        <f>2*12</f>
        <v>24</v>
      </c>
      <c r="I28" s="393" t="s">
        <v>62</v>
      </c>
      <c r="J28" s="394">
        <v>2200000</v>
      </c>
      <c r="K28" s="1037">
        <f>J28*H28</f>
        <v>52800000</v>
      </c>
      <c r="L28" s="564">
        <f>K28</f>
        <v>52800000</v>
      </c>
      <c r="M28" s="414"/>
      <c r="N28" s="414"/>
      <c r="O28" s="303"/>
      <c r="P28" s="303"/>
      <c r="Q28" s="303"/>
      <c r="R28" s="303"/>
      <c r="S28" s="79"/>
    </row>
    <row r="29" spans="2:19" s="76" customFormat="1" ht="15.75" customHeight="1">
      <c r="B29" s="388"/>
      <c r="C29" s="389"/>
      <c r="D29" s="389"/>
      <c r="E29" s="390"/>
      <c r="F29" s="390"/>
      <c r="G29" s="391" t="s">
        <v>641</v>
      </c>
      <c r="H29" s="597">
        <f>1*12</f>
        <v>12</v>
      </c>
      <c r="I29" s="393" t="s">
        <v>62</v>
      </c>
      <c r="J29" s="394">
        <v>2300000</v>
      </c>
      <c r="K29" s="1037">
        <f>J29*H29</f>
        <v>27600000</v>
      </c>
      <c r="L29" s="564">
        <f>K29</f>
        <v>27600000</v>
      </c>
      <c r="M29" s="414"/>
      <c r="N29" s="414"/>
      <c r="O29" s="305"/>
      <c r="P29" s="305"/>
      <c r="Q29" s="303"/>
      <c r="R29" s="303"/>
      <c r="S29" s="79"/>
    </row>
    <row r="30" spans="2:19" s="76" customFormat="1" ht="15.75" customHeight="1">
      <c r="B30" s="388"/>
      <c r="C30" s="389"/>
      <c r="D30" s="389"/>
      <c r="E30" s="390"/>
      <c r="F30" s="390"/>
      <c r="G30" s="391" t="s">
        <v>642</v>
      </c>
      <c r="H30" s="597">
        <f>2*12</f>
        <v>24</v>
      </c>
      <c r="I30" s="393" t="s">
        <v>62</v>
      </c>
      <c r="J30" s="394">
        <v>2400000</v>
      </c>
      <c r="K30" s="1037">
        <f>J30*H30</f>
        <v>57600000</v>
      </c>
      <c r="L30" s="564">
        <f>K30</f>
        <v>57600000</v>
      </c>
      <c r="M30" s="414"/>
      <c r="N30" s="414"/>
      <c r="O30" s="303"/>
      <c r="P30" s="303"/>
      <c r="Q30" s="303"/>
      <c r="R30" s="303"/>
      <c r="S30" s="79"/>
    </row>
    <row r="31" spans="2:19" s="76" customFormat="1" ht="15.75" customHeight="1">
      <c r="B31" s="388"/>
      <c r="C31" s="389"/>
      <c r="D31" s="389"/>
      <c r="E31" s="390"/>
      <c r="F31" s="390"/>
      <c r="G31" s="391"/>
      <c r="H31" s="597"/>
      <c r="I31" s="393"/>
      <c r="J31" s="394"/>
      <c r="K31" s="1037"/>
      <c r="L31" s="564"/>
      <c r="M31" s="305"/>
      <c r="N31" s="414"/>
      <c r="O31" s="305"/>
      <c r="P31" s="305"/>
      <c r="Q31" s="303"/>
      <c r="R31" s="303"/>
      <c r="S31" s="79"/>
    </row>
    <row r="32" spans="2:19" ht="14.25" customHeight="1">
      <c r="B32" s="427">
        <v>5</v>
      </c>
      <c r="C32" s="368">
        <v>2</v>
      </c>
      <c r="D32" s="368">
        <v>2</v>
      </c>
      <c r="E32" s="368"/>
      <c r="F32" s="368"/>
      <c r="G32" s="366" t="s">
        <v>43</v>
      </c>
      <c r="H32" s="956"/>
      <c r="I32" s="424"/>
      <c r="J32" s="369"/>
      <c r="K32" s="610">
        <f>K33+K86</f>
        <v>63844000</v>
      </c>
      <c r="L32" s="564"/>
      <c r="M32" s="305"/>
      <c r="N32" s="305"/>
      <c r="O32" s="305"/>
      <c r="P32" s="305"/>
      <c r="Q32" s="306"/>
      <c r="R32" s="306"/>
    </row>
    <row r="33" spans="2:19" ht="15">
      <c r="B33" s="346">
        <v>5</v>
      </c>
      <c r="C33" s="371">
        <v>2</v>
      </c>
      <c r="D33" s="371">
        <v>2</v>
      </c>
      <c r="E33" s="372" t="s">
        <v>25</v>
      </c>
      <c r="F33" s="428"/>
      <c r="G33" s="381" t="s">
        <v>109</v>
      </c>
      <c r="H33" s="956"/>
      <c r="I33" s="368"/>
      <c r="J33" s="369"/>
      <c r="K33" s="610">
        <f>K34</f>
        <v>18694000</v>
      </c>
      <c r="L33" s="386"/>
      <c r="M33" s="329"/>
      <c r="N33" s="330"/>
      <c r="O33" s="330"/>
      <c r="P33" s="330"/>
      <c r="Q33" s="319"/>
      <c r="R33" s="319"/>
    </row>
    <row r="34" spans="2:19" ht="15">
      <c r="B34" s="346">
        <v>5</v>
      </c>
      <c r="C34" s="371">
        <v>2</v>
      </c>
      <c r="D34" s="371">
        <v>2</v>
      </c>
      <c r="E34" s="372" t="s">
        <v>25</v>
      </c>
      <c r="F34" s="372" t="s">
        <v>81</v>
      </c>
      <c r="G34" s="638" t="s">
        <v>122</v>
      </c>
      <c r="H34" s="645"/>
      <c r="I34" s="380"/>
      <c r="J34" s="382"/>
      <c r="K34" s="1038">
        <f>SUM(K35:K84)</f>
        <v>18694000</v>
      </c>
      <c r="L34" s="564"/>
      <c r="M34" s="308"/>
      <c r="N34" s="309"/>
      <c r="O34" s="309"/>
      <c r="P34" s="309"/>
      <c r="Q34" s="306"/>
      <c r="R34" s="306"/>
    </row>
    <row r="35" spans="2:19" ht="15">
      <c r="B35" s="346"/>
      <c r="C35" s="371"/>
      <c r="D35" s="371"/>
      <c r="E35" s="372"/>
      <c r="F35" s="372"/>
      <c r="G35" s="469" t="s">
        <v>792</v>
      </c>
      <c r="H35" s="645">
        <v>5</v>
      </c>
      <c r="I35" s="380" t="s">
        <v>106</v>
      </c>
      <c r="J35" s="382">
        <v>15000</v>
      </c>
      <c r="K35" s="660">
        <f>H35*J35</f>
        <v>75000</v>
      </c>
      <c r="L35" s="564"/>
      <c r="M35" s="468"/>
      <c r="N35" s="309">
        <f>K35</f>
        <v>75000</v>
      </c>
      <c r="O35" s="466"/>
      <c r="P35" s="466"/>
      <c r="Q35" s="378"/>
      <c r="R35" s="378"/>
      <c r="S35" s="41">
        <v>10000</v>
      </c>
    </row>
    <row r="36" spans="2:19" ht="15">
      <c r="B36" s="346"/>
      <c r="C36" s="371"/>
      <c r="D36" s="371"/>
      <c r="E36" s="372"/>
      <c r="F36" s="372"/>
      <c r="G36" s="469" t="s">
        <v>793</v>
      </c>
      <c r="H36" s="645">
        <v>5</v>
      </c>
      <c r="I36" s="380" t="s">
        <v>106</v>
      </c>
      <c r="J36" s="382">
        <v>17000</v>
      </c>
      <c r="K36" s="660">
        <f>H36*J36</f>
        <v>85000</v>
      </c>
      <c r="L36" s="564"/>
      <c r="M36" s="468"/>
      <c r="N36" s="309">
        <f t="shared" ref="N36:N84" si="0">K36</f>
        <v>85000</v>
      </c>
      <c r="O36" s="466"/>
      <c r="P36" s="466"/>
      <c r="Q36" s="378"/>
      <c r="R36" s="378"/>
      <c r="S36" s="41">
        <v>15000</v>
      </c>
    </row>
    <row r="37" spans="2:19" ht="15">
      <c r="B37" s="346"/>
      <c r="C37" s="371"/>
      <c r="D37" s="371"/>
      <c r="E37" s="372"/>
      <c r="F37" s="372"/>
      <c r="G37" s="469" t="s">
        <v>794</v>
      </c>
      <c r="H37" s="645">
        <v>3</v>
      </c>
      <c r="I37" s="380" t="s">
        <v>106</v>
      </c>
      <c r="J37" s="382">
        <v>18000</v>
      </c>
      <c r="K37" s="660">
        <f>H37*J37</f>
        <v>54000</v>
      </c>
      <c r="L37" s="564"/>
      <c r="M37" s="468"/>
      <c r="N37" s="309">
        <f t="shared" si="0"/>
        <v>54000</v>
      </c>
      <c r="O37" s="466"/>
      <c r="P37" s="466"/>
      <c r="Q37" s="378"/>
      <c r="R37" s="378"/>
      <c r="S37" s="41">
        <v>20000</v>
      </c>
    </row>
    <row r="38" spans="2:19" ht="15">
      <c r="B38" s="346"/>
      <c r="C38" s="371"/>
      <c r="D38" s="371"/>
      <c r="E38" s="372"/>
      <c r="F38" s="372"/>
      <c r="G38" s="462" t="s">
        <v>778</v>
      </c>
      <c r="H38" s="646">
        <v>10</v>
      </c>
      <c r="I38" s="463" t="s">
        <v>106</v>
      </c>
      <c r="J38" s="435">
        <v>4000</v>
      </c>
      <c r="K38" s="660">
        <f t="shared" ref="K38:K84" si="1">H38*J38</f>
        <v>40000</v>
      </c>
      <c r="L38" s="564"/>
      <c r="M38" s="468"/>
      <c r="N38" s="309">
        <f t="shared" si="0"/>
        <v>40000</v>
      </c>
      <c r="O38" s="306"/>
      <c r="P38" s="306"/>
      <c r="Q38" s="306"/>
      <c r="R38" s="306"/>
      <c r="S38" s="41">
        <v>2615</v>
      </c>
    </row>
    <row r="39" spans="2:19" ht="15">
      <c r="B39" s="346"/>
      <c r="C39" s="371"/>
      <c r="D39" s="371"/>
      <c r="E39" s="372"/>
      <c r="F39" s="372"/>
      <c r="G39" s="462" t="s">
        <v>356</v>
      </c>
      <c r="H39" s="646">
        <v>10</v>
      </c>
      <c r="I39" s="463" t="s">
        <v>106</v>
      </c>
      <c r="J39" s="435">
        <v>2000</v>
      </c>
      <c r="K39" s="660">
        <f t="shared" si="1"/>
        <v>20000</v>
      </c>
      <c r="L39" s="564"/>
      <c r="M39" s="468"/>
      <c r="N39" s="309">
        <f t="shared" si="0"/>
        <v>20000</v>
      </c>
      <c r="O39" s="306"/>
      <c r="P39" s="306"/>
      <c r="Q39" s="306"/>
      <c r="R39" s="306"/>
      <c r="S39" s="41">
        <v>1240</v>
      </c>
    </row>
    <row r="40" spans="2:19" ht="15">
      <c r="B40" s="346"/>
      <c r="C40" s="371"/>
      <c r="D40" s="371"/>
      <c r="E40" s="372"/>
      <c r="F40" s="372"/>
      <c r="G40" s="462" t="s">
        <v>357</v>
      </c>
      <c r="H40" s="646">
        <v>10</v>
      </c>
      <c r="I40" s="463" t="s">
        <v>106</v>
      </c>
      <c r="J40" s="435">
        <v>5000</v>
      </c>
      <c r="K40" s="660">
        <f t="shared" si="1"/>
        <v>50000</v>
      </c>
      <c r="L40" s="564"/>
      <c r="M40" s="468"/>
      <c r="N40" s="309">
        <f t="shared" si="0"/>
        <v>50000</v>
      </c>
      <c r="O40" s="306"/>
      <c r="P40" s="306"/>
      <c r="Q40" s="306"/>
      <c r="R40" s="306"/>
      <c r="S40" s="41">
        <v>10270</v>
      </c>
    </row>
    <row r="41" spans="2:19" ht="15">
      <c r="B41" s="346"/>
      <c r="C41" s="371"/>
      <c r="D41" s="371"/>
      <c r="E41" s="372"/>
      <c r="F41" s="372"/>
      <c r="G41" s="462" t="s">
        <v>358</v>
      </c>
      <c r="H41" s="646">
        <v>10</v>
      </c>
      <c r="I41" s="463" t="s">
        <v>106</v>
      </c>
      <c r="J41" s="435">
        <v>9000</v>
      </c>
      <c r="K41" s="660">
        <f t="shared" si="1"/>
        <v>90000</v>
      </c>
      <c r="L41" s="564"/>
      <c r="M41" s="468"/>
      <c r="N41" s="309">
        <f t="shared" si="0"/>
        <v>90000</v>
      </c>
      <c r="O41" s="306"/>
      <c r="P41" s="306"/>
      <c r="Q41" s="306"/>
      <c r="R41" s="306"/>
      <c r="S41" s="41">
        <v>15425</v>
      </c>
    </row>
    <row r="42" spans="2:19" ht="15">
      <c r="B42" s="346"/>
      <c r="C42" s="371"/>
      <c r="D42" s="371"/>
      <c r="E42" s="372"/>
      <c r="F42" s="372"/>
      <c r="G42" s="462" t="s">
        <v>359</v>
      </c>
      <c r="H42" s="646">
        <v>5</v>
      </c>
      <c r="I42" s="463" t="s">
        <v>106</v>
      </c>
      <c r="J42" s="435">
        <v>12000</v>
      </c>
      <c r="K42" s="660">
        <f t="shared" si="1"/>
        <v>60000</v>
      </c>
      <c r="L42" s="564"/>
      <c r="M42" s="468"/>
      <c r="N42" s="309">
        <f t="shared" si="0"/>
        <v>60000</v>
      </c>
      <c r="O42" s="306"/>
      <c r="P42" s="306"/>
      <c r="Q42" s="306"/>
      <c r="R42" s="306"/>
      <c r="S42" s="41">
        <v>25875</v>
      </c>
    </row>
    <row r="43" spans="2:19" ht="15">
      <c r="B43" s="346"/>
      <c r="C43" s="371"/>
      <c r="D43" s="371"/>
      <c r="E43" s="372"/>
      <c r="F43" s="372"/>
      <c r="G43" s="462" t="s">
        <v>779</v>
      </c>
      <c r="H43" s="646">
        <v>10</v>
      </c>
      <c r="I43" s="463" t="s">
        <v>106</v>
      </c>
      <c r="J43" s="435">
        <v>3000</v>
      </c>
      <c r="K43" s="660">
        <f t="shared" si="1"/>
        <v>30000</v>
      </c>
      <c r="L43" s="564"/>
      <c r="M43" s="468"/>
      <c r="N43" s="309">
        <f t="shared" si="0"/>
        <v>30000</v>
      </c>
      <c r="O43" s="306"/>
      <c r="P43" s="306"/>
      <c r="Q43" s="306"/>
      <c r="R43" s="306"/>
      <c r="S43" s="41">
        <v>1620</v>
      </c>
    </row>
    <row r="44" spans="2:19" ht="15">
      <c r="B44" s="346"/>
      <c r="C44" s="371"/>
      <c r="D44" s="371"/>
      <c r="E44" s="372"/>
      <c r="F44" s="372"/>
      <c r="G44" s="462" t="s">
        <v>369</v>
      </c>
      <c r="H44" s="646">
        <v>50</v>
      </c>
      <c r="I44" s="463" t="s">
        <v>106</v>
      </c>
      <c r="J44" s="435">
        <v>50000</v>
      </c>
      <c r="K44" s="660">
        <f t="shared" si="1"/>
        <v>2500000</v>
      </c>
      <c r="L44" s="564"/>
      <c r="M44" s="468"/>
      <c r="N44" s="309">
        <f t="shared" si="0"/>
        <v>2500000</v>
      </c>
      <c r="O44" s="306"/>
      <c r="P44" s="306"/>
      <c r="Q44" s="306"/>
      <c r="R44" s="306"/>
      <c r="S44" s="41">
        <v>25300</v>
      </c>
    </row>
    <row r="45" spans="2:19" ht="15">
      <c r="B45" s="346"/>
      <c r="C45" s="371"/>
      <c r="D45" s="371"/>
      <c r="E45" s="372"/>
      <c r="F45" s="372"/>
      <c r="G45" s="462" t="s">
        <v>368</v>
      </c>
      <c r="H45" s="646">
        <v>10</v>
      </c>
      <c r="I45" s="463" t="s">
        <v>106</v>
      </c>
      <c r="J45" s="435">
        <v>70000</v>
      </c>
      <c r="K45" s="660">
        <f t="shared" si="1"/>
        <v>700000</v>
      </c>
      <c r="L45" s="1034"/>
      <c r="M45" s="468"/>
      <c r="N45" s="309">
        <f t="shared" si="0"/>
        <v>700000</v>
      </c>
      <c r="O45" s="306"/>
      <c r="P45" s="306"/>
      <c r="Q45" s="306"/>
      <c r="R45" s="306"/>
      <c r="S45" s="41">
        <v>24500</v>
      </c>
    </row>
    <row r="46" spans="2:19" s="2033" customFormat="1" ht="15">
      <c r="B46" s="2606"/>
      <c r="C46" s="2485"/>
      <c r="D46" s="2485"/>
      <c r="E46" s="2486"/>
      <c r="F46" s="2486"/>
      <c r="G46" s="2619" t="s">
        <v>351</v>
      </c>
      <c r="H46" s="2608">
        <v>15</v>
      </c>
      <c r="I46" s="2609" t="s">
        <v>312</v>
      </c>
      <c r="J46" s="2691">
        <v>155000</v>
      </c>
      <c r="K46" s="2692">
        <f t="shared" si="1"/>
        <v>2325000</v>
      </c>
      <c r="L46" s="2491"/>
      <c r="M46" s="2693"/>
      <c r="N46" s="2502">
        <f t="shared" si="0"/>
        <v>2325000</v>
      </c>
      <c r="O46" s="2480"/>
      <c r="P46" s="2480"/>
      <c r="Q46" s="2480"/>
      <c r="R46" s="2480"/>
      <c r="S46" s="2040">
        <v>273000</v>
      </c>
    </row>
    <row r="47" spans="2:19" ht="15">
      <c r="B47" s="346"/>
      <c r="C47" s="371"/>
      <c r="D47" s="371"/>
      <c r="E47" s="372"/>
      <c r="F47" s="372"/>
      <c r="G47" s="462" t="s">
        <v>353</v>
      </c>
      <c r="H47" s="646">
        <v>10</v>
      </c>
      <c r="I47" s="463" t="s">
        <v>354</v>
      </c>
      <c r="J47" s="435">
        <v>42000</v>
      </c>
      <c r="K47" s="660">
        <f t="shared" si="1"/>
        <v>420000</v>
      </c>
      <c r="L47" s="564"/>
      <c r="M47" s="468"/>
      <c r="N47" s="309">
        <f t="shared" si="0"/>
        <v>420000</v>
      </c>
      <c r="O47" s="306"/>
      <c r="P47" s="306"/>
      <c r="Q47" s="306"/>
      <c r="R47" s="306"/>
      <c r="S47" s="41">
        <v>20000</v>
      </c>
    </row>
    <row r="48" spans="2:19" ht="15">
      <c r="B48" s="346"/>
      <c r="C48" s="371"/>
      <c r="D48" s="371"/>
      <c r="E48" s="372"/>
      <c r="F48" s="372"/>
      <c r="G48" s="462" t="s">
        <v>360</v>
      </c>
      <c r="H48" s="646">
        <v>20</v>
      </c>
      <c r="I48" s="463" t="s">
        <v>106</v>
      </c>
      <c r="J48" s="435">
        <v>13000</v>
      </c>
      <c r="K48" s="660">
        <f t="shared" si="1"/>
        <v>260000</v>
      </c>
      <c r="L48" s="564"/>
      <c r="M48" s="468"/>
      <c r="N48" s="309">
        <f t="shared" si="0"/>
        <v>260000</v>
      </c>
      <c r="O48" s="306"/>
      <c r="P48" s="306"/>
      <c r="Q48" s="306"/>
      <c r="R48" s="306"/>
      <c r="S48" s="41">
        <v>10000</v>
      </c>
    </row>
    <row r="49" spans="2:19" ht="15">
      <c r="B49" s="346"/>
      <c r="C49" s="371"/>
      <c r="D49" s="371"/>
      <c r="E49" s="372"/>
      <c r="F49" s="372"/>
      <c r="G49" s="462" t="s">
        <v>1060</v>
      </c>
      <c r="H49" s="646">
        <v>5</v>
      </c>
      <c r="I49" s="463" t="s">
        <v>106</v>
      </c>
      <c r="J49" s="435">
        <v>4000</v>
      </c>
      <c r="K49" s="660">
        <f>H49*J49</f>
        <v>20000</v>
      </c>
      <c r="L49" s="564"/>
      <c r="M49" s="468"/>
      <c r="N49" s="309">
        <f t="shared" si="0"/>
        <v>20000</v>
      </c>
      <c r="O49" s="306"/>
      <c r="P49" s="306"/>
      <c r="Q49" s="306"/>
      <c r="R49" s="306"/>
      <c r="S49" s="41">
        <v>2310</v>
      </c>
    </row>
    <row r="50" spans="2:19" ht="15">
      <c r="B50" s="346"/>
      <c r="C50" s="371"/>
      <c r="D50" s="371"/>
      <c r="E50" s="372"/>
      <c r="F50" s="372"/>
      <c r="G50" s="462" t="s">
        <v>1061</v>
      </c>
      <c r="H50" s="646">
        <v>5</v>
      </c>
      <c r="I50" s="463" t="s">
        <v>106</v>
      </c>
      <c r="J50" s="435">
        <v>7000</v>
      </c>
      <c r="K50" s="660">
        <f t="shared" si="1"/>
        <v>35000</v>
      </c>
      <c r="L50" s="564"/>
      <c r="M50" s="468"/>
      <c r="N50" s="309">
        <f t="shared" si="0"/>
        <v>35000</v>
      </c>
      <c r="O50" s="306"/>
      <c r="P50" s="306"/>
      <c r="Q50" s="306"/>
      <c r="R50" s="306"/>
      <c r="S50" s="41">
        <v>2310</v>
      </c>
    </row>
    <row r="51" spans="2:19" ht="15">
      <c r="B51" s="346"/>
      <c r="C51" s="371"/>
      <c r="D51" s="371"/>
      <c r="E51" s="372"/>
      <c r="F51" s="372"/>
      <c r="G51" s="462" t="s">
        <v>1062</v>
      </c>
      <c r="H51" s="646">
        <v>5</v>
      </c>
      <c r="I51" s="463" t="s">
        <v>106</v>
      </c>
      <c r="J51" s="435">
        <v>11000</v>
      </c>
      <c r="K51" s="660">
        <f t="shared" ref="K51:K57" si="2">H51*J51</f>
        <v>55000</v>
      </c>
      <c r="L51" s="564"/>
      <c r="M51" s="468"/>
      <c r="N51" s="309">
        <f t="shared" si="0"/>
        <v>55000</v>
      </c>
      <c r="O51" s="378"/>
      <c r="P51" s="378"/>
      <c r="Q51" s="378"/>
      <c r="R51" s="378"/>
      <c r="S51" s="41">
        <v>5245</v>
      </c>
    </row>
    <row r="52" spans="2:19" ht="15">
      <c r="B52" s="346"/>
      <c r="C52" s="371"/>
      <c r="D52" s="371"/>
      <c r="E52" s="372"/>
      <c r="F52" s="372"/>
      <c r="G52" s="462" t="s">
        <v>914</v>
      </c>
      <c r="H52" s="646">
        <v>10</v>
      </c>
      <c r="I52" s="463" t="s">
        <v>915</v>
      </c>
      <c r="J52" s="435">
        <v>30000</v>
      </c>
      <c r="K52" s="660">
        <f t="shared" si="2"/>
        <v>300000</v>
      </c>
      <c r="L52" s="564"/>
      <c r="M52" s="468"/>
      <c r="N52" s="309">
        <f t="shared" si="0"/>
        <v>300000</v>
      </c>
      <c r="O52" s="378"/>
      <c r="P52" s="378"/>
      <c r="Q52" s="378"/>
      <c r="R52" s="378"/>
    </row>
    <row r="53" spans="2:19" ht="15">
      <c r="B53" s="346"/>
      <c r="C53" s="371"/>
      <c r="D53" s="371"/>
      <c r="E53" s="372"/>
      <c r="F53" s="372"/>
      <c r="G53" s="462" t="s">
        <v>916</v>
      </c>
      <c r="H53" s="646">
        <v>5</v>
      </c>
      <c r="I53" s="463" t="s">
        <v>915</v>
      </c>
      <c r="J53" s="435">
        <v>40000</v>
      </c>
      <c r="K53" s="660">
        <f t="shared" si="2"/>
        <v>200000</v>
      </c>
      <c r="L53" s="564"/>
      <c r="M53" s="468"/>
      <c r="N53" s="309">
        <f t="shared" si="0"/>
        <v>200000</v>
      </c>
      <c r="O53" s="378"/>
      <c r="P53" s="378"/>
      <c r="Q53" s="378"/>
      <c r="R53" s="378"/>
    </row>
    <row r="54" spans="2:19" ht="15">
      <c r="B54" s="346"/>
      <c r="C54" s="371"/>
      <c r="D54" s="371"/>
      <c r="E54" s="372"/>
      <c r="F54" s="372"/>
      <c r="G54" s="462" t="s">
        <v>1063</v>
      </c>
      <c r="H54" s="646">
        <v>5</v>
      </c>
      <c r="I54" s="463" t="s">
        <v>915</v>
      </c>
      <c r="J54" s="435">
        <v>60000</v>
      </c>
      <c r="K54" s="660">
        <f t="shared" si="2"/>
        <v>300000</v>
      </c>
      <c r="L54" s="564"/>
      <c r="M54" s="468"/>
      <c r="N54" s="309">
        <f t="shared" si="0"/>
        <v>300000</v>
      </c>
      <c r="O54" s="378"/>
      <c r="P54" s="378"/>
      <c r="Q54" s="378"/>
      <c r="R54" s="378"/>
    </row>
    <row r="55" spans="2:19" ht="15">
      <c r="B55" s="346"/>
      <c r="C55" s="371"/>
      <c r="D55" s="371"/>
      <c r="E55" s="372"/>
      <c r="F55" s="372"/>
      <c r="G55" s="462" t="s">
        <v>1064</v>
      </c>
      <c r="H55" s="646">
        <v>5</v>
      </c>
      <c r="I55" s="463" t="s">
        <v>915</v>
      </c>
      <c r="J55" s="435">
        <v>90000</v>
      </c>
      <c r="K55" s="660">
        <f t="shared" si="2"/>
        <v>450000</v>
      </c>
      <c r="L55" s="564"/>
      <c r="M55" s="468"/>
      <c r="N55" s="309">
        <f t="shared" si="0"/>
        <v>450000</v>
      </c>
      <c r="O55" s="378"/>
      <c r="P55" s="378"/>
      <c r="Q55" s="378"/>
      <c r="R55" s="378"/>
    </row>
    <row r="56" spans="2:19" ht="15">
      <c r="B56" s="346"/>
      <c r="C56" s="371"/>
      <c r="D56" s="371"/>
      <c r="E56" s="372"/>
      <c r="F56" s="372"/>
      <c r="G56" s="462" t="s">
        <v>1065</v>
      </c>
      <c r="H56" s="646">
        <v>5</v>
      </c>
      <c r="I56" s="463" t="s">
        <v>915</v>
      </c>
      <c r="J56" s="435">
        <v>145000</v>
      </c>
      <c r="K56" s="660">
        <f t="shared" si="2"/>
        <v>725000</v>
      </c>
      <c r="L56" s="564"/>
      <c r="M56" s="468"/>
      <c r="N56" s="309">
        <f t="shared" si="0"/>
        <v>725000</v>
      </c>
      <c r="O56" s="378"/>
      <c r="P56" s="378"/>
      <c r="Q56" s="378"/>
      <c r="R56" s="378"/>
    </row>
    <row r="57" spans="2:19" ht="15">
      <c r="B57" s="346"/>
      <c r="C57" s="371"/>
      <c r="D57" s="371"/>
      <c r="E57" s="372"/>
      <c r="F57" s="372"/>
      <c r="G57" s="462" t="s">
        <v>1066</v>
      </c>
      <c r="H57" s="646">
        <v>5</v>
      </c>
      <c r="I57" s="463" t="s">
        <v>915</v>
      </c>
      <c r="J57" s="435">
        <v>175000</v>
      </c>
      <c r="K57" s="660">
        <f t="shared" si="2"/>
        <v>875000</v>
      </c>
      <c r="L57" s="564"/>
      <c r="M57" s="468"/>
      <c r="N57" s="309">
        <f t="shared" si="0"/>
        <v>875000</v>
      </c>
      <c r="O57" s="378"/>
      <c r="P57" s="378"/>
      <c r="Q57" s="378"/>
      <c r="R57" s="378"/>
    </row>
    <row r="58" spans="2:19" ht="15">
      <c r="B58" s="346"/>
      <c r="C58" s="371"/>
      <c r="D58" s="371"/>
      <c r="E58" s="372"/>
      <c r="F58" s="372"/>
      <c r="G58" s="462" t="s">
        <v>784</v>
      </c>
      <c r="H58" s="646">
        <v>20</v>
      </c>
      <c r="I58" s="463" t="s">
        <v>106</v>
      </c>
      <c r="J58" s="435">
        <v>2000</v>
      </c>
      <c r="K58" s="660">
        <f t="shared" si="1"/>
        <v>40000</v>
      </c>
      <c r="L58" s="564"/>
      <c r="M58" s="468"/>
      <c r="N58" s="309">
        <f t="shared" si="0"/>
        <v>40000</v>
      </c>
      <c r="O58" s="306"/>
      <c r="P58" s="306"/>
      <c r="Q58" s="306"/>
      <c r="R58" s="306"/>
      <c r="S58" s="41">
        <v>1005</v>
      </c>
    </row>
    <row r="59" spans="2:19" ht="15">
      <c r="B59" s="346"/>
      <c r="C59" s="371"/>
      <c r="D59" s="371"/>
      <c r="E59" s="372"/>
      <c r="F59" s="372"/>
      <c r="G59" s="462" t="s">
        <v>783</v>
      </c>
      <c r="H59" s="646">
        <v>10</v>
      </c>
      <c r="I59" s="463" t="s">
        <v>106</v>
      </c>
      <c r="J59" s="435">
        <v>3000</v>
      </c>
      <c r="K59" s="660">
        <f>H59*J59</f>
        <v>30000</v>
      </c>
      <c r="L59" s="564"/>
      <c r="M59" s="468"/>
      <c r="N59" s="309">
        <f t="shared" si="0"/>
        <v>30000</v>
      </c>
      <c r="O59" s="378"/>
      <c r="P59" s="378"/>
      <c r="Q59" s="378"/>
      <c r="R59" s="378"/>
      <c r="S59" s="41">
        <v>1335</v>
      </c>
    </row>
    <row r="60" spans="2:19" ht="15">
      <c r="B60" s="346"/>
      <c r="C60" s="371"/>
      <c r="D60" s="371"/>
      <c r="E60" s="372"/>
      <c r="F60" s="372"/>
      <c r="G60" s="462" t="s">
        <v>785</v>
      </c>
      <c r="H60" s="646">
        <v>10</v>
      </c>
      <c r="I60" s="463" t="s">
        <v>106</v>
      </c>
      <c r="J60" s="435">
        <v>5000</v>
      </c>
      <c r="K60" s="660">
        <f>H60*J60</f>
        <v>50000</v>
      </c>
      <c r="L60" s="564"/>
      <c r="M60" s="468"/>
      <c r="N60" s="309">
        <f t="shared" si="0"/>
        <v>50000</v>
      </c>
      <c r="O60" s="378"/>
      <c r="P60" s="378"/>
      <c r="Q60" s="378"/>
      <c r="R60" s="378"/>
      <c r="S60" s="41">
        <v>2060</v>
      </c>
    </row>
    <row r="61" spans="2:19" ht="15">
      <c r="B61" s="346"/>
      <c r="C61" s="371"/>
      <c r="D61" s="371"/>
      <c r="E61" s="372"/>
      <c r="F61" s="372"/>
      <c r="G61" s="462" t="s">
        <v>786</v>
      </c>
      <c r="H61" s="646">
        <v>10</v>
      </c>
      <c r="I61" s="463" t="s">
        <v>106</v>
      </c>
      <c r="J61" s="435">
        <v>7000</v>
      </c>
      <c r="K61" s="660">
        <f>H61*J61</f>
        <v>70000</v>
      </c>
      <c r="L61" s="564"/>
      <c r="M61" s="468"/>
      <c r="N61" s="309">
        <f t="shared" si="0"/>
        <v>70000</v>
      </c>
      <c r="O61" s="378"/>
      <c r="P61" s="378"/>
      <c r="Q61" s="378"/>
      <c r="R61" s="378"/>
      <c r="S61" s="41">
        <v>8015</v>
      </c>
    </row>
    <row r="62" spans="2:19" ht="15">
      <c r="B62" s="346"/>
      <c r="C62" s="371"/>
      <c r="D62" s="371"/>
      <c r="E62" s="372"/>
      <c r="F62" s="372"/>
      <c r="G62" s="462" t="s">
        <v>787</v>
      </c>
      <c r="H62" s="646">
        <v>10</v>
      </c>
      <c r="I62" s="463" t="s">
        <v>106</v>
      </c>
      <c r="J62" s="435">
        <v>3000</v>
      </c>
      <c r="K62" s="660">
        <f t="shared" si="1"/>
        <v>30000</v>
      </c>
      <c r="L62" s="564"/>
      <c r="M62" s="468"/>
      <c r="N62" s="309">
        <f t="shared" si="0"/>
        <v>30000</v>
      </c>
      <c r="O62" s="306"/>
      <c r="P62" s="306"/>
      <c r="Q62" s="306"/>
      <c r="R62" s="306"/>
      <c r="S62" s="41">
        <v>1690</v>
      </c>
    </row>
    <row r="63" spans="2:19" ht="15">
      <c r="B63" s="346"/>
      <c r="C63" s="371"/>
      <c r="D63" s="371"/>
      <c r="E63" s="372"/>
      <c r="F63" s="372"/>
      <c r="G63" s="462" t="s">
        <v>788</v>
      </c>
      <c r="H63" s="646">
        <v>10</v>
      </c>
      <c r="I63" s="463" t="s">
        <v>106</v>
      </c>
      <c r="J63" s="435">
        <v>4000</v>
      </c>
      <c r="K63" s="660">
        <f>H63*J63</f>
        <v>40000</v>
      </c>
      <c r="L63" s="564"/>
      <c r="M63" s="468"/>
      <c r="N63" s="309">
        <f t="shared" si="0"/>
        <v>40000</v>
      </c>
      <c r="O63" s="378"/>
      <c r="P63" s="378"/>
      <c r="Q63" s="378"/>
      <c r="R63" s="378"/>
      <c r="S63" s="41">
        <v>2335</v>
      </c>
    </row>
    <row r="64" spans="2:19" ht="15">
      <c r="B64" s="346"/>
      <c r="C64" s="371"/>
      <c r="D64" s="371"/>
      <c r="E64" s="372"/>
      <c r="F64" s="372"/>
      <c r="G64" s="462" t="s">
        <v>789</v>
      </c>
      <c r="H64" s="646">
        <v>10</v>
      </c>
      <c r="I64" s="463" t="s">
        <v>106</v>
      </c>
      <c r="J64" s="435">
        <v>6000</v>
      </c>
      <c r="K64" s="660">
        <f>H64*J64</f>
        <v>60000</v>
      </c>
      <c r="L64" s="564"/>
      <c r="M64" s="468"/>
      <c r="N64" s="309">
        <f t="shared" si="0"/>
        <v>60000</v>
      </c>
      <c r="O64" s="378"/>
      <c r="P64" s="378"/>
      <c r="Q64" s="378"/>
      <c r="R64" s="378"/>
      <c r="S64" s="41">
        <v>3880</v>
      </c>
    </row>
    <row r="65" spans="2:19" ht="15">
      <c r="B65" s="346"/>
      <c r="C65" s="371"/>
      <c r="D65" s="371"/>
      <c r="E65" s="372"/>
      <c r="F65" s="372"/>
      <c r="G65" s="462" t="s">
        <v>790</v>
      </c>
      <c r="H65" s="646">
        <v>10</v>
      </c>
      <c r="I65" s="463" t="s">
        <v>106</v>
      </c>
      <c r="J65" s="435">
        <v>9000</v>
      </c>
      <c r="K65" s="660">
        <f>H65*J65</f>
        <v>90000</v>
      </c>
      <c r="L65" s="564"/>
      <c r="M65" s="468"/>
      <c r="N65" s="309">
        <f t="shared" si="0"/>
        <v>90000</v>
      </c>
      <c r="O65" s="378"/>
      <c r="P65" s="378"/>
      <c r="Q65" s="378"/>
      <c r="R65" s="378"/>
      <c r="S65" s="41">
        <v>13740</v>
      </c>
    </row>
    <row r="66" spans="2:19" ht="15">
      <c r="B66" s="346"/>
      <c r="C66" s="371"/>
      <c r="D66" s="371"/>
      <c r="E66" s="372"/>
      <c r="F66" s="372"/>
      <c r="G66" s="462" t="s">
        <v>912</v>
      </c>
      <c r="H66" s="646">
        <v>50</v>
      </c>
      <c r="I66" s="463" t="s">
        <v>82</v>
      </c>
      <c r="J66" s="435">
        <v>6000</v>
      </c>
      <c r="K66" s="660">
        <f>H66*J66</f>
        <v>300000</v>
      </c>
      <c r="L66" s="564"/>
      <c r="M66" s="468"/>
      <c r="N66" s="309">
        <f t="shared" si="0"/>
        <v>300000</v>
      </c>
      <c r="O66" s="378"/>
      <c r="P66" s="378"/>
      <c r="Q66" s="378"/>
      <c r="R66" s="378"/>
    </row>
    <row r="67" spans="2:19" s="2033" customFormat="1" ht="15">
      <c r="B67" s="2606"/>
      <c r="C67" s="2485"/>
      <c r="D67" s="2485"/>
      <c r="E67" s="2486"/>
      <c r="F67" s="2486"/>
      <c r="G67" s="2619" t="s">
        <v>1067</v>
      </c>
      <c r="H67" s="2608">
        <v>50</v>
      </c>
      <c r="I67" s="2609" t="s">
        <v>82</v>
      </c>
      <c r="J67" s="2691">
        <v>8000</v>
      </c>
      <c r="K67" s="2692">
        <f>H67*J67</f>
        <v>400000</v>
      </c>
      <c r="L67" s="2491"/>
      <c r="M67" s="2693"/>
      <c r="N67" s="2502">
        <f t="shared" si="0"/>
        <v>400000</v>
      </c>
      <c r="O67" s="2580"/>
      <c r="P67" s="2580"/>
      <c r="Q67" s="2580"/>
      <c r="R67" s="2580"/>
      <c r="S67" s="2040"/>
    </row>
    <row r="68" spans="2:19" ht="15">
      <c r="B68" s="346"/>
      <c r="C68" s="371"/>
      <c r="D68" s="371"/>
      <c r="E68" s="372"/>
      <c r="F68" s="372"/>
      <c r="G68" s="462" t="s">
        <v>349</v>
      </c>
      <c r="H68" s="646">
        <v>5</v>
      </c>
      <c r="I68" s="463" t="s">
        <v>106</v>
      </c>
      <c r="J68" s="435">
        <v>110000</v>
      </c>
      <c r="K68" s="660">
        <f t="shared" si="1"/>
        <v>550000</v>
      </c>
      <c r="L68" s="564"/>
      <c r="M68" s="468"/>
      <c r="N68" s="309">
        <f t="shared" si="0"/>
        <v>550000</v>
      </c>
      <c r="O68" s="306"/>
      <c r="P68" s="306"/>
      <c r="Q68" s="306"/>
      <c r="R68" s="306"/>
      <c r="S68" s="41">
        <v>153000</v>
      </c>
    </row>
    <row r="69" spans="2:19" ht="15">
      <c r="B69" s="346"/>
      <c r="C69" s="371"/>
      <c r="D69" s="371"/>
      <c r="E69" s="372"/>
      <c r="F69" s="372"/>
      <c r="G69" s="462" t="s">
        <v>352</v>
      </c>
      <c r="H69" s="646">
        <v>25</v>
      </c>
      <c r="I69" s="463" t="s">
        <v>106</v>
      </c>
      <c r="J69" s="435">
        <v>25000</v>
      </c>
      <c r="K69" s="660">
        <f t="shared" si="1"/>
        <v>625000</v>
      </c>
      <c r="L69" s="564"/>
      <c r="M69" s="468"/>
      <c r="N69" s="309">
        <f t="shared" si="0"/>
        <v>625000</v>
      </c>
      <c r="O69" s="306"/>
      <c r="P69" s="306"/>
      <c r="Q69" s="306"/>
      <c r="R69" s="306"/>
      <c r="S69" s="41">
        <v>35000</v>
      </c>
    </row>
    <row r="70" spans="2:19" ht="15">
      <c r="B70" s="346"/>
      <c r="C70" s="371"/>
      <c r="D70" s="371"/>
      <c r="E70" s="372"/>
      <c r="F70" s="372"/>
      <c r="G70" s="462" t="s">
        <v>791</v>
      </c>
      <c r="H70" s="646">
        <v>10</v>
      </c>
      <c r="I70" s="463" t="s">
        <v>106</v>
      </c>
      <c r="J70" s="435">
        <v>85000</v>
      </c>
      <c r="K70" s="660">
        <f>H70*J70</f>
        <v>850000</v>
      </c>
      <c r="L70" s="564"/>
      <c r="M70" s="468"/>
      <c r="N70" s="309">
        <f t="shared" si="0"/>
        <v>850000</v>
      </c>
      <c r="O70" s="378"/>
      <c r="P70" s="378"/>
      <c r="Q70" s="378"/>
      <c r="R70" s="378"/>
      <c r="S70" s="41">
        <v>260000</v>
      </c>
    </row>
    <row r="71" spans="2:19" ht="15">
      <c r="B71" s="346"/>
      <c r="C71" s="371"/>
      <c r="D71" s="371"/>
      <c r="E71" s="372"/>
      <c r="F71" s="372"/>
      <c r="G71" s="462" t="s">
        <v>913</v>
      </c>
      <c r="H71" s="646">
        <v>1</v>
      </c>
      <c r="I71" s="463" t="s">
        <v>107</v>
      </c>
      <c r="J71" s="435">
        <v>160000</v>
      </c>
      <c r="K71" s="660">
        <f>H71*J71</f>
        <v>160000</v>
      </c>
      <c r="L71" s="564"/>
      <c r="M71" s="468"/>
      <c r="N71" s="309">
        <f t="shared" si="0"/>
        <v>160000</v>
      </c>
      <c r="O71" s="378"/>
      <c r="P71" s="378"/>
      <c r="Q71" s="378"/>
      <c r="R71" s="378"/>
    </row>
    <row r="72" spans="2:19" s="2033" customFormat="1" ht="15">
      <c r="B72" s="2606"/>
      <c r="C72" s="2485"/>
      <c r="D72" s="2485"/>
      <c r="E72" s="2486"/>
      <c r="F72" s="2486"/>
      <c r="G72" s="2619" t="s">
        <v>355</v>
      </c>
      <c r="H72" s="2608">
        <v>50</v>
      </c>
      <c r="I72" s="2609" t="s">
        <v>106</v>
      </c>
      <c r="J72" s="2691">
        <v>3000</v>
      </c>
      <c r="K72" s="2692">
        <f t="shared" si="1"/>
        <v>150000</v>
      </c>
      <c r="L72" s="2491"/>
      <c r="M72" s="2693"/>
      <c r="N72" s="2502">
        <f t="shared" si="0"/>
        <v>150000</v>
      </c>
      <c r="O72" s="2480"/>
      <c r="P72" s="2480"/>
      <c r="Q72" s="2480"/>
      <c r="R72" s="2480"/>
      <c r="S72" s="2040">
        <v>2750</v>
      </c>
    </row>
    <row r="73" spans="2:19" ht="15">
      <c r="B73" s="346"/>
      <c r="C73" s="371"/>
      <c r="D73" s="371"/>
      <c r="E73" s="372"/>
      <c r="F73" s="372"/>
      <c r="G73" s="462" t="s">
        <v>795</v>
      </c>
      <c r="H73" s="646">
        <v>50</v>
      </c>
      <c r="I73" s="463" t="s">
        <v>782</v>
      </c>
      <c r="J73" s="435">
        <v>8000</v>
      </c>
      <c r="K73" s="660">
        <f t="shared" si="1"/>
        <v>400000</v>
      </c>
      <c r="L73" s="564"/>
      <c r="M73" s="468"/>
      <c r="N73" s="309">
        <f t="shared" si="0"/>
        <v>400000</v>
      </c>
      <c r="O73" s="306"/>
      <c r="P73" s="306"/>
      <c r="Q73" s="306"/>
      <c r="R73" s="306"/>
      <c r="S73" s="41">
        <v>15000</v>
      </c>
    </row>
    <row r="74" spans="2:19" ht="15">
      <c r="B74" s="346"/>
      <c r="C74" s="371"/>
      <c r="D74" s="371"/>
      <c r="E74" s="372"/>
      <c r="F74" s="372"/>
      <c r="G74" s="462" t="s">
        <v>781</v>
      </c>
      <c r="H74" s="646">
        <v>5</v>
      </c>
      <c r="I74" s="463" t="s">
        <v>106</v>
      </c>
      <c r="J74" s="435">
        <v>3000</v>
      </c>
      <c r="K74" s="660">
        <f t="shared" si="1"/>
        <v>15000</v>
      </c>
      <c r="L74" s="564"/>
      <c r="M74" s="468"/>
      <c r="N74" s="309">
        <f t="shared" si="0"/>
        <v>15000</v>
      </c>
      <c r="O74" s="306"/>
      <c r="P74" s="306"/>
      <c r="Q74" s="306"/>
      <c r="R74" s="306"/>
      <c r="S74" s="41">
        <v>970</v>
      </c>
    </row>
    <row r="75" spans="2:19" ht="15">
      <c r="B75" s="346"/>
      <c r="C75" s="371"/>
      <c r="D75" s="371"/>
      <c r="E75" s="372"/>
      <c r="F75" s="372"/>
      <c r="G75" s="462" t="s">
        <v>780</v>
      </c>
      <c r="H75" s="646">
        <v>5</v>
      </c>
      <c r="I75" s="463" t="s">
        <v>106</v>
      </c>
      <c r="J75" s="435">
        <v>3000</v>
      </c>
      <c r="K75" s="660">
        <f t="shared" si="1"/>
        <v>15000</v>
      </c>
      <c r="L75" s="564"/>
      <c r="M75" s="468"/>
      <c r="N75" s="309">
        <f t="shared" si="0"/>
        <v>15000</v>
      </c>
      <c r="O75" s="306"/>
      <c r="P75" s="306"/>
      <c r="Q75" s="306"/>
      <c r="R75" s="306"/>
      <c r="S75" s="41">
        <v>830</v>
      </c>
    </row>
    <row r="76" spans="2:19" ht="15">
      <c r="B76" s="346"/>
      <c r="C76" s="371"/>
      <c r="D76" s="371"/>
      <c r="E76" s="372"/>
      <c r="F76" s="372"/>
      <c r="G76" s="462" t="s">
        <v>350</v>
      </c>
      <c r="H76" s="646">
        <v>25</v>
      </c>
      <c r="I76" s="463" t="s">
        <v>106</v>
      </c>
      <c r="J76" s="435">
        <v>38000</v>
      </c>
      <c r="K76" s="660">
        <f t="shared" si="1"/>
        <v>950000</v>
      </c>
      <c r="L76" s="564"/>
      <c r="M76" s="468"/>
      <c r="N76" s="309">
        <f t="shared" si="0"/>
        <v>950000</v>
      </c>
      <c r="O76" s="306"/>
      <c r="P76" s="306"/>
      <c r="Q76" s="306"/>
      <c r="R76" s="306"/>
      <c r="S76" s="41">
        <v>150000</v>
      </c>
    </row>
    <row r="77" spans="2:19" ht="15">
      <c r="B77" s="346"/>
      <c r="C77" s="371"/>
      <c r="D77" s="371"/>
      <c r="E77" s="372"/>
      <c r="F77" s="372"/>
      <c r="G77" s="462" t="s">
        <v>1068</v>
      </c>
      <c r="H77" s="646">
        <v>5</v>
      </c>
      <c r="I77" s="463" t="s">
        <v>106</v>
      </c>
      <c r="J77" s="435">
        <v>45000</v>
      </c>
      <c r="K77" s="660">
        <f>H77*J77</f>
        <v>225000</v>
      </c>
      <c r="L77" s="564"/>
      <c r="M77" s="468"/>
      <c r="N77" s="309">
        <f t="shared" si="0"/>
        <v>225000</v>
      </c>
      <c r="O77" s="306"/>
      <c r="P77" s="306"/>
      <c r="Q77" s="306"/>
      <c r="R77" s="306"/>
      <c r="S77" s="41">
        <v>150000</v>
      </c>
    </row>
    <row r="78" spans="2:19" ht="14.25" customHeight="1">
      <c r="B78" s="427"/>
      <c r="C78" s="368"/>
      <c r="D78" s="368"/>
      <c r="E78" s="368"/>
      <c r="F78" s="372"/>
      <c r="G78" s="462" t="s">
        <v>797</v>
      </c>
      <c r="H78" s="646">
        <v>30</v>
      </c>
      <c r="I78" s="463" t="s">
        <v>106</v>
      </c>
      <c r="J78" s="464">
        <v>20000</v>
      </c>
      <c r="K78" s="660">
        <f t="shared" si="1"/>
        <v>600000</v>
      </c>
      <c r="L78" s="564"/>
      <c r="M78" s="468"/>
      <c r="N78" s="309">
        <f t="shared" si="0"/>
        <v>600000</v>
      </c>
      <c r="O78" s="378"/>
      <c r="P78" s="378"/>
      <c r="Q78" s="378"/>
      <c r="R78" s="378"/>
    </row>
    <row r="79" spans="2:19" ht="14.25" customHeight="1">
      <c r="B79" s="427"/>
      <c r="C79" s="368"/>
      <c r="D79" s="368"/>
      <c r="E79" s="368"/>
      <c r="F79" s="372"/>
      <c r="G79" s="462" t="s">
        <v>796</v>
      </c>
      <c r="H79" s="646">
        <v>80</v>
      </c>
      <c r="I79" s="463" t="s">
        <v>106</v>
      </c>
      <c r="J79" s="464">
        <v>3000</v>
      </c>
      <c r="K79" s="660">
        <f t="shared" si="1"/>
        <v>240000</v>
      </c>
      <c r="L79" s="564"/>
      <c r="M79" s="468"/>
      <c r="N79" s="309">
        <f t="shared" si="0"/>
        <v>240000</v>
      </c>
      <c r="O79" s="378"/>
      <c r="P79" s="378"/>
      <c r="Q79" s="378"/>
      <c r="R79" s="378"/>
    </row>
    <row r="80" spans="2:19" ht="14.25" customHeight="1">
      <c r="B80" s="427"/>
      <c r="C80" s="368"/>
      <c r="D80" s="368"/>
      <c r="E80" s="368"/>
      <c r="F80" s="372"/>
      <c r="G80" s="462" t="s">
        <v>798</v>
      </c>
      <c r="H80" s="646">
        <v>20</v>
      </c>
      <c r="I80" s="463" t="s">
        <v>106</v>
      </c>
      <c r="J80" s="464">
        <v>10000</v>
      </c>
      <c r="K80" s="660">
        <f t="shared" si="1"/>
        <v>200000</v>
      </c>
      <c r="L80" s="564"/>
      <c r="M80" s="468"/>
      <c r="N80" s="309">
        <f t="shared" si="0"/>
        <v>200000</v>
      </c>
      <c r="O80" s="378"/>
      <c r="P80" s="378"/>
      <c r="Q80" s="378"/>
      <c r="R80" s="378"/>
    </row>
    <row r="81" spans="2:19" s="2033" customFormat="1" ht="14.25" customHeight="1">
      <c r="B81" s="2546"/>
      <c r="C81" s="2547"/>
      <c r="D81" s="2547"/>
      <c r="E81" s="2547"/>
      <c r="F81" s="2486"/>
      <c r="G81" s="2619" t="s">
        <v>1069</v>
      </c>
      <c r="H81" s="2608">
        <v>15</v>
      </c>
      <c r="I81" s="2609" t="s">
        <v>106</v>
      </c>
      <c r="J81" s="2694">
        <v>120000</v>
      </c>
      <c r="K81" s="2692">
        <f t="shared" si="1"/>
        <v>1800000</v>
      </c>
      <c r="L81" s="2491"/>
      <c r="M81" s="2693"/>
      <c r="N81" s="2502">
        <f t="shared" si="0"/>
        <v>1800000</v>
      </c>
      <c r="O81" s="2580"/>
      <c r="P81" s="2580"/>
      <c r="Q81" s="2580"/>
      <c r="R81" s="2580"/>
      <c r="S81" s="2040"/>
    </row>
    <row r="82" spans="2:19" ht="14.25" customHeight="1">
      <c r="B82" s="427"/>
      <c r="C82" s="368"/>
      <c r="D82" s="368"/>
      <c r="E82" s="368"/>
      <c r="F82" s="372"/>
      <c r="G82" s="462" t="s">
        <v>1070</v>
      </c>
      <c r="H82" s="646">
        <v>5</v>
      </c>
      <c r="I82" s="463" t="s">
        <v>106</v>
      </c>
      <c r="J82" s="464">
        <v>17000</v>
      </c>
      <c r="K82" s="660">
        <f t="shared" si="1"/>
        <v>85000</v>
      </c>
      <c r="L82" s="564"/>
      <c r="M82" s="468"/>
      <c r="N82" s="309">
        <f t="shared" si="0"/>
        <v>85000</v>
      </c>
      <c r="O82" s="378"/>
      <c r="P82" s="378"/>
      <c r="Q82" s="378"/>
      <c r="R82" s="378"/>
    </row>
    <row r="83" spans="2:19" ht="14.25" customHeight="1">
      <c r="B83" s="427"/>
      <c r="C83" s="368"/>
      <c r="D83" s="368"/>
      <c r="E83" s="368"/>
      <c r="F83" s="372"/>
      <c r="G83" s="462" t="s">
        <v>1071</v>
      </c>
      <c r="H83" s="646">
        <v>2</v>
      </c>
      <c r="I83" s="463" t="s">
        <v>106</v>
      </c>
      <c r="J83" s="464">
        <v>35000</v>
      </c>
      <c r="K83" s="660">
        <f t="shared" si="1"/>
        <v>70000</v>
      </c>
      <c r="L83" s="564"/>
      <c r="M83" s="468"/>
      <c r="N83" s="309">
        <f t="shared" si="0"/>
        <v>70000</v>
      </c>
      <c r="O83" s="378"/>
      <c r="P83" s="378"/>
      <c r="Q83" s="378"/>
      <c r="R83" s="378"/>
    </row>
    <row r="84" spans="2:19" ht="14.25" customHeight="1">
      <c r="B84" s="427"/>
      <c r="C84" s="368"/>
      <c r="D84" s="368"/>
      <c r="E84" s="368"/>
      <c r="F84" s="372"/>
      <c r="G84" s="462" t="s">
        <v>1072</v>
      </c>
      <c r="H84" s="646">
        <v>1</v>
      </c>
      <c r="I84" s="463" t="s">
        <v>496</v>
      </c>
      <c r="J84" s="464">
        <v>980000</v>
      </c>
      <c r="K84" s="660">
        <f t="shared" si="1"/>
        <v>980000</v>
      </c>
      <c r="L84" s="564"/>
      <c r="M84" s="468"/>
      <c r="N84" s="309">
        <f t="shared" si="0"/>
        <v>980000</v>
      </c>
      <c r="O84" s="378"/>
      <c r="P84" s="378"/>
      <c r="Q84" s="378"/>
      <c r="R84" s="378"/>
    </row>
    <row r="85" spans="2:19" ht="14.25" customHeight="1">
      <c r="B85" s="427"/>
      <c r="C85" s="368"/>
      <c r="D85" s="368"/>
      <c r="E85" s="368"/>
      <c r="F85" s="368"/>
      <c r="G85" s="366"/>
      <c r="H85" s="956"/>
      <c r="I85" s="424"/>
      <c r="J85" s="369"/>
      <c r="K85" s="610"/>
      <c r="L85" s="564"/>
      <c r="M85" s="310"/>
      <c r="N85" s="309"/>
      <c r="O85" s="306"/>
      <c r="P85" s="306"/>
      <c r="Q85" s="306"/>
      <c r="R85" s="306"/>
    </row>
    <row r="86" spans="2:19" ht="15">
      <c r="B86" s="346">
        <v>5</v>
      </c>
      <c r="C86" s="371">
        <v>2</v>
      </c>
      <c r="D86" s="371">
        <v>2</v>
      </c>
      <c r="E86" s="372" t="s">
        <v>44</v>
      </c>
      <c r="F86" s="368"/>
      <c r="G86" s="381" t="s">
        <v>45</v>
      </c>
      <c r="H86" s="956"/>
      <c r="I86" s="424"/>
      <c r="J86" s="369"/>
      <c r="K86" s="610">
        <f>K87+K93</f>
        <v>45150000</v>
      </c>
      <c r="L86" s="564"/>
      <c r="M86" s="310"/>
      <c r="N86" s="309"/>
      <c r="O86" s="306"/>
      <c r="P86" s="306"/>
      <c r="Q86" s="306"/>
      <c r="R86" s="306"/>
    </row>
    <row r="87" spans="2:19" ht="15">
      <c r="B87" s="346">
        <v>5</v>
      </c>
      <c r="C87" s="371">
        <v>2</v>
      </c>
      <c r="D87" s="371">
        <v>2</v>
      </c>
      <c r="E87" s="372" t="s">
        <v>44</v>
      </c>
      <c r="F87" s="372" t="s">
        <v>81</v>
      </c>
      <c r="G87" s="381" t="s">
        <v>135</v>
      </c>
      <c r="H87" s="956"/>
      <c r="I87" s="368"/>
      <c r="J87" s="820"/>
      <c r="K87" s="854">
        <f>SUM(K88:K91)</f>
        <v>18000000</v>
      </c>
      <c r="L87" s="564"/>
      <c r="M87" s="310"/>
      <c r="N87" s="306"/>
      <c r="O87" s="306"/>
      <c r="P87" s="306"/>
      <c r="Q87" s="309"/>
      <c r="R87" s="306"/>
      <c r="S87" s="9"/>
    </row>
    <row r="88" spans="2:19" ht="15">
      <c r="B88" s="436"/>
      <c r="C88" s="1094"/>
      <c r="D88" s="1094"/>
      <c r="E88" s="437"/>
      <c r="F88" s="437"/>
      <c r="G88" s="851" t="s">
        <v>911</v>
      </c>
      <c r="H88" s="1017">
        <v>1</v>
      </c>
      <c r="I88" s="852" t="s">
        <v>29</v>
      </c>
      <c r="J88" s="853">
        <v>3000000</v>
      </c>
      <c r="K88" s="660">
        <f>H88*J88</f>
        <v>3000000</v>
      </c>
      <c r="L88" s="564"/>
      <c r="M88" s="811"/>
      <c r="N88" s="309">
        <f>K88</f>
        <v>3000000</v>
      </c>
      <c r="O88" s="378"/>
      <c r="P88" s="378"/>
      <c r="Q88" s="378"/>
      <c r="R88" s="378"/>
    </row>
    <row r="89" spans="2:19" ht="15">
      <c r="B89" s="436"/>
      <c r="C89" s="1094"/>
      <c r="D89" s="1094"/>
      <c r="E89" s="437"/>
      <c r="F89" s="437"/>
      <c r="G89" s="851" t="s">
        <v>993</v>
      </c>
      <c r="H89" s="1017">
        <v>2</v>
      </c>
      <c r="I89" s="852" t="s">
        <v>29</v>
      </c>
      <c r="J89" s="853">
        <v>3000000</v>
      </c>
      <c r="K89" s="660">
        <f>H89*J89</f>
        <v>6000000</v>
      </c>
      <c r="L89" s="564"/>
      <c r="M89" s="811"/>
      <c r="N89" s="309">
        <f t="shared" ref="N89:N91" si="3">K89</f>
        <v>6000000</v>
      </c>
      <c r="O89" s="378"/>
      <c r="P89" s="378"/>
      <c r="Q89" s="378"/>
      <c r="R89" s="378"/>
    </row>
    <row r="90" spans="2:19" ht="15">
      <c r="B90" s="436"/>
      <c r="C90" s="1094"/>
      <c r="D90" s="1094"/>
      <c r="E90" s="437"/>
      <c r="F90" s="437"/>
      <c r="G90" s="851" t="s">
        <v>992</v>
      </c>
      <c r="H90" s="1017">
        <v>3</v>
      </c>
      <c r="I90" s="852" t="s">
        <v>285</v>
      </c>
      <c r="J90" s="853">
        <v>1500000</v>
      </c>
      <c r="K90" s="660">
        <f>H90*J90</f>
        <v>4500000</v>
      </c>
      <c r="L90" s="564"/>
      <c r="M90" s="811"/>
      <c r="N90" s="309">
        <f t="shared" si="3"/>
        <v>4500000</v>
      </c>
      <c r="O90" s="378"/>
      <c r="P90" s="378"/>
      <c r="Q90" s="378"/>
      <c r="R90" s="378"/>
    </row>
    <row r="91" spans="2:19" ht="15">
      <c r="B91" s="436"/>
      <c r="C91" s="1094"/>
      <c r="D91" s="1094"/>
      <c r="E91" s="437"/>
      <c r="F91" s="437"/>
      <c r="G91" s="851" t="s">
        <v>1172</v>
      </c>
      <c r="H91" s="1017">
        <v>3</v>
      </c>
      <c r="I91" s="852" t="s">
        <v>285</v>
      </c>
      <c r="J91" s="853">
        <v>1500000</v>
      </c>
      <c r="K91" s="660">
        <f>H91*J91</f>
        <v>4500000</v>
      </c>
      <c r="L91" s="564"/>
      <c r="M91" s="811"/>
      <c r="N91" s="309">
        <f t="shared" si="3"/>
        <v>4500000</v>
      </c>
      <c r="O91" s="378"/>
      <c r="P91" s="378"/>
      <c r="Q91" s="378"/>
      <c r="R91" s="378"/>
    </row>
    <row r="92" spans="2:19" ht="15">
      <c r="B92" s="346"/>
      <c r="C92" s="371"/>
      <c r="D92" s="371"/>
      <c r="E92" s="372"/>
      <c r="F92" s="372"/>
      <c r="G92" s="381"/>
      <c r="H92" s="956"/>
      <c r="I92" s="368"/>
      <c r="J92" s="820"/>
      <c r="K92" s="854"/>
      <c r="L92" s="564"/>
      <c r="M92" s="569"/>
      <c r="N92" s="309"/>
      <c r="O92" s="378"/>
      <c r="P92" s="378"/>
      <c r="Q92" s="466"/>
      <c r="R92" s="378"/>
      <c r="S92" s="9"/>
    </row>
    <row r="93" spans="2:19">
      <c r="B93" s="427">
        <v>5</v>
      </c>
      <c r="C93" s="368">
        <v>2</v>
      </c>
      <c r="D93" s="368">
        <v>2</v>
      </c>
      <c r="E93" s="428" t="s">
        <v>44</v>
      </c>
      <c r="F93" s="368">
        <v>20</v>
      </c>
      <c r="G93" s="366" t="s">
        <v>2142</v>
      </c>
      <c r="H93" s="956"/>
      <c r="I93" s="368"/>
      <c r="J93" s="369"/>
      <c r="K93" s="370">
        <f>SUM(K94:K97)</f>
        <v>27150000</v>
      </c>
      <c r="L93" s="564"/>
      <c r="M93" s="305"/>
      <c r="N93" s="305"/>
      <c r="O93" s="305"/>
      <c r="P93" s="305"/>
      <c r="Q93" s="303"/>
      <c r="R93" s="303"/>
      <c r="S93" s="9"/>
    </row>
    <row r="94" spans="2:19" ht="15">
      <c r="B94" s="436"/>
      <c r="C94" s="1094"/>
      <c r="D94" s="1094"/>
      <c r="E94" s="437"/>
      <c r="F94" s="437"/>
      <c r="G94" s="851" t="s">
        <v>266</v>
      </c>
      <c r="H94" s="1017">
        <v>12</v>
      </c>
      <c r="I94" s="852" t="s">
        <v>64</v>
      </c>
      <c r="J94" s="853">
        <v>700000</v>
      </c>
      <c r="K94" s="660">
        <f>H94*J94</f>
        <v>8400000</v>
      </c>
      <c r="L94" s="564"/>
      <c r="M94" s="663"/>
      <c r="N94" s="309">
        <f>K94</f>
        <v>8400000</v>
      </c>
      <c r="O94" s="306"/>
      <c r="P94" s="306"/>
      <c r="Q94" s="306"/>
      <c r="R94" s="306"/>
    </row>
    <row r="95" spans="2:19" ht="15">
      <c r="B95" s="346"/>
      <c r="C95" s="371"/>
      <c r="D95" s="371"/>
      <c r="E95" s="372"/>
      <c r="F95" s="372"/>
      <c r="G95" s="373" t="s">
        <v>284</v>
      </c>
      <c r="H95" s="1025">
        <v>50</v>
      </c>
      <c r="I95" s="1151" t="s">
        <v>285</v>
      </c>
      <c r="J95" s="619">
        <v>275000</v>
      </c>
      <c r="K95" s="660">
        <f>H95*J95</f>
        <v>13750000</v>
      </c>
      <c r="L95" s="564"/>
      <c r="M95" s="663"/>
      <c r="N95" s="309">
        <f t="shared" ref="N95:N96" si="4">K95</f>
        <v>13750000</v>
      </c>
      <c r="O95" s="306"/>
      <c r="P95" s="306"/>
      <c r="Q95" s="306"/>
      <c r="R95" s="306"/>
    </row>
    <row r="96" spans="2:19" ht="15">
      <c r="B96" s="436"/>
      <c r="C96" s="1094"/>
      <c r="D96" s="1094"/>
      <c r="E96" s="437"/>
      <c r="F96" s="437"/>
      <c r="G96" s="851" t="s">
        <v>1052</v>
      </c>
      <c r="H96" s="1017">
        <v>1</v>
      </c>
      <c r="I96" s="852" t="s">
        <v>147</v>
      </c>
      <c r="J96" s="853">
        <v>5000000</v>
      </c>
      <c r="K96" s="660">
        <f>H96*J96</f>
        <v>5000000</v>
      </c>
      <c r="L96" s="564"/>
      <c r="M96" s="663"/>
      <c r="N96" s="309">
        <f t="shared" si="4"/>
        <v>5000000</v>
      </c>
      <c r="O96" s="306"/>
      <c r="P96" s="306"/>
      <c r="Q96" s="306"/>
      <c r="R96" s="306"/>
    </row>
    <row r="97" spans="2:19" ht="15">
      <c r="B97" s="436"/>
      <c r="C97" s="1094"/>
      <c r="D97" s="1094"/>
      <c r="E97" s="437"/>
      <c r="F97" s="437"/>
      <c r="G97" s="851"/>
      <c r="H97" s="1017"/>
      <c r="I97" s="852"/>
      <c r="J97" s="853"/>
      <c r="K97" s="660"/>
      <c r="L97" s="564"/>
      <c r="M97" s="310"/>
      <c r="N97" s="309"/>
      <c r="O97" s="306"/>
      <c r="P97" s="306"/>
      <c r="Q97" s="306"/>
      <c r="R97" s="306"/>
    </row>
    <row r="98" spans="2:19" ht="15">
      <c r="B98" s="429">
        <v>5</v>
      </c>
      <c r="C98" s="424">
        <v>2</v>
      </c>
      <c r="D98" s="424">
        <v>3</v>
      </c>
      <c r="E98" s="424"/>
      <c r="F98" s="424"/>
      <c r="G98" s="396" t="s">
        <v>78</v>
      </c>
      <c r="H98" s="591"/>
      <c r="I98" s="1094"/>
      <c r="J98" s="396"/>
      <c r="K98" s="973">
        <f>+K99</f>
        <v>0</v>
      </c>
      <c r="L98" s="564"/>
      <c r="M98" s="310"/>
      <c r="N98" s="309"/>
      <c r="O98" s="306"/>
      <c r="P98" s="306"/>
      <c r="Q98" s="306"/>
      <c r="R98" s="306"/>
    </row>
    <row r="99" spans="2:19" ht="15">
      <c r="B99" s="429">
        <v>5</v>
      </c>
      <c r="C99" s="371">
        <v>2</v>
      </c>
      <c r="D99" s="371">
        <v>3</v>
      </c>
      <c r="E99" s="372">
        <v>16</v>
      </c>
      <c r="F99" s="368"/>
      <c r="G99" s="381" t="s">
        <v>1056</v>
      </c>
      <c r="H99" s="933"/>
      <c r="I99" s="393"/>
      <c r="J99" s="445"/>
      <c r="K99" s="973">
        <f>K100</f>
        <v>0</v>
      </c>
      <c r="L99" s="564"/>
      <c r="M99" s="811"/>
      <c r="N99" s="378"/>
      <c r="O99" s="378"/>
      <c r="P99" s="378"/>
      <c r="Q99" s="378"/>
      <c r="R99" s="378"/>
    </row>
    <row r="100" spans="2:19" ht="15">
      <c r="B100" s="429">
        <v>5</v>
      </c>
      <c r="C100" s="371">
        <v>2</v>
      </c>
      <c r="D100" s="371">
        <v>3</v>
      </c>
      <c r="E100" s="372">
        <v>16</v>
      </c>
      <c r="F100" s="372" t="s">
        <v>80</v>
      </c>
      <c r="G100" s="381" t="s">
        <v>514</v>
      </c>
      <c r="H100" s="645"/>
      <c r="I100" s="380"/>
      <c r="J100" s="435"/>
      <c r="K100" s="973">
        <f>SUM(K101)</f>
        <v>0</v>
      </c>
      <c r="L100" s="564"/>
      <c r="M100" s="811"/>
      <c r="N100" s="378"/>
      <c r="O100" s="378"/>
      <c r="P100" s="378"/>
      <c r="Q100" s="378"/>
      <c r="R100" s="378"/>
    </row>
    <row r="101" spans="2:19" ht="15">
      <c r="B101" s="458"/>
      <c r="C101" s="474"/>
      <c r="D101" s="474"/>
      <c r="E101" s="574"/>
      <c r="F101" s="574"/>
      <c r="G101" s="572"/>
      <c r="H101" s="645"/>
      <c r="I101" s="380"/>
      <c r="J101" s="382"/>
      <c r="K101" s="660">
        <f>H101*J101</f>
        <v>0</v>
      </c>
      <c r="L101" s="564"/>
      <c r="M101" s="811">
        <f>K101</f>
        <v>0</v>
      </c>
      <c r="N101" s="378"/>
      <c r="O101" s="378"/>
      <c r="P101" s="378"/>
      <c r="Q101" s="378"/>
      <c r="R101" s="378"/>
    </row>
    <row r="102" spans="2:19" ht="15">
      <c r="B102" s="458"/>
      <c r="C102" s="474"/>
      <c r="D102" s="474"/>
      <c r="E102" s="574"/>
      <c r="F102" s="574"/>
      <c r="G102" s="572"/>
      <c r="H102" s="645"/>
      <c r="I102" s="380"/>
      <c r="J102" s="382"/>
      <c r="K102" s="660"/>
      <c r="L102" s="564"/>
      <c r="M102" s="811"/>
      <c r="N102" s="378"/>
      <c r="O102" s="378"/>
      <c r="P102" s="378"/>
      <c r="Q102" s="378"/>
      <c r="R102" s="378"/>
    </row>
    <row r="103" spans="2:19" ht="15" customHeight="1" thickBot="1">
      <c r="B103" s="3366" t="s">
        <v>30</v>
      </c>
      <c r="C103" s="3367"/>
      <c r="D103" s="3367"/>
      <c r="E103" s="3367"/>
      <c r="F103" s="3367"/>
      <c r="G103" s="3367"/>
      <c r="H103" s="3367"/>
      <c r="I103" s="3367"/>
      <c r="J103" s="3368"/>
      <c r="K103" s="1039">
        <f>K24</f>
        <v>201844000</v>
      </c>
      <c r="L103" s="564">
        <f>SUM(L28:L98)</f>
        <v>138000000</v>
      </c>
      <c r="M103" s="305">
        <f>SUM(M28:M102)</f>
        <v>0</v>
      </c>
      <c r="N103" s="305">
        <f>SUM(N28:N98)</f>
        <v>63844000</v>
      </c>
      <c r="O103" s="305">
        <f>SUM(O28:O98)</f>
        <v>0</v>
      </c>
      <c r="P103" s="305">
        <f>SUM(P28:P98)</f>
        <v>0</v>
      </c>
      <c r="Q103" s="305">
        <f>SUM(Q28:Q98)</f>
        <v>0</v>
      </c>
      <c r="R103" s="314">
        <f>SUM(L103:Q103)</f>
        <v>201844000</v>
      </c>
      <c r="S103" s="41">
        <f>K103-R103</f>
        <v>0</v>
      </c>
    </row>
    <row r="104" spans="2:19" ht="15.75" thickTop="1">
      <c r="K104" s="41"/>
      <c r="L104" s="305"/>
      <c r="M104" s="310"/>
      <c r="N104" s="306"/>
      <c r="O104" s="306"/>
      <c r="P104" s="306"/>
      <c r="Q104" s="306"/>
      <c r="R104" s="306"/>
    </row>
    <row r="105" spans="2:19" ht="15">
      <c r="K105" s="41"/>
      <c r="L105" s="564"/>
      <c r="M105" s="569"/>
      <c r="N105" s="378"/>
      <c r="O105" s="378"/>
      <c r="P105" s="378"/>
      <c r="Q105" s="378"/>
      <c r="R105" s="378"/>
    </row>
    <row r="106" spans="2:19" ht="15">
      <c r="H106" s="3336" t="s">
        <v>1534</v>
      </c>
      <c r="I106" s="3336"/>
      <c r="J106" s="3336"/>
      <c r="K106" s="115"/>
      <c r="L106" s="564"/>
      <c r="M106" s="310"/>
      <c r="N106" s="306"/>
      <c r="O106" s="306"/>
      <c r="P106" s="306"/>
      <c r="Q106" s="306"/>
      <c r="R106" s="306"/>
    </row>
    <row r="107" spans="2:19" ht="15">
      <c r="H107" s="3337" t="s">
        <v>272</v>
      </c>
      <c r="I107" s="3337"/>
      <c r="J107" s="3485"/>
      <c r="K107" s="8"/>
      <c r="L107" s="564"/>
      <c r="M107" s="310"/>
      <c r="N107" s="306"/>
      <c r="O107" s="306"/>
      <c r="P107" s="306"/>
      <c r="Q107" s="306"/>
      <c r="R107" s="306"/>
    </row>
    <row r="108" spans="2:19" ht="15">
      <c r="H108" s="127"/>
      <c r="I108" s="127"/>
      <c r="J108" s="127"/>
      <c r="K108" s="8"/>
      <c r="L108" s="564"/>
      <c r="M108" s="310"/>
      <c r="N108" s="306"/>
      <c r="O108" s="306"/>
      <c r="P108" s="306"/>
      <c r="Q108" s="306"/>
      <c r="R108" s="306"/>
    </row>
    <row r="109" spans="2:19" ht="15">
      <c r="H109" s="127"/>
      <c r="I109" s="127"/>
      <c r="J109" s="127"/>
      <c r="K109" s="8"/>
      <c r="L109" s="564"/>
      <c r="M109" s="310"/>
      <c r="N109" s="306"/>
      <c r="O109" s="306"/>
      <c r="P109" s="306"/>
      <c r="Q109" s="306"/>
      <c r="R109" s="306"/>
    </row>
    <row r="110" spans="2:19" ht="15">
      <c r="H110" s="3434" t="s">
        <v>904</v>
      </c>
      <c r="I110" s="3434"/>
      <c r="J110" s="3434"/>
      <c r="K110" s="8"/>
      <c r="L110" s="564"/>
      <c r="M110" s="310"/>
      <c r="N110" s="306"/>
      <c r="O110" s="306"/>
      <c r="P110" s="306"/>
      <c r="Q110" s="306"/>
      <c r="R110" s="306"/>
    </row>
    <row r="111" spans="2:19" ht="15">
      <c r="H111" s="3434" t="s">
        <v>906</v>
      </c>
      <c r="I111" s="3434"/>
      <c r="J111" s="3434"/>
      <c r="K111" s="8"/>
      <c r="L111" s="564"/>
      <c r="M111" s="310"/>
      <c r="N111" s="306"/>
      <c r="O111" s="306"/>
      <c r="P111" s="306"/>
      <c r="Q111" s="306"/>
      <c r="R111" s="306"/>
    </row>
  </sheetData>
  <sortState ref="G35:K74">
    <sortCondition ref="G35"/>
  </sortState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B17:F17"/>
    <mergeCell ref="G17:H17"/>
    <mergeCell ref="I17:K17"/>
    <mergeCell ref="B18:K18"/>
    <mergeCell ref="B19:K20"/>
    <mergeCell ref="H106:J106"/>
    <mergeCell ref="H107:J107"/>
    <mergeCell ref="H110:J110"/>
    <mergeCell ref="H111:J111"/>
    <mergeCell ref="B21:F22"/>
    <mergeCell ref="G21:G22"/>
    <mergeCell ref="H21:J21"/>
    <mergeCell ref="B23:F23"/>
    <mergeCell ref="B103:J103"/>
  </mergeCells>
  <pageMargins left="0.15748031496062992" right="0.19685039370078741" top="0.43307086614173229" bottom="2.0866141732283467" header="0.23622047244094491" footer="0.15748031496062992"/>
  <pageSetup paperSize="5" scale="95" orientation="portrait" horizontalDpi="4294967293" verticalDpi="4294967293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</sheetPr>
  <dimension ref="B1:T71"/>
  <sheetViews>
    <sheetView view="pageBreakPreview" topLeftCell="A34" zoomScaleNormal="115" zoomScaleSheetLayoutView="100" workbookViewId="0">
      <selection activeCell="B26" sqref="B26:K52"/>
    </sheetView>
  </sheetViews>
  <sheetFormatPr defaultRowHeight="12.75"/>
  <cols>
    <col min="1" max="1" width="1.5703125" style="9" customWidth="1"/>
    <col min="2" max="6" width="3.7109375" style="9" customWidth="1"/>
    <col min="7" max="7" width="49" style="9" customWidth="1"/>
    <col min="8" max="8" width="8" style="584" customWidth="1"/>
    <col min="9" max="9" width="8.85546875" style="584" bestFit="1" customWidth="1"/>
    <col min="10" max="10" width="13.42578125" style="9" customWidth="1"/>
    <col min="11" max="11" width="15.28515625" style="9" bestFit="1" customWidth="1"/>
    <col min="12" max="12" width="7.5703125" style="9" bestFit="1" customWidth="1"/>
    <col min="13" max="13" width="7.42578125" style="9" bestFit="1" customWidth="1"/>
    <col min="14" max="14" width="16.7109375" style="9" bestFit="1" customWidth="1"/>
    <col min="15" max="17" width="7.42578125" style="9" bestFit="1" customWidth="1"/>
    <col min="18" max="18" width="17" style="9" bestFit="1" customWidth="1"/>
    <col min="19" max="19" width="15.28515625" style="9" bestFit="1" customWidth="1"/>
    <col min="20" max="20" width="14.7109375" style="9" bestFit="1" customWidth="1"/>
    <col min="21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 ht="24.75" customHeight="1">
      <c r="B7" s="3660" t="s">
        <v>33</v>
      </c>
      <c r="C7" s="3661"/>
      <c r="D7" s="3661"/>
      <c r="E7" s="3661"/>
      <c r="F7" s="3661"/>
      <c r="G7" s="3662" t="s">
        <v>214</v>
      </c>
      <c r="H7" s="3662"/>
      <c r="I7" s="3662"/>
      <c r="J7" s="3662"/>
      <c r="K7" s="3663"/>
    </row>
    <row r="8" spans="2:13">
      <c r="B8" s="3341" t="s">
        <v>34</v>
      </c>
      <c r="C8" s="3339"/>
      <c r="D8" s="3339"/>
      <c r="E8" s="3339"/>
      <c r="F8" s="3339"/>
      <c r="G8" s="3339" t="s">
        <v>216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ht="31.5" customHeight="1">
      <c r="B14" s="3462" t="s">
        <v>8</v>
      </c>
      <c r="C14" s="3463"/>
      <c r="D14" s="3463"/>
      <c r="E14" s="3463"/>
      <c r="F14" s="3464"/>
      <c r="G14" s="3445" t="s">
        <v>429</v>
      </c>
      <c r="H14" s="3448"/>
      <c r="I14" s="3670">
        <v>1</v>
      </c>
      <c r="J14" s="3671"/>
      <c r="K14" s="3672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425745000</v>
      </c>
      <c r="J15" s="3454"/>
      <c r="K15" s="3455"/>
    </row>
    <row r="16" spans="2:13">
      <c r="B16" s="3439" t="s">
        <v>10</v>
      </c>
      <c r="C16" s="3451"/>
      <c r="D16" s="3451"/>
      <c r="E16" s="3451"/>
      <c r="F16" s="3460"/>
      <c r="G16" s="3445" t="s">
        <v>432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430</v>
      </c>
      <c r="H17" s="3448"/>
      <c r="I17" s="3456">
        <v>1</v>
      </c>
      <c r="J17" s="3457"/>
      <c r="K17" s="3458"/>
    </row>
    <row r="18" spans="2:18">
      <c r="B18" s="3442" t="s">
        <v>431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822"/>
      <c r="M19" s="822"/>
      <c r="N19" s="822"/>
      <c r="O19" s="822"/>
      <c r="P19" s="822"/>
      <c r="Q19" s="823"/>
      <c r="R19" s="82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466" t="s">
        <v>158</v>
      </c>
      <c r="M20" s="3466"/>
      <c r="N20" s="3466"/>
      <c r="O20" s="3466"/>
      <c r="P20" s="3466"/>
      <c r="Q20" s="3466"/>
      <c r="R20" s="3466" t="s">
        <v>17</v>
      </c>
    </row>
    <row r="21" spans="2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191"/>
      <c r="M21" s="1191"/>
      <c r="N21" s="1191"/>
      <c r="O21" s="1191"/>
      <c r="P21" s="1191"/>
      <c r="Q21" s="1191"/>
      <c r="R21" s="3466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191" t="s">
        <v>177</v>
      </c>
      <c r="M22" s="1191" t="s">
        <v>594</v>
      </c>
      <c r="N22" s="1191" t="s">
        <v>651</v>
      </c>
      <c r="O22" s="1191" t="s">
        <v>595</v>
      </c>
      <c r="P22" s="1191" t="s">
        <v>652</v>
      </c>
      <c r="Q22" s="1191" t="s">
        <v>593</v>
      </c>
      <c r="R22" s="3466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191">
        <v>6</v>
      </c>
      <c r="M23" s="1191">
        <v>7</v>
      </c>
      <c r="N23" s="1191">
        <v>8</v>
      </c>
      <c r="O23" s="1191">
        <v>9</v>
      </c>
      <c r="P23" s="1191">
        <v>10</v>
      </c>
      <c r="Q23" s="1191">
        <v>11</v>
      </c>
      <c r="R23" s="1191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54"/>
      <c r="K24" s="47">
        <f>+K25+K54</f>
        <v>425745000</v>
      </c>
      <c r="L24" s="822"/>
      <c r="M24" s="822"/>
      <c r="N24" s="822"/>
      <c r="O24" s="822"/>
      <c r="P24" s="822"/>
      <c r="Q24" s="823"/>
      <c r="R24" s="823"/>
    </row>
    <row r="25" spans="2:18" ht="14.25" customHeight="1">
      <c r="B25" s="43">
        <v>5</v>
      </c>
      <c r="C25" s="17">
        <v>2</v>
      </c>
      <c r="D25" s="17">
        <v>2</v>
      </c>
      <c r="E25" s="17"/>
      <c r="F25" s="17"/>
      <c r="G25" s="44" t="s">
        <v>43</v>
      </c>
      <c r="H25" s="856"/>
      <c r="I25" s="17"/>
      <c r="J25" s="454"/>
      <c r="K25" s="47">
        <f>K26+K38+K47</f>
        <v>425745000</v>
      </c>
      <c r="L25" s="825"/>
      <c r="M25" s="826"/>
      <c r="N25" s="827"/>
      <c r="O25" s="827"/>
      <c r="P25" s="827"/>
      <c r="Q25" s="828"/>
      <c r="R25" s="828"/>
    </row>
    <row r="26" spans="2:18" ht="14.25" customHeight="1">
      <c r="B26" s="43">
        <v>5</v>
      </c>
      <c r="C26" s="17">
        <v>2</v>
      </c>
      <c r="D26" s="17">
        <v>2</v>
      </c>
      <c r="E26" s="65" t="s">
        <v>25</v>
      </c>
      <c r="F26" s="17"/>
      <c r="G26" s="44" t="s">
        <v>109</v>
      </c>
      <c r="H26" s="856"/>
      <c r="I26" s="17"/>
      <c r="J26" s="454"/>
      <c r="K26" s="47">
        <f>+K27</f>
        <v>34550000</v>
      </c>
      <c r="L26" s="822"/>
      <c r="M26" s="829"/>
      <c r="N26" s="830"/>
      <c r="O26" s="830"/>
      <c r="P26" s="830"/>
      <c r="Q26" s="824"/>
      <c r="R26" s="824"/>
    </row>
    <row r="27" spans="2:18" ht="14.25" customHeight="1">
      <c r="B27" s="43">
        <v>5</v>
      </c>
      <c r="C27" s="17">
        <v>2</v>
      </c>
      <c r="D27" s="17">
        <v>2</v>
      </c>
      <c r="E27" s="65" t="s">
        <v>25</v>
      </c>
      <c r="F27" s="17">
        <v>19</v>
      </c>
      <c r="G27" s="366" t="s">
        <v>136</v>
      </c>
      <c r="H27" s="956"/>
      <c r="I27" s="368"/>
      <c r="J27" s="820"/>
      <c r="K27" s="370">
        <f>SUM(K28:K37)</f>
        <v>34550000</v>
      </c>
      <c r="L27" s="822"/>
      <c r="M27" s="832"/>
      <c r="N27" s="833"/>
      <c r="O27" s="833"/>
      <c r="P27" s="833"/>
      <c r="Q27" s="824"/>
      <c r="R27" s="824"/>
    </row>
    <row r="28" spans="2:18" s="2033" customFormat="1" ht="14.25" customHeight="1">
      <c r="B28" s="2695"/>
      <c r="C28" s="2583"/>
      <c r="D28" s="2583"/>
      <c r="E28" s="2696"/>
      <c r="F28" s="2697"/>
      <c r="G28" s="2682" t="s">
        <v>772</v>
      </c>
      <c r="H28" s="2698">
        <v>4</v>
      </c>
      <c r="I28" s="2682" t="s">
        <v>107</v>
      </c>
      <c r="J28" s="2699">
        <v>2300000</v>
      </c>
      <c r="K28" s="2700">
        <f t="shared" ref="K28:K35" si="0">H28*J28</f>
        <v>9200000</v>
      </c>
      <c r="L28" s="2687"/>
      <c r="M28" s="2701"/>
      <c r="N28" s="2702">
        <f>K28</f>
        <v>9200000</v>
      </c>
      <c r="O28" s="2690"/>
      <c r="P28" s="2690"/>
      <c r="Q28" s="2690"/>
      <c r="R28" s="2690"/>
    </row>
    <row r="29" spans="2:18" s="2033" customFormat="1" ht="14.25" customHeight="1">
      <c r="B29" s="2695"/>
      <c r="C29" s="2583"/>
      <c r="D29" s="2583"/>
      <c r="E29" s="2696"/>
      <c r="F29" s="2697"/>
      <c r="G29" s="2682" t="s">
        <v>773</v>
      </c>
      <c r="H29" s="2703">
        <v>4</v>
      </c>
      <c r="I29" s="2682" t="s">
        <v>107</v>
      </c>
      <c r="J29" s="2699">
        <v>2300000</v>
      </c>
      <c r="K29" s="2700">
        <f t="shared" si="0"/>
        <v>9200000</v>
      </c>
      <c r="L29" s="2687"/>
      <c r="M29" s="2701"/>
      <c r="N29" s="2702">
        <f t="shared" ref="N29:N36" si="1">K29</f>
        <v>9200000</v>
      </c>
      <c r="O29" s="2690"/>
      <c r="P29" s="2690"/>
      <c r="Q29" s="2690"/>
      <c r="R29" s="2690"/>
    </row>
    <row r="30" spans="2:18" ht="14.25" customHeight="1">
      <c r="B30" s="43"/>
      <c r="C30" s="17"/>
      <c r="D30" s="17"/>
      <c r="E30" s="65"/>
      <c r="F30" s="240"/>
      <c r="G30" s="39" t="s">
        <v>286</v>
      </c>
      <c r="H30" s="1020">
        <v>5</v>
      </c>
      <c r="I30" s="39" t="s">
        <v>107</v>
      </c>
      <c r="J30" s="836">
        <v>250000</v>
      </c>
      <c r="K30" s="920">
        <f t="shared" si="0"/>
        <v>1250000</v>
      </c>
      <c r="L30" s="822"/>
      <c r="M30" s="834"/>
      <c r="N30" s="835">
        <f t="shared" si="1"/>
        <v>1250000</v>
      </c>
      <c r="O30" s="824"/>
      <c r="P30" s="824"/>
      <c r="Q30" s="824"/>
      <c r="R30" s="824"/>
    </row>
    <row r="31" spans="2:18" ht="14.25" customHeight="1">
      <c r="B31" s="43"/>
      <c r="C31" s="17"/>
      <c r="D31" s="17"/>
      <c r="E31" s="65"/>
      <c r="F31" s="240"/>
      <c r="G31" s="921" t="s">
        <v>495</v>
      </c>
      <c r="H31" s="1021">
        <v>5</v>
      </c>
      <c r="I31" s="921" t="s">
        <v>107</v>
      </c>
      <c r="J31" s="922">
        <v>450000</v>
      </c>
      <c r="K31" s="920">
        <f t="shared" si="0"/>
        <v>2250000</v>
      </c>
      <c r="L31" s="822"/>
      <c r="M31" s="834"/>
      <c r="N31" s="835">
        <f t="shared" si="1"/>
        <v>2250000</v>
      </c>
      <c r="O31" s="824"/>
      <c r="P31" s="824"/>
      <c r="Q31" s="824"/>
      <c r="R31" s="824"/>
    </row>
    <row r="32" spans="2:18" s="2033" customFormat="1" ht="14.25" customHeight="1">
      <c r="B32" s="2695"/>
      <c r="C32" s="2583"/>
      <c r="D32" s="2583"/>
      <c r="E32" s="2696"/>
      <c r="F32" s="2697"/>
      <c r="G32" s="2704" t="s">
        <v>218</v>
      </c>
      <c r="H32" s="2705">
        <v>6</v>
      </c>
      <c r="I32" s="2704" t="s">
        <v>107</v>
      </c>
      <c r="J32" s="2706">
        <v>650000</v>
      </c>
      <c r="K32" s="2700">
        <f t="shared" si="0"/>
        <v>3900000</v>
      </c>
      <c r="L32" s="2687"/>
      <c r="M32" s="2701"/>
      <c r="N32" s="2702">
        <f t="shared" si="1"/>
        <v>3900000</v>
      </c>
      <c r="O32" s="2690"/>
      <c r="P32" s="2690"/>
      <c r="Q32" s="2690"/>
      <c r="R32" s="2690"/>
    </row>
    <row r="33" spans="2:18" ht="14.25" customHeight="1">
      <c r="B33" s="43"/>
      <c r="C33" s="17"/>
      <c r="D33" s="17"/>
      <c r="E33" s="65"/>
      <c r="F33" s="240"/>
      <c r="G33" s="921" t="s">
        <v>937</v>
      </c>
      <c r="H33" s="1022">
        <v>1</v>
      </c>
      <c r="I33" s="921" t="s">
        <v>105</v>
      </c>
      <c r="J33" s="922">
        <v>1500000</v>
      </c>
      <c r="K33" s="920">
        <f t="shared" si="0"/>
        <v>1500000</v>
      </c>
      <c r="L33" s="822"/>
      <c r="M33" s="834"/>
      <c r="N33" s="835">
        <f t="shared" si="1"/>
        <v>1500000</v>
      </c>
      <c r="O33" s="824"/>
      <c r="P33" s="824"/>
      <c r="Q33" s="824"/>
      <c r="R33" s="824"/>
    </row>
    <row r="34" spans="2:18" ht="14.25" customHeight="1">
      <c r="B34" s="43"/>
      <c r="C34" s="17"/>
      <c r="D34" s="17"/>
      <c r="E34" s="65"/>
      <c r="F34" s="240"/>
      <c r="G34" s="39" t="s">
        <v>938</v>
      </c>
      <c r="H34" s="1020">
        <v>1</v>
      </c>
      <c r="I34" s="39" t="s">
        <v>105</v>
      </c>
      <c r="J34" s="923">
        <v>1500000</v>
      </c>
      <c r="K34" s="920">
        <f t="shared" si="0"/>
        <v>1500000</v>
      </c>
      <c r="L34" s="822"/>
      <c r="M34" s="834"/>
      <c r="N34" s="835">
        <f t="shared" si="1"/>
        <v>1500000</v>
      </c>
      <c r="O34" s="824"/>
      <c r="P34" s="824"/>
      <c r="Q34" s="824"/>
      <c r="R34" s="824"/>
    </row>
    <row r="35" spans="2:18" ht="14.25" customHeight="1">
      <c r="B35" s="43"/>
      <c r="C35" s="17"/>
      <c r="D35" s="17"/>
      <c r="E35" s="65"/>
      <c r="F35" s="240"/>
      <c r="G35" s="921" t="s">
        <v>939</v>
      </c>
      <c r="H35" s="1022">
        <v>1</v>
      </c>
      <c r="I35" s="921" t="s">
        <v>105</v>
      </c>
      <c r="J35" s="922">
        <v>1500000</v>
      </c>
      <c r="K35" s="920">
        <f t="shared" si="0"/>
        <v>1500000</v>
      </c>
      <c r="L35" s="822"/>
      <c r="M35" s="834"/>
      <c r="N35" s="835">
        <f t="shared" si="1"/>
        <v>1500000</v>
      </c>
      <c r="O35" s="824"/>
      <c r="P35" s="824"/>
      <c r="Q35" s="824"/>
      <c r="R35" s="824"/>
    </row>
    <row r="36" spans="2:18" ht="14.25" customHeight="1">
      <c r="B36" s="43"/>
      <c r="C36" s="17"/>
      <c r="D36" s="17"/>
      <c r="E36" s="65"/>
      <c r="F36" s="240"/>
      <c r="G36" s="39" t="s">
        <v>1196</v>
      </c>
      <c r="H36" s="1019">
        <v>5</v>
      </c>
      <c r="I36" s="39" t="s">
        <v>107</v>
      </c>
      <c r="J36" s="923">
        <v>850000</v>
      </c>
      <c r="K36" s="130">
        <f>H36*J36</f>
        <v>4250000</v>
      </c>
      <c r="L36" s="822"/>
      <c r="M36" s="834"/>
      <c r="N36" s="835">
        <f t="shared" si="1"/>
        <v>4250000</v>
      </c>
      <c r="O36" s="824"/>
      <c r="P36" s="824"/>
      <c r="Q36" s="824"/>
      <c r="R36" s="824"/>
    </row>
    <row r="37" spans="2:18" ht="14.25" customHeight="1">
      <c r="B37" s="43"/>
      <c r="C37" s="17"/>
      <c r="D37" s="17"/>
      <c r="E37" s="65"/>
      <c r="F37" s="240"/>
      <c r="G37" s="39"/>
      <c r="H37" s="1019"/>
      <c r="I37" s="39"/>
      <c r="J37" s="836"/>
      <c r="K37" s="130">
        <f t="shared" ref="K37" si="2">H37*J37</f>
        <v>0</v>
      </c>
      <c r="L37" s="822"/>
      <c r="M37" s="831"/>
      <c r="N37" s="835"/>
      <c r="O37" s="824"/>
      <c r="P37" s="824"/>
      <c r="Q37" s="824"/>
      <c r="R37" s="824"/>
    </row>
    <row r="38" spans="2:18">
      <c r="B38" s="36">
        <v>5</v>
      </c>
      <c r="C38" s="37">
        <v>2</v>
      </c>
      <c r="D38" s="37">
        <v>2</v>
      </c>
      <c r="E38" s="38" t="s">
        <v>44</v>
      </c>
      <c r="F38" s="17"/>
      <c r="G38" s="48" t="s">
        <v>45</v>
      </c>
      <c r="H38" s="856"/>
      <c r="I38" s="17"/>
      <c r="J38" s="454"/>
      <c r="K38" s="47">
        <f>K39+K44</f>
        <v>333975000</v>
      </c>
      <c r="L38" s="822"/>
      <c r="M38" s="831"/>
      <c r="N38" s="835"/>
      <c r="O38" s="824"/>
      <c r="P38" s="824"/>
      <c r="Q38" s="824"/>
      <c r="R38" s="824"/>
    </row>
    <row r="39" spans="2:18">
      <c r="B39" s="36">
        <v>5</v>
      </c>
      <c r="C39" s="37">
        <v>2</v>
      </c>
      <c r="D39" s="37">
        <v>2</v>
      </c>
      <c r="E39" s="38" t="s">
        <v>44</v>
      </c>
      <c r="F39" s="65" t="s">
        <v>81</v>
      </c>
      <c r="G39" s="48" t="s">
        <v>135</v>
      </c>
      <c r="H39" s="856"/>
      <c r="I39" s="17"/>
      <c r="J39" s="454"/>
      <c r="K39" s="47">
        <f>SUM(K40:K42)</f>
        <v>203975000</v>
      </c>
      <c r="L39" s="822"/>
      <c r="M39" s="831"/>
      <c r="N39" s="835"/>
      <c r="O39" s="824"/>
      <c r="P39" s="824"/>
      <c r="Q39" s="824"/>
      <c r="R39" s="824"/>
    </row>
    <row r="40" spans="2:18">
      <c r="B40" s="1192"/>
      <c r="C40" s="40"/>
      <c r="D40" s="40"/>
      <c r="E40" s="1193"/>
      <c r="F40" s="863"/>
      <c r="G40" s="108" t="s">
        <v>217</v>
      </c>
      <c r="H40" s="862">
        <v>1</v>
      </c>
      <c r="I40" s="102" t="s">
        <v>147</v>
      </c>
      <c r="J40" s="1194">
        <v>150270000</v>
      </c>
      <c r="K40" s="130">
        <f t="shared" ref="K40" si="3">H40*J40</f>
        <v>150270000</v>
      </c>
      <c r="L40" s="822"/>
      <c r="M40" s="834"/>
      <c r="N40" s="835">
        <f>K40</f>
        <v>150270000</v>
      </c>
      <c r="O40" s="824"/>
      <c r="P40" s="824"/>
      <c r="Q40" s="824"/>
      <c r="R40" s="824"/>
    </row>
    <row r="41" spans="2:18">
      <c r="B41" s="970"/>
      <c r="C41" s="383"/>
      <c r="D41" s="383"/>
      <c r="E41" s="968"/>
      <c r="F41" s="855"/>
      <c r="G41" s="108" t="s">
        <v>1422</v>
      </c>
      <c r="H41" s="862">
        <v>1</v>
      </c>
      <c r="I41" s="102" t="s">
        <v>147</v>
      </c>
      <c r="J41" s="1194">
        <v>50000000</v>
      </c>
      <c r="K41" s="130">
        <f t="shared" ref="K41:K42" si="4">H41*J41</f>
        <v>50000000</v>
      </c>
      <c r="L41" s="837"/>
      <c r="M41" s="834"/>
      <c r="N41" s="835">
        <f t="shared" ref="N41:N42" si="5">K41</f>
        <v>50000000</v>
      </c>
      <c r="O41" s="838"/>
      <c r="P41" s="838"/>
      <c r="Q41" s="838"/>
      <c r="R41" s="838"/>
    </row>
    <row r="42" spans="2:18">
      <c r="B42" s="970"/>
      <c r="C42" s="383"/>
      <c r="D42" s="383"/>
      <c r="E42" s="968"/>
      <c r="F42" s="855"/>
      <c r="G42" s="108" t="s">
        <v>1423</v>
      </c>
      <c r="H42" s="862">
        <v>1</v>
      </c>
      <c r="I42" s="102" t="s">
        <v>147</v>
      </c>
      <c r="J42" s="1194">
        <v>3705000</v>
      </c>
      <c r="K42" s="130">
        <f t="shared" si="4"/>
        <v>3705000</v>
      </c>
      <c r="L42" s="837"/>
      <c r="M42" s="834"/>
      <c r="N42" s="835">
        <f t="shared" si="5"/>
        <v>3705000</v>
      </c>
      <c r="O42" s="838"/>
      <c r="P42" s="838"/>
      <c r="Q42" s="838"/>
      <c r="R42" s="838"/>
    </row>
    <row r="43" spans="2:18">
      <c r="B43" s="970"/>
      <c r="C43" s="383"/>
      <c r="D43" s="383"/>
      <c r="E43" s="968"/>
      <c r="F43" s="855"/>
      <c r="G43" s="373"/>
      <c r="H43" s="933"/>
      <c r="I43" s="375"/>
      <c r="J43" s="1471"/>
      <c r="K43" s="457"/>
      <c r="L43" s="837"/>
      <c r="M43" s="1472"/>
      <c r="N43" s="902"/>
      <c r="O43" s="838"/>
      <c r="P43" s="838"/>
      <c r="Q43" s="838"/>
      <c r="R43" s="838"/>
    </row>
    <row r="44" spans="2:18" ht="25.5">
      <c r="B44" s="36">
        <v>5</v>
      </c>
      <c r="C44" s="37">
        <v>2</v>
      </c>
      <c r="D44" s="37">
        <v>2</v>
      </c>
      <c r="E44" s="38" t="s">
        <v>44</v>
      </c>
      <c r="F44" s="38">
        <v>13</v>
      </c>
      <c r="G44" s="107" t="s">
        <v>127</v>
      </c>
      <c r="H44" s="1023"/>
      <c r="I44" s="106"/>
      <c r="J44" s="821"/>
      <c r="K44" s="120">
        <f>SUM(K45:K45)</f>
        <v>130000000</v>
      </c>
      <c r="L44" s="822"/>
      <c r="M44" s="831"/>
      <c r="N44" s="835"/>
      <c r="O44" s="824"/>
      <c r="P44" s="824"/>
      <c r="Q44" s="824"/>
      <c r="R44" s="824"/>
    </row>
    <row r="45" spans="2:18">
      <c r="B45" s="346"/>
      <c r="C45" s="371"/>
      <c r="D45" s="371"/>
      <c r="E45" s="372"/>
      <c r="F45" s="372"/>
      <c r="G45" s="924" t="s">
        <v>847</v>
      </c>
      <c r="H45" s="1024">
        <v>1</v>
      </c>
      <c r="I45" s="925" t="s">
        <v>29</v>
      </c>
      <c r="J45" s="926">
        <v>130000000</v>
      </c>
      <c r="K45" s="55">
        <f>H45*J45</f>
        <v>130000000</v>
      </c>
      <c r="L45" s="837"/>
      <c r="M45" s="1077"/>
      <c r="N45" s="902">
        <f>K45</f>
        <v>130000000</v>
      </c>
      <c r="O45" s="838"/>
      <c r="P45" s="838"/>
      <c r="Q45" s="838"/>
      <c r="R45" s="838"/>
    </row>
    <row r="46" spans="2:18">
      <c r="B46" s="346"/>
      <c r="C46" s="371"/>
      <c r="D46" s="371"/>
      <c r="E46" s="372"/>
      <c r="F46" s="372"/>
      <c r="G46" s="924"/>
      <c r="H46" s="1024"/>
      <c r="I46" s="925"/>
      <c r="J46" s="926"/>
      <c r="K46" s="416"/>
      <c r="L46" s="837"/>
      <c r="M46" s="839"/>
      <c r="N46" s="902"/>
      <c r="O46" s="838"/>
      <c r="P46" s="838"/>
      <c r="Q46" s="838"/>
      <c r="R46" s="838"/>
    </row>
    <row r="47" spans="2:18">
      <c r="B47" s="346">
        <v>5</v>
      </c>
      <c r="C47" s="371">
        <v>2</v>
      </c>
      <c r="D47" s="371">
        <v>2</v>
      </c>
      <c r="E47" s="372">
        <v>15</v>
      </c>
      <c r="F47" s="368"/>
      <c r="G47" s="381" t="s">
        <v>134</v>
      </c>
      <c r="H47" s="956"/>
      <c r="I47" s="368"/>
      <c r="J47" s="369"/>
      <c r="K47" s="370">
        <f>+K48</f>
        <v>57220000</v>
      </c>
      <c r="L47" s="1064"/>
      <c r="M47" s="1065"/>
      <c r="N47" s="1065"/>
      <c r="O47" s="1065"/>
      <c r="P47" s="1065"/>
      <c r="Q47" s="1065"/>
      <c r="R47" s="1065"/>
    </row>
    <row r="48" spans="2:18" ht="14.25">
      <c r="B48" s="346">
        <v>5</v>
      </c>
      <c r="C48" s="371">
        <v>2</v>
      </c>
      <c r="D48" s="371">
        <v>2</v>
      </c>
      <c r="E48" s="372">
        <v>15</v>
      </c>
      <c r="F48" s="372" t="s">
        <v>25</v>
      </c>
      <c r="G48" s="638" t="s">
        <v>133</v>
      </c>
      <c r="H48" s="956"/>
      <c r="I48" s="368"/>
      <c r="J48" s="369"/>
      <c r="K48" s="431">
        <f>SUM(K49:K52)</f>
        <v>57220000</v>
      </c>
      <c r="L48" s="893"/>
      <c r="M48" s="881"/>
      <c r="N48" s="882"/>
      <c r="O48" s="882"/>
      <c r="P48" s="882"/>
      <c r="Q48" s="883"/>
      <c r="R48" s="883"/>
    </row>
    <row r="49" spans="2:20">
      <c r="B49" s="1189"/>
      <c r="C49" s="59"/>
      <c r="D49" s="59"/>
      <c r="E49" s="60"/>
      <c r="F49" s="60"/>
      <c r="G49" s="32" t="s">
        <v>467</v>
      </c>
      <c r="H49" s="857"/>
      <c r="I49" s="4"/>
      <c r="J49" s="455"/>
      <c r="K49" s="161"/>
      <c r="L49" s="822"/>
      <c r="M49" s="823"/>
      <c r="N49" s="823"/>
      <c r="O49" s="823"/>
      <c r="P49" s="823"/>
      <c r="Q49" s="823"/>
      <c r="R49" s="823"/>
    </row>
    <row r="50" spans="2:20">
      <c r="B50" s="429"/>
      <c r="C50" s="424"/>
      <c r="D50" s="424"/>
      <c r="E50" s="430"/>
      <c r="F50" s="430"/>
      <c r="G50" s="33" t="s">
        <v>1076</v>
      </c>
      <c r="H50" s="1002">
        <v>4</v>
      </c>
      <c r="I50" s="34" t="s">
        <v>26</v>
      </c>
      <c r="J50" s="286">
        <v>2125000</v>
      </c>
      <c r="K50" s="189">
        <f>H50*J50</f>
        <v>8500000</v>
      </c>
      <c r="L50" s="822"/>
      <c r="M50" s="822"/>
      <c r="N50" s="822">
        <f>K50</f>
        <v>8500000</v>
      </c>
      <c r="O50" s="837"/>
      <c r="P50" s="837"/>
      <c r="Q50" s="846"/>
      <c r="R50" s="846"/>
    </row>
    <row r="51" spans="2:20" s="2033" customFormat="1">
      <c r="B51" s="2533"/>
      <c r="C51" s="2534"/>
      <c r="D51" s="2534"/>
      <c r="E51" s="2535"/>
      <c r="F51" s="2535"/>
      <c r="G51" s="2588" t="s">
        <v>1792</v>
      </c>
      <c r="H51" s="2589">
        <f>4*14</f>
        <v>56</v>
      </c>
      <c r="I51" s="2590" t="s">
        <v>28</v>
      </c>
      <c r="J51" s="2591">
        <v>370000</v>
      </c>
      <c r="K51" s="2707">
        <f>H51*J51</f>
        <v>20720000</v>
      </c>
      <c r="L51" s="2687"/>
      <c r="M51" s="2687"/>
      <c r="N51" s="2687">
        <f t="shared" ref="N51:N52" si="6">K51</f>
        <v>20720000</v>
      </c>
      <c r="O51" s="2708"/>
      <c r="P51" s="2708"/>
      <c r="Q51" s="2708"/>
      <c r="R51" s="2708"/>
    </row>
    <row r="52" spans="2:20" s="2033" customFormat="1">
      <c r="B52" s="2533"/>
      <c r="C52" s="2534"/>
      <c r="D52" s="2534"/>
      <c r="E52" s="2535"/>
      <c r="F52" s="2535"/>
      <c r="G52" s="2588" t="s">
        <v>1793</v>
      </c>
      <c r="H52" s="2589">
        <f>4*14</f>
        <v>56</v>
      </c>
      <c r="I52" s="2590" t="s">
        <v>27</v>
      </c>
      <c r="J52" s="2591">
        <v>500000</v>
      </c>
      <c r="K52" s="2707">
        <f>H52*J52</f>
        <v>28000000</v>
      </c>
      <c r="L52" s="2687"/>
      <c r="M52" s="2687"/>
      <c r="N52" s="2687">
        <f t="shared" si="6"/>
        <v>28000000</v>
      </c>
      <c r="O52" s="2687"/>
      <c r="P52" s="2687"/>
      <c r="Q52" s="2708"/>
      <c r="R52" s="2708"/>
    </row>
    <row r="53" spans="2:20">
      <c r="B53" s="429"/>
      <c r="C53" s="424"/>
      <c r="D53" s="424"/>
      <c r="E53" s="430"/>
      <c r="F53" s="430"/>
      <c r="G53" s="462"/>
      <c r="H53" s="646"/>
      <c r="I53" s="463"/>
      <c r="J53" s="647"/>
      <c r="K53" s="595"/>
      <c r="L53" s="837"/>
      <c r="M53" s="842"/>
      <c r="N53" s="837"/>
      <c r="O53" s="837"/>
      <c r="P53" s="837"/>
      <c r="Q53" s="846"/>
      <c r="R53" s="846"/>
    </row>
    <row r="54" spans="2:20">
      <c r="B54" s="43">
        <v>5</v>
      </c>
      <c r="C54" s="17">
        <v>2</v>
      </c>
      <c r="D54" s="17">
        <v>3</v>
      </c>
      <c r="E54" s="17"/>
      <c r="F54" s="17"/>
      <c r="G54" s="44" t="s">
        <v>78</v>
      </c>
      <c r="H54" s="646"/>
      <c r="I54" s="463"/>
      <c r="J54" s="647"/>
      <c r="K54" s="737">
        <f>K55</f>
        <v>0</v>
      </c>
      <c r="L54" s="837"/>
      <c r="M54" s="842"/>
      <c r="N54" s="837"/>
      <c r="O54" s="837"/>
      <c r="P54" s="837"/>
      <c r="Q54" s="846"/>
      <c r="R54" s="846"/>
    </row>
    <row r="55" spans="2:20">
      <c r="B55" s="36">
        <v>5</v>
      </c>
      <c r="C55" s="37">
        <v>2</v>
      </c>
      <c r="D55" s="37">
        <v>3</v>
      </c>
      <c r="E55" s="38">
        <v>24</v>
      </c>
      <c r="F55" s="17"/>
      <c r="G55" s="49" t="s">
        <v>1183</v>
      </c>
      <c r="H55" s="646"/>
      <c r="I55" s="463"/>
      <c r="J55" s="647"/>
      <c r="K55" s="737">
        <f>K56</f>
        <v>0</v>
      </c>
      <c r="L55" s="837"/>
      <c r="M55" s="842"/>
      <c r="N55" s="837"/>
      <c r="O55" s="837"/>
      <c r="P55" s="837"/>
      <c r="Q55" s="846"/>
      <c r="R55" s="846"/>
    </row>
    <row r="56" spans="2:20">
      <c r="B56" s="36">
        <v>5</v>
      </c>
      <c r="C56" s="37">
        <v>2</v>
      </c>
      <c r="D56" s="37">
        <v>3</v>
      </c>
      <c r="E56" s="38">
        <v>24</v>
      </c>
      <c r="F56" s="178" t="s">
        <v>80</v>
      </c>
      <c r="G56" s="20" t="s">
        <v>1184</v>
      </c>
      <c r="H56" s="646"/>
      <c r="I56" s="463"/>
      <c r="J56" s="647"/>
      <c r="K56" s="737">
        <f>SUM(K57:K61)</f>
        <v>0</v>
      </c>
      <c r="L56" s="837"/>
      <c r="M56" s="842"/>
      <c r="N56" s="837"/>
      <c r="O56" s="837"/>
      <c r="P56" s="837"/>
      <c r="Q56" s="846"/>
      <c r="R56" s="846"/>
    </row>
    <row r="57" spans="2:20">
      <c r="B57" s="429"/>
      <c r="C57" s="424"/>
      <c r="D57" s="424"/>
      <c r="E57" s="430"/>
      <c r="F57" s="430"/>
      <c r="G57" s="462" t="s">
        <v>1161</v>
      </c>
      <c r="H57" s="646"/>
      <c r="I57" s="463" t="s">
        <v>85</v>
      </c>
      <c r="J57" s="647">
        <v>89300101</v>
      </c>
      <c r="K57" s="189">
        <f t="shared" ref="K57:K61" si="7">H57*J57</f>
        <v>0</v>
      </c>
      <c r="L57" s="837"/>
      <c r="M57" s="842"/>
      <c r="N57" s="837"/>
      <c r="O57" s="1157">
        <f>K57</f>
        <v>0</v>
      </c>
      <c r="P57" s="837"/>
      <c r="Q57" s="846"/>
      <c r="R57" s="846"/>
    </row>
    <row r="58" spans="2:20">
      <c r="B58" s="429"/>
      <c r="C58" s="424"/>
      <c r="D58" s="424"/>
      <c r="E58" s="430"/>
      <c r="F58" s="430"/>
      <c r="G58" s="462" t="s">
        <v>1162</v>
      </c>
      <c r="H58" s="646"/>
      <c r="I58" s="463" t="s">
        <v>85</v>
      </c>
      <c r="J58" s="647">
        <v>63539354</v>
      </c>
      <c r="K58" s="189">
        <f t="shared" si="7"/>
        <v>0</v>
      </c>
      <c r="L58" s="837"/>
      <c r="M58" s="842"/>
      <c r="N58" s="837"/>
      <c r="O58" s="1157">
        <f t="shared" ref="O58:O61" si="8">K58</f>
        <v>0</v>
      </c>
      <c r="P58" s="837"/>
      <c r="Q58" s="846"/>
      <c r="R58" s="846"/>
    </row>
    <row r="59" spans="2:20">
      <c r="B59" s="429"/>
      <c r="C59" s="424"/>
      <c r="D59" s="424"/>
      <c r="E59" s="430"/>
      <c r="F59" s="430"/>
      <c r="G59" s="462" t="s">
        <v>1163</v>
      </c>
      <c r="H59" s="646"/>
      <c r="I59" s="463" t="s">
        <v>85</v>
      </c>
      <c r="J59" s="647">
        <v>53928200</v>
      </c>
      <c r="K59" s="189">
        <f t="shared" si="7"/>
        <v>0</v>
      </c>
      <c r="L59" s="837"/>
      <c r="M59" s="842"/>
      <c r="N59" s="837"/>
      <c r="O59" s="1157">
        <f t="shared" si="8"/>
        <v>0</v>
      </c>
      <c r="P59" s="837"/>
      <c r="Q59" s="846"/>
      <c r="R59" s="846"/>
    </row>
    <row r="60" spans="2:20">
      <c r="B60" s="429"/>
      <c r="C60" s="424"/>
      <c r="D60" s="424"/>
      <c r="E60" s="430"/>
      <c r="F60" s="430"/>
      <c r="G60" s="462" t="s">
        <v>1164</v>
      </c>
      <c r="H60" s="646"/>
      <c r="I60" s="463" t="s">
        <v>85</v>
      </c>
      <c r="J60" s="647">
        <v>22668926</v>
      </c>
      <c r="K60" s="189">
        <f t="shared" si="7"/>
        <v>0</v>
      </c>
      <c r="L60" s="837"/>
      <c r="M60" s="842"/>
      <c r="N60" s="837"/>
      <c r="O60" s="1157">
        <f t="shared" si="8"/>
        <v>0</v>
      </c>
      <c r="P60" s="837"/>
      <c r="Q60" s="846"/>
      <c r="R60" s="846"/>
    </row>
    <row r="61" spans="2:20">
      <c r="B61" s="429"/>
      <c r="C61" s="424"/>
      <c r="D61" s="424"/>
      <c r="E61" s="430"/>
      <c r="F61" s="430"/>
      <c r="G61" s="462" t="s">
        <v>1165</v>
      </c>
      <c r="H61" s="646"/>
      <c r="I61" s="463" t="s">
        <v>85</v>
      </c>
      <c r="J61" s="647">
        <v>108342857</v>
      </c>
      <c r="K61" s="189">
        <f t="shared" si="7"/>
        <v>0</v>
      </c>
      <c r="L61" s="837"/>
      <c r="M61" s="842"/>
      <c r="N61" s="837"/>
      <c r="O61" s="1157">
        <f t="shared" si="8"/>
        <v>0</v>
      </c>
      <c r="P61" s="837"/>
      <c r="Q61" s="846"/>
      <c r="R61" s="846"/>
    </row>
    <row r="62" spans="2:20">
      <c r="B62" s="429"/>
      <c r="C62" s="424"/>
      <c r="D62" s="424"/>
      <c r="E62" s="430"/>
      <c r="F62" s="430"/>
      <c r="G62" s="462"/>
      <c r="H62" s="646"/>
      <c r="I62" s="463"/>
      <c r="J62" s="647"/>
      <c r="K62" s="595"/>
      <c r="L62" s="837"/>
      <c r="M62" s="842"/>
      <c r="N62" s="837"/>
      <c r="O62" s="837"/>
      <c r="P62" s="837"/>
      <c r="Q62" s="846"/>
      <c r="R62" s="846"/>
    </row>
    <row r="63" spans="2:20">
      <c r="B63" s="22"/>
      <c r="C63" s="23"/>
      <c r="D63" s="23"/>
      <c r="E63" s="24"/>
      <c r="F63" s="24"/>
      <c r="G63" s="33"/>
      <c r="H63" s="163"/>
      <c r="I63" s="34"/>
      <c r="J63" s="286"/>
      <c r="K63" s="130"/>
      <c r="L63" s="822"/>
      <c r="M63" s="831"/>
      <c r="N63" s="824"/>
      <c r="O63" s="824"/>
      <c r="P63" s="824"/>
      <c r="Q63" s="824"/>
      <c r="R63" s="824"/>
    </row>
    <row r="64" spans="2:20" ht="15" customHeight="1" thickBot="1">
      <c r="B64" s="3289" t="s">
        <v>30</v>
      </c>
      <c r="C64" s="3290"/>
      <c r="D64" s="3290"/>
      <c r="E64" s="3290"/>
      <c r="F64" s="3290"/>
      <c r="G64" s="3290"/>
      <c r="H64" s="3290"/>
      <c r="I64" s="3290"/>
      <c r="J64" s="3291"/>
      <c r="K64" s="63">
        <f>K24</f>
        <v>425745000</v>
      </c>
      <c r="L64" s="822">
        <f>SUM(L50:L63)</f>
        <v>0</v>
      </c>
      <c r="M64" s="822">
        <f>SUM(M25:M63)</f>
        <v>0</v>
      </c>
      <c r="N64" s="822">
        <f>SUM(N25:N63)</f>
        <v>425745000</v>
      </c>
      <c r="O64" s="822">
        <f>SUM(O50:O63)</f>
        <v>0</v>
      </c>
      <c r="P64" s="822">
        <f>SUM(P50:P63)</f>
        <v>0</v>
      </c>
      <c r="Q64" s="822">
        <f>SUM(Q50:Q63)</f>
        <v>0</v>
      </c>
      <c r="R64" s="835">
        <f>SUM(L64:Q64)</f>
        <v>425745000</v>
      </c>
      <c r="S64" s="41">
        <f>K64-R64</f>
        <v>0</v>
      </c>
      <c r="T64" s="57"/>
    </row>
    <row r="65" spans="8:18" ht="13.5" thickTop="1">
      <c r="K65" s="41"/>
      <c r="L65" s="822"/>
      <c r="M65" s="831"/>
      <c r="N65" s="824"/>
      <c r="O65" s="824"/>
      <c r="P65" s="824"/>
      <c r="Q65" s="824"/>
      <c r="R65" s="824"/>
    </row>
    <row r="66" spans="8:18">
      <c r="H66" s="3336" t="s">
        <v>1534</v>
      </c>
      <c r="I66" s="3336"/>
      <c r="J66" s="3336"/>
      <c r="K66" s="937"/>
      <c r="L66" s="842"/>
      <c r="M66" s="831"/>
      <c r="N66" s="824"/>
      <c r="O66" s="824"/>
      <c r="P66" s="824"/>
      <c r="Q66" s="824"/>
      <c r="R66" s="824"/>
    </row>
    <row r="67" spans="8:18">
      <c r="H67" s="3337" t="s">
        <v>272</v>
      </c>
      <c r="I67" s="3337"/>
      <c r="J67" s="3485"/>
      <c r="K67" s="8"/>
      <c r="L67" s="842"/>
      <c r="M67" s="831"/>
      <c r="N67" s="824"/>
      <c r="O67" s="824"/>
      <c r="P67" s="824"/>
      <c r="Q67" s="824"/>
      <c r="R67" s="824"/>
    </row>
    <row r="68" spans="8:18">
      <c r="H68" s="127"/>
      <c r="I68" s="127"/>
      <c r="J68" s="127"/>
      <c r="K68" s="8"/>
      <c r="L68" s="842"/>
      <c r="M68" s="831"/>
      <c r="N68" s="824"/>
      <c r="O68" s="824"/>
      <c r="P68" s="824"/>
      <c r="Q68" s="824"/>
      <c r="R68" s="824"/>
    </row>
    <row r="69" spans="8:18">
      <c r="H69" s="127"/>
      <c r="I69" s="127"/>
      <c r="J69" s="127"/>
      <c r="K69" s="8"/>
      <c r="L69" s="842"/>
      <c r="M69" s="831"/>
      <c r="N69" s="824"/>
      <c r="O69" s="824"/>
      <c r="P69" s="824"/>
      <c r="Q69" s="824"/>
      <c r="R69" s="824"/>
    </row>
    <row r="70" spans="8:18">
      <c r="H70" s="3434" t="s">
        <v>904</v>
      </c>
      <c r="I70" s="3434"/>
      <c r="J70" s="3434"/>
      <c r="K70" s="8"/>
      <c r="L70" s="842"/>
      <c r="M70" s="831"/>
      <c r="N70" s="824"/>
      <c r="O70" s="824"/>
      <c r="P70" s="824"/>
      <c r="Q70" s="824"/>
      <c r="R70" s="824"/>
    </row>
    <row r="71" spans="8:18">
      <c r="H71" s="3434" t="s">
        <v>906</v>
      </c>
      <c r="I71" s="3434"/>
      <c r="J71" s="3434"/>
      <c r="K71" s="8"/>
      <c r="L71" s="842"/>
      <c r="M71" s="831"/>
      <c r="N71" s="824"/>
      <c r="O71" s="824"/>
      <c r="P71" s="824"/>
      <c r="Q71" s="824"/>
      <c r="R71" s="824"/>
    </row>
  </sheetData>
  <sortState ref="G65:K100">
    <sortCondition ref="G64"/>
  </sortState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B17:F17"/>
    <mergeCell ref="G17:H17"/>
    <mergeCell ref="I17:K17"/>
    <mergeCell ref="B18:K18"/>
    <mergeCell ref="B19:K20"/>
    <mergeCell ref="H66:J66"/>
    <mergeCell ref="H67:J67"/>
    <mergeCell ref="H70:J70"/>
    <mergeCell ref="H71:J71"/>
    <mergeCell ref="B21:F22"/>
    <mergeCell ref="G21:G22"/>
    <mergeCell ref="H21:J21"/>
    <mergeCell ref="B23:F23"/>
    <mergeCell ref="B64:J64"/>
  </mergeCells>
  <pageMargins left="0.11811023622047245" right="0.23622047244094491" top="0.56999999999999995" bottom="1.2204724409448819" header="0.23622047244094491" footer="0.15748031496062992"/>
  <pageSetup paperSize="5" scale="89" orientation="portrait" horizontalDpi="4294967293" verticalDpi="4294967293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</sheetPr>
  <dimension ref="B1:T95"/>
  <sheetViews>
    <sheetView view="pageBreakPreview" topLeftCell="A64" zoomScaleNormal="115" zoomScaleSheetLayoutView="100" workbookViewId="0">
      <selection activeCell="B34" sqref="B34:K84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4" width="3.140625" style="9" customWidth="1"/>
    <col min="5" max="5" width="2.85546875" style="9" customWidth="1"/>
    <col min="6" max="6" width="3.28515625" style="9" customWidth="1"/>
    <col min="7" max="7" width="45.5703125" style="9" customWidth="1"/>
    <col min="8" max="8" width="8" style="9" customWidth="1"/>
    <col min="9" max="9" width="8.28515625" style="9" customWidth="1"/>
    <col min="10" max="10" width="13.42578125" style="9" customWidth="1"/>
    <col min="11" max="11" width="15.28515625" style="9" bestFit="1" customWidth="1"/>
    <col min="12" max="12" width="14.42578125" style="9" bestFit="1" customWidth="1"/>
    <col min="13" max="13" width="6.42578125" style="9" bestFit="1" customWidth="1"/>
    <col min="14" max="14" width="14.28515625" style="9" bestFit="1" customWidth="1"/>
    <col min="15" max="17" width="6.42578125" style="9" bestFit="1" customWidth="1"/>
    <col min="18" max="18" width="16.7109375" style="9" bestFit="1" customWidth="1"/>
    <col min="19" max="19" width="16.85546875" style="9" bestFit="1" customWidth="1"/>
    <col min="20" max="20" width="15.5703125" style="9" bestFit="1" customWidth="1"/>
    <col min="21" max="16384" width="9.140625" style="9"/>
  </cols>
  <sheetData>
    <row r="1" spans="2:17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7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7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7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7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7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7">
      <c r="B7" s="3341" t="s">
        <v>33</v>
      </c>
      <c r="C7" s="3339"/>
      <c r="D7" s="3339"/>
      <c r="E7" s="3339"/>
      <c r="F7" s="3339"/>
      <c r="G7" s="3342" t="s">
        <v>214</v>
      </c>
      <c r="H7" s="3342"/>
      <c r="I7" s="3342"/>
      <c r="J7" s="3342"/>
      <c r="K7" s="3343"/>
      <c r="M7" s="157"/>
      <c r="N7" s="157"/>
      <c r="O7" s="157"/>
      <c r="P7" s="157"/>
      <c r="Q7" s="157"/>
    </row>
    <row r="8" spans="2:17">
      <c r="B8" s="3341" t="s">
        <v>34</v>
      </c>
      <c r="C8" s="3339"/>
      <c r="D8" s="3339"/>
      <c r="E8" s="3339"/>
      <c r="F8" s="3339"/>
      <c r="G8" s="3339" t="s">
        <v>744</v>
      </c>
      <c r="H8" s="3339"/>
      <c r="I8" s="3339"/>
      <c r="J8" s="3339"/>
      <c r="K8" s="3340"/>
      <c r="M8" s="157"/>
      <c r="N8" s="157"/>
      <c r="O8" s="157"/>
      <c r="P8" s="157"/>
      <c r="Q8" s="157"/>
    </row>
    <row r="9" spans="2:17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7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7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7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7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7" ht="15" customHeight="1">
      <c r="B14" s="3462" t="s">
        <v>8</v>
      </c>
      <c r="C14" s="3463"/>
      <c r="D14" s="3463"/>
      <c r="E14" s="3463"/>
      <c r="F14" s="3464"/>
      <c r="G14" s="3445" t="s">
        <v>421</v>
      </c>
      <c r="H14" s="3448"/>
      <c r="I14" s="3450">
        <v>1</v>
      </c>
      <c r="J14" s="3451"/>
      <c r="K14" s="3452"/>
    </row>
    <row r="15" spans="2:17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664121000</v>
      </c>
      <c r="J15" s="3454"/>
      <c r="K15" s="3455"/>
    </row>
    <row r="16" spans="2:17" ht="12.75" customHeight="1">
      <c r="B16" s="3439" t="s">
        <v>10</v>
      </c>
      <c r="C16" s="3451"/>
      <c r="D16" s="3451"/>
      <c r="E16" s="3451"/>
      <c r="F16" s="3460"/>
      <c r="G16" s="3445" t="s">
        <v>422</v>
      </c>
      <c r="H16" s="3448"/>
      <c r="I16" s="3456">
        <v>1</v>
      </c>
      <c r="J16" s="3457"/>
      <c r="K16" s="3458"/>
    </row>
    <row r="17" spans="2:18" ht="12.75" customHeight="1">
      <c r="B17" s="3439" t="s">
        <v>11</v>
      </c>
      <c r="C17" s="3451"/>
      <c r="D17" s="3451"/>
      <c r="E17" s="3451"/>
      <c r="F17" s="3460"/>
      <c r="G17" s="3445" t="s">
        <v>423</v>
      </c>
      <c r="H17" s="3448"/>
      <c r="I17" s="3456">
        <v>1</v>
      </c>
      <c r="J17" s="3457"/>
      <c r="K17" s="3458"/>
    </row>
    <row r="18" spans="2:18">
      <c r="B18" s="3442" t="s">
        <v>424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188"/>
      <c r="M21" s="1188"/>
      <c r="N21" s="1188"/>
      <c r="O21" s="1188"/>
      <c r="P21" s="1188"/>
      <c r="Q21" s="1188"/>
      <c r="R21" s="3378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187" t="s">
        <v>177</v>
      </c>
      <c r="M22" s="1187" t="s">
        <v>594</v>
      </c>
      <c r="N22" s="1187" t="s">
        <v>651</v>
      </c>
      <c r="O22" s="1187" t="s">
        <v>595</v>
      </c>
      <c r="P22" s="1187" t="s">
        <v>652</v>
      </c>
      <c r="Q22" s="1187" t="s">
        <v>593</v>
      </c>
      <c r="R22" s="3379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188">
        <v>6</v>
      </c>
      <c r="M23" s="1188">
        <v>7</v>
      </c>
      <c r="N23" s="1188">
        <v>8</v>
      </c>
      <c r="O23" s="1188">
        <v>9</v>
      </c>
      <c r="P23" s="1188">
        <v>10</v>
      </c>
      <c r="Q23" s="1188">
        <v>11</v>
      </c>
      <c r="R23" s="1188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54"/>
      <c r="K24" s="47">
        <f>K25+K33</f>
        <v>664121000</v>
      </c>
      <c r="L24" s="305"/>
      <c r="M24" s="305"/>
      <c r="N24" s="305"/>
      <c r="O24" s="305"/>
      <c r="P24" s="305"/>
      <c r="Q24" s="303"/>
      <c r="R24" s="303"/>
    </row>
    <row r="25" spans="2:18" ht="14.25" customHeight="1">
      <c r="B25" s="43">
        <v>5</v>
      </c>
      <c r="C25" s="17">
        <v>2</v>
      </c>
      <c r="D25" s="17">
        <v>1</v>
      </c>
      <c r="E25" s="17"/>
      <c r="F25" s="17"/>
      <c r="G25" s="44" t="s">
        <v>59</v>
      </c>
      <c r="H25" s="856"/>
      <c r="I25" s="17"/>
      <c r="J25" s="454"/>
      <c r="K25" s="47">
        <f>K26</f>
        <v>218640000</v>
      </c>
      <c r="L25" s="305"/>
      <c r="M25" s="305"/>
      <c r="N25" s="305"/>
      <c r="O25" s="305"/>
      <c r="P25" s="305"/>
      <c r="Q25" s="303"/>
      <c r="R25" s="303"/>
    </row>
    <row r="26" spans="2:18" s="76" customFormat="1" ht="15.75" customHeight="1">
      <c r="B26" s="94">
        <v>5</v>
      </c>
      <c r="C26" s="95">
        <v>2</v>
      </c>
      <c r="D26" s="95">
        <v>1</v>
      </c>
      <c r="E26" s="96" t="s">
        <v>25</v>
      </c>
      <c r="F26" s="96"/>
      <c r="G26" s="20" t="s">
        <v>185</v>
      </c>
      <c r="H26" s="245"/>
      <c r="I26" s="32"/>
      <c r="J26" s="354"/>
      <c r="K26" s="97">
        <f>K27</f>
        <v>218640000</v>
      </c>
      <c r="L26" s="304"/>
      <c r="M26" s="303"/>
      <c r="N26" s="303"/>
      <c r="O26" s="303"/>
      <c r="P26" s="303"/>
      <c r="Q26" s="303"/>
      <c r="R26" s="303"/>
    </row>
    <row r="27" spans="2:18" s="76" customFormat="1" ht="15.75" customHeight="1">
      <c r="B27" s="94">
        <v>5</v>
      </c>
      <c r="C27" s="95">
        <v>2</v>
      </c>
      <c r="D27" s="95">
        <v>1</v>
      </c>
      <c r="E27" s="96" t="s">
        <v>25</v>
      </c>
      <c r="F27" s="96" t="s">
        <v>25</v>
      </c>
      <c r="G27" s="20" t="s">
        <v>186</v>
      </c>
      <c r="H27" s="245"/>
      <c r="I27" s="32"/>
      <c r="J27" s="354"/>
      <c r="K27" s="97">
        <f>SUM(K28:K31)</f>
        <v>218640000</v>
      </c>
      <c r="L27" s="305"/>
      <c r="M27" s="305"/>
      <c r="N27" s="305"/>
      <c r="O27" s="305"/>
      <c r="P27" s="305"/>
      <c r="Q27" s="303"/>
      <c r="R27" s="303"/>
    </row>
    <row r="28" spans="2:18" s="76" customFormat="1" ht="15.75" customHeight="1">
      <c r="B28" s="94"/>
      <c r="C28" s="95"/>
      <c r="D28" s="95"/>
      <c r="E28" s="96"/>
      <c r="F28" s="96"/>
      <c r="G28" s="32" t="s">
        <v>592</v>
      </c>
      <c r="H28" s="355">
        <v>12</v>
      </c>
      <c r="I28" s="58" t="s">
        <v>62</v>
      </c>
      <c r="J28" s="354">
        <v>2120000</v>
      </c>
      <c r="K28" s="93">
        <f>J28*H28</f>
        <v>25440000</v>
      </c>
      <c r="L28" s="305">
        <f>K28</f>
        <v>25440000</v>
      </c>
      <c r="M28" s="399"/>
      <c r="N28" s="399"/>
      <c r="O28" s="303"/>
      <c r="P28" s="303"/>
      <c r="Q28" s="303"/>
      <c r="R28" s="303"/>
    </row>
    <row r="29" spans="2:18" s="76" customFormat="1" ht="15.75" customHeight="1">
      <c r="B29" s="94"/>
      <c r="C29" s="95"/>
      <c r="D29" s="95"/>
      <c r="E29" s="96"/>
      <c r="F29" s="96"/>
      <c r="G29" s="32" t="s">
        <v>640</v>
      </c>
      <c r="H29" s="355">
        <f>2*12</f>
        <v>24</v>
      </c>
      <c r="I29" s="58" t="s">
        <v>62</v>
      </c>
      <c r="J29" s="354">
        <v>2200000</v>
      </c>
      <c r="K29" s="93">
        <f>J29*H29</f>
        <v>52800000</v>
      </c>
      <c r="L29" s="305">
        <f t="shared" ref="L29:L31" si="0">K29</f>
        <v>52800000</v>
      </c>
      <c r="M29" s="399"/>
      <c r="N29" s="399"/>
      <c r="O29" s="305"/>
      <c r="P29" s="305"/>
      <c r="Q29" s="303"/>
      <c r="R29" s="303"/>
    </row>
    <row r="30" spans="2:18" s="76" customFormat="1" ht="15.75" customHeight="1">
      <c r="B30" s="94"/>
      <c r="C30" s="95"/>
      <c r="D30" s="95"/>
      <c r="E30" s="96"/>
      <c r="F30" s="96"/>
      <c r="G30" s="32" t="s">
        <v>643</v>
      </c>
      <c r="H30" s="355">
        <f>3*12</f>
        <v>36</v>
      </c>
      <c r="I30" s="58" t="s">
        <v>62</v>
      </c>
      <c r="J30" s="354">
        <v>2300000</v>
      </c>
      <c r="K30" s="93">
        <f>J30*H30</f>
        <v>82800000</v>
      </c>
      <c r="L30" s="305">
        <f t="shared" si="0"/>
        <v>82800000</v>
      </c>
      <c r="M30" s="399"/>
      <c r="N30" s="399"/>
      <c r="O30" s="303"/>
      <c r="P30" s="303"/>
      <c r="Q30" s="303"/>
      <c r="R30" s="303"/>
    </row>
    <row r="31" spans="2:18" s="76" customFormat="1" ht="15.75" customHeight="1">
      <c r="B31" s="94"/>
      <c r="C31" s="95"/>
      <c r="D31" s="95"/>
      <c r="E31" s="96"/>
      <c r="F31" s="96"/>
      <c r="G31" s="32" t="s">
        <v>642</v>
      </c>
      <c r="H31" s="355">
        <f>2*12</f>
        <v>24</v>
      </c>
      <c r="I31" s="58" t="s">
        <v>62</v>
      </c>
      <c r="J31" s="354">
        <v>2400000</v>
      </c>
      <c r="K31" s="93">
        <f>J31*H31</f>
        <v>57600000</v>
      </c>
      <c r="L31" s="305">
        <f t="shared" si="0"/>
        <v>57600000</v>
      </c>
      <c r="M31" s="399"/>
      <c r="N31" s="399"/>
      <c r="O31" s="305"/>
      <c r="P31" s="305"/>
      <c r="Q31" s="303"/>
      <c r="R31" s="303"/>
    </row>
    <row r="32" spans="2:18" s="76" customFormat="1" ht="15.75" customHeight="1">
      <c r="B32" s="94"/>
      <c r="C32" s="95"/>
      <c r="D32" s="95"/>
      <c r="E32" s="96"/>
      <c r="F32" s="96"/>
      <c r="G32" s="32"/>
      <c r="H32" s="355"/>
      <c r="I32" s="58"/>
      <c r="J32" s="354"/>
      <c r="K32" s="93"/>
      <c r="L32" s="305"/>
      <c r="M32" s="305"/>
      <c r="N32" s="305"/>
      <c r="O32" s="305"/>
      <c r="P32" s="305"/>
      <c r="Q32" s="306"/>
      <c r="R32" s="306"/>
    </row>
    <row r="33" spans="2:18" ht="14.25" customHeight="1">
      <c r="B33" s="43">
        <v>5</v>
      </c>
      <c r="C33" s="17">
        <v>2</v>
      </c>
      <c r="D33" s="17">
        <v>2</v>
      </c>
      <c r="E33" s="17"/>
      <c r="F33" s="17"/>
      <c r="G33" s="44" t="s">
        <v>43</v>
      </c>
      <c r="H33" s="856"/>
      <c r="I33" s="17"/>
      <c r="J33" s="454"/>
      <c r="K33" s="47">
        <f>+K34+K53</f>
        <v>445481000</v>
      </c>
      <c r="L33" s="318"/>
      <c r="M33" s="329"/>
      <c r="N33" s="330"/>
      <c r="O33" s="330"/>
      <c r="P33" s="330"/>
      <c r="Q33" s="319"/>
      <c r="R33" s="319"/>
    </row>
    <row r="34" spans="2:18" ht="15">
      <c r="B34" s="36">
        <v>5</v>
      </c>
      <c r="C34" s="37">
        <v>2</v>
      </c>
      <c r="D34" s="37">
        <v>2</v>
      </c>
      <c r="E34" s="38" t="s">
        <v>44</v>
      </c>
      <c r="F34" s="17"/>
      <c r="G34" s="48" t="s">
        <v>45</v>
      </c>
      <c r="H34" s="856"/>
      <c r="I34" s="17"/>
      <c r="J34" s="454"/>
      <c r="K34" s="47">
        <f>K35+K48</f>
        <v>39166000</v>
      </c>
      <c r="L34" s="305"/>
      <c r="M34" s="308"/>
      <c r="N34" s="309"/>
      <c r="O34" s="309"/>
      <c r="P34" s="309"/>
      <c r="Q34" s="306"/>
      <c r="R34" s="306"/>
    </row>
    <row r="35" spans="2:18" ht="15">
      <c r="B35" s="36">
        <v>5</v>
      </c>
      <c r="C35" s="37">
        <v>2</v>
      </c>
      <c r="D35" s="37">
        <v>2</v>
      </c>
      <c r="E35" s="38" t="s">
        <v>44</v>
      </c>
      <c r="F35" s="38" t="s">
        <v>81</v>
      </c>
      <c r="G35" s="48" t="s">
        <v>135</v>
      </c>
      <c r="H35" s="856"/>
      <c r="I35" s="17"/>
      <c r="J35" s="454"/>
      <c r="K35" s="50">
        <f>SUM(K36:K46)</f>
        <v>9966000</v>
      </c>
      <c r="L35" s="305"/>
      <c r="M35" s="310"/>
      <c r="N35" s="306"/>
      <c r="O35" s="306"/>
      <c r="P35" s="306"/>
      <c r="Q35" s="309"/>
      <c r="R35" s="306"/>
    </row>
    <row r="36" spans="2:18" ht="15">
      <c r="B36" s="51"/>
      <c r="C36" s="52"/>
      <c r="D36" s="52"/>
      <c r="E36" s="53"/>
      <c r="F36" s="53"/>
      <c r="G36" s="32" t="s">
        <v>1439</v>
      </c>
      <c r="H36" s="857">
        <v>3</v>
      </c>
      <c r="I36" s="4" t="s">
        <v>51</v>
      </c>
      <c r="J36" s="455">
        <v>600000</v>
      </c>
      <c r="K36" s="55">
        <f t="shared" ref="K36:K45" si="1">H36*J36</f>
        <v>1800000</v>
      </c>
      <c r="L36" s="305"/>
      <c r="M36" s="399"/>
      <c r="N36" s="305">
        <f>K36</f>
        <v>1800000</v>
      </c>
      <c r="O36" s="305"/>
      <c r="P36" s="305"/>
      <c r="Q36" s="306"/>
      <c r="R36" s="316"/>
    </row>
    <row r="37" spans="2:18" ht="15">
      <c r="B37" s="432"/>
      <c r="C37" s="433"/>
      <c r="D37" s="433"/>
      <c r="E37" s="434"/>
      <c r="F37" s="434"/>
      <c r="G37" s="391" t="s">
        <v>1440</v>
      </c>
      <c r="H37" s="645">
        <v>2</v>
      </c>
      <c r="I37" s="4" t="s">
        <v>107</v>
      </c>
      <c r="J37" s="1199">
        <v>600000</v>
      </c>
      <c r="K37" s="55">
        <f t="shared" si="1"/>
        <v>1200000</v>
      </c>
      <c r="L37" s="377"/>
      <c r="M37" s="399"/>
      <c r="N37" s="305">
        <f t="shared" ref="N37:N46" si="2">K37</f>
        <v>1200000</v>
      </c>
      <c r="O37" s="377"/>
      <c r="P37" s="377"/>
      <c r="Q37" s="378"/>
      <c r="R37" s="565"/>
    </row>
    <row r="38" spans="2:18" ht="15">
      <c r="B38" s="51"/>
      <c r="C38" s="52"/>
      <c r="D38" s="52"/>
      <c r="E38" s="53"/>
      <c r="F38" s="53"/>
      <c r="G38" s="32" t="s">
        <v>1441</v>
      </c>
      <c r="H38" s="857">
        <v>1</v>
      </c>
      <c r="I38" s="4" t="s">
        <v>114</v>
      </c>
      <c r="J38" s="455">
        <v>600000</v>
      </c>
      <c r="K38" s="55">
        <f t="shared" si="1"/>
        <v>600000</v>
      </c>
      <c r="L38" s="305"/>
      <c r="M38" s="399"/>
      <c r="N38" s="305">
        <f t="shared" si="2"/>
        <v>600000</v>
      </c>
      <c r="O38" s="309"/>
      <c r="P38" s="309"/>
      <c r="Q38" s="306"/>
      <c r="R38" s="306"/>
    </row>
    <row r="39" spans="2:18" ht="15">
      <c r="B39" s="51"/>
      <c r="C39" s="52"/>
      <c r="D39" s="52"/>
      <c r="E39" s="53"/>
      <c r="F39" s="434"/>
      <c r="G39" s="32" t="s">
        <v>1442</v>
      </c>
      <c r="H39" s="857">
        <v>1</v>
      </c>
      <c r="I39" s="4" t="s">
        <v>114</v>
      </c>
      <c r="J39" s="455">
        <v>600000</v>
      </c>
      <c r="K39" s="55">
        <f t="shared" si="1"/>
        <v>600000</v>
      </c>
      <c r="L39" s="305"/>
      <c r="M39" s="399"/>
      <c r="N39" s="305">
        <f t="shared" si="2"/>
        <v>600000</v>
      </c>
      <c r="O39" s="312"/>
      <c r="P39" s="312"/>
      <c r="Q39" s="306"/>
      <c r="R39" s="306"/>
    </row>
    <row r="40" spans="2:18" ht="15">
      <c r="B40" s="51"/>
      <c r="C40" s="52"/>
      <c r="D40" s="52"/>
      <c r="E40" s="53"/>
      <c r="F40" s="53"/>
      <c r="G40" s="32" t="s">
        <v>1443</v>
      </c>
      <c r="H40" s="857">
        <v>1</v>
      </c>
      <c r="I40" s="4" t="s">
        <v>114</v>
      </c>
      <c r="J40" s="455">
        <v>600000</v>
      </c>
      <c r="K40" s="55">
        <f t="shared" si="1"/>
        <v>600000</v>
      </c>
      <c r="L40" s="305"/>
      <c r="M40" s="399"/>
      <c r="N40" s="305">
        <f t="shared" si="2"/>
        <v>600000</v>
      </c>
      <c r="O40" s="314"/>
      <c r="P40" s="314"/>
      <c r="Q40" s="306"/>
      <c r="R40" s="306"/>
    </row>
    <row r="41" spans="2:18" ht="15">
      <c r="B41" s="51"/>
      <c r="C41" s="52"/>
      <c r="D41" s="52"/>
      <c r="E41" s="53"/>
      <c r="F41" s="434"/>
      <c r="G41" s="32" t="s">
        <v>774</v>
      </c>
      <c r="H41" s="857">
        <v>1</v>
      </c>
      <c r="I41" s="4" t="s">
        <v>86</v>
      </c>
      <c r="J41" s="455">
        <v>3000000</v>
      </c>
      <c r="K41" s="55">
        <f t="shared" si="1"/>
        <v>3000000</v>
      </c>
      <c r="L41" s="305"/>
      <c r="M41" s="399"/>
      <c r="N41" s="305">
        <f t="shared" si="2"/>
        <v>3000000</v>
      </c>
      <c r="O41" s="306"/>
      <c r="P41" s="306"/>
      <c r="Q41" s="306"/>
      <c r="R41" s="306"/>
    </row>
    <row r="42" spans="2:18" ht="15">
      <c r="B42" s="36"/>
      <c r="C42" s="37"/>
      <c r="D42" s="37"/>
      <c r="E42" s="38"/>
      <c r="F42" s="53"/>
      <c r="G42" s="108" t="s">
        <v>1720</v>
      </c>
      <c r="H42" s="862">
        <v>93</v>
      </c>
      <c r="I42" s="4" t="s">
        <v>107</v>
      </c>
      <c r="J42" s="365">
        <v>12000</v>
      </c>
      <c r="K42" s="130">
        <f t="shared" si="1"/>
        <v>1116000</v>
      </c>
      <c r="L42" s="305"/>
      <c r="M42" s="399"/>
      <c r="N42" s="305">
        <f t="shared" si="2"/>
        <v>1116000</v>
      </c>
      <c r="O42" s="306"/>
      <c r="P42" s="306"/>
      <c r="Q42" s="306"/>
      <c r="R42" s="306"/>
    </row>
    <row r="43" spans="2:18" ht="15">
      <c r="B43" s="346"/>
      <c r="C43" s="371"/>
      <c r="D43" s="371"/>
      <c r="E43" s="372"/>
      <c r="F43" s="434"/>
      <c r="G43" s="373" t="s">
        <v>1721</v>
      </c>
      <c r="H43" s="933">
        <v>8</v>
      </c>
      <c r="I43" s="4" t="s">
        <v>107</v>
      </c>
      <c r="J43" s="456">
        <v>57000</v>
      </c>
      <c r="K43" s="130">
        <f t="shared" si="1"/>
        <v>456000</v>
      </c>
      <c r="L43" s="377"/>
      <c r="M43" s="399"/>
      <c r="N43" s="305">
        <f t="shared" si="2"/>
        <v>456000</v>
      </c>
      <c r="O43" s="378"/>
      <c r="P43" s="378"/>
      <c r="Q43" s="378"/>
      <c r="R43" s="378"/>
    </row>
    <row r="44" spans="2:18" ht="15">
      <c r="B44" s="346"/>
      <c r="C44" s="371"/>
      <c r="D44" s="371"/>
      <c r="E44" s="372"/>
      <c r="F44" s="53"/>
      <c r="G44" s="373" t="s">
        <v>1722</v>
      </c>
      <c r="H44" s="933">
        <v>1</v>
      </c>
      <c r="I44" s="4" t="s">
        <v>85</v>
      </c>
      <c r="J44" s="456">
        <v>113000</v>
      </c>
      <c r="K44" s="130">
        <f t="shared" si="1"/>
        <v>113000</v>
      </c>
      <c r="L44" s="377"/>
      <c r="M44" s="399"/>
      <c r="N44" s="305">
        <f t="shared" si="2"/>
        <v>113000</v>
      </c>
      <c r="O44" s="378"/>
      <c r="P44" s="378"/>
      <c r="Q44" s="378"/>
      <c r="R44" s="378"/>
    </row>
    <row r="45" spans="2:18" ht="15">
      <c r="B45" s="346"/>
      <c r="C45" s="371"/>
      <c r="D45" s="371"/>
      <c r="E45" s="372"/>
      <c r="F45" s="434"/>
      <c r="G45" s="373" t="s">
        <v>1723</v>
      </c>
      <c r="H45" s="933">
        <v>1</v>
      </c>
      <c r="I45" s="380" t="s">
        <v>85</v>
      </c>
      <c r="J45" s="456">
        <v>29000</v>
      </c>
      <c r="K45" s="130">
        <f t="shared" si="1"/>
        <v>29000</v>
      </c>
      <c r="L45" s="377"/>
      <c r="M45" s="399"/>
      <c r="N45" s="305">
        <f t="shared" si="2"/>
        <v>29000</v>
      </c>
      <c r="O45" s="378"/>
      <c r="P45" s="378"/>
      <c r="Q45" s="378"/>
      <c r="R45" s="378"/>
    </row>
    <row r="46" spans="2:18" ht="15">
      <c r="B46" s="346"/>
      <c r="C46" s="1474"/>
      <c r="D46" s="1474"/>
      <c r="E46" s="1475"/>
      <c r="F46" s="1476"/>
      <c r="G46" s="1477" t="s">
        <v>1724</v>
      </c>
      <c r="H46" s="1478">
        <v>4</v>
      </c>
      <c r="I46" s="1479" t="s">
        <v>85</v>
      </c>
      <c r="J46" s="1048">
        <v>113000</v>
      </c>
      <c r="K46" s="130">
        <f t="shared" ref="K46" si="3">H46*J46</f>
        <v>452000</v>
      </c>
      <c r="L46" s="377"/>
      <c r="M46" s="399"/>
      <c r="N46" s="305">
        <f t="shared" si="2"/>
        <v>452000</v>
      </c>
      <c r="O46" s="1480"/>
      <c r="P46" s="1480"/>
      <c r="Q46" s="1480"/>
      <c r="R46" s="1480"/>
    </row>
    <row r="47" spans="2:18" ht="15">
      <c r="B47" s="1679"/>
      <c r="C47" s="1680"/>
      <c r="D47" s="1680"/>
      <c r="E47" s="1681"/>
      <c r="F47" s="2115"/>
      <c r="G47" s="1683"/>
      <c r="H47" s="1663"/>
      <c r="I47" s="1660"/>
      <c r="J47" s="1655"/>
      <c r="K47" s="2077"/>
      <c r="L47" s="1656"/>
      <c r="M47" s="951"/>
      <c r="N47" s="305"/>
      <c r="O47" s="1668"/>
      <c r="P47" s="1668"/>
      <c r="Q47" s="1668"/>
      <c r="R47" s="1668"/>
    </row>
    <row r="48" spans="2:18" ht="25.5">
      <c r="B48" s="1679">
        <v>5</v>
      </c>
      <c r="C48" s="1680">
        <v>2</v>
      </c>
      <c r="D48" s="1680">
        <v>2</v>
      </c>
      <c r="E48" s="1681" t="s">
        <v>44</v>
      </c>
      <c r="F48" s="1681">
        <v>13</v>
      </c>
      <c r="G48" s="2028" t="s">
        <v>127</v>
      </c>
      <c r="H48" s="2024"/>
      <c r="I48" s="1682"/>
      <c r="J48" s="2188"/>
      <c r="K48" s="2032">
        <f>SUM(K49:K51)</f>
        <v>29200000</v>
      </c>
      <c r="L48" s="1656"/>
      <c r="M48" s="569"/>
      <c r="N48" s="1656"/>
      <c r="O48" s="1668"/>
      <c r="P48" s="1668"/>
      <c r="Q48" s="1668"/>
      <c r="R48" s="1668"/>
    </row>
    <row r="49" spans="2:19" ht="15">
      <c r="B49" s="1679"/>
      <c r="C49" s="1680"/>
      <c r="D49" s="1680"/>
      <c r="E49" s="1681"/>
      <c r="F49" s="1681"/>
      <c r="G49" s="1683" t="s">
        <v>1836</v>
      </c>
      <c r="H49" s="2249">
        <v>100</v>
      </c>
      <c r="I49" s="2250" t="s">
        <v>285</v>
      </c>
      <c r="J49" s="1655">
        <v>179000</v>
      </c>
      <c r="K49" s="2251">
        <f>H49*J49</f>
        <v>17900000</v>
      </c>
      <c r="L49" s="1656"/>
      <c r="M49" s="811"/>
      <c r="N49" s="1656">
        <f>K49</f>
        <v>17900000</v>
      </c>
      <c r="O49" s="1668"/>
      <c r="P49" s="1668"/>
      <c r="Q49" s="1668"/>
      <c r="R49" s="1668"/>
    </row>
    <row r="50" spans="2:19" ht="15">
      <c r="B50" s="1679"/>
      <c r="C50" s="1680"/>
      <c r="D50" s="1680"/>
      <c r="E50" s="1681"/>
      <c r="F50" s="1681"/>
      <c r="G50" s="1683" t="s">
        <v>1837</v>
      </c>
      <c r="H50" s="2249">
        <v>70</v>
      </c>
      <c r="I50" s="2250" t="s">
        <v>285</v>
      </c>
      <c r="J50" s="1655">
        <v>90000</v>
      </c>
      <c r="K50" s="2251">
        <f>H50*J50</f>
        <v>6300000</v>
      </c>
      <c r="L50" s="1656"/>
      <c r="M50" s="811"/>
      <c r="N50" s="1656">
        <f t="shared" ref="N50:N51" si="4">K50</f>
        <v>6300000</v>
      </c>
      <c r="O50" s="1668"/>
      <c r="P50" s="1668"/>
      <c r="Q50" s="1668"/>
      <c r="R50" s="1668"/>
    </row>
    <row r="51" spans="2:19" ht="15">
      <c r="B51" s="1679"/>
      <c r="C51" s="1680"/>
      <c r="D51" s="1680"/>
      <c r="E51" s="1681"/>
      <c r="F51" s="1681"/>
      <c r="G51" s="1683" t="s">
        <v>1838</v>
      </c>
      <c r="H51" s="2249">
        <v>2</v>
      </c>
      <c r="I51" s="2250" t="s">
        <v>285</v>
      </c>
      <c r="J51" s="1655">
        <v>2500000</v>
      </c>
      <c r="K51" s="2251">
        <f>H51*J51</f>
        <v>5000000</v>
      </c>
      <c r="L51" s="1656"/>
      <c r="M51" s="811"/>
      <c r="N51" s="1656">
        <f t="shared" si="4"/>
        <v>5000000</v>
      </c>
      <c r="O51" s="1668"/>
      <c r="P51" s="1668"/>
      <c r="Q51" s="1668"/>
      <c r="R51" s="1668"/>
    </row>
    <row r="52" spans="2:19" ht="15">
      <c r="B52" s="346"/>
      <c r="C52" s="371"/>
      <c r="D52" s="371"/>
      <c r="E52" s="372"/>
      <c r="F52" s="434"/>
      <c r="G52" s="373"/>
      <c r="H52" s="933"/>
      <c r="I52" s="380"/>
      <c r="J52" s="456"/>
      <c r="K52" s="457"/>
      <c r="L52" s="377"/>
      <c r="M52" s="951"/>
      <c r="N52" s="377"/>
      <c r="O52" s="378"/>
      <c r="P52" s="378"/>
      <c r="Q52" s="378"/>
      <c r="R52" s="378"/>
    </row>
    <row r="53" spans="2:19" ht="15">
      <c r="B53" s="36">
        <v>5</v>
      </c>
      <c r="C53" s="37">
        <v>2</v>
      </c>
      <c r="D53" s="37">
        <v>2</v>
      </c>
      <c r="E53" s="38" t="s">
        <v>607</v>
      </c>
      <c r="F53" s="38"/>
      <c r="G53" s="48" t="s">
        <v>603</v>
      </c>
      <c r="H53" s="856"/>
      <c r="I53" s="17"/>
      <c r="J53" s="454"/>
      <c r="K53" s="50">
        <f>K54+K71</f>
        <v>406315000</v>
      </c>
      <c r="L53" s="305"/>
      <c r="M53" s="310"/>
      <c r="N53" s="305"/>
      <c r="O53" s="306"/>
      <c r="P53" s="306"/>
      <c r="Q53" s="306"/>
      <c r="R53" s="306"/>
    </row>
    <row r="54" spans="2:19" ht="15">
      <c r="B54" s="36">
        <v>5</v>
      </c>
      <c r="C54" s="37">
        <v>2</v>
      </c>
      <c r="D54" s="37">
        <v>2</v>
      </c>
      <c r="E54" s="38" t="s">
        <v>607</v>
      </c>
      <c r="F54" s="38" t="s">
        <v>25</v>
      </c>
      <c r="G54" s="48" t="s">
        <v>935</v>
      </c>
      <c r="H54" s="1026"/>
      <c r="I54" s="860"/>
      <c r="J54" s="820"/>
      <c r="K54" s="737">
        <f>SUM(K55:K70)</f>
        <v>226665000</v>
      </c>
      <c r="L54" s="377"/>
      <c r="M54" s="569"/>
      <c r="N54" s="377"/>
      <c r="O54" s="378"/>
      <c r="P54" s="378"/>
      <c r="Q54" s="378"/>
      <c r="R54" s="378"/>
      <c r="S54" s="158">
        <f>K54/4</f>
        <v>56666250</v>
      </c>
    </row>
    <row r="55" spans="2:19" ht="15">
      <c r="B55" s="36"/>
      <c r="C55" s="37"/>
      <c r="D55" s="37"/>
      <c r="E55" s="38"/>
      <c r="F55" s="38"/>
      <c r="G55" s="48" t="s">
        <v>478</v>
      </c>
      <c r="H55" s="1018"/>
      <c r="I55" s="173"/>
      <c r="J55" s="365"/>
      <c r="K55" s="55"/>
      <c r="L55" s="305"/>
      <c r="M55" s="663"/>
      <c r="N55" s="305"/>
      <c r="O55" s="306"/>
      <c r="P55" s="306"/>
      <c r="Q55" s="306"/>
      <c r="R55" s="306"/>
    </row>
    <row r="56" spans="2:19" ht="15">
      <c r="B56" s="36"/>
      <c r="C56" s="37"/>
      <c r="D56" s="37"/>
      <c r="E56" s="38"/>
      <c r="F56" s="38"/>
      <c r="G56" s="1223" t="s">
        <v>775</v>
      </c>
      <c r="H56" s="1212">
        <v>12</v>
      </c>
      <c r="I56" s="1224" t="s">
        <v>285</v>
      </c>
      <c r="J56" s="1225">
        <v>6100000</v>
      </c>
      <c r="K56" s="55">
        <f t="shared" ref="K56:K69" si="5">H56*J56</f>
        <v>73200000</v>
      </c>
      <c r="L56" s="305"/>
      <c r="M56" s="663"/>
      <c r="N56" s="305">
        <f>K56</f>
        <v>73200000</v>
      </c>
      <c r="O56" s="306"/>
      <c r="P56" s="306"/>
      <c r="Q56" s="306"/>
      <c r="R56" s="306"/>
    </row>
    <row r="57" spans="2:19" s="2033" customFormat="1" ht="15">
      <c r="B57" s="2606"/>
      <c r="C57" s="2485"/>
      <c r="D57" s="2485"/>
      <c r="E57" s="2486"/>
      <c r="F57" s="2486"/>
      <c r="G57" s="2709" t="s">
        <v>1419</v>
      </c>
      <c r="H57" s="2710">
        <v>1</v>
      </c>
      <c r="I57" s="2711" t="s">
        <v>85</v>
      </c>
      <c r="J57" s="2712">
        <v>35000000</v>
      </c>
      <c r="K57" s="2576">
        <f t="shared" si="5"/>
        <v>35000000</v>
      </c>
      <c r="L57" s="2492"/>
      <c r="M57" s="2713"/>
      <c r="N57" s="2577">
        <f t="shared" ref="N57:N69" si="6">K57</f>
        <v>35000000</v>
      </c>
      <c r="O57" s="2580"/>
      <c r="P57" s="2580"/>
      <c r="Q57" s="2580"/>
      <c r="R57" s="2580"/>
    </row>
    <row r="58" spans="2:19" ht="15">
      <c r="B58" s="36"/>
      <c r="C58" s="37"/>
      <c r="D58" s="37"/>
      <c r="E58" s="38"/>
      <c r="F58" s="38"/>
      <c r="G58" s="381" t="s">
        <v>479</v>
      </c>
      <c r="H58" s="1025"/>
      <c r="I58" s="858"/>
      <c r="J58" s="456"/>
      <c r="K58" s="55">
        <f t="shared" si="5"/>
        <v>0</v>
      </c>
      <c r="L58" s="305"/>
      <c r="M58" s="663"/>
      <c r="N58" s="305">
        <f t="shared" si="6"/>
        <v>0</v>
      </c>
      <c r="O58" s="306"/>
      <c r="P58" s="306"/>
      <c r="Q58" s="306"/>
      <c r="R58" s="306"/>
    </row>
    <row r="59" spans="2:19" ht="15">
      <c r="B59" s="36"/>
      <c r="C59" s="37"/>
      <c r="D59" s="37"/>
      <c r="E59" s="38"/>
      <c r="F59" s="38"/>
      <c r="G59" s="1226" t="s">
        <v>618</v>
      </c>
      <c r="H59" s="1227">
        <v>2</v>
      </c>
      <c r="I59" s="1228" t="s">
        <v>85</v>
      </c>
      <c r="J59" s="1229">
        <v>10000000</v>
      </c>
      <c r="K59" s="55">
        <f t="shared" si="5"/>
        <v>20000000</v>
      </c>
      <c r="L59" s="305"/>
      <c r="M59" s="663"/>
      <c r="N59" s="305">
        <f t="shared" si="6"/>
        <v>20000000</v>
      </c>
      <c r="O59" s="306"/>
      <c r="P59" s="306"/>
      <c r="Q59" s="306"/>
      <c r="R59" s="306"/>
    </row>
    <row r="60" spans="2:19" s="2033" customFormat="1" ht="15">
      <c r="B60" s="2596"/>
      <c r="C60" s="2597"/>
      <c r="D60" s="2597"/>
      <c r="E60" s="2598"/>
      <c r="F60" s="2598"/>
      <c r="G60" s="2714" t="s">
        <v>1153</v>
      </c>
      <c r="H60" s="2715">
        <v>1</v>
      </c>
      <c r="I60" s="2716" t="s">
        <v>85</v>
      </c>
      <c r="J60" s="2717">
        <v>2000000</v>
      </c>
      <c r="K60" s="2576">
        <f t="shared" si="5"/>
        <v>2000000</v>
      </c>
      <c r="L60" s="2577"/>
      <c r="M60" s="2713"/>
      <c r="N60" s="2577">
        <f t="shared" si="6"/>
        <v>2000000</v>
      </c>
      <c r="O60" s="2480"/>
      <c r="P60" s="2480"/>
      <c r="Q60" s="2480"/>
      <c r="R60" s="2480"/>
    </row>
    <row r="61" spans="2:19" s="2033" customFormat="1" ht="15">
      <c r="B61" s="2596"/>
      <c r="C61" s="2597"/>
      <c r="D61" s="2597"/>
      <c r="E61" s="2598"/>
      <c r="F61" s="2598"/>
      <c r="G61" s="2714" t="s">
        <v>1154</v>
      </c>
      <c r="H61" s="2715">
        <v>1</v>
      </c>
      <c r="I61" s="2716" t="s">
        <v>85</v>
      </c>
      <c r="J61" s="2717">
        <v>1500000</v>
      </c>
      <c r="K61" s="2576">
        <f t="shared" si="5"/>
        <v>1500000</v>
      </c>
      <c r="L61" s="2577"/>
      <c r="M61" s="2713"/>
      <c r="N61" s="2577">
        <f t="shared" si="6"/>
        <v>1500000</v>
      </c>
      <c r="O61" s="2480"/>
      <c r="P61" s="2480"/>
      <c r="Q61" s="2480"/>
      <c r="R61" s="2480"/>
    </row>
    <row r="62" spans="2:19" s="2033" customFormat="1" ht="15">
      <c r="B62" s="2596"/>
      <c r="C62" s="2597"/>
      <c r="D62" s="2597"/>
      <c r="E62" s="2598"/>
      <c r="F62" s="2598"/>
      <c r="G62" s="2714" t="s">
        <v>1155</v>
      </c>
      <c r="H62" s="2715">
        <v>1</v>
      </c>
      <c r="I62" s="2716" t="s">
        <v>85</v>
      </c>
      <c r="J62" s="2717">
        <v>38965000</v>
      </c>
      <c r="K62" s="2576">
        <f t="shared" si="5"/>
        <v>38965000</v>
      </c>
      <c r="L62" s="2577"/>
      <c r="M62" s="2713"/>
      <c r="N62" s="2577">
        <f t="shared" si="6"/>
        <v>38965000</v>
      </c>
      <c r="O62" s="2480"/>
      <c r="P62" s="2480"/>
      <c r="Q62" s="2480"/>
      <c r="R62" s="2480"/>
    </row>
    <row r="63" spans="2:19" ht="15">
      <c r="B63" s="36"/>
      <c r="C63" s="37"/>
      <c r="D63" s="37"/>
      <c r="E63" s="38"/>
      <c r="F63" s="38"/>
      <c r="G63" s="907" t="s">
        <v>619</v>
      </c>
      <c r="H63" s="1212">
        <v>1</v>
      </c>
      <c r="I63" s="1228" t="s">
        <v>85</v>
      </c>
      <c r="J63" s="1230">
        <v>1000000</v>
      </c>
      <c r="K63" s="55">
        <f t="shared" si="5"/>
        <v>1000000</v>
      </c>
      <c r="L63" s="305"/>
      <c r="M63" s="663"/>
      <c r="N63" s="305">
        <f t="shared" si="6"/>
        <v>1000000</v>
      </c>
      <c r="O63" s="306"/>
      <c r="P63" s="306"/>
      <c r="Q63" s="306"/>
      <c r="R63" s="306"/>
    </row>
    <row r="64" spans="2:19" ht="15">
      <c r="B64" s="36"/>
      <c r="C64" s="37"/>
      <c r="D64" s="37"/>
      <c r="E64" s="38"/>
      <c r="F64" s="38"/>
      <c r="G64" s="1231" t="s">
        <v>620</v>
      </c>
      <c r="H64" s="1212">
        <v>1</v>
      </c>
      <c r="I64" s="1228" t="s">
        <v>85</v>
      </c>
      <c r="J64" s="1232">
        <v>1000000</v>
      </c>
      <c r="K64" s="55">
        <f t="shared" si="5"/>
        <v>1000000</v>
      </c>
      <c r="L64" s="305"/>
      <c r="M64" s="663"/>
      <c r="N64" s="305">
        <f t="shared" si="6"/>
        <v>1000000</v>
      </c>
      <c r="O64" s="306"/>
      <c r="P64" s="306"/>
      <c r="Q64" s="306"/>
      <c r="R64" s="306"/>
    </row>
    <row r="65" spans="2:18" ht="15">
      <c r="B65" s="36"/>
      <c r="C65" s="37"/>
      <c r="D65" s="37"/>
      <c r="E65" s="38"/>
      <c r="F65" s="38"/>
      <c r="G65" s="907" t="s">
        <v>621</v>
      </c>
      <c r="H65" s="1212">
        <v>1</v>
      </c>
      <c r="I65" s="1228" t="s">
        <v>85</v>
      </c>
      <c r="J65" s="1230">
        <v>1000000</v>
      </c>
      <c r="K65" s="55">
        <f t="shared" si="5"/>
        <v>1000000</v>
      </c>
      <c r="L65" s="305"/>
      <c r="M65" s="663"/>
      <c r="N65" s="305">
        <f t="shared" si="6"/>
        <v>1000000</v>
      </c>
      <c r="O65" s="306"/>
      <c r="P65" s="306"/>
      <c r="Q65" s="306"/>
      <c r="R65" s="306"/>
    </row>
    <row r="66" spans="2:18" ht="15">
      <c r="B66" s="36"/>
      <c r="C66" s="37"/>
      <c r="D66" s="37"/>
      <c r="E66" s="38"/>
      <c r="F66" s="38"/>
      <c r="G66" s="907" t="s">
        <v>622</v>
      </c>
      <c r="H66" s="1212">
        <v>1</v>
      </c>
      <c r="I66" s="1228" t="s">
        <v>85</v>
      </c>
      <c r="J66" s="1230">
        <v>1000000</v>
      </c>
      <c r="K66" s="55">
        <f t="shared" si="5"/>
        <v>1000000</v>
      </c>
      <c r="L66" s="305"/>
      <c r="M66" s="663"/>
      <c r="N66" s="305">
        <f t="shared" si="6"/>
        <v>1000000</v>
      </c>
      <c r="O66" s="306"/>
      <c r="P66" s="306"/>
      <c r="Q66" s="306"/>
      <c r="R66" s="306"/>
    </row>
    <row r="67" spans="2:18" ht="15">
      <c r="B67" s="346"/>
      <c r="C67" s="371"/>
      <c r="D67" s="371"/>
      <c r="E67" s="372"/>
      <c r="F67" s="372"/>
      <c r="G67" s="907" t="s">
        <v>623</v>
      </c>
      <c r="H67" s="1212">
        <v>1</v>
      </c>
      <c r="I67" s="1228" t="s">
        <v>147</v>
      </c>
      <c r="J67" s="1230">
        <v>1000000</v>
      </c>
      <c r="K67" s="55">
        <f t="shared" si="5"/>
        <v>1000000</v>
      </c>
      <c r="L67" s="377"/>
      <c r="M67" s="663"/>
      <c r="N67" s="305">
        <f t="shared" si="6"/>
        <v>1000000</v>
      </c>
      <c r="O67" s="378"/>
      <c r="P67" s="378"/>
      <c r="Q67" s="378"/>
      <c r="R67" s="378"/>
    </row>
    <row r="68" spans="2:18" ht="15">
      <c r="B68" s="1679"/>
      <c r="C68" s="1680"/>
      <c r="D68" s="1680"/>
      <c r="E68" s="1681"/>
      <c r="F68" s="1681"/>
      <c r="G68" s="1813" t="s">
        <v>1710</v>
      </c>
      <c r="H68" s="1814">
        <v>2</v>
      </c>
      <c r="I68" s="1815" t="s">
        <v>85</v>
      </c>
      <c r="J68" s="2272">
        <v>25000000</v>
      </c>
      <c r="K68" s="1816">
        <f t="shared" si="5"/>
        <v>50000000</v>
      </c>
      <c r="L68" s="1656"/>
      <c r="M68" s="1817"/>
      <c r="N68" s="305">
        <f t="shared" si="6"/>
        <v>50000000</v>
      </c>
      <c r="O68" s="1668"/>
      <c r="P68" s="1668"/>
      <c r="Q68" s="1668"/>
      <c r="R68" s="1668"/>
    </row>
    <row r="69" spans="2:18" s="2033" customFormat="1" ht="15">
      <c r="B69" s="2626"/>
      <c r="C69" s="2523"/>
      <c r="D69" s="2523"/>
      <c r="E69" s="2524"/>
      <c r="F69" s="2524"/>
      <c r="G69" s="2718" t="s">
        <v>1846</v>
      </c>
      <c r="H69" s="2719">
        <v>1</v>
      </c>
      <c r="I69" s="2720" t="s">
        <v>114</v>
      </c>
      <c r="J69" s="2721">
        <v>1000000</v>
      </c>
      <c r="K69" s="2722">
        <f t="shared" si="5"/>
        <v>1000000</v>
      </c>
      <c r="L69" s="2038"/>
      <c r="M69" s="2723"/>
      <c r="N69" s="2577">
        <f t="shared" si="6"/>
        <v>1000000</v>
      </c>
      <c r="O69" s="2724"/>
      <c r="P69" s="2724"/>
      <c r="Q69" s="2724"/>
      <c r="R69" s="2724"/>
    </row>
    <row r="70" spans="2:18" ht="15">
      <c r="B70" s="346"/>
      <c r="C70" s="371"/>
      <c r="D70" s="371"/>
      <c r="E70" s="372"/>
      <c r="F70" s="372"/>
      <c r="G70" s="907"/>
      <c r="H70" s="1145"/>
      <c r="I70" s="858"/>
      <c r="J70" s="1146"/>
      <c r="K70" s="859"/>
      <c r="L70" s="377"/>
      <c r="M70" s="811"/>
      <c r="N70" s="377"/>
      <c r="O70" s="378"/>
      <c r="P70" s="378"/>
      <c r="Q70" s="378"/>
      <c r="R70" s="378"/>
    </row>
    <row r="71" spans="2:18" ht="15">
      <c r="B71" s="36">
        <v>5</v>
      </c>
      <c r="C71" s="37">
        <v>2</v>
      </c>
      <c r="D71" s="37">
        <v>2</v>
      </c>
      <c r="E71" s="38" t="s">
        <v>607</v>
      </c>
      <c r="F71" s="38" t="s">
        <v>66</v>
      </c>
      <c r="G71" s="49" t="s">
        <v>936</v>
      </c>
      <c r="H71" s="1026"/>
      <c r="I71" s="860"/>
      <c r="J71" s="820"/>
      <c r="K71" s="737">
        <f>SUM(K72:K85)</f>
        <v>179650000</v>
      </c>
      <c r="L71" s="377"/>
      <c r="M71" s="569"/>
      <c r="N71" s="377"/>
      <c r="O71" s="378"/>
      <c r="P71" s="378"/>
      <c r="Q71" s="378"/>
      <c r="R71" s="378"/>
    </row>
    <row r="72" spans="2:18" ht="15">
      <c r="B72" s="36"/>
      <c r="C72" s="37"/>
      <c r="D72" s="37"/>
      <c r="E72" s="38"/>
      <c r="F72" s="38"/>
      <c r="G72" s="48" t="s">
        <v>617</v>
      </c>
      <c r="H72" s="1018"/>
      <c r="I72" s="173"/>
      <c r="J72" s="365"/>
      <c r="K72" s="55">
        <f t="shared" ref="K72:K84" si="7">H72*J72</f>
        <v>0</v>
      </c>
      <c r="L72" s="305"/>
      <c r="M72" s="663"/>
      <c r="N72" s="305"/>
      <c r="O72" s="306"/>
      <c r="P72" s="306"/>
      <c r="Q72" s="306"/>
      <c r="R72" s="306"/>
    </row>
    <row r="73" spans="2:18" s="2033" customFormat="1" ht="15">
      <c r="B73" s="2596"/>
      <c r="C73" s="2597"/>
      <c r="D73" s="2597"/>
      <c r="E73" s="2598"/>
      <c r="F73" s="2598"/>
      <c r="G73" s="2725" t="s">
        <v>2061</v>
      </c>
      <c r="H73" s="2726">
        <f>91*3</f>
        <v>273</v>
      </c>
      <c r="I73" s="2727" t="s">
        <v>285</v>
      </c>
      <c r="J73" s="2699">
        <v>100000</v>
      </c>
      <c r="K73" s="2576">
        <f t="shared" si="7"/>
        <v>27300000</v>
      </c>
      <c r="L73" s="2577"/>
      <c r="M73" s="2713"/>
      <c r="N73" s="2577">
        <f>K73</f>
        <v>27300000</v>
      </c>
      <c r="O73" s="2480"/>
      <c r="P73" s="2480"/>
      <c r="Q73" s="2480"/>
      <c r="R73" s="2480"/>
    </row>
    <row r="74" spans="2:18" s="2033" customFormat="1" ht="15">
      <c r="B74" s="2596"/>
      <c r="C74" s="2597"/>
      <c r="D74" s="2597"/>
      <c r="E74" s="2598"/>
      <c r="F74" s="2598"/>
      <c r="G74" s="2725" t="s">
        <v>2062</v>
      </c>
      <c r="H74" s="2726">
        <f>51*3</f>
        <v>153</v>
      </c>
      <c r="I74" s="2727" t="s">
        <v>285</v>
      </c>
      <c r="J74" s="2699">
        <v>100000</v>
      </c>
      <c r="K74" s="2576">
        <f t="shared" si="7"/>
        <v>15300000</v>
      </c>
      <c r="L74" s="2577"/>
      <c r="M74" s="2713"/>
      <c r="N74" s="2577">
        <f t="shared" ref="N74:N84" si="8">K74</f>
        <v>15300000</v>
      </c>
      <c r="O74" s="2480"/>
      <c r="P74" s="2480"/>
      <c r="Q74" s="2480"/>
      <c r="R74" s="2480"/>
    </row>
    <row r="75" spans="2:18" ht="15">
      <c r="B75" s="36"/>
      <c r="C75" s="37"/>
      <c r="D75" s="37"/>
      <c r="E75" s="38"/>
      <c r="F75" s="38"/>
      <c r="G75" s="1222" t="s">
        <v>1705</v>
      </c>
      <c r="H75" s="1018">
        <v>12</v>
      </c>
      <c r="I75" s="173" t="s">
        <v>285</v>
      </c>
      <c r="J75" s="365">
        <v>1400000</v>
      </c>
      <c r="K75" s="55">
        <f t="shared" si="7"/>
        <v>16800000</v>
      </c>
      <c r="L75" s="305"/>
      <c r="M75" s="663"/>
      <c r="N75" s="305">
        <f t="shared" si="8"/>
        <v>16800000</v>
      </c>
      <c r="O75" s="306"/>
      <c r="P75" s="306"/>
      <c r="Q75" s="306"/>
      <c r="R75" s="306"/>
    </row>
    <row r="76" spans="2:18" ht="15">
      <c r="B76" s="36"/>
      <c r="C76" s="37"/>
      <c r="D76" s="37"/>
      <c r="E76" s="38"/>
      <c r="F76" s="38"/>
      <c r="G76" s="1222" t="s">
        <v>1706</v>
      </c>
      <c r="H76" s="1018">
        <v>12</v>
      </c>
      <c r="I76" s="173" t="s">
        <v>228</v>
      </c>
      <c r="J76" s="365">
        <v>450000</v>
      </c>
      <c r="K76" s="55">
        <f t="shared" si="7"/>
        <v>5400000</v>
      </c>
      <c r="L76" s="305"/>
      <c r="M76" s="663"/>
      <c r="N76" s="305">
        <f t="shared" si="8"/>
        <v>5400000</v>
      </c>
      <c r="O76" s="306"/>
      <c r="P76" s="306"/>
      <c r="Q76" s="306"/>
      <c r="R76" s="306"/>
    </row>
    <row r="77" spans="2:18" s="2033" customFormat="1" ht="15">
      <c r="B77" s="2596"/>
      <c r="C77" s="2597"/>
      <c r="D77" s="2597"/>
      <c r="E77" s="2598"/>
      <c r="F77" s="2598"/>
      <c r="G77" s="2725" t="s">
        <v>2063</v>
      </c>
      <c r="H77" s="2726">
        <f>14*3</f>
        <v>42</v>
      </c>
      <c r="I77" s="2727" t="s">
        <v>285</v>
      </c>
      <c r="J77" s="2699">
        <v>600000</v>
      </c>
      <c r="K77" s="2576">
        <f t="shared" si="7"/>
        <v>25200000</v>
      </c>
      <c r="L77" s="2577"/>
      <c r="M77" s="2713"/>
      <c r="N77" s="2577">
        <f t="shared" si="8"/>
        <v>25200000</v>
      </c>
      <c r="O77" s="2480"/>
      <c r="P77" s="2480"/>
      <c r="Q77" s="2480"/>
      <c r="R77" s="2480"/>
    </row>
    <row r="78" spans="2:18" ht="15">
      <c r="B78" s="36"/>
      <c r="C78" s="37"/>
      <c r="D78" s="37"/>
      <c r="E78" s="38"/>
      <c r="F78" s="38"/>
      <c r="G78" s="1222" t="s">
        <v>1707</v>
      </c>
      <c r="H78" s="1018">
        <v>40</v>
      </c>
      <c r="I78" s="173" t="s">
        <v>85</v>
      </c>
      <c r="J78" s="365">
        <v>230000</v>
      </c>
      <c r="K78" s="55">
        <f t="shared" si="7"/>
        <v>9200000</v>
      </c>
      <c r="L78" s="305"/>
      <c r="M78" s="663"/>
      <c r="N78" s="305">
        <f t="shared" si="8"/>
        <v>9200000</v>
      </c>
      <c r="O78" s="306"/>
      <c r="P78" s="306"/>
      <c r="Q78" s="306"/>
      <c r="R78" s="306"/>
    </row>
    <row r="79" spans="2:18" ht="15">
      <c r="B79" s="36"/>
      <c r="C79" s="37"/>
      <c r="D79" s="37"/>
      <c r="E79" s="38"/>
      <c r="F79" s="38"/>
      <c r="G79" s="1222" t="s">
        <v>624</v>
      </c>
      <c r="H79" s="1018">
        <v>30</v>
      </c>
      <c r="I79" s="173" t="s">
        <v>85</v>
      </c>
      <c r="J79" s="365">
        <v>320000</v>
      </c>
      <c r="K79" s="55">
        <f t="shared" si="7"/>
        <v>9600000</v>
      </c>
      <c r="L79" s="305"/>
      <c r="M79" s="663"/>
      <c r="N79" s="305">
        <f t="shared" si="8"/>
        <v>9600000</v>
      </c>
      <c r="O79" s="306"/>
      <c r="P79" s="306"/>
      <c r="Q79" s="306"/>
      <c r="R79" s="306"/>
    </row>
    <row r="80" spans="2:18" ht="15">
      <c r="B80" s="36"/>
      <c r="C80" s="37"/>
      <c r="D80" s="37"/>
      <c r="E80" s="38"/>
      <c r="F80" s="38"/>
      <c r="G80" s="1222" t="s">
        <v>625</v>
      </c>
      <c r="H80" s="1018">
        <v>50</v>
      </c>
      <c r="I80" s="173" t="s">
        <v>107</v>
      </c>
      <c r="J80" s="365">
        <v>220000</v>
      </c>
      <c r="K80" s="55">
        <f t="shared" si="7"/>
        <v>11000000</v>
      </c>
      <c r="L80" s="305"/>
      <c r="M80" s="663"/>
      <c r="N80" s="305">
        <f t="shared" si="8"/>
        <v>11000000</v>
      </c>
      <c r="O80" s="306"/>
      <c r="P80" s="306"/>
      <c r="Q80" s="306"/>
      <c r="R80" s="306"/>
    </row>
    <row r="81" spans="2:20" s="2033" customFormat="1" ht="15">
      <c r="B81" s="2606"/>
      <c r="C81" s="2485"/>
      <c r="D81" s="2485"/>
      <c r="E81" s="2598"/>
      <c r="F81" s="2598"/>
      <c r="G81" s="2714" t="s">
        <v>1410</v>
      </c>
      <c r="H81" s="2728">
        <v>4</v>
      </c>
      <c r="I81" s="2729" t="s">
        <v>85</v>
      </c>
      <c r="J81" s="2516">
        <v>1900000</v>
      </c>
      <c r="K81" s="2576">
        <f t="shared" si="7"/>
        <v>7600000</v>
      </c>
      <c r="L81" s="2492"/>
      <c r="M81" s="2713"/>
      <c r="N81" s="2577">
        <f t="shared" si="8"/>
        <v>7600000</v>
      </c>
      <c r="O81" s="2580"/>
      <c r="P81" s="2580"/>
      <c r="Q81" s="2580"/>
      <c r="R81" s="2580"/>
    </row>
    <row r="82" spans="2:20" s="2033" customFormat="1" ht="15">
      <c r="B82" s="2606"/>
      <c r="C82" s="2485"/>
      <c r="D82" s="2485"/>
      <c r="E82" s="2598"/>
      <c r="F82" s="2598"/>
      <c r="G82" s="2714" t="s">
        <v>1411</v>
      </c>
      <c r="H82" s="2728">
        <v>3</v>
      </c>
      <c r="I82" s="2729" t="s">
        <v>85</v>
      </c>
      <c r="J82" s="2516">
        <v>2750000</v>
      </c>
      <c r="K82" s="2576">
        <f t="shared" si="7"/>
        <v>8250000</v>
      </c>
      <c r="L82" s="2492"/>
      <c r="M82" s="2713"/>
      <c r="N82" s="2577">
        <f t="shared" si="8"/>
        <v>8250000</v>
      </c>
      <c r="O82" s="2580"/>
      <c r="P82" s="2580"/>
      <c r="Q82" s="2580"/>
      <c r="R82" s="2580"/>
    </row>
    <row r="83" spans="2:20" ht="15">
      <c r="B83" s="346"/>
      <c r="C83" s="371"/>
      <c r="D83" s="371"/>
      <c r="E83" s="372"/>
      <c r="F83" s="38"/>
      <c r="G83" s="907" t="s">
        <v>771</v>
      </c>
      <c r="H83" s="1025">
        <v>10</v>
      </c>
      <c r="I83" s="858" t="s">
        <v>85</v>
      </c>
      <c r="J83" s="456">
        <v>300000</v>
      </c>
      <c r="K83" s="55">
        <f t="shared" si="7"/>
        <v>3000000</v>
      </c>
      <c r="L83" s="377"/>
      <c r="M83" s="663"/>
      <c r="N83" s="305">
        <f t="shared" si="8"/>
        <v>3000000</v>
      </c>
      <c r="O83" s="378"/>
      <c r="P83" s="378"/>
      <c r="Q83" s="378"/>
      <c r="R83" s="378"/>
    </row>
    <row r="84" spans="2:20" s="2033" customFormat="1" ht="15">
      <c r="B84" s="2606"/>
      <c r="C84" s="2485"/>
      <c r="D84" s="2485"/>
      <c r="E84" s="2486"/>
      <c r="F84" s="2598"/>
      <c r="G84" s="2714" t="s">
        <v>1418</v>
      </c>
      <c r="H84" s="2730">
        <v>1</v>
      </c>
      <c r="I84" s="2731" t="s">
        <v>29</v>
      </c>
      <c r="J84" s="2516">
        <v>41000000</v>
      </c>
      <c r="K84" s="2576">
        <f t="shared" si="7"/>
        <v>41000000</v>
      </c>
      <c r="L84" s="2492"/>
      <c r="M84" s="2713"/>
      <c r="N84" s="2577">
        <f t="shared" si="8"/>
        <v>41000000</v>
      </c>
      <c r="O84" s="2580"/>
      <c r="P84" s="2580"/>
      <c r="Q84" s="2580"/>
      <c r="R84" s="2580"/>
    </row>
    <row r="85" spans="2:20" ht="15">
      <c r="B85" s="1401"/>
      <c r="C85" s="371"/>
      <c r="D85" s="371"/>
      <c r="E85" s="372"/>
      <c r="F85" s="372"/>
      <c r="G85" s="907"/>
      <c r="H85" s="933"/>
      <c r="I85" s="375"/>
      <c r="J85" s="1450"/>
      <c r="K85" s="859"/>
      <c r="L85" s="377"/>
      <c r="M85" s="811"/>
      <c r="N85" s="377"/>
      <c r="O85" s="378"/>
      <c r="P85" s="378"/>
      <c r="Q85" s="378"/>
      <c r="R85" s="378"/>
    </row>
    <row r="86" spans="2:20" ht="15" customHeight="1" thickBot="1">
      <c r="B86" s="3289" t="s">
        <v>30</v>
      </c>
      <c r="C86" s="3290"/>
      <c r="D86" s="3290"/>
      <c r="E86" s="3290"/>
      <c r="F86" s="3290"/>
      <c r="G86" s="3290"/>
      <c r="H86" s="3290"/>
      <c r="I86" s="3290"/>
      <c r="J86" s="3291"/>
      <c r="K86" s="63">
        <f>K24</f>
        <v>664121000</v>
      </c>
      <c r="L86" s="305">
        <f t="shared" ref="L86:Q86" si="9">SUM(L28:L84)</f>
        <v>218640000</v>
      </c>
      <c r="M86" s="305">
        <f t="shared" si="9"/>
        <v>0</v>
      </c>
      <c r="N86" s="305">
        <f t="shared" si="9"/>
        <v>445481000</v>
      </c>
      <c r="O86" s="305">
        <f t="shared" si="9"/>
        <v>0</v>
      </c>
      <c r="P86" s="305">
        <f t="shared" si="9"/>
        <v>0</v>
      </c>
      <c r="Q86" s="305">
        <f t="shared" si="9"/>
        <v>0</v>
      </c>
      <c r="R86" s="314">
        <f>SUM(L86:Q86)</f>
        <v>664121000</v>
      </c>
      <c r="S86" s="41">
        <f>K86-R86</f>
        <v>0</v>
      </c>
      <c r="T86" s="57">
        <f>S86-K86</f>
        <v>-664121000</v>
      </c>
    </row>
    <row r="87" spans="2:20" ht="15.75" thickTop="1">
      <c r="K87" s="41"/>
      <c r="L87" s="305"/>
      <c r="M87" s="310"/>
      <c r="N87" s="306"/>
      <c r="O87" s="306"/>
      <c r="P87" s="306"/>
      <c r="Q87" s="306"/>
      <c r="R87" s="306"/>
    </row>
    <row r="88" spans="2:20" ht="15">
      <c r="K88" s="41"/>
      <c r="L88" s="564"/>
      <c r="M88" s="569"/>
      <c r="N88" s="378"/>
      <c r="O88" s="378"/>
      <c r="P88" s="378"/>
      <c r="Q88" s="378"/>
      <c r="R88" s="378"/>
    </row>
    <row r="89" spans="2:20" ht="15">
      <c r="H89" s="3336" t="s">
        <v>1534</v>
      </c>
      <c r="I89" s="3336"/>
      <c r="J89" s="3336"/>
      <c r="K89" s="937"/>
      <c r="L89" s="564"/>
      <c r="M89" s="310"/>
      <c r="N89" s="306"/>
      <c r="O89" s="306"/>
      <c r="P89" s="306"/>
      <c r="Q89" s="306"/>
      <c r="R89" s="306"/>
    </row>
    <row r="90" spans="2:20" ht="15">
      <c r="H90" s="3337" t="s">
        <v>272</v>
      </c>
      <c r="I90" s="3337"/>
      <c r="J90" s="3485"/>
      <c r="K90" s="8"/>
      <c r="L90" s="564"/>
      <c r="M90" s="310"/>
      <c r="N90" s="306"/>
      <c r="O90" s="306"/>
      <c r="P90" s="306"/>
      <c r="Q90" s="306"/>
      <c r="R90" s="306"/>
    </row>
    <row r="91" spans="2:20" ht="15">
      <c r="H91" s="127"/>
      <c r="I91" s="127"/>
      <c r="J91" s="127"/>
      <c r="K91" s="8"/>
      <c r="L91" s="564"/>
      <c r="M91" s="310"/>
      <c r="N91" s="306"/>
      <c r="O91" s="306"/>
      <c r="P91" s="306"/>
      <c r="Q91" s="306"/>
      <c r="R91" s="306"/>
    </row>
    <row r="92" spans="2:20" ht="15">
      <c r="H92" s="127"/>
      <c r="I92" s="127"/>
      <c r="J92" s="127"/>
      <c r="K92" s="8"/>
      <c r="L92" s="564"/>
      <c r="M92" s="310"/>
      <c r="N92" s="306"/>
      <c r="O92" s="306"/>
      <c r="P92" s="306"/>
      <c r="Q92" s="306"/>
      <c r="R92" s="306"/>
    </row>
    <row r="93" spans="2:20" ht="15">
      <c r="H93" s="3434" t="s">
        <v>904</v>
      </c>
      <c r="I93" s="3434"/>
      <c r="J93" s="3434"/>
      <c r="K93" s="8"/>
      <c r="L93" s="564"/>
      <c r="M93" s="310"/>
      <c r="N93" s="306"/>
      <c r="O93" s="306"/>
      <c r="P93" s="306"/>
      <c r="Q93" s="306"/>
      <c r="R93" s="306"/>
    </row>
    <row r="94" spans="2:20" ht="15">
      <c r="H94" s="3434" t="s">
        <v>906</v>
      </c>
      <c r="I94" s="3434"/>
      <c r="J94" s="3434"/>
      <c r="K94" s="8"/>
      <c r="L94" s="564"/>
      <c r="M94" s="310"/>
      <c r="N94" s="306"/>
      <c r="O94" s="306"/>
      <c r="P94" s="306"/>
      <c r="Q94" s="306"/>
      <c r="R94" s="306"/>
    </row>
    <row r="95" spans="2:20">
      <c r="K95" s="8"/>
    </row>
  </sheetData>
  <mergeCells count="49">
    <mergeCell ref="B4:K4"/>
    <mergeCell ref="B5:F5"/>
    <mergeCell ref="G5:K5"/>
    <mergeCell ref="B6:F6"/>
    <mergeCell ref="G6:K6"/>
    <mergeCell ref="B1:K1"/>
    <mergeCell ref="B2:D3"/>
    <mergeCell ref="E2:H2"/>
    <mergeCell ref="I2:J2"/>
    <mergeCell ref="E3:H3"/>
    <mergeCell ref="I3:J3"/>
    <mergeCell ref="G9:K9"/>
    <mergeCell ref="B10:F10"/>
    <mergeCell ref="G10:K10"/>
    <mergeCell ref="L20:Q20"/>
    <mergeCell ref="R20:R22"/>
    <mergeCell ref="B11:F11"/>
    <mergeCell ref="G11:K11"/>
    <mergeCell ref="B12:K12"/>
    <mergeCell ref="B13:F13"/>
    <mergeCell ref="G13:H13"/>
    <mergeCell ref="I13:K13"/>
    <mergeCell ref="B14:F14"/>
    <mergeCell ref="G14:H14"/>
    <mergeCell ref="I14:K14"/>
    <mergeCell ref="H90:J90"/>
    <mergeCell ref="H93:J93"/>
    <mergeCell ref="H94:J94"/>
    <mergeCell ref="B21:F22"/>
    <mergeCell ref="G21:G22"/>
    <mergeCell ref="H21:J21"/>
    <mergeCell ref="B23:F23"/>
    <mergeCell ref="B86:J86"/>
    <mergeCell ref="B7:F7"/>
    <mergeCell ref="G7:K7"/>
    <mergeCell ref="B8:F8"/>
    <mergeCell ref="G8:K8"/>
    <mergeCell ref="H89:J89"/>
    <mergeCell ref="B17:F17"/>
    <mergeCell ref="G17:H17"/>
    <mergeCell ref="I17:K17"/>
    <mergeCell ref="B18:K18"/>
    <mergeCell ref="B19:K20"/>
    <mergeCell ref="B15:F15"/>
    <mergeCell ref="G15:H15"/>
    <mergeCell ref="I15:K15"/>
    <mergeCell ref="B16:F16"/>
    <mergeCell ref="G16:H16"/>
    <mergeCell ref="I16:K16"/>
  </mergeCells>
  <pageMargins left="0.11811023622047245" right="0.23622047244094491" top="0.47244094488188981" bottom="1.4173228346456694" header="0.23622047244094491" footer="0.15748031496062992"/>
  <pageSetup paperSize="5" scale="67" orientation="portrait" horizontalDpi="4294967293" verticalDpi="4294967293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7030A0"/>
  </sheetPr>
  <dimension ref="B1:T47"/>
  <sheetViews>
    <sheetView view="pageBreakPreview" topLeftCell="A18" zoomScaleNormal="115" zoomScaleSheetLayoutView="100" workbookViewId="0">
      <selection activeCell="K28" sqref="K28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4" width="3.140625" style="9" customWidth="1"/>
    <col min="5" max="5" width="2.85546875" style="9" customWidth="1"/>
    <col min="6" max="6" width="3.28515625" style="584" customWidth="1"/>
    <col min="7" max="7" width="48.42578125" style="9" customWidth="1"/>
    <col min="8" max="9" width="8" style="9" customWidth="1"/>
    <col min="10" max="10" width="14.140625" style="9" customWidth="1"/>
    <col min="11" max="11" width="12.5703125" style="9" bestFit="1" customWidth="1"/>
    <col min="12" max="12" width="6.42578125" style="9" bestFit="1" customWidth="1"/>
    <col min="13" max="13" width="14.42578125" style="9" bestFit="1" customWidth="1"/>
    <col min="14" max="14" width="6.42578125" style="9" bestFit="1" customWidth="1"/>
    <col min="15" max="15" width="14.42578125" style="41" bestFit="1" customWidth="1"/>
    <col min="16" max="17" width="6.42578125" style="9" bestFit="1" customWidth="1"/>
    <col min="18" max="18" width="18.42578125" style="9" bestFit="1" customWidth="1"/>
    <col min="19" max="19" width="14.28515625" style="9" bestFit="1" customWidth="1"/>
    <col min="20" max="20" width="12.5703125" style="9" bestFit="1" customWidth="1"/>
    <col min="21" max="16384" width="9.140625" style="9"/>
  </cols>
  <sheetData>
    <row r="1" spans="2:13" s="9" customFormat="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s="9" customFormat="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s="9" customFormat="1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s="9" customFormat="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 s="9" customFormat="1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 s="9" customFormat="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 s="9" customFormat="1">
      <c r="B7" s="3341" t="s">
        <v>33</v>
      </c>
      <c r="C7" s="3339"/>
      <c r="D7" s="3339"/>
      <c r="E7" s="3339"/>
      <c r="F7" s="3339"/>
      <c r="G7" s="3342" t="s">
        <v>1111</v>
      </c>
      <c r="H7" s="3342"/>
      <c r="I7" s="3342"/>
      <c r="J7" s="3342"/>
      <c r="K7" s="3343"/>
    </row>
    <row r="8" spans="2:13" s="9" customFormat="1">
      <c r="B8" s="3341" t="s">
        <v>34</v>
      </c>
      <c r="C8" s="3339"/>
      <c r="D8" s="3339"/>
      <c r="E8" s="3339"/>
      <c r="F8" s="3339"/>
      <c r="G8" s="3339" t="s">
        <v>1123</v>
      </c>
      <c r="H8" s="3339"/>
      <c r="I8" s="3339"/>
      <c r="J8" s="3339"/>
      <c r="K8" s="3340"/>
    </row>
    <row r="9" spans="2:13" s="9" customFormat="1">
      <c r="B9" s="6" t="s">
        <v>35</v>
      </c>
      <c r="C9" s="7"/>
      <c r="D9" s="7"/>
      <c r="E9" s="7"/>
      <c r="F9" s="1522"/>
      <c r="G9" s="3339" t="s">
        <v>1152</v>
      </c>
      <c r="H9" s="3339"/>
      <c r="I9" s="3339"/>
      <c r="J9" s="3339"/>
      <c r="K9" s="3340"/>
      <c r="M9" s="41"/>
    </row>
    <row r="10" spans="2:13" s="9" customFormat="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 s="9" customFormat="1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 s="9" customFormat="1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 s="9" customFormat="1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s="9" customFormat="1" ht="15" customHeight="1">
      <c r="B14" s="3462" t="s">
        <v>8</v>
      </c>
      <c r="C14" s="3463"/>
      <c r="D14" s="3463"/>
      <c r="E14" s="3463"/>
      <c r="F14" s="3464"/>
      <c r="G14" s="3445" t="s">
        <v>739</v>
      </c>
      <c r="H14" s="3448"/>
      <c r="I14" s="3450">
        <v>1</v>
      </c>
      <c r="J14" s="3451"/>
      <c r="K14" s="3452"/>
    </row>
    <row r="15" spans="2:13" s="9" customFormat="1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833571724</v>
      </c>
      <c r="J15" s="3454"/>
      <c r="K15" s="3455"/>
    </row>
    <row r="16" spans="2:13" s="9" customFormat="1" ht="16.5" customHeight="1">
      <c r="B16" s="3439" t="s">
        <v>10</v>
      </c>
      <c r="C16" s="3451"/>
      <c r="D16" s="3451"/>
      <c r="E16" s="3451"/>
      <c r="F16" s="3460"/>
      <c r="G16" s="3445" t="s">
        <v>742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435</v>
      </c>
      <c r="H17" s="3448"/>
      <c r="I17" s="3456">
        <v>1</v>
      </c>
      <c r="J17" s="3457"/>
      <c r="K17" s="3458"/>
    </row>
    <row r="18" spans="2:18">
      <c r="B18" s="3442" t="s">
        <v>262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526"/>
      <c r="M21" s="1526"/>
      <c r="N21" s="1526"/>
      <c r="O21" s="1526"/>
      <c r="P21" s="1526"/>
      <c r="Q21" s="1526"/>
      <c r="R21" s="3378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525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526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159">
        <f>K25+K30</f>
        <v>833571724</v>
      </c>
      <c r="L24" s="305"/>
      <c r="M24" s="305"/>
      <c r="N24" s="305"/>
      <c r="O24" s="305"/>
      <c r="P24" s="305"/>
      <c r="Q24" s="303"/>
      <c r="R24" s="303"/>
    </row>
    <row r="25" spans="2:18" ht="14.25" customHeight="1">
      <c r="B25" s="43">
        <v>5</v>
      </c>
      <c r="C25" s="17">
        <v>2</v>
      </c>
      <c r="D25" s="17">
        <v>1</v>
      </c>
      <c r="E25" s="17"/>
      <c r="F25" s="17"/>
      <c r="G25" s="44" t="s">
        <v>59</v>
      </c>
      <c r="H25" s="45"/>
      <c r="I25" s="17"/>
      <c r="J25" s="46"/>
      <c r="K25" s="159">
        <f>K26</f>
        <v>615600000</v>
      </c>
      <c r="L25" s="305"/>
      <c r="M25" s="305"/>
      <c r="N25" s="305"/>
      <c r="O25" s="305"/>
      <c r="P25" s="305"/>
      <c r="Q25" s="303"/>
      <c r="R25" s="303"/>
    </row>
    <row r="26" spans="2:18" s="76" customFormat="1" ht="15.75" customHeight="1">
      <c r="B26" s="94">
        <v>5</v>
      </c>
      <c r="C26" s="95">
        <v>2</v>
      </c>
      <c r="D26" s="95">
        <v>1</v>
      </c>
      <c r="E26" s="96" t="s">
        <v>25</v>
      </c>
      <c r="F26" s="96"/>
      <c r="G26" s="20" t="s">
        <v>185</v>
      </c>
      <c r="H26" s="245"/>
      <c r="I26" s="32"/>
      <c r="J26" s="122"/>
      <c r="K26" s="1142">
        <f>K27</f>
        <v>615600000</v>
      </c>
      <c r="L26" s="404"/>
      <c r="M26" s="409"/>
      <c r="N26" s="410"/>
      <c r="O26" s="410"/>
      <c r="P26" s="410"/>
      <c r="Q26" s="405"/>
      <c r="R26" s="306"/>
    </row>
    <row r="27" spans="2:18" s="76" customFormat="1" ht="15.75" customHeight="1">
      <c r="B27" s="94">
        <v>5</v>
      </c>
      <c r="C27" s="95">
        <v>2</v>
      </c>
      <c r="D27" s="95">
        <v>1</v>
      </c>
      <c r="E27" s="96" t="s">
        <v>25</v>
      </c>
      <c r="F27" s="96" t="s">
        <v>25</v>
      </c>
      <c r="G27" s="20" t="s">
        <v>186</v>
      </c>
      <c r="H27" s="245"/>
      <c r="I27" s="32"/>
      <c r="J27" s="122"/>
      <c r="K27" s="1142">
        <f>SUM(K28)</f>
        <v>615600000</v>
      </c>
      <c r="L27" s="404"/>
      <c r="M27" s="411"/>
      <c r="N27" s="402"/>
      <c r="O27" s="402"/>
      <c r="P27" s="402"/>
      <c r="Q27" s="405"/>
      <c r="R27" s="306"/>
    </row>
    <row r="28" spans="2:18" s="76" customFormat="1" ht="25.5">
      <c r="B28" s="94"/>
      <c r="C28" s="95"/>
      <c r="D28" s="95"/>
      <c r="E28" s="96"/>
      <c r="F28" s="96"/>
      <c r="G28" s="32" t="s">
        <v>1886</v>
      </c>
      <c r="H28" s="355">
        <f>19*12</f>
        <v>228</v>
      </c>
      <c r="I28" s="58" t="s">
        <v>62</v>
      </c>
      <c r="J28" s="122">
        <v>2700000</v>
      </c>
      <c r="K28" s="1143">
        <f>J28*H28</f>
        <v>615600000</v>
      </c>
      <c r="L28" s="404"/>
      <c r="M28" s="1075">
        <f>K28</f>
        <v>615600000</v>
      </c>
      <c r="N28" s="1068"/>
      <c r="O28" s="405"/>
      <c r="P28" s="405"/>
      <c r="Q28" s="405"/>
      <c r="R28" s="306"/>
    </row>
    <row r="29" spans="2:18">
      <c r="B29" s="1528"/>
      <c r="C29" s="59"/>
      <c r="D29" s="59"/>
      <c r="E29" s="60"/>
      <c r="F29" s="863"/>
      <c r="G29" s="32"/>
      <c r="H29" s="857"/>
      <c r="I29" s="4"/>
      <c r="J29" s="61"/>
      <c r="K29" s="161"/>
      <c r="L29" s="305"/>
      <c r="M29" s="305"/>
      <c r="N29" s="305"/>
      <c r="O29" s="305"/>
      <c r="P29" s="305"/>
      <c r="Q29" s="303"/>
      <c r="R29" s="303"/>
    </row>
    <row r="30" spans="2:18" ht="15">
      <c r="B30" s="43">
        <v>5</v>
      </c>
      <c r="C30" s="17">
        <v>2</v>
      </c>
      <c r="D30" s="17">
        <v>3</v>
      </c>
      <c r="E30" s="17"/>
      <c r="F30" s="17"/>
      <c r="G30" s="44" t="s">
        <v>78</v>
      </c>
      <c r="H30" s="857"/>
      <c r="I30" s="4"/>
      <c r="J30" s="61"/>
      <c r="K30" s="166">
        <f>+K31</f>
        <v>217971724</v>
      </c>
      <c r="L30" s="305"/>
      <c r="M30" s="310"/>
      <c r="N30" s="306"/>
      <c r="O30" s="306"/>
      <c r="P30" s="306"/>
      <c r="Q30" s="306"/>
      <c r="R30" s="306"/>
    </row>
    <row r="31" spans="2:18" ht="15">
      <c r="B31" s="36">
        <v>5</v>
      </c>
      <c r="C31" s="37">
        <v>2</v>
      </c>
      <c r="D31" s="37">
        <v>3</v>
      </c>
      <c r="E31" s="38">
        <v>34</v>
      </c>
      <c r="F31" s="17"/>
      <c r="G31" s="49" t="s">
        <v>320</v>
      </c>
      <c r="H31" s="856"/>
      <c r="I31" s="17"/>
      <c r="J31" s="46"/>
      <c r="K31" s="165">
        <f>+K32</f>
        <v>217971724</v>
      </c>
      <c r="L31" s="305"/>
      <c r="M31" s="310"/>
      <c r="N31" s="306"/>
      <c r="O31" s="306"/>
      <c r="P31" s="306"/>
      <c r="Q31" s="306"/>
      <c r="R31" s="306"/>
    </row>
    <row r="32" spans="2:18" ht="25.5">
      <c r="B32" s="36">
        <v>5</v>
      </c>
      <c r="C32" s="37">
        <v>2</v>
      </c>
      <c r="D32" s="37">
        <v>3</v>
      </c>
      <c r="E32" s="38">
        <v>34</v>
      </c>
      <c r="F32" s="38">
        <v>20</v>
      </c>
      <c r="G32" s="48" t="s">
        <v>832</v>
      </c>
      <c r="H32" s="857"/>
      <c r="I32" s="4"/>
      <c r="J32" s="61"/>
      <c r="K32" s="177">
        <f>SUM(K33:K33)</f>
        <v>217971724</v>
      </c>
      <c r="L32" s="305"/>
      <c r="M32" s="310"/>
      <c r="N32" s="306"/>
      <c r="O32" s="306"/>
      <c r="P32" s="306"/>
      <c r="Q32" s="306"/>
      <c r="R32" s="312"/>
    </row>
    <row r="33" spans="2:20" ht="15">
      <c r="B33" s="1027"/>
      <c r="C33" s="383"/>
      <c r="D33" s="383"/>
      <c r="E33" s="968"/>
      <c r="F33" s="968"/>
      <c r="G33" s="373" t="s">
        <v>1160</v>
      </c>
      <c r="H33" s="645">
        <v>4</v>
      </c>
      <c r="I33" s="380" t="s">
        <v>85</v>
      </c>
      <c r="J33" s="382">
        <v>54492931</v>
      </c>
      <c r="K33" s="906">
        <f t="shared" ref="K33" si="0">J33*H33</f>
        <v>217971724</v>
      </c>
      <c r="L33" s="377"/>
      <c r="M33" s="1029"/>
      <c r="N33" s="969"/>
      <c r="O33" s="1651">
        <f t="shared" ref="O33" si="1">K33</f>
        <v>217971724</v>
      </c>
      <c r="P33" s="969"/>
      <c r="Q33" s="969"/>
      <c r="R33" s="1144"/>
    </row>
    <row r="34" spans="2:20" ht="15">
      <c r="B34" s="137"/>
      <c r="C34" s="59"/>
      <c r="D34" s="59"/>
      <c r="E34" s="60"/>
      <c r="F34" s="863"/>
      <c r="G34" s="32"/>
      <c r="H34" s="857"/>
      <c r="I34" s="4"/>
      <c r="J34" s="61"/>
      <c r="K34" s="176"/>
      <c r="L34" s="305"/>
      <c r="M34" s="310"/>
      <c r="N34" s="306"/>
      <c r="O34" s="306"/>
      <c r="P34" s="306"/>
      <c r="Q34" s="306"/>
      <c r="R34" s="306"/>
    </row>
    <row r="35" spans="2:20" ht="15" customHeight="1" thickBot="1">
      <c r="B35" s="3289" t="s">
        <v>30</v>
      </c>
      <c r="C35" s="3290"/>
      <c r="D35" s="3290"/>
      <c r="E35" s="3290"/>
      <c r="F35" s="3290"/>
      <c r="G35" s="3290"/>
      <c r="H35" s="3290"/>
      <c r="I35" s="3290"/>
      <c r="J35" s="3291"/>
      <c r="K35" s="162">
        <f>K24</f>
        <v>833571724</v>
      </c>
      <c r="L35" s="305">
        <f t="shared" ref="L35:Q35" si="2">SUM(L26:L34)</f>
        <v>0</v>
      </c>
      <c r="M35" s="305">
        <f t="shared" si="2"/>
        <v>615600000</v>
      </c>
      <c r="N35" s="305">
        <f t="shared" si="2"/>
        <v>0</v>
      </c>
      <c r="O35" s="305">
        <f t="shared" si="2"/>
        <v>217971724</v>
      </c>
      <c r="P35" s="305">
        <f t="shared" si="2"/>
        <v>0</v>
      </c>
      <c r="Q35" s="305">
        <f t="shared" si="2"/>
        <v>0</v>
      </c>
      <c r="R35" s="314">
        <f>SUM(L35:Q35)</f>
        <v>833571724</v>
      </c>
      <c r="S35" s="21">
        <v>3647491500</v>
      </c>
      <c r="T35" s="21">
        <f>S35-K35</f>
        <v>2813919776</v>
      </c>
    </row>
    <row r="36" spans="2:20" ht="15.75" thickTop="1">
      <c r="K36" s="157"/>
      <c r="L36" s="305"/>
      <c r="M36" s="310"/>
      <c r="N36" s="306"/>
      <c r="O36" s="306"/>
      <c r="P36" s="306"/>
      <c r="Q36" s="306"/>
      <c r="R36" s="306"/>
    </row>
    <row r="37" spans="2:20" ht="15">
      <c r="K37" s="157"/>
      <c r="L37" s="564"/>
      <c r="M37" s="569"/>
      <c r="N37" s="378"/>
      <c r="O37" s="378"/>
      <c r="P37" s="378"/>
      <c r="Q37" s="378"/>
      <c r="R37" s="378"/>
    </row>
    <row r="38" spans="2:20" ht="15">
      <c r="H38" s="3336" t="s">
        <v>1534</v>
      </c>
      <c r="I38" s="3336"/>
      <c r="J38" s="3336"/>
      <c r="K38" s="146"/>
      <c r="L38" s="564"/>
      <c r="M38" s="310"/>
      <c r="N38" s="306"/>
      <c r="O38" s="306"/>
      <c r="P38" s="306"/>
      <c r="Q38" s="306"/>
      <c r="R38" s="306"/>
    </row>
    <row r="39" spans="2:20" ht="15">
      <c r="H39" s="3337" t="s">
        <v>272</v>
      </c>
      <c r="I39" s="3337"/>
      <c r="J39" s="3485"/>
      <c r="K39" s="146"/>
      <c r="L39" s="564"/>
      <c r="M39" s="310"/>
      <c r="N39" s="306"/>
      <c r="O39" s="306"/>
      <c r="P39" s="306"/>
      <c r="Q39" s="306"/>
      <c r="R39" s="306"/>
    </row>
    <row r="40" spans="2:20" ht="15">
      <c r="H40" s="127"/>
      <c r="I40" s="127"/>
      <c r="J40" s="127"/>
      <c r="K40" s="8"/>
      <c r="L40" s="564"/>
      <c r="M40" s="310"/>
      <c r="N40" s="306"/>
      <c r="O40" s="306"/>
      <c r="P40" s="306"/>
      <c r="Q40" s="306"/>
      <c r="R40" s="306"/>
    </row>
    <row r="41" spans="2:20" ht="15">
      <c r="H41" s="127"/>
      <c r="I41" s="127"/>
      <c r="J41" s="127"/>
      <c r="K41" s="8"/>
      <c r="L41" s="564"/>
      <c r="M41" s="310"/>
      <c r="N41" s="306"/>
      <c r="O41" s="306"/>
      <c r="P41" s="306"/>
      <c r="Q41" s="306"/>
      <c r="R41" s="306"/>
    </row>
    <row r="42" spans="2:20" ht="15">
      <c r="H42" s="3434" t="s">
        <v>904</v>
      </c>
      <c r="I42" s="3434"/>
      <c r="J42" s="3434"/>
      <c r="K42" s="8"/>
      <c r="L42" s="564"/>
      <c r="M42" s="310"/>
      <c r="N42" s="306"/>
      <c r="O42" s="306"/>
      <c r="P42" s="306"/>
      <c r="Q42" s="306"/>
      <c r="R42" s="306"/>
    </row>
    <row r="43" spans="2:20" ht="15">
      <c r="H43" s="3434" t="s">
        <v>906</v>
      </c>
      <c r="I43" s="3434"/>
      <c r="J43" s="3434"/>
      <c r="K43" s="8"/>
      <c r="L43" s="564"/>
      <c r="M43" s="310"/>
      <c r="N43" s="306"/>
      <c r="O43" s="306"/>
      <c r="P43" s="306"/>
      <c r="Q43" s="306"/>
      <c r="R43" s="306"/>
    </row>
    <row r="47" spans="2:20">
      <c r="G47" s="9" t="s">
        <v>802</v>
      </c>
      <c r="J47" s="656">
        <v>29914588</v>
      </c>
    </row>
  </sheetData>
  <sortState ref="G54:H75">
    <sortCondition ref="G54"/>
  </sortState>
  <mergeCells count="49">
    <mergeCell ref="H38:J38"/>
    <mergeCell ref="H39:J39"/>
    <mergeCell ref="H42:J42"/>
    <mergeCell ref="H43:J43"/>
    <mergeCell ref="R20:R22"/>
    <mergeCell ref="L20:Q20"/>
    <mergeCell ref="B21:F22"/>
    <mergeCell ref="G21:G22"/>
    <mergeCell ref="H21:J21"/>
    <mergeCell ref="B23:F23"/>
    <mergeCell ref="B35:J35"/>
    <mergeCell ref="B17:F17"/>
    <mergeCell ref="G17:H17"/>
    <mergeCell ref="I17:K17"/>
    <mergeCell ref="B18:K18"/>
    <mergeCell ref="B19:K20"/>
    <mergeCell ref="B15:F15"/>
    <mergeCell ref="G15:H15"/>
    <mergeCell ref="I15:K15"/>
    <mergeCell ref="B16:F16"/>
    <mergeCell ref="G16:H16"/>
    <mergeCell ref="I16:K16"/>
    <mergeCell ref="B12:K12"/>
    <mergeCell ref="B13:F13"/>
    <mergeCell ref="G13:H13"/>
    <mergeCell ref="I13:K13"/>
    <mergeCell ref="B14:F14"/>
    <mergeCell ref="G14:H14"/>
    <mergeCell ref="I14:K14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:K1"/>
    <mergeCell ref="B2:D3"/>
    <mergeCell ref="E2:H2"/>
    <mergeCell ref="I2:J2"/>
    <mergeCell ref="E3:H3"/>
    <mergeCell ref="I3:J3"/>
  </mergeCells>
  <pageMargins left="0.11811023622047245" right="0.23622047244094491" top="0.43307086614173229" bottom="1.22" header="0.23622047244094491" footer="0.15748031496062992"/>
  <pageSetup paperSize="5" scale="92" orientation="portrait" horizontalDpi="4294967293" verticalDpi="4294967293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7030A0"/>
  </sheetPr>
  <dimension ref="B1:T55"/>
  <sheetViews>
    <sheetView view="pageBreakPreview" topLeftCell="A13" zoomScaleNormal="115" zoomScaleSheetLayoutView="100" workbookViewId="0">
      <selection activeCell="B26" sqref="B26:K28"/>
    </sheetView>
  </sheetViews>
  <sheetFormatPr defaultRowHeight="12.75"/>
  <cols>
    <col min="1" max="1" width="1" style="9" customWidth="1"/>
    <col min="2" max="2" width="3.140625" style="9" customWidth="1"/>
    <col min="3" max="3" width="3.28515625" style="9" customWidth="1"/>
    <col min="4" max="5" width="3.140625" style="9" customWidth="1"/>
    <col min="6" max="6" width="3.28515625" style="9" customWidth="1"/>
    <col min="7" max="7" width="51.28515625" style="9" bestFit="1" customWidth="1"/>
    <col min="8" max="8" width="8" style="9" bestFit="1" customWidth="1"/>
    <col min="9" max="9" width="8" style="9" customWidth="1"/>
    <col min="10" max="10" width="13.5703125" style="9" bestFit="1" customWidth="1"/>
    <col min="11" max="11" width="16.85546875" style="9" bestFit="1" customWidth="1"/>
    <col min="12" max="13" width="6.42578125" style="9" bestFit="1" customWidth="1"/>
    <col min="14" max="14" width="13.5703125" style="9" bestFit="1" customWidth="1"/>
    <col min="15" max="15" width="14.42578125" style="41" bestFit="1" customWidth="1"/>
    <col min="16" max="17" width="6.42578125" style="9" bestFit="1" customWidth="1"/>
    <col min="18" max="18" width="18.42578125" style="9" bestFit="1" customWidth="1"/>
    <col min="19" max="19" width="16.5703125" style="9" bestFit="1" customWidth="1"/>
    <col min="20" max="20" width="14.28515625" style="9" bestFit="1" customWidth="1"/>
    <col min="21" max="16384" width="9.140625" style="9"/>
  </cols>
  <sheetData>
    <row r="1" spans="2:13" s="9" customFormat="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s="9" customFormat="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s="9" customFormat="1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s="9" customFormat="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 s="9" customFormat="1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 s="9" customFormat="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 s="9" customFormat="1">
      <c r="B7" s="3341" t="s">
        <v>33</v>
      </c>
      <c r="C7" s="3339"/>
      <c r="D7" s="3339"/>
      <c r="E7" s="3339"/>
      <c r="F7" s="3339"/>
      <c r="G7" s="3342" t="s">
        <v>1111</v>
      </c>
      <c r="H7" s="3342"/>
      <c r="I7" s="3342"/>
      <c r="J7" s="3342"/>
      <c r="K7" s="3343"/>
    </row>
    <row r="8" spans="2:13" s="9" customFormat="1">
      <c r="B8" s="3341" t="s">
        <v>34</v>
      </c>
      <c r="C8" s="3339"/>
      <c r="D8" s="3339"/>
      <c r="E8" s="3339"/>
      <c r="F8" s="3339"/>
      <c r="G8" s="3339" t="s">
        <v>1122</v>
      </c>
      <c r="H8" s="3339"/>
      <c r="I8" s="3339"/>
      <c r="J8" s="3339"/>
      <c r="K8" s="3340"/>
    </row>
    <row r="9" spans="2:13" s="9" customFormat="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 s="9" customFormat="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 s="9" customFormat="1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 s="9" customFormat="1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 s="9" customFormat="1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s="9" customFormat="1" ht="15" customHeight="1">
      <c r="B14" s="3462" t="s">
        <v>8</v>
      </c>
      <c r="C14" s="3463"/>
      <c r="D14" s="3463"/>
      <c r="E14" s="3463"/>
      <c r="F14" s="3464"/>
      <c r="G14" s="3445" t="s">
        <v>433</v>
      </c>
      <c r="H14" s="3448"/>
      <c r="I14" s="3450">
        <v>1</v>
      </c>
      <c r="J14" s="3451"/>
      <c r="K14" s="3452"/>
    </row>
    <row r="15" spans="2:13" s="9" customFormat="1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1042961476</v>
      </c>
      <c r="J15" s="3454"/>
      <c r="K15" s="3455"/>
    </row>
    <row r="16" spans="2:13" s="9" customFormat="1" ht="16.5" customHeight="1">
      <c r="B16" s="3439" t="s">
        <v>10</v>
      </c>
      <c r="C16" s="3451"/>
      <c r="D16" s="3451"/>
      <c r="E16" s="3451"/>
      <c r="F16" s="3460"/>
      <c r="G16" s="3445" t="s">
        <v>434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435</v>
      </c>
      <c r="H17" s="3448"/>
      <c r="I17" s="3456">
        <v>1</v>
      </c>
      <c r="J17" s="3457"/>
      <c r="K17" s="3458"/>
    </row>
    <row r="18" spans="2:18">
      <c r="B18" s="3442" t="s">
        <v>262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526"/>
      <c r="M21" s="1526"/>
      <c r="N21" s="1526"/>
      <c r="O21" s="1526"/>
      <c r="P21" s="1526"/>
      <c r="Q21" s="1526"/>
      <c r="R21" s="3378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525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526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54"/>
      <c r="K24" s="47">
        <f>K25+K30</f>
        <v>1042961476</v>
      </c>
      <c r="L24" s="305"/>
      <c r="M24" s="305"/>
      <c r="N24" s="305"/>
      <c r="O24" s="305"/>
      <c r="P24" s="305"/>
      <c r="Q24" s="303"/>
      <c r="R24" s="303"/>
    </row>
    <row r="25" spans="2:18" ht="14.25" customHeight="1">
      <c r="B25" s="43">
        <v>5</v>
      </c>
      <c r="C25" s="17">
        <v>2</v>
      </c>
      <c r="D25" s="17">
        <v>1</v>
      </c>
      <c r="E25" s="17"/>
      <c r="F25" s="17"/>
      <c r="G25" s="44" t="s">
        <v>59</v>
      </c>
      <c r="H25" s="45"/>
      <c r="I25" s="17"/>
      <c r="J25" s="46"/>
      <c r="K25" s="159">
        <f>K26</f>
        <v>90000000</v>
      </c>
      <c r="L25" s="305"/>
      <c r="M25" s="305"/>
      <c r="N25" s="305"/>
      <c r="O25" s="305"/>
      <c r="P25" s="305"/>
      <c r="Q25" s="303"/>
      <c r="R25" s="303"/>
    </row>
    <row r="26" spans="2:18" s="76" customFormat="1" ht="15.75" customHeight="1">
      <c r="B26" s="94">
        <v>5</v>
      </c>
      <c r="C26" s="95">
        <v>2</v>
      </c>
      <c r="D26" s="95">
        <v>1</v>
      </c>
      <c r="E26" s="96" t="s">
        <v>25</v>
      </c>
      <c r="F26" s="96"/>
      <c r="G26" s="20" t="s">
        <v>185</v>
      </c>
      <c r="H26" s="245"/>
      <c r="I26" s="32"/>
      <c r="J26" s="122"/>
      <c r="K26" s="1142">
        <f>K27</f>
        <v>90000000</v>
      </c>
      <c r="L26" s="404"/>
      <c r="M26" s="409"/>
      <c r="N26" s="410"/>
      <c r="O26" s="410"/>
      <c r="P26" s="410"/>
      <c r="Q26" s="405"/>
      <c r="R26" s="306"/>
    </row>
    <row r="27" spans="2:18" s="76" customFormat="1" ht="15.75" customHeight="1">
      <c r="B27" s="94">
        <v>5</v>
      </c>
      <c r="C27" s="95">
        <v>2</v>
      </c>
      <c r="D27" s="95">
        <v>1</v>
      </c>
      <c r="E27" s="96" t="s">
        <v>25</v>
      </c>
      <c r="F27" s="96" t="s">
        <v>25</v>
      </c>
      <c r="G27" s="20" t="s">
        <v>186</v>
      </c>
      <c r="H27" s="245"/>
      <c r="I27" s="32"/>
      <c r="J27" s="122"/>
      <c r="K27" s="1142">
        <f>SUM(K28)</f>
        <v>90000000</v>
      </c>
      <c r="L27" s="404"/>
      <c r="M27" s="411"/>
      <c r="N27" s="402"/>
      <c r="O27" s="402"/>
      <c r="P27" s="402"/>
      <c r="Q27" s="405"/>
      <c r="R27" s="306"/>
    </row>
    <row r="28" spans="2:18" s="76" customFormat="1" ht="25.5">
      <c r="B28" s="94"/>
      <c r="C28" s="95"/>
      <c r="D28" s="95"/>
      <c r="E28" s="96"/>
      <c r="F28" s="96"/>
      <c r="G28" s="32" t="s">
        <v>1711</v>
      </c>
      <c r="H28" s="355">
        <f>1*12</f>
        <v>12</v>
      </c>
      <c r="I28" s="58" t="s">
        <v>62</v>
      </c>
      <c r="J28" s="122">
        <v>7500000</v>
      </c>
      <c r="K28" s="1143">
        <f>J28*H28</f>
        <v>90000000</v>
      </c>
      <c r="L28" s="404"/>
      <c r="M28" s="1075"/>
      <c r="N28" s="1068">
        <f>K28</f>
        <v>90000000</v>
      </c>
      <c r="O28" s="405"/>
      <c r="P28" s="405"/>
      <c r="Q28" s="405"/>
      <c r="R28" s="306"/>
    </row>
    <row r="29" spans="2:18">
      <c r="B29" s="1812"/>
      <c r="C29" s="59"/>
      <c r="D29" s="59"/>
      <c r="E29" s="60"/>
      <c r="F29" s="863"/>
      <c r="G29" s="32"/>
      <c r="H29" s="857"/>
      <c r="I29" s="4"/>
      <c r="J29" s="61"/>
      <c r="K29" s="161"/>
      <c r="L29" s="305"/>
      <c r="M29" s="305"/>
      <c r="N29" s="305"/>
      <c r="O29" s="305"/>
      <c r="P29" s="305"/>
      <c r="Q29" s="303"/>
      <c r="R29" s="303"/>
    </row>
    <row r="30" spans="2:18" ht="15">
      <c r="B30" s="43">
        <v>5</v>
      </c>
      <c r="C30" s="17">
        <v>2</v>
      </c>
      <c r="D30" s="17">
        <v>3</v>
      </c>
      <c r="E30" s="17"/>
      <c r="F30" s="17"/>
      <c r="G30" s="44" t="s">
        <v>78</v>
      </c>
      <c r="H30" s="857"/>
      <c r="I30" s="4"/>
      <c r="J30" s="455"/>
      <c r="K30" s="1233">
        <f>+K31</f>
        <v>952961476</v>
      </c>
      <c r="L30" s="305"/>
      <c r="M30" s="310"/>
      <c r="N30" s="306"/>
      <c r="O30" s="306"/>
      <c r="P30" s="306"/>
      <c r="Q30" s="306"/>
      <c r="R30" s="306"/>
    </row>
    <row r="31" spans="2:18" ht="15">
      <c r="B31" s="36">
        <v>5</v>
      </c>
      <c r="C31" s="37">
        <v>2</v>
      </c>
      <c r="D31" s="37">
        <v>3</v>
      </c>
      <c r="E31" s="38">
        <v>34</v>
      </c>
      <c r="F31" s="17"/>
      <c r="G31" s="49" t="s">
        <v>342</v>
      </c>
      <c r="H31" s="856"/>
      <c r="I31" s="17"/>
      <c r="J31" s="454"/>
      <c r="K31" s="120">
        <f>+K32</f>
        <v>952961476</v>
      </c>
      <c r="L31" s="305"/>
      <c r="M31" s="310"/>
      <c r="N31" s="306"/>
      <c r="O31" s="306"/>
      <c r="P31" s="306"/>
      <c r="Q31" s="306"/>
      <c r="R31" s="306"/>
    </row>
    <row r="32" spans="2:18" ht="15">
      <c r="B32" s="36">
        <v>5</v>
      </c>
      <c r="C32" s="37">
        <v>2</v>
      </c>
      <c r="D32" s="37">
        <v>3</v>
      </c>
      <c r="E32" s="38">
        <v>34</v>
      </c>
      <c r="F32" s="38" t="s">
        <v>81</v>
      </c>
      <c r="G32" s="49" t="s">
        <v>348</v>
      </c>
      <c r="H32" s="856"/>
      <c r="I32" s="17"/>
      <c r="J32" s="454"/>
      <c r="K32" s="120">
        <f>SUM(K33:K35)</f>
        <v>952961476</v>
      </c>
      <c r="L32" s="305"/>
      <c r="M32" s="310"/>
      <c r="N32" s="306"/>
      <c r="O32" s="306"/>
      <c r="P32" s="306"/>
      <c r="Q32" s="306"/>
      <c r="R32" s="306"/>
    </row>
    <row r="33" spans="2:20" ht="15">
      <c r="B33" s="585"/>
      <c r="C33" s="371"/>
      <c r="D33" s="371"/>
      <c r="E33" s="372"/>
      <c r="F33" s="372"/>
      <c r="G33" s="469" t="s">
        <v>1424</v>
      </c>
      <c r="H33" s="933">
        <v>1</v>
      </c>
      <c r="I33" s="375" t="s">
        <v>85</v>
      </c>
      <c r="J33" s="456">
        <v>68634876</v>
      </c>
      <c r="K33" s="637">
        <v>68634876</v>
      </c>
      <c r="L33" s="377"/>
      <c r="M33" s="569"/>
      <c r="N33" s="378"/>
      <c r="O33" s="1158">
        <f t="shared" ref="O33:O35" si="0">K33</f>
        <v>68634876</v>
      </c>
      <c r="P33" s="378"/>
      <c r="Q33" s="378"/>
      <c r="R33" s="378"/>
    </row>
    <row r="34" spans="2:20" ht="15">
      <c r="B34" s="585"/>
      <c r="C34" s="371"/>
      <c r="D34" s="371"/>
      <c r="E34" s="372"/>
      <c r="F34" s="372"/>
      <c r="G34" s="469" t="s">
        <v>1425</v>
      </c>
      <c r="H34" s="933">
        <v>2</v>
      </c>
      <c r="I34" s="375" t="s">
        <v>85</v>
      </c>
      <c r="J34" s="456">
        <v>36760800</v>
      </c>
      <c r="K34" s="637">
        <v>73521600</v>
      </c>
      <c r="L34" s="377"/>
      <c r="M34" s="569"/>
      <c r="N34" s="378"/>
      <c r="O34" s="1158">
        <f t="shared" si="0"/>
        <v>73521600</v>
      </c>
      <c r="P34" s="378"/>
      <c r="Q34" s="378"/>
      <c r="R34" s="378"/>
    </row>
    <row r="35" spans="2:20" ht="15">
      <c r="B35" s="585"/>
      <c r="C35" s="371"/>
      <c r="D35" s="371"/>
      <c r="E35" s="372"/>
      <c r="F35" s="372"/>
      <c r="G35" s="469" t="s">
        <v>1426</v>
      </c>
      <c r="H35" s="933">
        <v>1</v>
      </c>
      <c r="I35" s="375" t="s">
        <v>85</v>
      </c>
      <c r="J35" s="456">
        <v>810805000</v>
      </c>
      <c r="K35" s="637">
        <v>810805000</v>
      </c>
      <c r="L35" s="377"/>
      <c r="M35" s="569"/>
      <c r="N35" s="378"/>
      <c r="O35" s="1158">
        <f t="shared" si="0"/>
        <v>810805000</v>
      </c>
      <c r="P35" s="378"/>
      <c r="Q35" s="378"/>
      <c r="R35" s="378"/>
    </row>
    <row r="36" spans="2:20" ht="15">
      <c r="B36" s="137"/>
      <c r="C36" s="59"/>
      <c r="D36" s="59"/>
      <c r="E36" s="60"/>
      <c r="F36" s="60"/>
      <c r="G36" s="32"/>
      <c r="H36" s="35"/>
      <c r="I36" s="4"/>
      <c r="J36" s="455"/>
      <c r="K36" s="1234"/>
      <c r="L36" s="305"/>
      <c r="M36" s="310"/>
      <c r="N36" s="306"/>
      <c r="O36" s="306"/>
      <c r="P36" s="306"/>
      <c r="Q36" s="306"/>
      <c r="R36" s="306"/>
    </row>
    <row r="37" spans="2:20" ht="15" customHeight="1" thickBot="1">
      <c r="B37" s="3289" t="s">
        <v>30</v>
      </c>
      <c r="C37" s="3290"/>
      <c r="D37" s="3290"/>
      <c r="E37" s="3290"/>
      <c r="F37" s="3290"/>
      <c r="G37" s="3290"/>
      <c r="H37" s="3290"/>
      <c r="I37" s="3290"/>
      <c r="J37" s="3291"/>
      <c r="K37" s="1235">
        <f>K24</f>
        <v>1042961476</v>
      </c>
      <c r="L37" s="305">
        <f>SUM(L25:L36)</f>
        <v>0</v>
      </c>
      <c r="M37" s="305">
        <f t="shared" ref="M37:Q37" si="1">SUM(M25:M36)</f>
        <v>0</v>
      </c>
      <c r="N37" s="305">
        <f t="shared" si="1"/>
        <v>90000000</v>
      </c>
      <c r="O37" s="305">
        <f t="shared" si="1"/>
        <v>952961476</v>
      </c>
      <c r="P37" s="305">
        <f t="shared" si="1"/>
        <v>0</v>
      </c>
      <c r="Q37" s="305">
        <f t="shared" si="1"/>
        <v>0</v>
      </c>
      <c r="R37" s="314">
        <f>SUM(L37:Q37)</f>
        <v>1042961476</v>
      </c>
      <c r="S37" s="41"/>
      <c r="T37" s="21"/>
    </row>
    <row r="38" spans="2:20" ht="15.75" thickTop="1">
      <c r="L38" s="305"/>
      <c r="M38" s="310"/>
      <c r="N38" s="306"/>
      <c r="O38" s="306"/>
      <c r="P38" s="306"/>
      <c r="Q38" s="306"/>
      <c r="R38" s="306"/>
    </row>
    <row r="39" spans="2:20" ht="15">
      <c r="L39" s="564"/>
      <c r="M39" s="569"/>
      <c r="N39" s="378"/>
      <c r="O39" s="378"/>
      <c r="P39" s="378"/>
      <c r="Q39" s="378"/>
      <c r="R39" s="378"/>
    </row>
    <row r="40" spans="2:20" ht="15">
      <c r="H40" s="3336" t="s">
        <v>1534</v>
      </c>
      <c r="I40" s="3336"/>
      <c r="J40" s="3336"/>
      <c r="K40" s="8"/>
      <c r="L40" s="564"/>
      <c r="M40" s="310"/>
      <c r="N40" s="306"/>
      <c r="O40" s="306"/>
      <c r="P40" s="306"/>
      <c r="Q40" s="306"/>
      <c r="R40" s="306"/>
    </row>
    <row r="41" spans="2:20" ht="15">
      <c r="H41" s="3337" t="s">
        <v>272</v>
      </c>
      <c r="I41" s="3337"/>
      <c r="J41" s="3485"/>
      <c r="K41" s="8"/>
      <c r="L41" s="564"/>
      <c r="M41" s="310"/>
      <c r="N41" s="306"/>
      <c r="O41" s="306"/>
      <c r="P41" s="306"/>
      <c r="Q41" s="306"/>
      <c r="R41" s="306"/>
    </row>
    <row r="42" spans="2:20" ht="15">
      <c r="H42" s="127"/>
      <c r="I42" s="127"/>
      <c r="J42" s="127"/>
      <c r="K42" s="8"/>
      <c r="L42" s="564"/>
      <c r="M42" s="310"/>
      <c r="N42" s="306"/>
      <c r="O42" s="306"/>
      <c r="P42" s="306"/>
      <c r="Q42" s="306"/>
      <c r="R42" s="306"/>
    </row>
    <row r="43" spans="2:20" ht="15">
      <c r="H43" s="127"/>
      <c r="I43" s="127"/>
      <c r="J43" s="127"/>
      <c r="K43" s="8"/>
      <c r="L43" s="564"/>
      <c r="M43" s="310"/>
      <c r="N43" s="306"/>
      <c r="O43" s="306"/>
      <c r="P43" s="306"/>
      <c r="Q43" s="306"/>
      <c r="R43" s="306"/>
    </row>
    <row r="44" spans="2:20" ht="15">
      <c r="H44" s="3434" t="s">
        <v>904</v>
      </c>
      <c r="I44" s="3434"/>
      <c r="J44" s="3434"/>
      <c r="K44" s="8"/>
      <c r="L44" s="564"/>
      <c r="M44" s="310"/>
      <c r="N44" s="306"/>
      <c r="O44" s="306"/>
      <c r="P44" s="306"/>
      <c r="Q44" s="306"/>
      <c r="R44" s="306"/>
    </row>
    <row r="45" spans="2:20" ht="15">
      <c r="H45" s="3434" t="s">
        <v>906</v>
      </c>
      <c r="I45" s="3434"/>
      <c r="J45" s="3434"/>
      <c r="K45" s="8"/>
      <c r="L45" s="564"/>
      <c r="M45" s="310"/>
      <c r="N45" s="306"/>
      <c r="O45" s="306"/>
      <c r="P45" s="306"/>
      <c r="Q45" s="306"/>
      <c r="R45" s="306"/>
    </row>
    <row r="49" spans="7:15">
      <c r="G49" s="41"/>
    </row>
    <row r="50" spans="7:15">
      <c r="G50" s="41">
        <v>159873000</v>
      </c>
    </row>
    <row r="51" spans="7:15">
      <c r="G51" s="41">
        <f>20%*G50</f>
        <v>31974600</v>
      </c>
    </row>
    <row r="52" spans="7:15">
      <c r="G52" s="41">
        <f>SUM(G50:G51)</f>
        <v>191847600</v>
      </c>
    </row>
    <row r="53" spans="7:15">
      <c r="G53" s="41"/>
      <c r="O53" s="9"/>
    </row>
    <row r="54" spans="7:15">
      <c r="G54" s="41"/>
      <c r="O54" s="9"/>
    </row>
    <row r="55" spans="7:15">
      <c r="G55" s="41"/>
      <c r="O55" s="9"/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45:J45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37:J37"/>
    <mergeCell ref="H40:J40"/>
    <mergeCell ref="H41:J41"/>
    <mergeCell ref="H44:J44"/>
  </mergeCells>
  <pageMargins left="0.12" right="0.22" top="0.4" bottom="1.1599999999999999" header="0.25" footer="0.14000000000000001"/>
  <pageSetup paperSize="5" scale="89" orientation="portrait" horizontalDpi="4294967293" verticalDpi="4294967293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7030A0"/>
  </sheetPr>
  <dimension ref="B1:U54"/>
  <sheetViews>
    <sheetView view="pageBreakPreview" topLeftCell="A16" zoomScaleNormal="115" zoomScaleSheetLayoutView="100" workbookViewId="0">
      <selection activeCell="B26" sqref="B26:K28"/>
    </sheetView>
  </sheetViews>
  <sheetFormatPr defaultRowHeight="12.75"/>
  <cols>
    <col min="1" max="1" width="1.28515625" style="9" customWidth="1"/>
    <col min="2" max="2" width="3.140625" style="9" customWidth="1"/>
    <col min="3" max="3" width="3.28515625" style="9" customWidth="1"/>
    <col min="4" max="4" width="3.140625" style="9" customWidth="1"/>
    <col min="5" max="5" width="2.85546875" style="9" customWidth="1"/>
    <col min="6" max="6" width="3.28515625" style="9" customWidth="1"/>
    <col min="7" max="7" width="45.28515625" style="9" customWidth="1"/>
    <col min="8" max="8" width="8" style="9" customWidth="1"/>
    <col min="9" max="9" width="8" style="9" bestFit="1" customWidth="1"/>
    <col min="10" max="10" width="13.42578125" style="9" bestFit="1" customWidth="1"/>
    <col min="11" max="11" width="16.85546875" style="9" bestFit="1" customWidth="1"/>
    <col min="12" max="12" width="4.28515625" style="9" bestFit="1" customWidth="1"/>
    <col min="13" max="13" width="5.85546875" style="41" bestFit="1" customWidth="1"/>
    <col min="14" max="14" width="14" style="9" bestFit="1" customWidth="1"/>
    <col min="15" max="15" width="15.28515625" style="9" bestFit="1" customWidth="1"/>
    <col min="16" max="16" width="5.85546875" style="9" bestFit="1" customWidth="1"/>
    <col min="17" max="17" width="5" style="9" bestFit="1" customWidth="1"/>
    <col min="18" max="18" width="18.28515625" style="9" bestFit="1" customWidth="1"/>
    <col min="19" max="19" width="16.85546875" style="9" bestFit="1" customWidth="1"/>
    <col min="20" max="20" width="15.5703125" style="9" bestFit="1" customWidth="1"/>
    <col min="21" max="16384" width="9.140625" style="9"/>
  </cols>
  <sheetData>
    <row r="1" spans="2:11" s="9" customFormat="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1" s="9" customFormat="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1" s="9" customFormat="1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1" s="9" customFormat="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1" s="9" customFormat="1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1" s="9" customFormat="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1" s="9" customFormat="1">
      <c r="B7" s="3341" t="s">
        <v>33</v>
      </c>
      <c r="C7" s="3339"/>
      <c r="D7" s="3339"/>
      <c r="E7" s="3339"/>
      <c r="F7" s="3339"/>
      <c r="G7" s="3342" t="s">
        <v>1111</v>
      </c>
      <c r="H7" s="3342"/>
      <c r="I7" s="3342"/>
      <c r="J7" s="3342"/>
      <c r="K7" s="3343"/>
    </row>
    <row r="8" spans="2:11" s="9" customFormat="1">
      <c r="B8" s="3341" t="s">
        <v>34</v>
      </c>
      <c r="C8" s="3339"/>
      <c r="D8" s="3339"/>
      <c r="E8" s="3339"/>
      <c r="F8" s="3339"/>
      <c r="G8" s="3339" t="s">
        <v>1121</v>
      </c>
      <c r="H8" s="3339"/>
      <c r="I8" s="3339"/>
      <c r="J8" s="3339"/>
      <c r="K8" s="3340"/>
    </row>
    <row r="9" spans="2:11" s="9" customFormat="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11" s="9" customFormat="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11" s="9" customFormat="1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1" s="9" customFormat="1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1" s="9" customFormat="1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1" s="9" customFormat="1" ht="15" customHeight="1">
      <c r="B14" s="3462" t="s">
        <v>8</v>
      </c>
      <c r="C14" s="3463"/>
      <c r="D14" s="3463"/>
      <c r="E14" s="3463"/>
      <c r="F14" s="3464"/>
      <c r="G14" s="3445" t="s">
        <v>436</v>
      </c>
      <c r="H14" s="3448"/>
      <c r="I14" s="3450">
        <v>1</v>
      </c>
      <c r="J14" s="3451"/>
      <c r="K14" s="3452"/>
    </row>
    <row r="15" spans="2:11" s="9" customFormat="1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2807542879</v>
      </c>
      <c r="J15" s="3454"/>
      <c r="K15" s="3455"/>
    </row>
    <row r="16" spans="2:11" s="9" customFormat="1" ht="16.5" customHeight="1">
      <c r="B16" s="3439" t="s">
        <v>10</v>
      </c>
      <c r="C16" s="3451"/>
      <c r="D16" s="3451"/>
      <c r="E16" s="3451"/>
      <c r="F16" s="3460"/>
      <c r="G16" s="3445" t="s">
        <v>437</v>
      </c>
      <c r="H16" s="3448"/>
      <c r="I16" s="3456">
        <v>1</v>
      </c>
      <c r="J16" s="3457"/>
      <c r="K16" s="3458"/>
    </row>
    <row r="17" spans="2:21" ht="29.25" customHeight="1">
      <c r="B17" s="3439" t="s">
        <v>11</v>
      </c>
      <c r="C17" s="3451"/>
      <c r="D17" s="3451"/>
      <c r="E17" s="3451"/>
      <c r="F17" s="3460"/>
      <c r="G17" s="3445" t="s">
        <v>438</v>
      </c>
      <c r="H17" s="3448"/>
      <c r="I17" s="3456">
        <v>1</v>
      </c>
      <c r="J17" s="3457"/>
      <c r="K17" s="3458"/>
    </row>
    <row r="18" spans="2:21">
      <c r="B18" s="3442" t="s">
        <v>262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21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21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21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526"/>
      <c r="M21" s="1526"/>
      <c r="N21" s="1526"/>
      <c r="O21" s="1526"/>
      <c r="P21" s="1526"/>
      <c r="Q21" s="1526"/>
      <c r="R21" s="3378"/>
    </row>
    <row r="22" spans="2:21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525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21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526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21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+K25</f>
        <v>2807542879</v>
      </c>
      <c r="L24" s="305"/>
      <c r="M24" s="305"/>
      <c r="N24" s="305"/>
      <c r="O24" s="305"/>
      <c r="P24" s="305"/>
      <c r="Q24" s="303"/>
      <c r="R24" s="303"/>
    </row>
    <row r="25" spans="2:21" ht="14.25" customHeight="1">
      <c r="B25" s="43">
        <v>5</v>
      </c>
      <c r="C25" s="17">
        <v>2</v>
      </c>
      <c r="D25" s="17">
        <v>3</v>
      </c>
      <c r="E25" s="17"/>
      <c r="F25" s="17"/>
      <c r="G25" s="44" t="s">
        <v>78</v>
      </c>
      <c r="H25" s="856"/>
      <c r="I25" s="17"/>
      <c r="J25" s="46"/>
      <c r="K25" s="47">
        <f>K26+K30</f>
        <v>2807542879</v>
      </c>
      <c r="L25" s="305"/>
      <c r="M25" s="310"/>
      <c r="N25" s="306"/>
      <c r="O25" s="306"/>
      <c r="P25" s="306"/>
      <c r="Q25" s="306"/>
      <c r="R25" s="306"/>
    </row>
    <row r="26" spans="2:21" ht="14.25" customHeight="1">
      <c r="B26" s="346">
        <v>5</v>
      </c>
      <c r="C26" s="371">
        <v>2</v>
      </c>
      <c r="D26" s="371">
        <v>3</v>
      </c>
      <c r="E26" s="372">
        <v>29</v>
      </c>
      <c r="F26" s="368"/>
      <c r="G26" s="381" t="s">
        <v>113</v>
      </c>
      <c r="H26" s="956"/>
      <c r="I26" s="368"/>
      <c r="J26" s="369"/>
      <c r="K26" s="370">
        <f>K27</f>
        <v>250000000</v>
      </c>
      <c r="L26" s="377"/>
      <c r="M26" s="569"/>
      <c r="N26" s="378"/>
      <c r="O26" s="378"/>
      <c r="P26" s="378"/>
      <c r="Q26" s="378"/>
      <c r="R26" s="378"/>
    </row>
    <row r="27" spans="2:21">
      <c r="B27" s="346">
        <v>5</v>
      </c>
      <c r="C27" s="371">
        <v>2</v>
      </c>
      <c r="D27" s="371">
        <v>3</v>
      </c>
      <c r="E27" s="372">
        <v>29</v>
      </c>
      <c r="F27" s="372" t="s">
        <v>81</v>
      </c>
      <c r="G27" s="638" t="s">
        <v>270</v>
      </c>
      <c r="H27" s="645"/>
      <c r="I27" s="380"/>
      <c r="J27" s="1199"/>
      <c r="K27" s="640">
        <f>SUM(K28:K28)</f>
        <v>250000000</v>
      </c>
      <c r="L27" s="842"/>
      <c r="M27" s="831"/>
      <c r="N27" s="824"/>
      <c r="O27" s="824"/>
      <c r="P27" s="824"/>
      <c r="Q27" s="824"/>
      <c r="R27" s="824"/>
      <c r="S27" s="41"/>
      <c r="T27" s="41"/>
      <c r="U27" s="41"/>
    </row>
    <row r="28" spans="2:21">
      <c r="B28" s="429"/>
      <c r="C28" s="424"/>
      <c r="D28" s="424"/>
      <c r="E28" s="430"/>
      <c r="F28" s="430"/>
      <c r="G28" s="903" t="s">
        <v>1412</v>
      </c>
      <c r="H28" s="991">
        <v>1</v>
      </c>
      <c r="I28" s="904" t="s">
        <v>85</v>
      </c>
      <c r="J28" s="1399">
        <v>250000000</v>
      </c>
      <c r="K28" s="906">
        <f>H28*J28</f>
        <v>250000000</v>
      </c>
      <c r="L28" s="842"/>
      <c r="M28" s="832"/>
      <c r="N28" s="1084">
        <f>K28</f>
        <v>250000000</v>
      </c>
      <c r="O28" s="824"/>
      <c r="P28" s="824"/>
      <c r="Q28" s="824"/>
      <c r="R28" s="824"/>
      <c r="S28" s="41">
        <v>2999000</v>
      </c>
      <c r="T28" s="41">
        <f>S28*35%</f>
        <v>1049650</v>
      </c>
      <c r="U28" s="41">
        <f>SUM(S28:T28)</f>
        <v>4048650</v>
      </c>
    </row>
    <row r="29" spans="2:21" ht="14.25" customHeight="1">
      <c r="B29" s="427"/>
      <c r="C29" s="368"/>
      <c r="D29" s="368"/>
      <c r="E29" s="368"/>
      <c r="F29" s="368"/>
      <c r="G29" s="366"/>
      <c r="H29" s="956"/>
      <c r="I29" s="368"/>
      <c r="J29" s="369"/>
      <c r="K29" s="370"/>
      <c r="L29" s="377"/>
      <c r="M29" s="569"/>
      <c r="N29" s="378"/>
      <c r="O29" s="378"/>
      <c r="P29" s="378"/>
      <c r="Q29" s="378"/>
      <c r="R29" s="378"/>
    </row>
    <row r="30" spans="2:21" ht="15">
      <c r="B30" s="36">
        <v>5</v>
      </c>
      <c r="C30" s="37">
        <v>2</v>
      </c>
      <c r="D30" s="37">
        <v>3</v>
      </c>
      <c r="E30" s="38">
        <v>34</v>
      </c>
      <c r="F30" s="17"/>
      <c r="G30" s="49" t="s">
        <v>320</v>
      </c>
      <c r="H30" s="856"/>
      <c r="I30" s="17"/>
      <c r="J30" s="46"/>
      <c r="K30" s="47">
        <f>K31</f>
        <v>2557542879</v>
      </c>
      <c r="L30" s="305"/>
      <c r="M30" s="310"/>
      <c r="N30" s="306"/>
      <c r="O30" s="306"/>
      <c r="P30" s="306"/>
      <c r="Q30" s="306"/>
      <c r="R30" s="306"/>
    </row>
    <row r="31" spans="2:21" ht="15">
      <c r="B31" s="36">
        <v>5</v>
      </c>
      <c r="C31" s="37">
        <v>2</v>
      </c>
      <c r="D31" s="37">
        <v>3</v>
      </c>
      <c r="E31" s="38">
        <v>34</v>
      </c>
      <c r="F31" s="38">
        <v>12</v>
      </c>
      <c r="G31" s="49" t="s">
        <v>521</v>
      </c>
      <c r="H31" s="856"/>
      <c r="I31" s="17"/>
      <c r="J31" s="46"/>
      <c r="K31" s="120">
        <f>SUM(K32:K39)</f>
        <v>2557542879</v>
      </c>
      <c r="L31" s="305"/>
      <c r="M31" s="310"/>
      <c r="N31" s="306"/>
      <c r="O31" s="306"/>
      <c r="P31" s="306"/>
      <c r="Q31" s="306"/>
      <c r="R31" s="306"/>
    </row>
    <row r="32" spans="2:21" ht="15">
      <c r="B32" s="970"/>
      <c r="C32" s="383"/>
      <c r="D32" s="383"/>
      <c r="E32" s="968"/>
      <c r="F32" s="968">
        <v>1</v>
      </c>
      <c r="G32" s="373" t="s">
        <v>1427</v>
      </c>
      <c r="H32" s="933">
        <v>2</v>
      </c>
      <c r="I32" s="375" t="s">
        <v>85</v>
      </c>
      <c r="J32" s="376">
        <v>97092678</v>
      </c>
      <c r="K32" s="476">
        <f t="shared" ref="K32:K38" si="0">H32*J32</f>
        <v>194185356</v>
      </c>
      <c r="L32" s="377"/>
      <c r="M32" s="1029"/>
      <c r="N32" s="969"/>
      <c r="O32" s="1030">
        <f t="shared" ref="O32:O38" si="1">K32</f>
        <v>194185356</v>
      </c>
      <c r="P32" s="969"/>
      <c r="Q32" s="969"/>
      <c r="R32" s="969"/>
    </row>
    <row r="33" spans="2:20" ht="15">
      <c r="B33" s="970"/>
      <c r="C33" s="383"/>
      <c r="D33" s="383"/>
      <c r="E33" s="968"/>
      <c r="F33" s="968">
        <v>2</v>
      </c>
      <c r="G33" s="373" t="s">
        <v>1424</v>
      </c>
      <c r="H33" s="933">
        <v>2</v>
      </c>
      <c r="I33" s="375" t="s">
        <v>85</v>
      </c>
      <c r="J33" s="376">
        <v>68634876</v>
      </c>
      <c r="K33" s="476">
        <f t="shared" si="0"/>
        <v>137269752</v>
      </c>
      <c r="L33" s="377"/>
      <c r="M33" s="1029"/>
      <c r="N33" s="969"/>
      <c r="O33" s="1030">
        <f t="shared" si="1"/>
        <v>137269752</v>
      </c>
      <c r="P33" s="969"/>
      <c r="Q33" s="969"/>
      <c r="R33" s="969"/>
    </row>
    <row r="34" spans="2:20" ht="15">
      <c r="B34" s="970"/>
      <c r="C34" s="383"/>
      <c r="D34" s="383"/>
      <c r="E34" s="968"/>
      <c r="F34" s="968">
        <v>3</v>
      </c>
      <c r="G34" s="373" t="s">
        <v>1428</v>
      </c>
      <c r="H34" s="933">
        <v>2</v>
      </c>
      <c r="I34" s="375" t="s">
        <v>85</v>
      </c>
      <c r="J34" s="376">
        <v>232887420</v>
      </c>
      <c r="K34" s="476">
        <f t="shared" si="0"/>
        <v>465774840</v>
      </c>
      <c r="L34" s="377"/>
      <c r="M34" s="1029"/>
      <c r="N34" s="969"/>
      <c r="O34" s="1030">
        <f t="shared" si="1"/>
        <v>465774840</v>
      </c>
      <c r="P34" s="969"/>
      <c r="Q34" s="969"/>
      <c r="R34" s="969"/>
    </row>
    <row r="35" spans="2:20" ht="15">
      <c r="B35" s="970"/>
      <c r="C35" s="383"/>
      <c r="D35" s="383"/>
      <c r="E35" s="968"/>
      <c r="F35" s="968">
        <v>4</v>
      </c>
      <c r="G35" s="373" t="s">
        <v>1429</v>
      </c>
      <c r="H35" s="933">
        <v>1</v>
      </c>
      <c r="I35" s="375" t="s">
        <v>85</v>
      </c>
      <c r="J35" s="376">
        <v>504490493</v>
      </c>
      <c r="K35" s="476">
        <f t="shared" si="0"/>
        <v>504490493</v>
      </c>
      <c r="L35" s="377"/>
      <c r="M35" s="1029"/>
      <c r="N35" s="969"/>
      <c r="O35" s="1030">
        <f t="shared" si="1"/>
        <v>504490493</v>
      </c>
      <c r="P35" s="969"/>
      <c r="Q35" s="969"/>
      <c r="R35" s="969"/>
    </row>
    <row r="36" spans="2:20" ht="15">
      <c r="B36" s="970"/>
      <c r="C36" s="383"/>
      <c r="D36" s="383"/>
      <c r="E36" s="968"/>
      <c r="F36" s="968">
        <v>5</v>
      </c>
      <c r="G36" s="373" t="s">
        <v>1430</v>
      </c>
      <c r="H36" s="933">
        <v>1</v>
      </c>
      <c r="I36" s="375" t="s">
        <v>85</v>
      </c>
      <c r="J36" s="376">
        <v>266589550</v>
      </c>
      <c r="K36" s="476">
        <f t="shared" si="0"/>
        <v>266589550</v>
      </c>
      <c r="L36" s="377"/>
      <c r="M36" s="1029"/>
      <c r="N36" s="969"/>
      <c r="O36" s="1030">
        <f t="shared" si="1"/>
        <v>266589550</v>
      </c>
      <c r="P36" s="969"/>
      <c r="Q36" s="969"/>
      <c r="R36" s="969"/>
    </row>
    <row r="37" spans="2:20" ht="15">
      <c r="B37" s="346"/>
      <c r="C37" s="371"/>
      <c r="D37" s="371"/>
      <c r="E37" s="372"/>
      <c r="F37" s="968">
        <v>6</v>
      </c>
      <c r="G37" s="373" t="s">
        <v>1424</v>
      </c>
      <c r="H37" s="933">
        <v>1</v>
      </c>
      <c r="I37" s="375" t="s">
        <v>85</v>
      </c>
      <c r="J37" s="376">
        <v>68634876</v>
      </c>
      <c r="K37" s="476">
        <f t="shared" si="0"/>
        <v>68634876</v>
      </c>
      <c r="L37" s="377"/>
      <c r="M37" s="569"/>
      <c r="N37" s="378"/>
      <c r="O37" s="1030">
        <f t="shared" si="1"/>
        <v>68634876</v>
      </c>
      <c r="P37" s="378"/>
      <c r="Q37" s="378"/>
      <c r="R37" s="378"/>
    </row>
    <row r="38" spans="2:20" ht="15">
      <c r="B38" s="346"/>
      <c r="C38" s="371"/>
      <c r="D38" s="371"/>
      <c r="E38" s="372"/>
      <c r="F38" s="968">
        <v>7</v>
      </c>
      <c r="G38" s="373" t="s">
        <v>1431</v>
      </c>
      <c r="H38" s="933">
        <v>1</v>
      </c>
      <c r="I38" s="375" t="s">
        <v>85</v>
      </c>
      <c r="J38" s="376">
        <v>920598012</v>
      </c>
      <c r="K38" s="476">
        <f t="shared" si="0"/>
        <v>920598012</v>
      </c>
      <c r="L38" s="377"/>
      <c r="M38" s="569"/>
      <c r="N38" s="378"/>
      <c r="O38" s="1030">
        <f t="shared" si="1"/>
        <v>920598012</v>
      </c>
      <c r="P38" s="378"/>
      <c r="Q38" s="378"/>
      <c r="R38" s="378"/>
    </row>
    <row r="39" spans="2:20" ht="15">
      <c r="B39" s="36"/>
      <c r="C39" s="37"/>
      <c r="D39" s="37"/>
      <c r="E39" s="38"/>
      <c r="F39" s="17"/>
      <c r="G39" s="419"/>
      <c r="H39" s="420"/>
      <c r="I39" s="4"/>
      <c r="J39" s="418"/>
      <c r="K39" s="130"/>
      <c r="L39" s="305"/>
      <c r="M39" s="310"/>
      <c r="N39" s="306"/>
      <c r="O39" s="306"/>
      <c r="P39" s="306"/>
      <c r="Q39" s="306"/>
      <c r="R39" s="306"/>
    </row>
    <row r="40" spans="2:20" ht="15" customHeight="1" thickBot="1">
      <c r="B40" s="3289" t="s">
        <v>30</v>
      </c>
      <c r="C40" s="3290"/>
      <c r="D40" s="3290"/>
      <c r="E40" s="3290"/>
      <c r="F40" s="3290"/>
      <c r="G40" s="3290"/>
      <c r="H40" s="3290"/>
      <c r="I40" s="3290"/>
      <c r="J40" s="3291"/>
      <c r="K40" s="63">
        <f>K24</f>
        <v>2807542879</v>
      </c>
      <c r="L40" s="309">
        <f t="shared" ref="L40:Q40" si="2">SUM(L25:L39)</f>
        <v>0</v>
      </c>
      <c r="M40" s="309">
        <f t="shared" si="2"/>
        <v>0</v>
      </c>
      <c r="N40" s="309">
        <f t="shared" si="2"/>
        <v>250000000</v>
      </c>
      <c r="O40" s="309">
        <f t="shared" si="2"/>
        <v>2557542879</v>
      </c>
      <c r="P40" s="309">
        <f t="shared" si="2"/>
        <v>0</v>
      </c>
      <c r="Q40" s="309">
        <f t="shared" si="2"/>
        <v>0</v>
      </c>
      <c r="R40" s="314">
        <f>SUM(L40:Q40)</f>
        <v>2807542879</v>
      </c>
      <c r="S40" s="41">
        <v>6770711472</v>
      </c>
      <c r="T40" s="57">
        <f>S40-K40</f>
        <v>3963168593</v>
      </c>
    </row>
    <row r="41" spans="2:20" ht="15.75" thickTop="1">
      <c r="L41" s="305"/>
      <c r="M41" s="310"/>
      <c r="N41" s="306"/>
      <c r="O41" s="306"/>
      <c r="P41" s="306"/>
      <c r="Q41" s="306"/>
      <c r="R41" s="306"/>
    </row>
    <row r="42" spans="2:20" ht="15">
      <c r="L42" s="564"/>
      <c r="M42" s="569"/>
      <c r="N42" s="378"/>
      <c r="O42" s="378"/>
      <c r="P42" s="378"/>
      <c r="Q42" s="378"/>
      <c r="R42" s="378"/>
    </row>
    <row r="43" spans="2:20" ht="15">
      <c r="H43" s="3336" t="s">
        <v>1534</v>
      </c>
      <c r="I43" s="3336"/>
      <c r="J43" s="3336"/>
      <c r="K43" s="936"/>
      <c r="L43" s="564"/>
      <c r="M43" s="310"/>
      <c r="N43" s="306"/>
      <c r="O43" s="306"/>
      <c r="P43" s="306"/>
      <c r="Q43" s="306"/>
      <c r="R43" s="306"/>
    </row>
    <row r="44" spans="2:20" ht="15">
      <c r="G44" s="10"/>
      <c r="H44" s="3337" t="s">
        <v>272</v>
      </c>
      <c r="I44" s="3337"/>
      <c r="J44" s="3485"/>
      <c r="K44" s="936"/>
      <c r="L44" s="564"/>
      <c r="M44" s="310"/>
      <c r="N44" s="306"/>
      <c r="O44" s="415"/>
      <c r="P44" s="306"/>
      <c r="Q44" s="306"/>
      <c r="R44" s="306"/>
    </row>
    <row r="45" spans="2:20" ht="15">
      <c r="G45" s="21"/>
      <c r="H45" s="127"/>
      <c r="I45" s="127"/>
      <c r="J45" s="127"/>
      <c r="K45" s="115"/>
      <c r="L45" s="564"/>
      <c r="M45" s="310"/>
      <c r="N45" s="306"/>
      <c r="O45" s="306"/>
      <c r="P45" s="306"/>
      <c r="Q45" s="306"/>
      <c r="R45" s="306"/>
    </row>
    <row r="46" spans="2:20" ht="15">
      <c r="G46" s="154"/>
      <c r="H46" s="127"/>
      <c r="I46" s="127"/>
      <c r="J46" s="127"/>
      <c r="K46" s="8"/>
      <c r="L46" s="564"/>
      <c r="M46" s="310"/>
      <c r="N46" s="306"/>
      <c r="O46" s="312"/>
      <c r="P46" s="306"/>
      <c r="Q46" s="306"/>
      <c r="R46" s="306"/>
    </row>
    <row r="47" spans="2:20" ht="15">
      <c r="G47" s="42"/>
      <c r="H47" s="3434" t="s">
        <v>904</v>
      </c>
      <c r="I47" s="3434"/>
      <c r="J47" s="3434"/>
      <c r="K47" s="8"/>
      <c r="L47" s="564"/>
      <c r="M47" s="310"/>
      <c r="N47" s="306"/>
      <c r="O47" s="306"/>
      <c r="P47" s="306"/>
      <c r="Q47" s="306"/>
      <c r="R47" s="306"/>
    </row>
    <row r="48" spans="2:20" ht="15">
      <c r="G48" s="21"/>
      <c r="H48" s="3434" t="s">
        <v>906</v>
      </c>
      <c r="I48" s="3434"/>
      <c r="J48" s="3434"/>
      <c r="K48" s="8"/>
      <c r="L48" s="564"/>
      <c r="M48" s="310"/>
      <c r="N48" s="306"/>
      <c r="O48" s="306"/>
      <c r="P48" s="306"/>
      <c r="Q48" s="306"/>
      <c r="R48" s="306"/>
    </row>
    <row r="49" spans="7:18" ht="15">
      <c r="G49" s="21"/>
      <c r="L49" s="305"/>
      <c r="M49" s="310"/>
      <c r="N49" s="306"/>
      <c r="O49" s="306"/>
      <c r="P49" s="306"/>
      <c r="Q49" s="306"/>
      <c r="R49" s="306"/>
    </row>
    <row r="50" spans="7:18" ht="15">
      <c r="L50" s="305"/>
      <c r="M50" s="310"/>
      <c r="N50" s="306"/>
      <c r="O50" s="306"/>
      <c r="P50" s="306"/>
      <c r="Q50" s="306"/>
      <c r="R50" s="306"/>
    </row>
    <row r="53" spans="7:18">
      <c r="K53" s="21" t="e">
        <f>#REF!*3%</f>
        <v>#REF!</v>
      </c>
    </row>
    <row r="54" spans="7:18">
      <c r="K54" s="21" t="e">
        <f>#REF!+K53</f>
        <v>#REF!</v>
      </c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48:J48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40:J40"/>
    <mergeCell ref="H43:J43"/>
    <mergeCell ref="H44:J44"/>
    <mergeCell ref="H47:J47"/>
  </mergeCells>
  <printOptions horizontalCentered="1"/>
  <pageMargins left="0.11811023622047245" right="0.23622047244094491" top="0.62992125984251968" bottom="1.18" header="0.23622047244094491" footer="0.15748031496062992"/>
  <pageSetup paperSize="5" scale="90" orientation="portrait" horizontalDpi="4294967293" verticalDpi="4294967293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50"/>
  </sheetPr>
  <dimension ref="B1:R119"/>
  <sheetViews>
    <sheetView view="pageBreakPreview" topLeftCell="A16" zoomScaleNormal="115" zoomScaleSheetLayoutView="100" workbookViewId="0">
      <selection activeCell="K28" sqref="K28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4" width="3.140625" style="9" customWidth="1"/>
    <col min="5" max="5" width="2.85546875" style="9" customWidth="1"/>
    <col min="6" max="6" width="3.28515625" style="9" customWidth="1"/>
    <col min="7" max="7" width="43.140625" style="9" customWidth="1"/>
    <col min="8" max="8" width="9" style="9" customWidth="1"/>
    <col min="9" max="9" width="8" style="9" customWidth="1"/>
    <col min="10" max="10" width="13.42578125" style="9" customWidth="1"/>
    <col min="11" max="11" width="16.5703125" style="9" bestFit="1" customWidth="1"/>
    <col min="12" max="12" width="7.42578125" style="9" bestFit="1" customWidth="1"/>
    <col min="13" max="13" width="13.7109375" style="9" customWidth="1"/>
    <col min="14" max="14" width="7.42578125" style="9" bestFit="1" customWidth="1"/>
    <col min="15" max="15" width="18.42578125" style="9" bestFit="1" customWidth="1"/>
    <col min="16" max="17" width="7.42578125" style="9" bestFit="1" customWidth="1"/>
    <col min="18" max="18" width="18.5703125" style="9" bestFit="1" customWidth="1"/>
    <col min="19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1111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1120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ht="15" customHeight="1">
      <c r="B14" s="3462" t="s">
        <v>8</v>
      </c>
      <c r="C14" s="3463"/>
      <c r="D14" s="3463"/>
      <c r="E14" s="3463"/>
      <c r="F14" s="3464"/>
      <c r="G14" s="3445" t="s">
        <v>439</v>
      </c>
      <c r="H14" s="3448"/>
      <c r="I14" s="3450">
        <v>1</v>
      </c>
      <c r="J14" s="3451"/>
      <c r="K14" s="3452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1305331620</v>
      </c>
      <c r="J15" s="3454"/>
      <c r="K15" s="3455"/>
    </row>
    <row r="16" spans="2:13" ht="16.5" customHeight="1">
      <c r="B16" s="3439" t="s">
        <v>10</v>
      </c>
      <c r="C16" s="3451"/>
      <c r="D16" s="3451"/>
      <c r="E16" s="3451"/>
      <c r="F16" s="3460"/>
      <c r="G16" s="3445" t="s">
        <v>441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440</v>
      </c>
      <c r="H17" s="3448"/>
      <c r="I17" s="3456">
        <v>1</v>
      </c>
      <c r="J17" s="3457"/>
      <c r="K17" s="3458"/>
    </row>
    <row r="18" spans="2:18">
      <c r="B18" s="3442" t="s">
        <v>262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822"/>
      <c r="M19" s="822"/>
      <c r="N19" s="822"/>
      <c r="O19" s="822"/>
      <c r="P19" s="822"/>
      <c r="Q19" s="823"/>
      <c r="R19" s="82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466" t="s">
        <v>158</v>
      </c>
      <c r="M20" s="3466"/>
      <c r="N20" s="3466"/>
      <c r="O20" s="3466"/>
      <c r="P20" s="3466"/>
      <c r="Q20" s="3466"/>
      <c r="R20" s="3466" t="s">
        <v>17</v>
      </c>
    </row>
    <row r="21" spans="2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530"/>
      <c r="M21" s="1530"/>
      <c r="N21" s="1530"/>
      <c r="O21" s="1530"/>
      <c r="P21" s="1530"/>
      <c r="Q21" s="1530"/>
      <c r="R21" s="3466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530" t="s">
        <v>177</v>
      </c>
      <c r="M22" s="1530" t="s">
        <v>594</v>
      </c>
      <c r="N22" s="1530" t="s">
        <v>651</v>
      </c>
      <c r="O22" s="1530" t="s">
        <v>595</v>
      </c>
      <c r="P22" s="1530" t="s">
        <v>652</v>
      </c>
      <c r="Q22" s="1530" t="s">
        <v>593</v>
      </c>
      <c r="R22" s="3466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530">
        <v>6</v>
      </c>
      <c r="M23" s="1530">
        <v>7</v>
      </c>
      <c r="N23" s="1530">
        <v>8</v>
      </c>
      <c r="O23" s="1530">
        <v>9</v>
      </c>
      <c r="P23" s="1530">
        <v>10</v>
      </c>
      <c r="Q23" s="1530">
        <v>11</v>
      </c>
      <c r="R23" s="1530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K25+K30</f>
        <v>1305331620</v>
      </c>
      <c r="L24" s="822"/>
      <c r="M24" s="822"/>
      <c r="N24" s="822"/>
      <c r="O24" s="822"/>
      <c r="P24" s="822"/>
      <c r="Q24" s="823"/>
      <c r="R24" s="823"/>
    </row>
    <row r="25" spans="2:18" ht="14.25" customHeight="1">
      <c r="B25" s="43">
        <v>5</v>
      </c>
      <c r="C25" s="17">
        <v>2</v>
      </c>
      <c r="D25" s="17">
        <v>1</v>
      </c>
      <c r="E25" s="17"/>
      <c r="F25" s="17"/>
      <c r="G25" s="44" t="s">
        <v>59</v>
      </c>
      <c r="H25" s="856"/>
      <c r="I25" s="17"/>
      <c r="J25" s="46"/>
      <c r="K25" s="47">
        <f>K26</f>
        <v>138000000</v>
      </c>
      <c r="L25" s="305"/>
      <c r="M25" s="305"/>
      <c r="N25" s="305"/>
      <c r="O25" s="305"/>
      <c r="P25" s="305"/>
      <c r="Q25" s="303"/>
      <c r="R25" s="303"/>
    </row>
    <row r="26" spans="2:18" s="76" customFormat="1" ht="15.75" customHeight="1">
      <c r="B26" s="94">
        <v>5</v>
      </c>
      <c r="C26" s="95">
        <v>2</v>
      </c>
      <c r="D26" s="95">
        <v>1</v>
      </c>
      <c r="E26" s="96" t="s">
        <v>25</v>
      </c>
      <c r="F26" s="96"/>
      <c r="G26" s="20" t="s">
        <v>185</v>
      </c>
      <c r="H26" s="245"/>
      <c r="I26" s="32"/>
      <c r="J26" s="122"/>
      <c r="K26" s="97">
        <f>K27</f>
        <v>138000000</v>
      </c>
      <c r="L26" s="404"/>
      <c r="M26" s="409"/>
      <c r="N26" s="410"/>
      <c r="O26" s="410"/>
      <c r="P26" s="410"/>
      <c r="Q26" s="405"/>
      <c r="R26" s="306"/>
    </row>
    <row r="27" spans="2:18" s="76" customFormat="1" ht="15.75" customHeight="1">
      <c r="B27" s="94">
        <v>5</v>
      </c>
      <c r="C27" s="95">
        <v>2</v>
      </c>
      <c r="D27" s="95">
        <v>1</v>
      </c>
      <c r="E27" s="96" t="s">
        <v>25</v>
      </c>
      <c r="F27" s="96" t="s">
        <v>25</v>
      </c>
      <c r="G27" s="20" t="s">
        <v>186</v>
      </c>
      <c r="H27" s="245"/>
      <c r="I27" s="32"/>
      <c r="J27" s="122"/>
      <c r="K27" s="97">
        <f>SUM(K28:K28)</f>
        <v>138000000</v>
      </c>
      <c r="L27" s="404"/>
      <c r="M27" s="411"/>
      <c r="N27" s="402"/>
      <c r="O27" s="402"/>
      <c r="P27" s="402"/>
      <c r="Q27" s="405"/>
      <c r="R27" s="306"/>
    </row>
    <row r="28" spans="2:18" s="2481" customFormat="1" ht="15.75" customHeight="1">
      <c r="B28" s="2468"/>
      <c r="C28" s="2469"/>
      <c r="D28" s="2469"/>
      <c r="E28" s="2470"/>
      <c r="F28" s="2470"/>
      <c r="G28" s="2471" t="s">
        <v>2047</v>
      </c>
      <c r="H28" s="2482">
        <f>5*12</f>
        <v>60</v>
      </c>
      <c r="I28" s="2473" t="s">
        <v>62</v>
      </c>
      <c r="J28" s="2474">
        <v>2300000</v>
      </c>
      <c r="K28" s="2475">
        <f>J28*H28</f>
        <v>138000000</v>
      </c>
      <c r="L28" s="2476"/>
      <c r="M28" s="2483">
        <f t="shared" ref="M28" si="0">K28</f>
        <v>138000000</v>
      </c>
      <c r="N28" s="2478"/>
      <c r="O28" s="2479"/>
      <c r="P28" s="2479"/>
      <c r="Q28" s="2479"/>
      <c r="R28" s="2480"/>
    </row>
    <row r="29" spans="2:18" s="76" customFormat="1" ht="15">
      <c r="B29" s="2459"/>
      <c r="C29" s="2460"/>
      <c r="D29" s="2460"/>
      <c r="E29" s="2461"/>
      <c r="F29" s="2461"/>
      <c r="G29" s="1685"/>
      <c r="H29" s="2462"/>
      <c r="I29" s="2457"/>
      <c r="J29" s="2463"/>
      <c r="K29" s="2276"/>
      <c r="L29" s="2464"/>
      <c r="M29" s="2465"/>
      <c r="N29" s="2466"/>
      <c r="O29" s="2252"/>
      <c r="P29" s="2252"/>
      <c r="Q29" s="2252"/>
      <c r="R29" s="1668"/>
    </row>
    <row r="30" spans="2:18" ht="14.25" customHeight="1">
      <c r="B30" s="43">
        <v>5</v>
      </c>
      <c r="C30" s="17">
        <v>2</v>
      </c>
      <c r="D30" s="17">
        <v>3</v>
      </c>
      <c r="E30" s="17"/>
      <c r="F30" s="17"/>
      <c r="G30" s="44" t="s">
        <v>78</v>
      </c>
      <c r="H30" s="856"/>
      <c r="I30" s="17"/>
      <c r="J30" s="46"/>
      <c r="K30" s="47">
        <f>+K31</f>
        <v>1167331620</v>
      </c>
      <c r="L30" s="822"/>
      <c r="M30" s="822"/>
      <c r="N30" s="822"/>
      <c r="O30" s="822"/>
      <c r="P30" s="822"/>
      <c r="Q30" s="823"/>
      <c r="R30" s="823"/>
    </row>
    <row r="31" spans="2:18" ht="25.5">
      <c r="B31" s="36">
        <v>5</v>
      </c>
      <c r="C31" s="37">
        <v>2</v>
      </c>
      <c r="D31" s="37">
        <v>3</v>
      </c>
      <c r="E31" s="38">
        <v>34</v>
      </c>
      <c r="F31" s="17"/>
      <c r="G31" s="48" t="s">
        <v>342</v>
      </c>
      <c r="H31" s="856"/>
      <c r="I31" s="17"/>
      <c r="J31" s="46"/>
      <c r="K31" s="50">
        <f>K32</f>
        <v>1167331620</v>
      </c>
      <c r="L31" s="816"/>
      <c r="M31" s="823"/>
      <c r="N31" s="823"/>
      <c r="O31" s="823"/>
      <c r="P31" s="823"/>
      <c r="Q31" s="823"/>
      <c r="R31" s="823"/>
    </row>
    <row r="32" spans="2:18" ht="25.5">
      <c r="B32" s="36">
        <v>5</v>
      </c>
      <c r="C32" s="37">
        <v>2</v>
      </c>
      <c r="D32" s="37">
        <v>3</v>
      </c>
      <c r="E32" s="38">
        <v>34</v>
      </c>
      <c r="F32" s="38" t="s">
        <v>24</v>
      </c>
      <c r="G32" s="20" t="s">
        <v>515</v>
      </c>
      <c r="H32" s="856"/>
      <c r="I32" s="17"/>
      <c r="J32" s="46"/>
      <c r="K32" s="50">
        <f>SUM(K33:K35)</f>
        <v>1167331620</v>
      </c>
      <c r="L32" s="822"/>
      <c r="M32" s="822"/>
      <c r="N32" s="822"/>
      <c r="O32" s="822"/>
      <c r="P32" s="822"/>
      <c r="Q32" s="823"/>
      <c r="R32" s="823"/>
    </row>
    <row r="33" spans="2:18">
      <c r="B33" s="585"/>
      <c r="C33" s="371"/>
      <c r="D33" s="371"/>
      <c r="E33" s="372"/>
      <c r="F33" s="372"/>
      <c r="G33" s="391" t="s">
        <v>1561</v>
      </c>
      <c r="H33" s="933">
        <v>1</v>
      </c>
      <c r="I33" s="375" t="s">
        <v>85</v>
      </c>
      <c r="J33" s="456">
        <v>790688328</v>
      </c>
      <c r="K33" s="416">
        <f>H33*J33</f>
        <v>790688328</v>
      </c>
      <c r="L33" s="837"/>
      <c r="M33" s="837"/>
      <c r="N33" s="837"/>
      <c r="O33" s="1158">
        <f>K33</f>
        <v>790688328</v>
      </c>
      <c r="P33" s="837"/>
      <c r="Q33" s="846"/>
      <c r="R33" s="846"/>
    </row>
    <row r="34" spans="2:18">
      <c r="B34" s="1684"/>
      <c r="C34" s="1680"/>
      <c r="D34" s="1680"/>
      <c r="E34" s="1681"/>
      <c r="F34" s="1681"/>
      <c r="G34" s="1685" t="s">
        <v>1562</v>
      </c>
      <c r="H34" s="1663">
        <v>3</v>
      </c>
      <c r="I34" s="1653" t="s">
        <v>85</v>
      </c>
      <c r="J34" s="1655">
        <v>125547764</v>
      </c>
      <c r="K34" s="416">
        <f>H34*J34</f>
        <v>376643292</v>
      </c>
      <c r="L34" s="1686"/>
      <c r="M34" s="1686"/>
      <c r="N34" s="1686"/>
      <c r="O34" s="1158">
        <f>K34</f>
        <v>376643292</v>
      </c>
      <c r="P34" s="1686"/>
      <c r="Q34" s="1687"/>
      <c r="R34" s="1687"/>
    </row>
    <row r="35" spans="2:18">
      <c r="B35" s="585"/>
      <c r="C35" s="371"/>
      <c r="D35" s="371"/>
      <c r="E35" s="372"/>
      <c r="F35" s="372"/>
      <c r="G35" s="391"/>
      <c r="H35" s="933"/>
      <c r="I35" s="375"/>
      <c r="J35" s="456"/>
      <c r="K35" s="55">
        <f t="shared" ref="K35" si="1">H35*J35</f>
        <v>0</v>
      </c>
      <c r="L35" s="837"/>
      <c r="M35" s="837"/>
      <c r="N35" s="837"/>
      <c r="O35" s="1158">
        <f t="shared" ref="O35" si="2">K35</f>
        <v>0</v>
      </c>
      <c r="P35" s="837"/>
      <c r="Q35" s="846"/>
      <c r="R35" s="846"/>
    </row>
    <row r="36" spans="2:18" ht="15" customHeight="1" thickBot="1">
      <c r="B36" s="3289" t="s">
        <v>30</v>
      </c>
      <c r="C36" s="3290"/>
      <c r="D36" s="3290"/>
      <c r="E36" s="3290"/>
      <c r="F36" s="3290"/>
      <c r="G36" s="3290"/>
      <c r="H36" s="3290"/>
      <c r="I36" s="3290"/>
      <c r="J36" s="3291"/>
      <c r="K36" s="63">
        <f>K24</f>
        <v>1305331620</v>
      </c>
      <c r="L36" s="822">
        <f t="shared" ref="L36:Q36" si="3">SUM(L24:L35)</f>
        <v>0</v>
      </c>
      <c r="M36" s="2467">
        <f t="shared" si="3"/>
        <v>138000000</v>
      </c>
      <c r="N36" s="822">
        <f t="shared" si="3"/>
        <v>0</v>
      </c>
      <c r="O36" s="822">
        <f t="shared" si="3"/>
        <v>1167331620</v>
      </c>
      <c r="P36" s="822">
        <f t="shared" si="3"/>
        <v>0</v>
      </c>
      <c r="Q36" s="822">
        <f t="shared" si="3"/>
        <v>0</v>
      </c>
      <c r="R36" s="815">
        <f>SUM(L36:Q36)</f>
        <v>1305331620</v>
      </c>
    </row>
    <row r="37" spans="2:18" ht="13.5" thickTop="1">
      <c r="L37" s="822"/>
      <c r="M37" s="829"/>
      <c r="N37" s="830"/>
      <c r="O37" s="830"/>
      <c r="P37" s="830"/>
      <c r="Q37" s="824"/>
      <c r="R37" s="824"/>
    </row>
    <row r="38" spans="2:18">
      <c r="L38" s="837"/>
      <c r="M38" s="1055"/>
      <c r="N38" s="1056"/>
      <c r="O38" s="1056"/>
      <c r="P38" s="1056"/>
      <c r="Q38" s="838"/>
      <c r="R38" s="838"/>
    </row>
    <row r="39" spans="2:18">
      <c r="G39" s="10">
        <f>93665500294</f>
        <v>93665500294</v>
      </c>
      <c r="H39" s="3336" t="s">
        <v>1534</v>
      </c>
      <c r="I39" s="3336"/>
      <c r="J39" s="3336"/>
      <c r="L39" s="822"/>
      <c r="M39" s="832"/>
      <c r="N39" s="833"/>
      <c r="O39" s="833"/>
      <c r="P39" s="833"/>
      <c r="Q39" s="824"/>
      <c r="R39" s="824"/>
    </row>
    <row r="40" spans="2:18">
      <c r="G40" s="9">
        <f>629310950</f>
        <v>629310950</v>
      </c>
      <c r="H40" s="3337" t="s">
        <v>272</v>
      </c>
      <c r="I40" s="3337"/>
      <c r="J40" s="3485"/>
      <c r="L40" s="822"/>
      <c r="M40" s="834"/>
      <c r="N40" s="835"/>
      <c r="O40" s="835"/>
      <c r="P40" s="835"/>
      <c r="Q40" s="824"/>
      <c r="R40" s="824"/>
    </row>
    <row r="41" spans="2:18">
      <c r="G41" s="21">
        <f>G39+G40</f>
        <v>94294811244</v>
      </c>
      <c r="H41" s="127"/>
      <c r="I41" s="127"/>
      <c r="J41" s="127"/>
      <c r="L41" s="822"/>
      <c r="M41" s="831"/>
      <c r="N41" s="824"/>
      <c r="O41" s="824"/>
      <c r="P41" s="824"/>
      <c r="Q41" s="824"/>
      <c r="R41" s="824"/>
    </row>
    <row r="42" spans="2:18">
      <c r="H42" s="127"/>
      <c r="I42" s="127"/>
      <c r="J42" s="127"/>
      <c r="L42" s="822"/>
      <c r="M42" s="831"/>
      <c r="N42" s="824"/>
      <c r="O42" s="824"/>
      <c r="P42" s="824"/>
      <c r="Q42" s="824"/>
      <c r="R42" s="824"/>
    </row>
    <row r="43" spans="2:18">
      <c r="H43" s="3434" t="s">
        <v>904</v>
      </c>
      <c r="I43" s="3434"/>
      <c r="J43" s="3434"/>
      <c r="L43" s="822"/>
      <c r="M43" s="831"/>
      <c r="N43" s="824"/>
      <c r="O43" s="824"/>
      <c r="P43" s="824"/>
      <c r="Q43" s="824"/>
      <c r="R43" s="824"/>
    </row>
    <row r="44" spans="2:18">
      <c r="H44" s="3434" t="s">
        <v>906</v>
      </c>
      <c r="I44" s="3434"/>
      <c r="J44" s="3434"/>
      <c r="L44" s="822"/>
      <c r="M44" s="831"/>
      <c r="N44" s="824"/>
      <c r="O44" s="824"/>
      <c r="P44" s="824"/>
      <c r="Q44" s="824"/>
      <c r="R44" s="824"/>
    </row>
    <row r="45" spans="2:18">
      <c r="L45" s="822"/>
      <c r="M45" s="831"/>
      <c r="N45" s="824"/>
      <c r="O45" s="824"/>
      <c r="P45" s="824"/>
      <c r="Q45" s="824"/>
      <c r="R45" s="824"/>
    </row>
    <row r="46" spans="2:18">
      <c r="L46" s="822"/>
      <c r="M46" s="831"/>
      <c r="N46" s="824"/>
      <c r="O46" s="824"/>
      <c r="P46" s="824"/>
      <c r="Q46" s="824"/>
      <c r="R46" s="824"/>
    </row>
    <row r="47" spans="2:18">
      <c r="L47" s="822"/>
      <c r="M47" s="831"/>
      <c r="N47" s="824"/>
      <c r="O47" s="824"/>
      <c r="P47" s="824"/>
      <c r="Q47" s="824"/>
      <c r="R47" s="824"/>
    </row>
    <row r="48" spans="2:18">
      <c r="L48" s="822"/>
      <c r="M48" s="831"/>
      <c r="N48" s="824"/>
      <c r="O48" s="824"/>
      <c r="P48" s="824"/>
      <c r="Q48" s="824"/>
      <c r="R48" s="824"/>
    </row>
    <row r="49" spans="12:18">
      <c r="L49" s="816"/>
      <c r="M49" s="831"/>
      <c r="N49" s="824"/>
      <c r="O49" s="824"/>
      <c r="P49" s="824"/>
      <c r="Q49" s="824"/>
      <c r="R49" s="824"/>
    </row>
    <row r="50" spans="12:18">
      <c r="L50" s="822"/>
      <c r="M50" s="831"/>
      <c r="N50" s="824"/>
      <c r="O50" s="824"/>
      <c r="P50" s="824"/>
      <c r="Q50" s="824"/>
      <c r="R50" s="824"/>
    </row>
    <row r="51" spans="12:18">
      <c r="L51" s="822"/>
      <c r="M51" s="831"/>
      <c r="N51" s="824"/>
      <c r="O51" s="824"/>
      <c r="P51" s="824"/>
      <c r="Q51" s="824"/>
      <c r="R51" s="824"/>
    </row>
    <row r="52" spans="12:18">
      <c r="L52" s="822"/>
      <c r="M52" s="831"/>
      <c r="N52" s="824"/>
      <c r="O52" s="824"/>
      <c r="P52" s="824"/>
      <c r="Q52" s="824"/>
      <c r="R52" s="824"/>
    </row>
    <row r="53" spans="12:18">
      <c r="L53" s="822"/>
      <c r="M53" s="831"/>
      <c r="N53" s="824"/>
      <c r="O53" s="824"/>
      <c r="P53" s="824"/>
      <c r="Q53" s="824"/>
      <c r="R53" s="824"/>
    </row>
    <row r="54" spans="12:18">
      <c r="L54" s="822"/>
      <c r="M54" s="831"/>
      <c r="N54" s="824"/>
      <c r="O54" s="824"/>
      <c r="P54" s="824"/>
      <c r="Q54" s="824"/>
      <c r="R54" s="824"/>
    </row>
    <row r="55" spans="12:18">
      <c r="L55" s="822"/>
      <c r="M55" s="831"/>
      <c r="N55" s="824"/>
      <c r="O55" s="824"/>
      <c r="P55" s="824"/>
      <c r="Q55" s="824"/>
      <c r="R55" s="824"/>
    </row>
    <row r="56" spans="12:18">
      <c r="L56" s="822"/>
      <c r="M56" s="831"/>
      <c r="N56" s="824"/>
      <c r="O56" s="824"/>
      <c r="P56" s="824"/>
      <c r="Q56" s="824"/>
      <c r="R56" s="824"/>
    </row>
    <row r="57" spans="12:18">
      <c r="L57" s="822"/>
      <c r="M57" s="831"/>
      <c r="N57" s="824"/>
      <c r="O57" s="824"/>
      <c r="P57" s="824"/>
      <c r="Q57" s="824"/>
      <c r="R57" s="824"/>
    </row>
    <row r="58" spans="12:18">
      <c r="L58" s="822"/>
      <c r="M58" s="831"/>
      <c r="N58" s="824"/>
      <c r="O58" s="824"/>
      <c r="P58" s="824"/>
      <c r="Q58" s="824"/>
      <c r="R58" s="824"/>
    </row>
    <row r="59" spans="12:18">
      <c r="L59" s="822"/>
      <c r="M59" s="831"/>
      <c r="N59" s="824"/>
      <c r="O59" s="824"/>
      <c r="P59" s="824"/>
      <c r="Q59" s="824"/>
      <c r="R59" s="824"/>
    </row>
    <row r="60" spans="12:18">
      <c r="L60" s="822"/>
      <c r="M60" s="831"/>
      <c r="N60" s="824"/>
      <c r="O60" s="824"/>
      <c r="P60" s="824"/>
      <c r="Q60" s="824"/>
      <c r="R60" s="824"/>
    </row>
    <row r="61" spans="12:18">
      <c r="L61" s="822"/>
      <c r="M61" s="831"/>
      <c r="N61" s="824"/>
      <c r="O61" s="824"/>
      <c r="P61" s="824"/>
      <c r="Q61" s="824"/>
      <c r="R61" s="824"/>
    </row>
    <row r="62" spans="12:18">
      <c r="L62" s="822"/>
      <c r="M62" s="831"/>
      <c r="N62" s="824"/>
      <c r="O62" s="824"/>
      <c r="P62" s="824"/>
      <c r="Q62" s="824"/>
      <c r="R62" s="824"/>
    </row>
    <row r="63" spans="12:18">
      <c r="L63" s="822"/>
      <c r="M63" s="831"/>
      <c r="N63" s="824"/>
      <c r="O63" s="824"/>
      <c r="P63" s="824"/>
      <c r="Q63" s="824"/>
      <c r="R63" s="824"/>
    </row>
    <row r="64" spans="12:18">
      <c r="L64" s="822"/>
      <c r="M64" s="831"/>
      <c r="N64" s="824"/>
      <c r="O64" s="824"/>
      <c r="P64" s="824"/>
      <c r="Q64" s="824"/>
      <c r="R64" s="824"/>
    </row>
    <row r="65" spans="12:18">
      <c r="L65" s="822"/>
      <c r="M65" s="831"/>
      <c r="N65" s="824"/>
      <c r="O65" s="824"/>
      <c r="P65" s="824"/>
      <c r="Q65" s="824"/>
      <c r="R65" s="824"/>
    </row>
    <row r="66" spans="12:18">
      <c r="L66" s="822"/>
      <c r="M66" s="831"/>
      <c r="N66" s="824"/>
      <c r="O66" s="824"/>
      <c r="P66" s="824"/>
      <c r="Q66" s="824"/>
      <c r="R66" s="824"/>
    </row>
    <row r="67" spans="12:18">
      <c r="L67" s="822"/>
      <c r="M67" s="831"/>
      <c r="N67" s="824"/>
      <c r="O67" s="824"/>
      <c r="P67" s="824"/>
      <c r="Q67" s="824"/>
      <c r="R67" s="824"/>
    </row>
    <row r="68" spans="12:18">
      <c r="L68" s="822"/>
      <c r="M68" s="831"/>
      <c r="N68" s="824"/>
      <c r="O68" s="824"/>
      <c r="P68" s="824"/>
      <c r="Q68" s="824"/>
      <c r="R68" s="824"/>
    </row>
    <row r="69" spans="12:18">
      <c r="L69" s="822"/>
      <c r="M69" s="831"/>
      <c r="N69" s="824"/>
      <c r="O69" s="824"/>
      <c r="P69" s="824"/>
      <c r="Q69" s="824"/>
      <c r="R69" s="824"/>
    </row>
    <row r="70" spans="12:18">
      <c r="L70" s="822"/>
      <c r="M70" s="831"/>
      <c r="N70" s="824"/>
      <c r="O70" s="824"/>
      <c r="P70" s="824"/>
      <c r="Q70" s="824"/>
      <c r="R70" s="824"/>
    </row>
    <row r="71" spans="12:18">
      <c r="L71" s="822"/>
      <c r="M71" s="831"/>
      <c r="N71" s="824"/>
      <c r="O71" s="824"/>
      <c r="P71" s="824"/>
      <c r="Q71" s="824"/>
      <c r="R71" s="824"/>
    </row>
    <row r="72" spans="12:18">
      <c r="L72" s="822"/>
      <c r="M72" s="831"/>
      <c r="N72" s="824"/>
      <c r="O72" s="824"/>
      <c r="P72" s="824"/>
      <c r="Q72" s="824"/>
      <c r="R72" s="824"/>
    </row>
    <row r="73" spans="12:18">
      <c r="L73" s="822"/>
      <c r="M73" s="831"/>
      <c r="N73" s="824"/>
      <c r="O73" s="824"/>
      <c r="P73" s="824"/>
      <c r="Q73" s="824"/>
      <c r="R73" s="824"/>
    </row>
    <row r="74" spans="12:18">
      <c r="L74" s="822"/>
      <c r="M74" s="831"/>
      <c r="N74" s="824"/>
      <c r="O74" s="824"/>
      <c r="P74" s="824"/>
      <c r="Q74" s="824"/>
      <c r="R74" s="824"/>
    </row>
    <row r="75" spans="12:18">
      <c r="L75" s="822"/>
      <c r="M75" s="831"/>
      <c r="N75" s="824"/>
      <c r="O75" s="824"/>
      <c r="P75" s="824"/>
      <c r="Q75" s="824"/>
      <c r="R75" s="824"/>
    </row>
    <row r="76" spans="12:18">
      <c r="L76" s="822"/>
      <c r="M76" s="831"/>
      <c r="N76" s="824"/>
      <c r="O76" s="824"/>
      <c r="P76" s="824"/>
      <c r="Q76" s="824"/>
      <c r="R76" s="824"/>
    </row>
    <row r="77" spans="12:18">
      <c r="L77" s="822"/>
      <c r="M77" s="831"/>
      <c r="N77" s="824"/>
      <c r="O77" s="824"/>
      <c r="P77" s="824"/>
      <c r="Q77" s="824"/>
      <c r="R77" s="824"/>
    </row>
    <row r="78" spans="12:18">
      <c r="L78" s="822"/>
      <c r="M78" s="831"/>
      <c r="N78" s="824"/>
      <c r="O78" s="824"/>
      <c r="P78" s="824"/>
      <c r="Q78" s="824"/>
      <c r="R78" s="824"/>
    </row>
    <row r="79" spans="12:18">
      <c r="L79" s="822"/>
      <c r="M79" s="831"/>
      <c r="N79" s="824"/>
      <c r="O79" s="824"/>
      <c r="P79" s="824"/>
      <c r="Q79" s="824"/>
      <c r="R79" s="824"/>
    </row>
    <row r="80" spans="12:18">
      <c r="L80" s="822"/>
      <c r="M80" s="831"/>
      <c r="N80" s="824"/>
      <c r="O80" s="824"/>
      <c r="P80" s="824"/>
      <c r="Q80" s="824"/>
      <c r="R80" s="824"/>
    </row>
    <row r="81" spans="12:18">
      <c r="L81" s="822"/>
      <c r="M81" s="831"/>
      <c r="N81" s="824"/>
      <c r="O81" s="824"/>
      <c r="P81" s="824"/>
      <c r="Q81" s="824"/>
      <c r="R81" s="824"/>
    </row>
    <row r="82" spans="12:18">
      <c r="L82" s="822"/>
      <c r="M82" s="831"/>
      <c r="N82" s="824"/>
      <c r="O82" s="824"/>
      <c r="P82" s="824"/>
      <c r="Q82" s="824"/>
      <c r="R82" s="824"/>
    </row>
    <row r="83" spans="12:18">
      <c r="L83" s="822"/>
      <c r="M83" s="831"/>
      <c r="N83" s="824"/>
      <c r="O83" s="824"/>
      <c r="P83" s="824"/>
      <c r="Q83" s="824"/>
      <c r="R83" s="824"/>
    </row>
    <row r="84" spans="12:18">
      <c r="L84" s="822"/>
      <c r="M84" s="831"/>
      <c r="N84" s="824"/>
      <c r="O84" s="824"/>
      <c r="P84" s="824"/>
      <c r="Q84" s="824"/>
      <c r="R84" s="824"/>
    </row>
    <row r="85" spans="12:18">
      <c r="L85" s="822"/>
      <c r="M85" s="831"/>
      <c r="N85" s="824"/>
      <c r="O85" s="824"/>
      <c r="P85" s="824"/>
      <c r="Q85" s="824"/>
      <c r="R85" s="824"/>
    </row>
    <row r="86" spans="12:18">
      <c r="L86" s="822"/>
      <c r="M86" s="831"/>
      <c r="N86" s="824"/>
      <c r="O86" s="824"/>
      <c r="P86" s="824"/>
      <c r="Q86" s="824"/>
      <c r="R86" s="824"/>
    </row>
    <row r="87" spans="12:18">
      <c r="L87" s="822"/>
      <c r="M87" s="831"/>
      <c r="N87" s="824"/>
      <c r="O87" s="824"/>
      <c r="P87" s="824"/>
      <c r="Q87" s="824"/>
      <c r="R87" s="824"/>
    </row>
    <row r="88" spans="12:18">
      <c r="L88" s="822"/>
      <c r="M88" s="831"/>
      <c r="N88" s="824"/>
      <c r="O88" s="824"/>
      <c r="P88" s="824"/>
      <c r="Q88" s="824"/>
      <c r="R88" s="824"/>
    </row>
    <row r="89" spans="12:18">
      <c r="L89" s="822"/>
      <c r="M89" s="831"/>
      <c r="N89" s="824"/>
      <c r="O89" s="824"/>
      <c r="P89" s="824"/>
      <c r="Q89" s="824"/>
      <c r="R89" s="824"/>
    </row>
    <row r="90" spans="12:18">
      <c r="L90" s="822"/>
      <c r="M90" s="831"/>
      <c r="N90" s="824"/>
      <c r="O90" s="824"/>
      <c r="P90" s="824"/>
      <c r="Q90" s="824"/>
      <c r="R90" s="824"/>
    </row>
    <row r="91" spans="12:18">
      <c r="L91" s="822"/>
      <c r="M91" s="831"/>
      <c r="N91" s="824"/>
      <c r="O91" s="824"/>
      <c r="P91" s="824"/>
      <c r="Q91" s="824"/>
      <c r="R91" s="824"/>
    </row>
    <row r="92" spans="12:18">
      <c r="L92" s="822"/>
      <c r="M92" s="831"/>
      <c r="N92" s="824"/>
      <c r="O92" s="824"/>
      <c r="P92" s="824"/>
      <c r="Q92" s="824"/>
      <c r="R92" s="824"/>
    </row>
    <row r="93" spans="12:18">
      <c r="L93" s="822"/>
      <c r="M93" s="831"/>
      <c r="N93" s="824"/>
      <c r="O93" s="824"/>
      <c r="P93" s="824"/>
      <c r="Q93" s="824"/>
      <c r="R93" s="824"/>
    </row>
    <row r="94" spans="12:18">
      <c r="L94" s="822"/>
      <c r="M94" s="831"/>
      <c r="N94" s="824"/>
      <c r="O94" s="824"/>
      <c r="P94" s="824"/>
      <c r="Q94" s="824"/>
      <c r="R94" s="824"/>
    </row>
    <row r="95" spans="12:18">
      <c r="L95" s="822"/>
      <c r="M95" s="831"/>
      <c r="N95" s="824"/>
      <c r="O95" s="824"/>
      <c r="P95" s="824"/>
      <c r="Q95" s="824"/>
      <c r="R95" s="824"/>
    </row>
    <row r="96" spans="12:18">
      <c r="L96" s="822"/>
      <c r="M96" s="831"/>
      <c r="N96" s="824"/>
      <c r="O96" s="824"/>
      <c r="P96" s="824"/>
      <c r="Q96" s="824"/>
      <c r="R96" s="824"/>
    </row>
    <row r="97" spans="12:18">
      <c r="L97" s="822"/>
      <c r="M97" s="831"/>
      <c r="N97" s="824"/>
      <c r="O97" s="824"/>
      <c r="P97" s="824"/>
      <c r="Q97" s="824"/>
      <c r="R97" s="824"/>
    </row>
    <row r="98" spans="12:18">
      <c r="L98" s="822"/>
      <c r="M98" s="831"/>
      <c r="N98" s="824"/>
      <c r="O98" s="824"/>
      <c r="P98" s="824"/>
      <c r="Q98" s="824"/>
      <c r="R98" s="824"/>
    </row>
    <row r="99" spans="12:18">
      <c r="L99" s="822"/>
      <c r="M99" s="831"/>
      <c r="N99" s="824"/>
      <c r="O99" s="824"/>
      <c r="P99" s="824"/>
      <c r="Q99" s="824"/>
      <c r="R99" s="824"/>
    </row>
    <row r="100" spans="12:18">
      <c r="L100" s="822"/>
      <c r="M100" s="831"/>
      <c r="N100" s="824"/>
      <c r="O100" s="824"/>
      <c r="P100" s="824"/>
      <c r="Q100" s="824"/>
      <c r="R100" s="824"/>
    </row>
    <row r="101" spans="12:18">
      <c r="L101" s="822"/>
      <c r="M101" s="831"/>
      <c r="N101" s="824"/>
      <c r="O101" s="824"/>
      <c r="P101" s="824"/>
      <c r="Q101" s="824"/>
      <c r="R101" s="824"/>
    </row>
    <row r="102" spans="12:18">
      <c r="L102" s="822"/>
      <c r="M102" s="831"/>
      <c r="N102" s="824"/>
      <c r="O102" s="824"/>
      <c r="P102" s="824"/>
      <c r="Q102" s="824"/>
      <c r="R102" s="824"/>
    </row>
    <row r="103" spans="12:18">
      <c r="L103" s="822"/>
      <c r="M103" s="831"/>
      <c r="N103" s="824"/>
      <c r="O103" s="824"/>
      <c r="P103" s="824"/>
      <c r="Q103" s="824"/>
      <c r="R103" s="824"/>
    </row>
    <row r="104" spans="12:18">
      <c r="L104" s="822"/>
      <c r="M104" s="831"/>
      <c r="N104" s="824"/>
      <c r="O104" s="824"/>
      <c r="P104" s="824"/>
      <c r="Q104" s="824"/>
      <c r="R104" s="824"/>
    </row>
    <row r="105" spans="12:18">
      <c r="L105" s="822"/>
      <c r="M105" s="831"/>
      <c r="N105" s="824"/>
      <c r="O105" s="824"/>
      <c r="P105" s="824"/>
      <c r="Q105" s="824"/>
      <c r="R105" s="824"/>
    </row>
    <row r="106" spans="12:18">
      <c r="L106" s="822"/>
      <c r="M106" s="831"/>
      <c r="N106" s="824"/>
      <c r="O106" s="824"/>
      <c r="P106" s="824"/>
      <c r="Q106" s="824"/>
      <c r="R106" s="824"/>
    </row>
    <row r="107" spans="12:18">
      <c r="L107" s="822"/>
      <c r="M107" s="831"/>
      <c r="N107" s="824"/>
      <c r="O107" s="824"/>
      <c r="P107" s="824"/>
      <c r="Q107" s="824"/>
      <c r="R107" s="824"/>
    </row>
    <row r="108" spans="12:18">
      <c r="L108" s="822"/>
      <c r="M108" s="831"/>
      <c r="N108" s="824"/>
      <c r="O108" s="824"/>
      <c r="P108" s="824"/>
      <c r="Q108" s="824"/>
      <c r="R108" s="824"/>
    </row>
    <row r="109" spans="12:18">
      <c r="L109" s="822"/>
      <c r="M109" s="831"/>
      <c r="N109" s="824"/>
      <c r="O109" s="824"/>
      <c r="P109" s="824"/>
      <c r="Q109" s="824"/>
      <c r="R109" s="824"/>
    </row>
    <row r="110" spans="12:18">
      <c r="L110" s="822"/>
      <c r="M110" s="831"/>
      <c r="N110" s="824"/>
      <c r="O110" s="824"/>
      <c r="P110" s="824"/>
      <c r="Q110" s="824"/>
      <c r="R110" s="824"/>
    </row>
    <row r="111" spans="12:18">
      <c r="L111" s="822"/>
      <c r="M111" s="831"/>
      <c r="N111" s="824"/>
      <c r="O111" s="824"/>
      <c r="P111" s="824"/>
      <c r="Q111" s="824"/>
      <c r="R111" s="824"/>
    </row>
    <row r="112" spans="12:18">
      <c r="L112" s="822"/>
      <c r="M112" s="831"/>
      <c r="N112" s="824"/>
      <c r="O112" s="824"/>
      <c r="P112" s="824"/>
      <c r="Q112" s="824"/>
      <c r="R112" s="824"/>
    </row>
    <row r="113" spans="12:18">
      <c r="L113" s="822"/>
      <c r="M113" s="831"/>
      <c r="N113" s="824"/>
      <c r="O113" s="824"/>
      <c r="P113" s="824"/>
      <c r="Q113" s="824"/>
      <c r="R113" s="824"/>
    </row>
    <row r="114" spans="12:18">
      <c r="L114" s="822"/>
      <c r="M114" s="831"/>
      <c r="N114" s="824"/>
      <c r="O114" s="824"/>
      <c r="P114" s="824"/>
      <c r="Q114" s="824"/>
      <c r="R114" s="824"/>
    </row>
    <row r="115" spans="12:18">
      <c r="L115" s="822"/>
      <c r="M115" s="831"/>
      <c r="N115" s="824"/>
      <c r="O115" s="824"/>
      <c r="P115" s="824"/>
      <c r="Q115" s="824"/>
      <c r="R115" s="824"/>
    </row>
    <row r="116" spans="12:18">
      <c r="L116" s="822"/>
      <c r="M116" s="831"/>
      <c r="N116" s="824"/>
      <c r="O116" s="824"/>
      <c r="P116" s="824"/>
      <c r="Q116" s="824"/>
      <c r="R116" s="824"/>
    </row>
    <row r="117" spans="12:18">
      <c r="L117" s="822"/>
      <c r="M117" s="831"/>
      <c r="N117" s="824"/>
      <c r="O117" s="824"/>
      <c r="P117" s="824"/>
      <c r="Q117" s="824"/>
      <c r="R117" s="824"/>
    </row>
    <row r="118" spans="12:18">
      <c r="L118" s="822"/>
      <c r="M118" s="831"/>
      <c r="N118" s="824"/>
      <c r="O118" s="824"/>
      <c r="P118" s="824"/>
      <c r="Q118" s="824"/>
      <c r="R118" s="824"/>
    </row>
    <row r="119" spans="12:18">
      <c r="L119" s="824"/>
      <c r="M119" s="824"/>
      <c r="N119" s="824"/>
      <c r="O119" s="824"/>
      <c r="P119" s="824"/>
      <c r="Q119" s="824"/>
      <c r="R119" s="824"/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44:J44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36:J36"/>
    <mergeCell ref="H39:J39"/>
    <mergeCell ref="H40:J40"/>
    <mergeCell ref="H43:J43"/>
  </mergeCells>
  <pageMargins left="0.12" right="0.22" top="0.73" bottom="0.65" header="0.25" footer="0.14000000000000001"/>
  <pageSetup paperSize="5" scale="96" orientation="portrait" horizontalDpi="4294967293" verticalDpi="4294967293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FF00"/>
  </sheetPr>
  <dimension ref="B1:T87"/>
  <sheetViews>
    <sheetView view="pageBreakPreview" topLeftCell="A34" zoomScale="90" zoomScaleNormal="115" zoomScaleSheetLayoutView="90" workbookViewId="0">
      <selection activeCell="B39" sqref="B39:K42"/>
    </sheetView>
  </sheetViews>
  <sheetFormatPr defaultRowHeight="12.75"/>
  <cols>
    <col min="1" max="1" width="1" style="9" customWidth="1"/>
    <col min="2" max="2" width="3.140625" style="9" customWidth="1"/>
    <col min="3" max="3" width="3.28515625" style="9" customWidth="1"/>
    <col min="4" max="4" width="3.140625" style="9" customWidth="1"/>
    <col min="5" max="6" width="3.28515625" style="9" customWidth="1"/>
    <col min="7" max="7" width="62.85546875" style="9" customWidth="1"/>
    <col min="8" max="8" width="8" style="9" bestFit="1" customWidth="1"/>
    <col min="9" max="9" width="8" style="9" customWidth="1"/>
    <col min="10" max="10" width="13.42578125" style="9" bestFit="1" customWidth="1"/>
    <col min="11" max="11" width="16.85546875" style="9" bestFit="1" customWidth="1"/>
    <col min="12" max="12" width="18.28515625" style="9" bestFit="1" customWidth="1"/>
    <col min="13" max="13" width="18.28515625" style="41" bestFit="1" customWidth="1"/>
    <col min="14" max="14" width="17.5703125" style="9" bestFit="1" customWidth="1"/>
    <col min="15" max="15" width="16.7109375" style="9" bestFit="1" customWidth="1"/>
    <col min="16" max="17" width="7.28515625" style="9" bestFit="1" customWidth="1"/>
    <col min="18" max="18" width="18.28515625" style="9" bestFit="1" customWidth="1"/>
    <col min="19" max="20" width="16.85546875" style="9" bestFit="1" customWidth="1"/>
    <col min="21" max="16384" width="9.140625" style="9"/>
  </cols>
  <sheetData>
    <row r="1" spans="2:11" s="9" customFormat="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1" s="9" customFormat="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1" s="9" customFormat="1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1" s="9" customFormat="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1" s="9" customFormat="1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1" s="9" customFormat="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1" s="9" customFormat="1">
      <c r="B7" s="3341" t="s">
        <v>33</v>
      </c>
      <c r="C7" s="3339"/>
      <c r="D7" s="3339"/>
      <c r="E7" s="3339"/>
      <c r="F7" s="3339"/>
      <c r="G7" s="3342" t="s">
        <v>1111</v>
      </c>
      <c r="H7" s="3342"/>
      <c r="I7" s="3342"/>
      <c r="J7" s="3342"/>
      <c r="K7" s="3343"/>
    </row>
    <row r="8" spans="2:11" s="9" customFormat="1">
      <c r="B8" s="3341" t="s">
        <v>34</v>
      </c>
      <c r="C8" s="3339"/>
      <c r="D8" s="3339"/>
      <c r="E8" s="3339"/>
      <c r="F8" s="3339"/>
      <c r="G8" s="3339" t="s">
        <v>1119</v>
      </c>
      <c r="H8" s="3339"/>
      <c r="I8" s="3339"/>
      <c r="J8" s="3339"/>
      <c r="K8" s="3340"/>
    </row>
    <row r="9" spans="2:11" s="9" customFormat="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11" s="9" customFormat="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11" s="9" customFormat="1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1" s="9" customFormat="1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1" s="9" customFormat="1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1" s="9" customFormat="1" ht="15" customHeight="1">
      <c r="B14" s="3462" t="s">
        <v>8</v>
      </c>
      <c r="C14" s="3463"/>
      <c r="D14" s="3463"/>
      <c r="E14" s="3463"/>
      <c r="F14" s="3464"/>
      <c r="G14" s="3445" t="s">
        <v>442</v>
      </c>
      <c r="H14" s="3448"/>
      <c r="I14" s="3450">
        <v>1</v>
      </c>
      <c r="J14" s="3451"/>
      <c r="K14" s="3452"/>
    </row>
    <row r="15" spans="2:11" s="9" customFormat="1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1464376529</v>
      </c>
      <c r="J15" s="3454"/>
      <c r="K15" s="3455"/>
    </row>
    <row r="16" spans="2:11" s="9" customFormat="1" ht="16.5" customHeight="1">
      <c r="B16" s="3439" t="s">
        <v>10</v>
      </c>
      <c r="C16" s="3451"/>
      <c r="D16" s="3451"/>
      <c r="E16" s="3451"/>
      <c r="F16" s="3460"/>
      <c r="G16" s="3445" t="s">
        <v>443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350" t="s">
        <v>444</v>
      </c>
      <c r="H17" s="3369"/>
      <c r="I17" s="3456">
        <v>1</v>
      </c>
      <c r="J17" s="3457"/>
      <c r="K17" s="3458"/>
    </row>
    <row r="18" spans="2:18">
      <c r="B18" s="3442" t="s">
        <v>262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18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18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526"/>
      <c r="M21" s="1526"/>
      <c r="N21" s="1526"/>
      <c r="O21" s="1526"/>
      <c r="P21" s="1526"/>
      <c r="Q21" s="1526"/>
      <c r="R21" s="3378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525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526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18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1236">
        <f>K25+K55</f>
        <v>1464376529</v>
      </c>
      <c r="L24" s="305"/>
      <c r="M24" s="305"/>
      <c r="N24" s="305"/>
      <c r="O24" s="305"/>
      <c r="P24" s="305"/>
      <c r="Q24" s="303"/>
      <c r="R24" s="303"/>
    </row>
    <row r="25" spans="2:18" ht="14.25" customHeight="1">
      <c r="B25" s="43">
        <v>5</v>
      </c>
      <c r="C25" s="17">
        <v>2</v>
      </c>
      <c r="D25" s="17">
        <v>1</v>
      </c>
      <c r="E25" s="17"/>
      <c r="F25" s="17"/>
      <c r="G25" s="44" t="s">
        <v>59</v>
      </c>
      <c r="H25" s="856"/>
      <c r="I25" s="17"/>
      <c r="J25" s="46"/>
      <c r="K25" s="1236">
        <f>K26+K44</f>
        <v>877200000</v>
      </c>
      <c r="L25" s="305"/>
      <c r="M25" s="305"/>
      <c r="N25" s="305"/>
      <c r="O25" s="305"/>
      <c r="P25" s="305"/>
      <c r="Q25" s="303"/>
      <c r="R25" s="303"/>
    </row>
    <row r="26" spans="2:18">
      <c r="B26" s="36">
        <v>5</v>
      </c>
      <c r="C26" s="37">
        <v>2</v>
      </c>
      <c r="D26" s="37">
        <v>1</v>
      </c>
      <c r="E26" s="38" t="s">
        <v>24</v>
      </c>
      <c r="F26" s="17"/>
      <c r="G26" s="49" t="s">
        <v>60</v>
      </c>
      <c r="H26" s="856"/>
      <c r="I26" s="17"/>
      <c r="J26" s="46"/>
      <c r="K26" s="1236">
        <f>K27+K39</f>
        <v>157200000</v>
      </c>
      <c r="L26" s="304"/>
      <c r="M26" s="303"/>
      <c r="N26" s="303"/>
      <c r="O26" s="303"/>
      <c r="P26" s="303"/>
      <c r="Q26" s="303"/>
      <c r="R26" s="303"/>
    </row>
    <row r="27" spans="2:18">
      <c r="B27" s="36">
        <v>5</v>
      </c>
      <c r="C27" s="37">
        <v>2</v>
      </c>
      <c r="D27" s="37">
        <v>1</v>
      </c>
      <c r="E27" s="38" t="s">
        <v>24</v>
      </c>
      <c r="F27" s="38" t="s">
        <v>24</v>
      </c>
      <c r="G27" s="49" t="s">
        <v>331</v>
      </c>
      <c r="H27" s="856"/>
      <c r="I27" s="17"/>
      <c r="J27" s="46"/>
      <c r="K27" s="1237">
        <f>SUM(K28:K38)</f>
        <v>45400000</v>
      </c>
      <c r="L27" s="305"/>
      <c r="M27" s="305"/>
      <c r="N27" s="305"/>
      <c r="O27" s="305"/>
      <c r="P27" s="305"/>
      <c r="Q27" s="303"/>
      <c r="R27" s="303"/>
    </row>
    <row r="28" spans="2:18">
      <c r="B28" s="29"/>
      <c r="C28" s="59"/>
      <c r="D28" s="59"/>
      <c r="E28" s="60"/>
      <c r="F28" s="60"/>
      <c r="G28" s="1080" t="s">
        <v>1054</v>
      </c>
      <c r="H28" s="995"/>
      <c r="I28" s="40"/>
      <c r="J28" s="241"/>
      <c r="K28" s="1238">
        <f t="shared" ref="K28:K37" si="0">H28*J28</f>
        <v>0</v>
      </c>
      <c r="L28" s="305"/>
      <c r="M28" s="401"/>
      <c r="N28" s="401"/>
      <c r="O28" s="303"/>
      <c r="P28" s="303"/>
      <c r="Q28" s="303"/>
      <c r="R28" s="303"/>
    </row>
    <row r="29" spans="2:18" s="2033" customFormat="1">
      <c r="B29" s="2496"/>
      <c r="C29" s="2560"/>
      <c r="D29" s="2560"/>
      <c r="E29" s="2732"/>
      <c r="F29" s="2732"/>
      <c r="G29" s="2733" t="s">
        <v>1088</v>
      </c>
      <c r="H29" s="2563">
        <v>4</v>
      </c>
      <c r="I29" s="2734" t="s">
        <v>28</v>
      </c>
      <c r="J29" s="2735">
        <v>275000</v>
      </c>
      <c r="K29" s="2736">
        <f t="shared" si="0"/>
        <v>1100000</v>
      </c>
      <c r="L29" s="2577">
        <f>K29</f>
        <v>1100000</v>
      </c>
      <c r="M29" s="2737"/>
      <c r="N29" s="2737"/>
      <c r="O29" s="2737"/>
      <c r="P29" s="2737"/>
      <c r="Q29" s="2493"/>
      <c r="R29" s="2493"/>
    </row>
    <row r="30" spans="2:18" s="2033" customFormat="1">
      <c r="B30" s="2496"/>
      <c r="C30" s="2560"/>
      <c r="D30" s="2560"/>
      <c r="E30" s="2732"/>
      <c r="F30" s="2732"/>
      <c r="G30" s="2733" t="s">
        <v>1089</v>
      </c>
      <c r="H30" s="2563">
        <v>4</v>
      </c>
      <c r="I30" s="2734" t="s">
        <v>28</v>
      </c>
      <c r="J30" s="2735">
        <v>225000</v>
      </c>
      <c r="K30" s="2736">
        <f t="shared" si="0"/>
        <v>900000</v>
      </c>
      <c r="L30" s="2577">
        <f t="shared" ref="L30:L37" si="1">K30</f>
        <v>900000</v>
      </c>
      <c r="M30" s="2737"/>
      <c r="N30" s="2737"/>
      <c r="O30" s="2493"/>
      <c r="P30" s="2493"/>
      <c r="Q30" s="2493"/>
      <c r="R30" s="2493"/>
    </row>
    <row r="31" spans="2:18" s="2033" customFormat="1">
      <c r="B31" s="2496"/>
      <c r="C31" s="2560"/>
      <c r="D31" s="2560"/>
      <c r="E31" s="2732"/>
      <c r="F31" s="2732"/>
      <c r="G31" s="2733" t="s">
        <v>1090</v>
      </c>
      <c r="H31" s="2563">
        <v>4</v>
      </c>
      <c r="I31" s="2734" t="s">
        <v>28</v>
      </c>
      <c r="J31" s="2735">
        <v>225000</v>
      </c>
      <c r="K31" s="2736">
        <f t="shared" si="0"/>
        <v>900000</v>
      </c>
      <c r="L31" s="2577">
        <f t="shared" si="1"/>
        <v>900000</v>
      </c>
      <c r="M31" s="2737"/>
      <c r="N31" s="2737"/>
      <c r="O31" s="2493"/>
      <c r="P31" s="2493"/>
      <c r="Q31" s="2493"/>
      <c r="R31" s="2493"/>
    </row>
    <row r="32" spans="2:18" s="2033" customFormat="1">
      <c r="B32" s="2496"/>
      <c r="C32" s="2560"/>
      <c r="D32" s="2560"/>
      <c r="E32" s="2732"/>
      <c r="F32" s="2732"/>
      <c r="G32" s="2733" t="s">
        <v>1091</v>
      </c>
      <c r="H32" s="2563">
        <f>20*4</f>
        <v>80</v>
      </c>
      <c r="I32" s="2734" t="s">
        <v>28</v>
      </c>
      <c r="J32" s="2735">
        <v>225000</v>
      </c>
      <c r="K32" s="2736">
        <f t="shared" si="0"/>
        <v>18000000</v>
      </c>
      <c r="L32" s="2577">
        <f t="shared" si="1"/>
        <v>18000000</v>
      </c>
      <c r="M32" s="2737"/>
      <c r="N32" s="2737"/>
      <c r="O32" s="2493"/>
      <c r="P32" s="2493"/>
      <c r="Q32" s="2493"/>
      <c r="R32" s="2493"/>
    </row>
    <row r="33" spans="2:18" s="2033" customFormat="1">
      <c r="B33" s="2679"/>
      <c r="C33" s="2555"/>
      <c r="D33" s="2555"/>
      <c r="E33" s="2738"/>
      <c r="F33" s="2738"/>
      <c r="G33" s="2739" t="s">
        <v>1055</v>
      </c>
      <c r="H33" s="2740"/>
      <c r="I33" s="2741"/>
      <c r="J33" s="2742"/>
      <c r="K33" s="2736">
        <f t="shared" si="0"/>
        <v>0</v>
      </c>
      <c r="L33" s="2577">
        <f t="shared" si="1"/>
        <v>0</v>
      </c>
      <c r="M33" s="2737"/>
      <c r="N33" s="2737"/>
      <c r="O33" s="2577"/>
      <c r="P33" s="2577"/>
      <c r="Q33" s="2743"/>
      <c r="R33" s="2743"/>
    </row>
    <row r="34" spans="2:18" s="2033" customFormat="1">
      <c r="B34" s="2496"/>
      <c r="C34" s="2560"/>
      <c r="D34" s="2560"/>
      <c r="E34" s="2732"/>
      <c r="F34" s="2732"/>
      <c r="G34" s="2733" t="s">
        <v>1088</v>
      </c>
      <c r="H34" s="2563">
        <v>4</v>
      </c>
      <c r="I34" s="2734" t="s">
        <v>28</v>
      </c>
      <c r="J34" s="2735">
        <v>275000</v>
      </c>
      <c r="K34" s="2736">
        <f t="shared" si="0"/>
        <v>1100000</v>
      </c>
      <c r="L34" s="2577">
        <f t="shared" si="1"/>
        <v>1100000</v>
      </c>
      <c r="M34" s="2737"/>
      <c r="N34" s="2737"/>
      <c r="O34" s="2493"/>
      <c r="P34" s="2493"/>
      <c r="Q34" s="2493"/>
      <c r="R34" s="2493"/>
    </row>
    <row r="35" spans="2:18" s="2033" customFormat="1">
      <c r="B35" s="2496"/>
      <c r="C35" s="2560"/>
      <c r="D35" s="2560"/>
      <c r="E35" s="2732"/>
      <c r="F35" s="2732"/>
      <c r="G35" s="2733" t="s">
        <v>1089</v>
      </c>
      <c r="H35" s="2563">
        <v>4</v>
      </c>
      <c r="I35" s="2734" t="s">
        <v>28</v>
      </c>
      <c r="J35" s="2735">
        <v>225000</v>
      </c>
      <c r="K35" s="2736">
        <f t="shared" si="0"/>
        <v>900000</v>
      </c>
      <c r="L35" s="2577">
        <f t="shared" si="1"/>
        <v>900000</v>
      </c>
      <c r="M35" s="2737"/>
      <c r="N35" s="2737"/>
      <c r="O35" s="2493"/>
      <c r="P35" s="2493"/>
      <c r="Q35" s="2493"/>
      <c r="R35" s="2493"/>
    </row>
    <row r="36" spans="2:18" s="2033" customFormat="1">
      <c r="B36" s="2496"/>
      <c r="C36" s="2560"/>
      <c r="D36" s="2560"/>
      <c r="E36" s="2732"/>
      <c r="F36" s="2732"/>
      <c r="G36" s="2733" t="s">
        <v>1090</v>
      </c>
      <c r="H36" s="2563">
        <v>4</v>
      </c>
      <c r="I36" s="2734" t="s">
        <v>28</v>
      </c>
      <c r="J36" s="2735">
        <v>225000</v>
      </c>
      <c r="K36" s="2736">
        <f t="shared" si="0"/>
        <v>900000</v>
      </c>
      <c r="L36" s="2577">
        <f t="shared" si="1"/>
        <v>900000</v>
      </c>
      <c r="M36" s="2737"/>
      <c r="N36" s="2737"/>
      <c r="O36" s="2493"/>
      <c r="P36" s="2493"/>
      <c r="Q36" s="2493"/>
      <c r="R36" s="2493"/>
    </row>
    <row r="37" spans="2:18" s="2033" customFormat="1">
      <c r="B37" s="2496"/>
      <c r="C37" s="2560"/>
      <c r="D37" s="2560"/>
      <c r="E37" s="2732"/>
      <c r="F37" s="2732"/>
      <c r="G37" s="2733" t="s">
        <v>1092</v>
      </c>
      <c r="H37" s="2563">
        <f>24*4</f>
        <v>96</v>
      </c>
      <c r="I37" s="2734" t="s">
        <v>28</v>
      </c>
      <c r="J37" s="2735">
        <v>225000</v>
      </c>
      <c r="K37" s="2736">
        <f t="shared" si="0"/>
        <v>21600000</v>
      </c>
      <c r="L37" s="2577">
        <f t="shared" si="1"/>
        <v>21600000</v>
      </c>
      <c r="M37" s="2737"/>
      <c r="N37" s="2737"/>
      <c r="O37" s="2493"/>
      <c r="P37" s="2493"/>
      <c r="Q37" s="2493"/>
      <c r="R37" s="2493"/>
    </row>
    <row r="38" spans="2:18" ht="15">
      <c r="B38" s="1528"/>
      <c r="C38" s="59"/>
      <c r="D38" s="59"/>
      <c r="E38" s="60"/>
      <c r="F38" s="60"/>
      <c r="G38" s="32"/>
      <c r="H38" s="857"/>
      <c r="I38" s="4"/>
      <c r="J38" s="61"/>
      <c r="K38" s="1239"/>
      <c r="L38" s="305"/>
      <c r="M38" s="329"/>
      <c r="N38" s="330"/>
      <c r="O38" s="330"/>
      <c r="P38" s="330"/>
      <c r="Q38" s="319"/>
      <c r="R38" s="319"/>
    </row>
    <row r="39" spans="2:18" ht="15">
      <c r="B39" s="36">
        <v>5</v>
      </c>
      <c r="C39" s="37">
        <v>2</v>
      </c>
      <c r="D39" s="37">
        <v>1</v>
      </c>
      <c r="E39" s="38" t="s">
        <v>24</v>
      </c>
      <c r="F39" s="38" t="s">
        <v>66</v>
      </c>
      <c r="G39" s="48" t="s">
        <v>75</v>
      </c>
      <c r="H39" s="856"/>
      <c r="I39" s="17"/>
      <c r="J39" s="46"/>
      <c r="K39" s="1237">
        <f>SUM(K40:K42)</f>
        <v>111800000</v>
      </c>
      <c r="L39" s="305"/>
      <c r="M39" s="308"/>
      <c r="N39" s="309"/>
      <c r="O39" s="309"/>
      <c r="P39" s="309"/>
      <c r="Q39" s="306"/>
      <c r="R39" s="306"/>
    </row>
    <row r="40" spans="2:18" s="2033" customFormat="1" ht="15">
      <c r="B40" s="2744"/>
      <c r="C40" s="2555"/>
      <c r="D40" s="2555"/>
      <c r="E40" s="2738"/>
      <c r="F40" s="2738"/>
      <c r="G40" s="2682" t="s">
        <v>2065</v>
      </c>
      <c r="H40" s="2745">
        <f>52*1*1</f>
        <v>52</v>
      </c>
      <c r="I40" s="2680" t="s">
        <v>28</v>
      </c>
      <c r="J40" s="2746">
        <v>450000</v>
      </c>
      <c r="K40" s="2747">
        <f>H40*J40</f>
        <v>23400000</v>
      </c>
      <c r="L40" s="2577"/>
      <c r="M40" s="2577"/>
      <c r="N40" s="2737">
        <f>K40</f>
        <v>23400000</v>
      </c>
      <c r="O40" s="2577"/>
      <c r="P40" s="2577"/>
      <c r="Q40" s="2480"/>
      <c r="R40" s="2748"/>
    </row>
    <row r="41" spans="2:18" s="2761" customFormat="1" ht="15">
      <c r="B41" s="2749"/>
      <c r="C41" s="2750"/>
      <c r="D41" s="2750"/>
      <c r="E41" s="2751"/>
      <c r="F41" s="2751"/>
      <c r="G41" s="2752" t="s">
        <v>970</v>
      </c>
      <c r="H41" s="2753">
        <f>52*2</f>
        <v>104</v>
      </c>
      <c r="I41" s="2754" t="s">
        <v>28</v>
      </c>
      <c r="J41" s="2755">
        <v>400000</v>
      </c>
      <c r="K41" s="2756">
        <f>H41*J41</f>
        <v>41600000</v>
      </c>
      <c r="L41" s="2757"/>
      <c r="M41" s="2757"/>
      <c r="N41" s="2758">
        <f>K41</f>
        <v>41600000</v>
      </c>
      <c r="O41" s="2759"/>
      <c r="P41" s="2759"/>
      <c r="Q41" s="2760"/>
      <c r="R41" s="2760"/>
    </row>
    <row r="42" spans="2:18" s="2033" customFormat="1" ht="15">
      <c r="B42" s="2744"/>
      <c r="C42" s="2555"/>
      <c r="D42" s="2555"/>
      <c r="E42" s="2738"/>
      <c r="F42" s="2738"/>
      <c r="G42" s="2682" t="s">
        <v>2064</v>
      </c>
      <c r="H42" s="2745">
        <f>52*1*2</f>
        <v>104</v>
      </c>
      <c r="I42" s="2680" t="s">
        <v>28</v>
      </c>
      <c r="J42" s="2746">
        <v>450000</v>
      </c>
      <c r="K42" s="2747">
        <f>H42*J42</f>
        <v>46800000</v>
      </c>
      <c r="L42" s="2577"/>
      <c r="M42" s="2577"/>
      <c r="N42" s="2737">
        <f>K42</f>
        <v>46800000</v>
      </c>
      <c r="O42" s="2577"/>
      <c r="P42" s="2577"/>
      <c r="Q42" s="2480"/>
      <c r="R42" s="2748"/>
    </row>
    <row r="43" spans="2:18" ht="15">
      <c r="B43" s="137"/>
      <c r="C43" s="59"/>
      <c r="D43" s="59"/>
      <c r="E43" s="60"/>
      <c r="F43" s="60"/>
      <c r="G43" s="32"/>
      <c r="H43" s="857"/>
      <c r="I43" s="4"/>
      <c r="J43" s="61"/>
      <c r="K43" s="1240"/>
      <c r="L43" s="305"/>
      <c r="M43" s="310"/>
      <c r="N43" s="401"/>
      <c r="O43" s="306"/>
      <c r="P43" s="306"/>
      <c r="Q43" s="306"/>
      <c r="R43" s="306"/>
    </row>
    <row r="44" spans="2:18" s="76" customFormat="1" ht="15">
      <c r="B44" s="94">
        <v>5</v>
      </c>
      <c r="C44" s="95">
        <v>2</v>
      </c>
      <c r="D44" s="95">
        <v>1</v>
      </c>
      <c r="E44" s="96" t="s">
        <v>25</v>
      </c>
      <c r="F44" s="96"/>
      <c r="G44" s="20" t="s">
        <v>185</v>
      </c>
      <c r="H44" s="245"/>
      <c r="I44" s="32"/>
      <c r="J44" s="122"/>
      <c r="K44" s="1241">
        <f>K45</f>
        <v>720000000</v>
      </c>
      <c r="L44" s="305"/>
      <c r="M44" s="310"/>
      <c r="N44" s="306"/>
      <c r="O44" s="306"/>
      <c r="P44" s="306"/>
      <c r="Q44" s="306"/>
      <c r="R44" s="306"/>
    </row>
    <row r="45" spans="2:18" s="76" customFormat="1" ht="15">
      <c r="B45" s="94">
        <v>5</v>
      </c>
      <c r="C45" s="95">
        <v>2</v>
      </c>
      <c r="D45" s="95">
        <v>1</v>
      </c>
      <c r="E45" s="96" t="s">
        <v>25</v>
      </c>
      <c r="F45" s="96" t="s">
        <v>25</v>
      </c>
      <c r="G45" s="20" t="s">
        <v>186</v>
      </c>
      <c r="H45" s="245"/>
      <c r="I45" s="32"/>
      <c r="J45" s="122"/>
      <c r="K45" s="1241">
        <f>SUM(K46:K53)</f>
        <v>720000000</v>
      </c>
      <c r="L45" s="305"/>
      <c r="M45" s="310"/>
      <c r="N45" s="306"/>
      <c r="O45" s="306"/>
      <c r="P45" s="306"/>
      <c r="Q45" s="306"/>
      <c r="R45" s="306"/>
    </row>
    <row r="46" spans="2:18" ht="15">
      <c r="B46" s="1528"/>
      <c r="C46" s="59"/>
      <c r="D46" s="59"/>
      <c r="E46" s="60"/>
      <c r="F46" s="60"/>
      <c r="G46" s="913" t="s">
        <v>1887</v>
      </c>
      <c r="H46" s="995">
        <v>12</v>
      </c>
      <c r="I46" s="40" t="s">
        <v>62</v>
      </c>
      <c r="J46" s="241">
        <v>7500000</v>
      </c>
      <c r="K46" s="1238">
        <f t="shared" ref="K46:K51" si="2">H46*J46</f>
        <v>90000000</v>
      </c>
      <c r="L46" s="305"/>
      <c r="M46" s="313">
        <f>K46</f>
        <v>90000000</v>
      </c>
      <c r="N46" s="401"/>
      <c r="O46" s="314"/>
      <c r="P46" s="314"/>
      <c r="Q46" s="306"/>
      <c r="R46" s="306"/>
    </row>
    <row r="47" spans="2:18" s="2033" customFormat="1" ht="15">
      <c r="B47" s="2762"/>
      <c r="C47" s="2560"/>
      <c r="D47" s="2560"/>
      <c r="E47" s="2732"/>
      <c r="F47" s="2732"/>
      <c r="G47" s="2763" t="s">
        <v>2066</v>
      </c>
      <c r="H47" s="2740">
        <f>52*2</f>
        <v>104</v>
      </c>
      <c r="I47" s="2741" t="s">
        <v>62</v>
      </c>
      <c r="J47" s="2742">
        <v>450000</v>
      </c>
      <c r="K47" s="2736">
        <f t="shared" si="2"/>
        <v>46800000</v>
      </c>
      <c r="L47" s="2577"/>
      <c r="M47" s="2764">
        <f t="shared" ref="M47:M53" si="3">K47</f>
        <v>46800000</v>
      </c>
      <c r="N47" s="2737"/>
      <c r="O47" s="2765"/>
      <c r="P47" s="2765"/>
      <c r="Q47" s="2580"/>
      <c r="R47" s="2580"/>
    </row>
    <row r="48" spans="2:18" s="2033" customFormat="1" ht="15">
      <c r="B48" s="2762"/>
      <c r="C48" s="2560"/>
      <c r="D48" s="2560"/>
      <c r="E48" s="2732"/>
      <c r="F48" s="2732"/>
      <c r="G48" s="2763" t="s">
        <v>2099</v>
      </c>
      <c r="H48" s="2740">
        <f>2*12</f>
        <v>24</v>
      </c>
      <c r="I48" s="2741" t="s">
        <v>62</v>
      </c>
      <c r="J48" s="2742">
        <v>7500000</v>
      </c>
      <c r="K48" s="2736">
        <f t="shared" si="2"/>
        <v>180000000</v>
      </c>
      <c r="L48" s="2577"/>
      <c r="M48" s="2764">
        <f t="shared" si="3"/>
        <v>180000000</v>
      </c>
      <c r="N48" s="2737"/>
      <c r="O48" s="2765"/>
      <c r="P48" s="2765"/>
      <c r="Q48" s="2580"/>
      <c r="R48" s="2580"/>
    </row>
    <row r="49" spans="2:18" ht="15">
      <c r="B49" s="29"/>
      <c r="C49" s="59"/>
      <c r="D49" s="59"/>
      <c r="E49" s="60"/>
      <c r="F49" s="60"/>
      <c r="G49" s="994" t="s">
        <v>260</v>
      </c>
      <c r="H49" s="995">
        <v>12</v>
      </c>
      <c r="I49" s="40" t="s">
        <v>62</v>
      </c>
      <c r="J49" s="241">
        <v>7500000</v>
      </c>
      <c r="K49" s="1238">
        <f t="shared" si="2"/>
        <v>90000000</v>
      </c>
      <c r="L49" s="305"/>
      <c r="M49" s="313">
        <f t="shared" si="3"/>
        <v>90000000</v>
      </c>
      <c r="N49" s="401"/>
      <c r="O49" s="306"/>
      <c r="P49" s="306"/>
      <c r="Q49" s="306"/>
      <c r="R49" s="306"/>
    </row>
    <row r="50" spans="2:18" ht="15">
      <c r="B50" s="137"/>
      <c r="C50" s="59"/>
      <c r="D50" s="59"/>
      <c r="E50" s="60"/>
      <c r="F50" s="60"/>
      <c r="G50" s="913" t="s">
        <v>347</v>
      </c>
      <c r="H50" s="995">
        <v>12</v>
      </c>
      <c r="I50" s="40" t="s">
        <v>62</v>
      </c>
      <c r="J50" s="241">
        <v>7500000</v>
      </c>
      <c r="K50" s="1242">
        <f t="shared" si="2"/>
        <v>90000000</v>
      </c>
      <c r="L50" s="305"/>
      <c r="M50" s="313">
        <f t="shared" si="3"/>
        <v>90000000</v>
      </c>
      <c r="N50" s="401"/>
      <c r="O50" s="306"/>
      <c r="P50" s="306"/>
      <c r="Q50" s="306"/>
      <c r="R50" s="306"/>
    </row>
    <row r="51" spans="2:18" ht="15">
      <c r="B51" s="137"/>
      <c r="C51" s="59"/>
      <c r="D51" s="59"/>
      <c r="E51" s="60"/>
      <c r="F51" s="60"/>
      <c r="G51" s="913" t="s">
        <v>590</v>
      </c>
      <c r="H51" s="995">
        <v>12</v>
      </c>
      <c r="I51" s="40" t="s">
        <v>62</v>
      </c>
      <c r="J51" s="241">
        <v>7500000</v>
      </c>
      <c r="K51" s="1242">
        <f t="shared" si="2"/>
        <v>90000000</v>
      </c>
      <c r="L51" s="305"/>
      <c r="M51" s="313">
        <f t="shared" si="3"/>
        <v>90000000</v>
      </c>
      <c r="N51" s="401"/>
      <c r="O51" s="306"/>
      <c r="P51" s="306"/>
      <c r="Q51" s="306"/>
      <c r="R51" s="306"/>
    </row>
    <row r="52" spans="2:18" s="2033" customFormat="1" ht="15">
      <c r="B52" s="2766"/>
      <c r="C52" s="2767"/>
      <c r="D52" s="2767"/>
      <c r="E52" s="2768"/>
      <c r="F52" s="2768"/>
      <c r="G52" s="2525" t="s">
        <v>2067</v>
      </c>
      <c r="H52" s="2769">
        <f>54*2</f>
        <v>108</v>
      </c>
      <c r="I52" s="2035" t="s">
        <v>62</v>
      </c>
      <c r="J52" s="2742">
        <v>400000</v>
      </c>
      <c r="K52" s="2770">
        <f t="shared" ref="K52" si="4">H52*J52</f>
        <v>43200000</v>
      </c>
      <c r="L52" s="2038"/>
      <c r="M52" s="2764">
        <f t="shared" si="3"/>
        <v>43200000</v>
      </c>
      <c r="N52" s="2771"/>
      <c r="O52" s="2772"/>
      <c r="P52" s="2772"/>
      <c r="Q52" s="2724"/>
      <c r="R52" s="2724"/>
    </row>
    <row r="53" spans="2:18" ht="19.5" customHeight="1">
      <c r="B53" s="1432"/>
      <c r="C53" s="1693"/>
      <c r="D53" s="1693"/>
      <c r="E53" s="1819"/>
      <c r="F53" s="1819"/>
      <c r="G53" s="1685" t="s">
        <v>1784</v>
      </c>
      <c r="H53" s="1818">
        <f>1*12</f>
        <v>12</v>
      </c>
      <c r="I53" s="1660" t="s">
        <v>62</v>
      </c>
      <c r="J53" s="241">
        <v>7500000</v>
      </c>
      <c r="K53" s="1240">
        <f>H53*J53</f>
        <v>90000000</v>
      </c>
      <c r="L53" s="305"/>
      <c r="M53" s="313">
        <f t="shared" si="3"/>
        <v>90000000</v>
      </c>
      <c r="N53" s="1821"/>
      <c r="O53" s="1822"/>
      <c r="P53" s="1822"/>
      <c r="Q53" s="1668"/>
      <c r="R53" s="1668"/>
    </row>
    <row r="54" spans="2:18" ht="15">
      <c r="B54" s="1432"/>
      <c r="C54" s="1693"/>
      <c r="D54" s="1693"/>
      <c r="E54" s="1819"/>
      <c r="F54" s="1819"/>
      <c r="G54" s="2060"/>
      <c r="H54" s="1696"/>
      <c r="I54" s="2061"/>
      <c r="J54" s="2062"/>
      <c r="K54" s="2063"/>
      <c r="L54" s="1656"/>
      <c r="M54" s="559"/>
      <c r="N54" s="1821"/>
      <c r="O54" s="1668"/>
      <c r="P54" s="1668"/>
      <c r="Q54" s="1668"/>
      <c r="R54" s="1668"/>
    </row>
    <row r="55" spans="2:18" ht="15">
      <c r="B55" s="43">
        <v>5</v>
      </c>
      <c r="C55" s="17">
        <v>2</v>
      </c>
      <c r="D55" s="17">
        <v>3</v>
      </c>
      <c r="E55" s="17"/>
      <c r="F55" s="17"/>
      <c r="G55" s="44" t="s">
        <v>78</v>
      </c>
      <c r="H55" s="857"/>
      <c r="I55" s="4"/>
      <c r="J55" s="61"/>
      <c r="K55" s="1243">
        <f>+K56+K66</f>
        <v>587176529</v>
      </c>
      <c r="L55" s="305"/>
      <c r="M55" s="310"/>
      <c r="N55" s="306"/>
      <c r="O55" s="306"/>
      <c r="P55" s="306"/>
      <c r="Q55" s="306"/>
      <c r="R55" s="306"/>
    </row>
    <row r="56" spans="2:18" ht="15">
      <c r="B56" s="36">
        <v>5</v>
      </c>
      <c r="C56" s="37">
        <v>2</v>
      </c>
      <c r="D56" s="37">
        <v>3</v>
      </c>
      <c r="E56" s="38">
        <v>34</v>
      </c>
      <c r="F56" s="17"/>
      <c r="G56" s="49" t="s">
        <v>342</v>
      </c>
      <c r="H56" s="857"/>
      <c r="I56" s="4"/>
      <c r="J56" s="61"/>
      <c r="K56" s="1243">
        <f>+K57+K60+K63</f>
        <v>468754529</v>
      </c>
      <c r="L56" s="305"/>
      <c r="M56" s="310"/>
      <c r="N56" s="306"/>
      <c r="O56" s="306"/>
      <c r="P56" s="306"/>
      <c r="Q56" s="306"/>
      <c r="R56" s="306"/>
    </row>
    <row r="57" spans="2:18" ht="15">
      <c r="B57" s="346">
        <v>5</v>
      </c>
      <c r="C57" s="371">
        <v>2</v>
      </c>
      <c r="D57" s="371">
        <v>3</v>
      </c>
      <c r="E57" s="372">
        <v>34</v>
      </c>
      <c r="F57" s="971" t="s">
        <v>25</v>
      </c>
      <c r="G57" s="396" t="s">
        <v>1378</v>
      </c>
      <c r="H57" s="645"/>
      <c r="I57" s="380"/>
      <c r="J57" s="382"/>
      <c r="K57" s="1429">
        <f>SUM(K58:K59)</f>
        <v>264657360</v>
      </c>
      <c r="L57" s="377"/>
      <c r="M57" s="569"/>
      <c r="N57" s="378"/>
      <c r="O57" s="378"/>
      <c r="P57" s="378"/>
      <c r="Q57" s="378"/>
      <c r="R57" s="378"/>
    </row>
    <row r="58" spans="2:18" ht="15">
      <c r="B58" s="1401"/>
      <c r="C58" s="371"/>
      <c r="D58" s="371"/>
      <c r="E58" s="372"/>
      <c r="F58" s="971"/>
      <c r="G58" s="391" t="s">
        <v>1435</v>
      </c>
      <c r="H58" s="645">
        <v>1</v>
      </c>
      <c r="I58" s="380" t="s">
        <v>85</v>
      </c>
      <c r="J58" s="382">
        <v>264657360</v>
      </c>
      <c r="K58" s="1430">
        <f>H58*J58</f>
        <v>264657360</v>
      </c>
      <c r="L58" s="377"/>
      <c r="M58" s="668"/>
      <c r="N58" s="378"/>
      <c r="O58" s="1431">
        <f>K58</f>
        <v>264657360</v>
      </c>
      <c r="P58" s="378"/>
      <c r="Q58" s="378"/>
      <c r="R58" s="378"/>
    </row>
    <row r="59" spans="2:18" ht="15">
      <c r="B59" s="970"/>
      <c r="C59" s="383"/>
      <c r="D59" s="383"/>
      <c r="E59" s="968"/>
      <c r="F59" s="1031"/>
      <c r="G59" s="391"/>
      <c r="H59" s="645"/>
      <c r="I59" s="380"/>
      <c r="J59" s="382"/>
      <c r="K59" s="416"/>
      <c r="L59" s="377"/>
      <c r="M59" s="1029"/>
      <c r="N59" s="969"/>
      <c r="O59" s="1030"/>
      <c r="P59" s="969"/>
      <c r="Q59" s="969"/>
      <c r="R59" s="969"/>
    </row>
    <row r="60" spans="2:18" ht="15">
      <c r="B60" s="346">
        <v>5</v>
      </c>
      <c r="C60" s="371">
        <v>2</v>
      </c>
      <c r="D60" s="371">
        <v>3</v>
      </c>
      <c r="E60" s="372">
        <v>34</v>
      </c>
      <c r="F60" s="971" t="s">
        <v>65</v>
      </c>
      <c r="G60" s="396" t="s">
        <v>1373</v>
      </c>
      <c r="H60" s="645"/>
      <c r="I60" s="380"/>
      <c r="J60" s="382"/>
      <c r="K60" s="1429">
        <f>SUM(K61:K62)</f>
        <v>22575921</v>
      </c>
      <c r="L60" s="377"/>
      <c r="M60" s="569"/>
      <c r="N60" s="378"/>
      <c r="O60" s="378"/>
      <c r="P60" s="378"/>
      <c r="Q60" s="378"/>
      <c r="R60" s="378"/>
    </row>
    <row r="61" spans="2:18" ht="15">
      <c r="B61" s="970"/>
      <c r="C61" s="383"/>
      <c r="D61" s="383"/>
      <c r="E61" s="968"/>
      <c r="F61" s="1031"/>
      <c r="G61" s="391" t="s">
        <v>1434</v>
      </c>
      <c r="H61" s="645">
        <v>1</v>
      </c>
      <c r="I61" s="380" t="s">
        <v>85</v>
      </c>
      <c r="J61" s="382">
        <v>22575921</v>
      </c>
      <c r="K61" s="1433">
        <f t="shared" ref="K61" si="5">H61*J61</f>
        <v>22575921</v>
      </c>
      <c r="L61" s="377"/>
      <c r="M61" s="1029"/>
      <c r="N61" s="969"/>
      <c r="O61" s="1431">
        <f>K61</f>
        <v>22575921</v>
      </c>
      <c r="P61" s="969"/>
      <c r="Q61" s="969"/>
      <c r="R61" s="969"/>
    </row>
    <row r="62" spans="2:18" ht="15">
      <c r="B62" s="346"/>
      <c r="C62" s="371"/>
      <c r="D62" s="371"/>
      <c r="E62" s="372"/>
      <c r="F62" s="368"/>
      <c r="G62" s="381"/>
      <c r="H62" s="645"/>
      <c r="I62" s="380"/>
      <c r="J62" s="382"/>
      <c r="K62" s="1429"/>
      <c r="L62" s="377"/>
      <c r="M62" s="668"/>
      <c r="N62" s="378"/>
      <c r="O62" s="378"/>
      <c r="P62" s="378"/>
      <c r="Q62" s="378"/>
      <c r="R62" s="378"/>
    </row>
    <row r="63" spans="2:18" ht="25.5">
      <c r="B63" s="346">
        <v>5</v>
      </c>
      <c r="C63" s="371">
        <v>2</v>
      </c>
      <c r="D63" s="371">
        <v>3</v>
      </c>
      <c r="E63" s="372">
        <v>34</v>
      </c>
      <c r="F63" s="971" t="s">
        <v>79</v>
      </c>
      <c r="G63" s="396" t="s">
        <v>1375</v>
      </c>
      <c r="H63" s="645"/>
      <c r="I63" s="380"/>
      <c r="J63" s="382"/>
      <c r="K63" s="1429">
        <f>SUM(K64:K64)</f>
        <v>181521248</v>
      </c>
      <c r="L63" s="377"/>
      <c r="M63" s="668"/>
      <c r="N63" s="1431"/>
      <c r="O63" s="378"/>
      <c r="P63" s="378"/>
      <c r="Q63" s="378"/>
      <c r="R63" s="378"/>
    </row>
    <row r="64" spans="2:18" ht="15">
      <c r="B64" s="346"/>
      <c r="C64" s="371"/>
      <c r="D64" s="371"/>
      <c r="E64" s="372"/>
      <c r="F64" s="368"/>
      <c r="G64" s="373" t="s">
        <v>1433</v>
      </c>
      <c r="H64" s="645">
        <v>1</v>
      </c>
      <c r="I64" s="380" t="s">
        <v>85</v>
      </c>
      <c r="J64" s="382">
        <v>181521248</v>
      </c>
      <c r="K64" s="1430">
        <f>H64*J64</f>
        <v>181521248</v>
      </c>
      <c r="L64" s="377"/>
      <c r="M64" s="668"/>
      <c r="N64" s="1431"/>
      <c r="O64" s="1431">
        <f>K64</f>
        <v>181521248</v>
      </c>
      <c r="P64" s="378"/>
      <c r="Q64" s="378"/>
      <c r="R64" s="378"/>
    </row>
    <row r="65" spans="2:20" ht="15">
      <c r="B65" s="346"/>
      <c r="C65" s="371"/>
      <c r="D65" s="371"/>
      <c r="E65" s="372"/>
      <c r="F65" s="368"/>
      <c r="G65" s="373"/>
      <c r="H65" s="645"/>
      <c r="I65" s="380"/>
      <c r="J65" s="382"/>
      <c r="K65" s="1430"/>
      <c r="L65" s="377"/>
      <c r="M65" s="569"/>
      <c r="N65" s="378"/>
      <c r="O65" s="378"/>
      <c r="P65" s="378"/>
      <c r="Q65" s="378"/>
      <c r="R65" s="378"/>
    </row>
    <row r="66" spans="2:20" ht="15">
      <c r="B66" s="346">
        <v>5</v>
      </c>
      <c r="C66" s="371">
        <v>2</v>
      </c>
      <c r="D66" s="371">
        <v>3</v>
      </c>
      <c r="E66" s="372">
        <v>35</v>
      </c>
      <c r="F66" s="574"/>
      <c r="G66" s="381" t="s">
        <v>1376</v>
      </c>
      <c r="H66" s="933"/>
      <c r="I66" s="375"/>
      <c r="J66" s="464"/>
      <c r="K66" s="1107">
        <f>K67</f>
        <v>118422000</v>
      </c>
      <c r="L66" s="377"/>
      <c r="M66" s="569"/>
      <c r="N66" s="378"/>
      <c r="O66" s="378"/>
      <c r="P66" s="378"/>
      <c r="Q66" s="378"/>
      <c r="R66" s="378"/>
    </row>
    <row r="67" spans="2:20" ht="15">
      <c r="B67" s="346">
        <v>5</v>
      </c>
      <c r="C67" s="371">
        <v>2</v>
      </c>
      <c r="D67" s="371">
        <v>3</v>
      </c>
      <c r="E67" s="372">
        <v>35</v>
      </c>
      <c r="F67" s="971" t="s">
        <v>25</v>
      </c>
      <c r="G67" s="381" t="s">
        <v>1377</v>
      </c>
      <c r="H67" s="933"/>
      <c r="I67" s="375"/>
      <c r="J67" s="464"/>
      <c r="K67" s="1107">
        <f>SUM(K68:K68)</f>
        <v>118422000</v>
      </c>
      <c r="L67" s="377"/>
      <c r="M67" s="569"/>
      <c r="N67" s="378"/>
      <c r="O67" s="378"/>
      <c r="P67" s="378"/>
      <c r="Q67" s="378"/>
      <c r="R67" s="378"/>
    </row>
    <row r="68" spans="2:20" ht="15">
      <c r="B68" s="1027"/>
      <c r="C68" s="383"/>
      <c r="D68" s="383"/>
      <c r="E68" s="968"/>
      <c r="F68" s="1031"/>
      <c r="G68" s="373" t="s">
        <v>1432</v>
      </c>
      <c r="H68" s="933">
        <v>1</v>
      </c>
      <c r="I68" s="375" t="s">
        <v>85</v>
      </c>
      <c r="J68" s="464">
        <v>118422000</v>
      </c>
      <c r="K68" s="1433">
        <f t="shared" ref="K68" si="6">H68*J68</f>
        <v>118422000</v>
      </c>
      <c r="L68" s="377"/>
      <c r="M68" s="1029"/>
      <c r="N68" s="969"/>
      <c r="O68" s="972">
        <f>K68</f>
        <v>118422000</v>
      </c>
      <c r="P68" s="969"/>
      <c r="Q68" s="969"/>
      <c r="R68" s="969"/>
    </row>
    <row r="69" spans="2:20" ht="15">
      <c r="B69" s="1432"/>
      <c r="C69" s="474"/>
      <c r="D69" s="474"/>
      <c r="E69" s="574"/>
      <c r="F69" s="574"/>
      <c r="G69" s="462"/>
      <c r="H69" s="933"/>
      <c r="I69" s="375"/>
      <c r="J69" s="464"/>
      <c r="K69" s="1433"/>
      <c r="L69" s="378"/>
      <c r="M69" s="1431"/>
      <c r="N69" s="378"/>
      <c r="O69" s="1431"/>
      <c r="P69" s="378"/>
      <c r="Q69" s="378"/>
      <c r="R69" s="378"/>
    </row>
    <row r="70" spans="2:20" ht="15" customHeight="1" thickBot="1">
      <c r="B70" s="3289" t="s">
        <v>30</v>
      </c>
      <c r="C70" s="3290"/>
      <c r="D70" s="3290"/>
      <c r="E70" s="3290"/>
      <c r="F70" s="3290"/>
      <c r="G70" s="3290"/>
      <c r="H70" s="3290"/>
      <c r="I70" s="3290"/>
      <c r="J70" s="3291"/>
      <c r="K70" s="1244">
        <f>K24</f>
        <v>1464376529</v>
      </c>
      <c r="L70" s="314">
        <f t="shared" ref="L70:Q70" si="7">SUM(L28:L69)</f>
        <v>45400000</v>
      </c>
      <c r="M70" s="314">
        <f t="shared" si="7"/>
        <v>720000000</v>
      </c>
      <c r="N70" s="314">
        <f t="shared" si="7"/>
        <v>111800000</v>
      </c>
      <c r="O70" s="314">
        <f t="shared" si="7"/>
        <v>587176529</v>
      </c>
      <c r="P70" s="314">
        <f t="shared" si="7"/>
        <v>0</v>
      </c>
      <c r="Q70" s="314">
        <f t="shared" si="7"/>
        <v>0</v>
      </c>
      <c r="R70" s="314">
        <f>SUM(L70:Q70)</f>
        <v>1464376529</v>
      </c>
      <c r="S70" s="42">
        <f>K70-R70</f>
        <v>0</v>
      </c>
      <c r="T70" s="158">
        <f>S70-K70</f>
        <v>-1464376529</v>
      </c>
    </row>
    <row r="71" spans="2:20" ht="13.5" thickTop="1"/>
    <row r="72" spans="2:20">
      <c r="H72" s="3336" t="s">
        <v>1534</v>
      </c>
      <c r="I72" s="3336"/>
      <c r="J72" s="3336"/>
      <c r="K72" s="41"/>
    </row>
    <row r="73" spans="2:20">
      <c r="H73" s="3337" t="s">
        <v>272</v>
      </c>
      <c r="I73" s="3337"/>
      <c r="J73" s="3485"/>
    </row>
    <row r="74" spans="2:20">
      <c r="H74" s="127"/>
      <c r="I74" s="127"/>
      <c r="J74" s="127"/>
      <c r="K74" s="158"/>
    </row>
    <row r="75" spans="2:20">
      <c r="H75" s="127"/>
      <c r="I75" s="127"/>
      <c r="J75" s="127"/>
    </row>
    <row r="76" spans="2:20">
      <c r="H76" s="3434" t="s">
        <v>904</v>
      </c>
      <c r="I76" s="3434"/>
      <c r="J76" s="3434"/>
      <c r="K76" s="158"/>
    </row>
    <row r="77" spans="2:20">
      <c r="H77" s="3434" t="s">
        <v>906</v>
      </c>
      <c r="I77" s="3434"/>
      <c r="J77" s="3434"/>
    </row>
    <row r="81" spans="10:14">
      <c r="J81" s="41">
        <f>230*14350</f>
        <v>3300500</v>
      </c>
      <c r="M81" s="9"/>
    </row>
    <row r="82" spans="10:14">
      <c r="K82" s="9" t="s">
        <v>2035</v>
      </c>
      <c r="L82" s="9">
        <v>108</v>
      </c>
      <c r="M82" s="41">
        <v>400000</v>
      </c>
      <c r="N82" s="41">
        <f>L82*M82</f>
        <v>43200000</v>
      </c>
    </row>
    <row r="83" spans="10:14">
      <c r="K83" s="9" t="s">
        <v>2036</v>
      </c>
      <c r="L83" s="9">
        <f>52*2</f>
        <v>104</v>
      </c>
      <c r="M83" s="41">
        <v>450000</v>
      </c>
      <c r="N83" s="41">
        <f>L83*M83</f>
        <v>46800000</v>
      </c>
    </row>
    <row r="84" spans="10:14">
      <c r="N84" s="42">
        <f>SUM(N82:N83)</f>
        <v>90000000</v>
      </c>
    </row>
    <row r="86" spans="10:14">
      <c r="N86" s="41">
        <v>90000000</v>
      </c>
    </row>
    <row r="87" spans="10:14">
      <c r="N87" s="158">
        <f>N86-N84</f>
        <v>0</v>
      </c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77:J77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70:J70"/>
    <mergeCell ref="H72:J72"/>
    <mergeCell ref="H73:J73"/>
    <mergeCell ref="H76:J76"/>
  </mergeCells>
  <printOptions horizontalCentered="1"/>
  <pageMargins left="0.11811023622047245" right="0.23622047244094491" top="0.43307086614173229" bottom="3.0314960629921264" header="0.23622047244094491" footer="0.15748031496062992"/>
  <pageSetup paperSize="5" scale="90" orientation="portrait" horizontalDpi="4294967293" verticalDpi="4294967293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</sheetPr>
  <dimension ref="B1:R95"/>
  <sheetViews>
    <sheetView view="pageBreakPreview" topLeftCell="A11" zoomScale="90" zoomScaleSheetLayoutView="90" workbookViewId="0">
      <pane xSplit="5" ySplit="4" topLeftCell="F62" activePane="bottomRight" state="frozen"/>
      <selection activeCell="A11" sqref="A11"/>
      <selection pane="topRight" activeCell="F11" sqref="F11"/>
      <selection pane="bottomLeft" activeCell="A15" sqref="A15"/>
      <selection pane="bottomRight" activeCell="G81" sqref="G81"/>
    </sheetView>
  </sheetViews>
  <sheetFormatPr defaultColWidth="8.85546875" defaultRowHeight="15"/>
  <cols>
    <col min="1" max="1" width="2" style="116" customWidth="1"/>
    <col min="2" max="5" width="5.7109375" style="116" customWidth="1"/>
    <col min="6" max="6" width="93.42578125" style="116" customWidth="1"/>
    <col min="7" max="7" width="20.28515625" style="117" customWidth="1"/>
    <col min="8" max="8" width="21.140625" style="117" customWidth="1"/>
    <col min="9" max="9" width="19.7109375" style="117" customWidth="1"/>
    <col min="10" max="10" width="22.140625" style="148" bestFit="1" customWidth="1"/>
    <col min="11" max="11" width="23.140625" style="116" customWidth="1"/>
    <col min="12" max="12" width="23.140625" style="117" customWidth="1"/>
    <col min="13" max="15" width="23.140625" style="116" customWidth="1"/>
    <col min="16" max="16" width="18.28515625" style="116" customWidth="1"/>
    <col min="17" max="17" width="19" style="116" customWidth="1"/>
    <col min="18" max="245" width="8.85546875" style="116"/>
    <col min="246" max="246" width="1.5703125" style="116" customWidth="1"/>
    <col min="247" max="247" width="3.140625" style="116" customWidth="1"/>
    <col min="248" max="248" width="3.28515625" style="116" customWidth="1"/>
    <col min="249" max="249" width="3.140625" style="116" customWidth="1"/>
    <col min="250" max="250" width="2.85546875" style="116" customWidth="1"/>
    <col min="251" max="251" width="3.28515625" style="116" customWidth="1"/>
    <col min="252" max="252" width="26.7109375" style="116" customWidth="1"/>
    <col min="253" max="253" width="6.28515625" style="116" customWidth="1"/>
    <col min="254" max="254" width="6.7109375" style="116" customWidth="1"/>
    <col min="255" max="255" width="11.7109375" style="116" bestFit="1" customWidth="1"/>
    <col min="256" max="256" width="14" style="116" bestFit="1" customWidth="1"/>
    <col min="257" max="257" width="3.85546875" style="116" customWidth="1"/>
    <col min="258" max="258" width="3.42578125" style="116" customWidth="1"/>
    <col min="259" max="259" width="3.28515625" style="116" customWidth="1"/>
    <col min="260" max="260" width="3.140625" style="116" customWidth="1"/>
    <col min="261" max="261" width="3" style="116" customWidth="1"/>
    <col min="262" max="262" width="26.7109375" style="116" customWidth="1"/>
    <col min="263" max="263" width="6.28515625" style="116" customWidth="1"/>
    <col min="264" max="264" width="6.140625" style="116" customWidth="1"/>
    <col min="265" max="265" width="11.7109375" style="116" customWidth="1"/>
    <col min="266" max="266" width="14.7109375" style="116" customWidth="1"/>
    <col min="267" max="267" width="8.85546875" style="116"/>
    <col min="268" max="268" width="21" style="116" customWidth="1"/>
    <col min="269" max="501" width="8.85546875" style="116"/>
    <col min="502" max="502" width="1.5703125" style="116" customWidth="1"/>
    <col min="503" max="503" width="3.140625" style="116" customWidth="1"/>
    <col min="504" max="504" width="3.28515625" style="116" customWidth="1"/>
    <col min="505" max="505" width="3.140625" style="116" customWidth="1"/>
    <col min="506" max="506" width="2.85546875" style="116" customWidth="1"/>
    <col min="507" max="507" width="3.28515625" style="116" customWidth="1"/>
    <col min="508" max="508" width="26.7109375" style="116" customWidth="1"/>
    <col min="509" max="509" width="6.28515625" style="116" customWidth="1"/>
    <col min="510" max="510" width="6.7109375" style="116" customWidth="1"/>
    <col min="511" max="511" width="11.7109375" style="116" bestFit="1" customWidth="1"/>
    <col min="512" max="512" width="14" style="116" bestFit="1" customWidth="1"/>
    <col min="513" max="513" width="3.85546875" style="116" customWidth="1"/>
    <col min="514" max="514" width="3.42578125" style="116" customWidth="1"/>
    <col min="515" max="515" width="3.28515625" style="116" customWidth="1"/>
    <col min="516" max="516" width="3.140625" style="116" customWidth="1"/>
    <col min="517" max="517" width="3" style="116" customWidth="1"/>
    <col min="518" max="518" width="26.7109375" style="116" customWidth="1"/>
    <col min="519" max="519" width="6.28515625" style="116" customWidth="1"/>
    <col min="520" max="520" width="6.140625" style="116" customWidth="1"/>
    <col min="521" max="521" width="11.7109375" style="116" customWidth="1"/>
    <col min="522" max="522" width="14.7109375" style="116" customWidth="1"/>
    <col min="523" max="523" width="8.85546875" style="116"/>
    <col min="524" max="524" width="21" style="116" customWidth="1"/>
    <col min="525" max="757" width="8.85546875" style="116"/>
    <col min="758" max="758" width="1.5703125" style="116" customWidth="1"/>
    <col min="759" max="759" width="3.140625" style="116" customWidth="1"/>
    <col min="760" max="760" width="3.28515625" style="116" customWidth="1"/>
    <col min="761" max="761" width="3.140625" style="116" customWidth="1"/>
    <col min="762" max="762" width="2.85546875" style="116" customWidth="1"/>
    <col min="763" max="763" width="3.28515625" style="116" customWidth="1"/>
    <col min="764" max="764" width="26.7109375" style="116" customWidth="1"/>
    <col min="765" max="765" width="6.28515625" style="116" customWidth="1"/>
    <col min="766" max="766" width="6.7109375" style="116" customWidth="1"/>
    <col min="767" max="767" width="11.7109375" style="116" bestFit="1" customWidth="1"/>
    <col min="768" max="768" width="14" style="116" bestFit="1" customWidth="1"/>
    <col min="769" max="769" width="3.85546875" style="116" customWidth="1"/>
    <col min="770" max="770" width="3.42578125" style="116" customWidth="1"/>
    <col min="771" max="771" width="3.28515625" style="116" customWidth="1"/>
    <col min="772" max="772" width="3.140625" style="116" customWidth="1"/>
    <col min="773" max="773" width="3" style="116" customWidth="1"/>
    <col min="774" max="774" width="26.7109375" style="116" customWidth="1"/>
    <col min="775" max="775" width="6.28515625" style="116" customWidth="1"/>
    <col min="776" max="776" width="6.140625" style="116" customWidth="1"/>
    <col min="777" max="777" width="11.7109375" style="116" customWidth="1"/>
    <col min="778" max="778" width="14.7109375" style="116" customWidth="1"/>
    <col min="779" max="779" width="8.85546875" style="116"/>
    <col min="780" max="780" width="21" style="116" customWidth="1"/>
    <col min="781" max="1013" width="8.85546875" style="116"/>
    <col min="1014" max="1014" width="1.5703125" style="116" customWidth="1"/>
    <col min="1015" max="1015" width="3.140625" style="116" customWidth="1"/>
    <col min="1016" max="1016" width="3.28515625" style="116" customWidth="1"/>
    <col min="1017" max="1017" width="3.140625" style="116" customWidth="1"/>
    <col min="1018" max="1018" width="2.85546875" style="116" customWidth="1"/>
    <col min="1019" max="1019" width="3.28515625" style="116" customWidth="1"/>
    <col min="1020" max="1020" width="26.7109375" style="116" customWidth="1"/>
    <col min="1021" max="1021" width="6.28515625" style="116" customWidth="1"/>
    <col min="1022" max="1022" width="6.7109375" style="116" customWidth="1"/>
    <col min="1023" max="1023" width="11.7109375" style="116" bestFit="1" customWidth="1"/>
    <col min="1024" max="1024" width="14" style="116" bestFit="1" customWidth="1"/>
    <col min="1025" max="1025" width="3.85546875" style="116" customWidth="1"/>
    <col min="1026" max="1026" width="3.42578125" style="116" customWidth="1"/>
    <col min="1027" max="1027" width="3.28515625" style="116" customWidth="1"/>
    <col min="1028" max="1028" width="3.140625" style="116" customWidth="1"/>
    <col min="1029" max="1029" width="3" style="116" customWidth="1"/>
    <col min="1030" max="1030" width="26.7109375" style="116" customWidth="1"/>
    <col min="1031" max="1031" width="6.28515625" style="116" customWidth="1"/>
    <col min="1032" max="1032" width="6.140625" style="116" customWidth="1"/>
    <col min="1033" max="1033" width="11.7109375" style="116" customWidth="1"/>
    <col min="1034" max="1034" width="14.7109375" style="116" customWidth="1"/>
    <col min="1035" max="1035" width="8.85546875" style="116"/>
    <col min="1036" max="1036" width="21" style="116" customWidth="1"/>
    <col min="1037" max="1269" width="8.85546875" style="116"/>
    <col min="1270" max="1270" width="1.5703125" style="116" customWidth="1"/>
    <col min="1271" max="1271" width="3.140625" style="116" customWidth="1"/>
    <col min="1272" max="1272" width="3.28515625" style="116" customWidth="1"/>
    <col min="1273" max="1273" width="3.140625" style="116" customWidth="1"/>
    <col min="1274" max="1274" width="2.85546875" style="116" customWidth="1"/>
    <col min="1275" max="1275" width="3.28515625" style="116" customWidth="1"/>
    <col min="1276" max="1276" width="26.7109375" style="116" customWidth="1"/>
    <col min="1277" max="1277" width="6.28515625" style="116" customWidth="1"/>
    <col min="1278" max="1278" width="6.7109375" style="116" customWidth="1"/>
    <col min="1279" max="1279" width="11.7109375" style="116" bestFit="1" customWidth="1"/>
    <col min="1280" max="1280" width="14" style="116" bestFit="1" customWidth="1"/>
    <col min="1281" max="1281" width="3.85546875" style="116" customWidth="1"/>
    <col min="1282" max="1282" width="3.42578125" style="116" customWidth="1"/>
    <col min="1283" max="1283" width="3.28515625" style="116" customWidth="1"/>
    <col min="1284" max="1284" width="3.140625" style="116" customWidth="1"/>
    <col min="1285" max="1285" width="3" style="116" customWidth="1"/>
    <col min="1286" max="1286" width="26.7109375" style="116" customWidth="1"/>
    <col min="1287" max="1287" width="6.28515625" style="116" customWidth="1"/>
    <col min="1288" max="1288" width="6.140625" style="116" customWidth="1"/>
    <col min="1289" max="1289" width="11.7109375" style="116" customWidth="1"/>
    <col min="1290" max="1290" width="14.7109375" style="116" customWidth="1"/>
    <col min="1291" max="1291" width="8.85546875" style="116"/>
    <col min="1292" max="1292" width="21" style="116" customWidth="1"/>
    <col min="1293" max="1525" width="8.85546875" style="116"/>
    <col min="1526" max="1526" width="1.5703125" style="116" customWidth="1"/>
    <col min="1527" max="1527" width="3.140625" style="116" customWidth="1"/>
    <col min="1528" max="1528" width="3.28515625" style="116" customWidth="1"/>
    <col min="1529" max="1529" width="3.140625" style="116" customWidth="1"/>
    <col min="1530" max="1530" width="2.85546875" style="116" customWidth="1"/>
    <col min="1531" max="1531" width="3.28515625" style="116" customWidth="1"/>
    <col min="1532" max="1532" width="26.7109375" style="116" customWidth="1"/>
    <col min="1533" max="1533" width="6.28515625" style="116" customWidth="1"/>
    <col min="1534" max="1534" width="6.7109375" style="116" customWidth="1"/>
    <col min="1535" max="1535" width="11.7109375" style="116" bestFit="1" customWidth="1"/>
    <col min="1536" max="1536" width="14" style="116" bestFit="1" customWidth="1"/>
    <col min="1537" max="1537" width="3.85546875" style="116" customWidth="1"/>
    <col min="1538" max="1538" width="3.42578125" style="116" customWidth="1"/>
    <col min="1539" max="1539" width="3.28515625" style="116" customWidth="1"/>
    <col min="1540" max="1540" width="3.140625" style="116" customWidth="1"/>
    <col min="1541" max="1541" width="3" style="116" customWidth="1"/>
    <col min="1542" max="1542" width="26.7109375" style="116" customWidth="1"/>
    <col min="1543" max="1543" width="6.28515625" style="116" customWidth="1"/>
    <col min="1544" max="1544" width="6.140625" style="116" customWidth="1"/>
    <col min="1545" max="1545" width="11.7109375" style="116" customWidth="1"/>
    <col min="1546" max="1546" width="14.7109375" style="116" customWidth="1"/>
    <col min="1547" max="1547" width="8.85546875" style="116"/>
    <col min="1548" max="1548" width="21" style="116" customWidth="1"/>
    <col min="1549" max="1781" width="8.85546875" style="116"/>
    <col min="1782" max="1782" width="1.5703125" style="116" customWidth="1"/>
    <col min="1783" max="1783" width="3.140625" style="116" customWidth="1"/>
    <col min="1784" max="1784" width="3.28515625" style="116" customWidth="1"/>
    <col min="1785" max="1785" width="3.140625" style="116" customWidth="1"/>
    <col min="1786" max="1786" width="2.85546875" style="116" customWidth="1"/>
    <col min="1787" max="1787" width="3.28515625" style="116" customWidth="1"/>
    <col min="1788" max="1788" width="26.7109375" style="116" customWidth="1"/>
    <col min="1789" max="1789" width="6.28515625" style="116" customWidth="1"/>
    <col min="1790" max="1790" width="6.7109375" style="116" customWidth="1"/>
    <col min="1791" max="1791" width="11.7109375" style="116" bestFit="1" customWidth="1"/>
    <col min="1792" max="1792" width="14" style="116" bestFit="1" customWidth="1"/>
    <col min="1793" max="1793" width="3.85546875" style="116" customWidth="1"/>
    <col min="1794" max="1794" width="3.42578125" style="116" customWidth="1"/>
    <col min="1795" max="1795" width="3.28515625" style="116" customWidth="1"/>
    <col min="1796" max="1796" width="3.140625" style="116" customWidth="1"/>
    <col min="1797" max="1797" width="3" style="116" customWidth="1"/>
    <col min="1798" max="1798" width="26.7109375" style="116" customWidth="1"/>
    <col min="1799" max="1799" width="6.28515625" style="116" customWidth="1"/>
    <col min="1800" max="1800" width="6.140625" style="116" customWidth="1"/>
    <col min="1801" max="1801" width="11.7109375" style="116" customWidth="1"/>
    <col min="1802" max="1802" width="14.7109375" style="116" customWidth="1"/>
    <col min="1803" max="1803" width="8.85546875" style="116"/>
    <col min="1804" max="1804" width="21" style="116" customWidth="1"/>
    <col min="1805" max="2037" width="8.85546875" style="116"/>
    <col min="2038" max="2038" width="1.5703125" style="116" customWidth="1"/>
    <col min="2039" max="2039" width="3.140625" style="116" customWidth="1"/>
    <col min="2040" max="2040" width="3.28515625" style="116" customWidth="1"/>
    <col min="2041" max="2041" width="3.140625" style="116" customWidth="1"/>
    <col min="2042" max="2042" width="2.85546875" style="116" customWidth="1"/>
    <col min="2043" max="2043" width="3.28515625" style="116" customWidth="1"/>
    <col min="2044" max="2044" width="26.7109375" style="116" customWidth="1"/>
    <col min="2045" max="2045" width="6.28515625" style="116" customWidth="1"/>
    <col min="2046" max="2046" width="6.7109375" style="116" customWidth="1"/>
    <col min="2047" max="2047" width="11.7109375" style="116" bestFit="1" customWidth="1"/>
    <col min="2048" max="2048" width="14" style="116" bestFit="1" customWidth="1"/>
    <col min="2049" max="2049" width="3.85546875" style="116" customWidth="1"/>
    <col min="2050" max="2050" width="3.42578125" style="116" customWidth="1"/>
    <col min="2051" max="2051" width="3.28515625" style="116" customWidth="1"/>
    <col min="2052" max="2052" width="3.140625" style="116" customWidth="1"/>
    <col min="2053" max="2053" width="3" style="116" customWidth="1"/>
    <col min="2054" max="2054" width="26.7109375" style="116" customWidth="1"/>
    <col min="2055" max="2055" width="6.28515625" style="116" customWidth="1"/>
    <col min="2056" max="2056" width="6.140625" style="116" customWidth="1"/>
    <col min="2057" max="2057" width="11.7109375" style="116" customWidth="1"/>
    <col min="2058" max="2058" width="14.7109375" style="116" customWidth="1"/>
    <col min="2059" max="2059" width="8.85546875" style="116"/>
    <col min="2060" max="2060" width="21" style="116" customWidth="1"/>
    <col min="2061" max="2293" width="8.85546875" style="116"/>
    <col min="2294" max="2294" width="1.5703125" style="116" customWidth="1"/>
    <col min="2295" max="2295" width="3.140625" style="116" customWidth="1"/>
    <col min="2296" max="2296" width="3.28515625" style="116" customWidth="1"/>
    <col min="2297" max="2297" width="3.140625" style="116" customWidth="1"/>
    <col min="2298" max="2298" width="2.85546875" style="116" customWidth="1"/>
    <col min="2299" max="2299" width="3.28515625" style="116" customWidth="1"/>
    <col min="2300" max="2300" width="26.7109375" style="116" customWidth="1"/>
    <col min="2301" max="2301" width="6.28515625" style="116" customWidth="1"/>
    <col min="2302" max="2302" width="6.7109375" style="116" customWidth="1"/>
    <col min="2303" max="2303" width="11.7109375" style="116" bestFit="1" customWidth="1"/>
    <col min="2304" max="2304" width="14" style="116" bestFit="1" customWidth="1"/>
    <col min="2305" max="2305" width="3.85546875" style="116" customWidth="1"/>
    <col min="2306" max="2306" width="3.42578125" style="116" customWidth="1"/>
    <col min="2307" max="2307" width="3.28515625" style="116" customWidth="1"/>
    <col min="2308" max="2308" width="3.140625" style="116" customWidth="1"/>
    <col min="2309" max="2309" width="3" style="116" customWidth="1"/>
    <col min="2310" max="2310" width="26.7109375" style="116" customWidth="1"/>
    <col min="2311" max="2311" width="6.28515625" style="116" customWidth="1"/>
    <col min="2312" max="2312" width="6.140625" style="116" customWidth="1"/>
    <col min="2313" max="2313" width="11.7109375" style="116" customWidth="1"/>
    <col min="2314" max="2314" width="14.7109375" style="116" customWidth="1"/>
    <col min="2315" max="2315" width="8.85546875" style="116"/>
    <col min="2316" max="2316" width="21" style="116" customWidth="1"/>
    <col min="2317" max="2549" width="8.85546875" style="116"/>
    <col min="2550" max="2550" width="1.5703125" style="116" customWidth="1"/>
    <col min="2551" max="2551" width="3.140625" style="116" customWidth="1"/>
    <col min="2552" max="2552" width="3.28515625" style="116" customWidth="1"/>
    <col min="2553" max="2553" width="3.140625" style="116" customWidth="1"/>
    <col min="2554" max="2554" width="2.85546875" style="116" customWidth="1"/>
    <col min="2555" max="2555" width="3.28515625" style="116" customWidth="1"/>
    <col min="2556" max="2556" width="26.7109375" style="116" customWidth="1"/>
    <col min="2557" max="2557" width="6.28515625" style="116" customWidth="1"/>
    <col min="2558" max="2558" width="6.7109375" style="116" customWidth="1"/>
    <col min="2559" max="2559" width="11.7109375" style="116" bestFit="1" customWidth="1"/>
    <col min="2560" max="2560" width="14" style="116" bestFit="1" customWidth="1"/>
    <col min="2561" max="2561" width="3.85546875" style="116" customWidth="1"/>
    <col min="2562" max="2562" width="3.42578125" style="116" customWidth="1"/>
    <col min="2563" max="2563" width="3.28515625" style="116" customWidth="1"/>
    <col min="2564" max="2564" width="3.140625" style="116" customWidth="1"/>
    <col min="2565" max="2565" width="3" style="116" customWidth="1"/>
    <col min="2566" max="2566" width="26.7109375" style="116" customWidth="1"/>
    <col min="2567" max="2567" width="6.28515625" style="116" customWidth="1"/>
    <col min="2568" max="2568" width="6.140625" style="116" customWidth="1"/>
    <col min="2569" max="2569" width="11.7109375" style="116" customWidth="1"/>
    <col min="2570" max="2570" width="14.7109375" style="116" customWidth="1"/>
    <col min="2571" max="2571" width="8.85546875" style="116"/>
    <col min="2572" max="2572" width="21" style="116" customWidth="1"/>
    <col min="2573" max="2805" width="8.85546875" style="116"/>
    <col min="2806" max="2806" width="1.5703125" style="116" customWidth="1"/>
    <col min="2807" max="2807" width="3.140625" style="116" customWidth="1"/>
    <col min="2808" max="2808" width="3.28515625" style="116" customWidth="1"/>
    <col min="2809" max="2809" width="3.140625" style="116" customWidth="1"/>
    <col min="2810" max="2810" width="2.85546875" style="116" customWidth="1"/>
    <col min="2811" max="2811" width="3.28515625" style="116" customWidth="1"/>
    <col min="2812" max="2812" width="26.7109375" style="116" customWidth="1"/>
    <col min="2813" max="2813" width="6.28515625" style="116" customWidth="1"/>
    <col min="2814" max="2814" width="6.7109375" style="116" customWidth="1"/>
    <col min="2815" max="2815" width="11.7109375" style="116" bestFit="1" customWidth="1"/>
    <col min="2816" max="2816" width="14" style="116" bestFit="1" customWidth="1"/>
    <col min="2817" max="2817" width="3.85546875" style="116" customWidth="1"/>
    <col min="2818" max="2818" width="3.42578125" style="116" customWidth="1"/>
    <col min="2819" max="2819" width="3.28515625" style="116" customWidth="1"/>
    <col min="2820" max="2820" width="3.140625" style="116" customWidth="1"/>
    <col min="2821" max="2821" width="3" style="116" customWidth="1"/>
    <col min="2822" max="2822" width="26.7109375" style="116" customWidth="1"/>
    <col min="2823" max="2823" width="6.28515625" style="116" customWidth="1"/>
    <col min="2824" max="2824" width="6.140625" style="116" customWidth="1"/>
    <col min="2825" max="2825" width="11.7109375" style="116" customWidth="1"/>
    <col min="2826" max="2826" width="14.7109375" style="116" customWidth="1"/>
    <col min="2827" max="2827" width="8.85546875" style="116"/>
    <col min="2828" max="2828" width="21" style="116" customWidth="1"/>
    <col min="2829" max="3061" width="8.85546875" style="116"/>
    <col min="3062" max="3062" width="1.5703125" style="116" customWidth="1"/>
    <col min="3063" max="3063" width="3.140625" style="116" customWidth="1"/>
    <col min="3064" max="3064" width="3.28515625" style="116" customWidth="1"/>
    <col min="3065" max="3065" width="3.140625" style="116" customWidth="1"/>
    <col min="3066" max="3066" width="2.85546875" style="116" customWidth="1"/>
    <col min="3067" max="3067" width="3.28515625" style="116" customWidth="1"/>
    <col min="3068" max="3068" width="26.7109375" style="116" customWidth="1"/>
    <col min="3069" max="3069" width="6.28515625" style="116" customWidth="1"/>
    <col min="3070" max="3070" width="6.7109375" style="116" customWidth="1"/>
    <col min="3071" max="3071" width="11.7109375" style="116" bestFit="1" customWidth="1"/>
    <col min="3072" max="3072" width="14" style="116" bestFit="1" customWidth="1"/>
    <col min="3073" max="3073" width="3.85546875" style="116" customWidth="1"/>
    <col min="3074" max="3074" width="3.42578125" style="116" customWidth="1"/>
    <col min="3075" max="3075" width="3.28515625" style="116" customWidth="1"/>
    <col min="3076" max="3076" width="3.140625" style="116" customWidth="1"/>
    <col min="3077" max="3077" width="3" style="116" customWidth="1"/>
    <col min="3078" max="3078" width="26.7109375" style="116" customWidth="1"/>
    <col min="3079" max="3079" width="6.28515625" style="116" customWidth="1"/>
    <col min="3080" max="3080" width="6.140625" style="116" customWidth="1"/>
    <col min="3081" max="3081" width="11.7109375" style="116" customWidth="1"/>
    <col min="3082" max="3082" width="14.7109375" style="116" customWidth="1"/>
    <col min="3083" max="3083" width="8.85546875" style="116"/>
    <col min="3084" max="3084" width="21" style="116" customWidth="1"/>
    <col min="3085" max="3317" width="8.85546875" style="116"/>
    <col min="3318" max="3318" width="1.5703125" style="116" customWidth="1"/>
    <col min="3319" max="3319" width="3.140625" style="116" customWidth="1"/>
    <col min="3320" max="3320" width="3.28515625" style="116" customWidth="1"/>
    <col min="3321" max="3321" width="3.140625" style="116" customWidth="1"/>
    <col min="3322" max="3322" width="2.85546875" style="116" customWidth="1"/>
    <col min="3323" max="3323" width="3.28515625" style="116" customWidth="1"/>
    <col min="3324" max="3324" width="26.7109375" style="116" customWidth="1"/>
    <col min="3325" max="3325" width="6.28515625" style="116" customWidth="1"/>
    <col min="3326" max="3326" width="6.7109375" style="116" customWidth="1"/>
    <col min="3327" max="3327" width="11.7109375" style="116" bestFit="1" customWidth="1"/>
    <col min="3328" max="3328" width="14" style="116" bestFit="1" customWidth="1"/>
    <col min="3329" max="3329" width="3.85546875" style="116" customWidth="1"/>
    <col min="3330" max="3330" width="3.42578125" style="116" customWidth="1"/>
    <col min="3331" max="3331" width="3.28515625" style="116" customWidth="1"/>
    <col min="3332" max="3332" width="3.140625" style="116" customWidth="1"/>
    <col min="3333" max="3333" width="3" style="116" customWidth="1"/>
    <col min="3334" max="3334" width="26.7109375" style="116" customWidth="1"/>
    <col min="3335" max="3335" width="6.28515625" style="116" customWidth="1"/>
    <col min="3336" max="3336" width="6.140625" style="116" customWidth="1"/>
    <col min="3337" max="3337" width="11.7109375" style="116" customWidth="1"/>
    <col min="3338" max="3338" width="14.7109375" style="116" customWidth="1"/>
    <col min="3339" max="3339" width="8.85546875" style="116"/>
    <col min="3340" max="3340" width="21" style="116" customWidth="1"/>
    <col min="3341" max="3573" width="8.85546875" style="116"/>
    <col min="3574" max="3574" width="1.5703125" style="116" customWidth="1"/>
    <col min="3575" max="3575" width="3.140625" style="116" customWidth="1"/>
    <col min="3576" max="3576" width="3.28515625" style="116" customWidth="1"/>
    <col min="3577" max="3577" width="3.140625" style="116" customWidth="1"/>
    <col min="3578" max="3578" width="2.85546875" style="116" customWidth="1"/>
    <col min="3579" max="3579" width="3.28515625" style="116" customWidth="1"/>
    <col min="3580" max="3580" width="26.7109375" style="116" customWidth="1"/>
    <col min="3581" max="3581" width="6.28515625" style="116" customWidth="1"/>
    <col min="3582" max="3582" width="6.7109375" style="116" customWidth="1"/>
    <col min="3583" max="3583" width="11.7109375" style="116" bestFit="1" customWidth="1"/>
    <col min="3584" max="3584" width="14" style="116" bestFit="1" customWidth="1"/>
    <col min="3585" max="3585" width="3.85546875" style="116" customWidth="1"/>
    <col min="3586" max="3586" width="3.42578125" style="116" customWidth="1"/>
    <col min="3587" max="3587" width="3.28515625" style="116" customWidth="1"/>
    <col min="3588" max="3588" width="3.140625" style="116" customWidth="1"/>
    <col min="3589" max="3589" width="3" style="116" customWidth="1"/>
    <col min="3590" max="3590" width="26.7109375" style="116" customWidth="1"/>
    <col min="3591" max="3591" width="6.28515625" style="116" customWidth="1"/>
    <col min="3592" max="3592" width="6.140625" style="116" customWidth="1"/>
    <col min="3593" max="3593" width="11.7109375" style="116" customWidth="1"/>
    <col min="3594" max="3594" width="14.7109375" style="116" customWidth="1"/>
    <col min="3595" max="3595" width="8.85546875" style="116"/>
    <col min="3596" max="3596" width="21" style="116" customWidth="1"/>
    <col min="3597" max="3829" width="8.85546875" style="116"/>
    <col min="3830" max="3830" width="1.5703125" style="116" customWidth="1"/>
    <col min="3831" max="3831" width="3.140625" style="116" customWidth="1"/>
    <col min="3832" max="3832" width="3.28515625" style="116" customWidth="1"/>
    <col min="3833" max="3833" width="3.140625" style="116" customWidth="1"/>
    <col min="3834" max="3834" width="2.85546875" style="116" customWidth="1"/>
    <col min="3835" max="3835" width="3.28515625" style="116" customWidth="1"/>
    <col min="3836" max="3836" width="26.7109375" style="116" customWidth="1"/>
    <col min="3837" max="3837" width="6.28515625" style="116" customWidth="1"/>
    <col min="3838" max="3838" width="6.7109375" style="116" customWidth="1"/>
    <col min="3839" max="3839" width="11.7109375" style="116" bestFit="1" customWidth="1"/>
    <col min="3840" max="3840" width="14" style="116" bestFit="1" customWidth="1"/>
    <col min="3841" max="3841" width="3.85546875" style="116" customWidth="1"/>
    <col min="3842" max="3842" width="3.42578125" style="116" customWidth="1"/>
    <col min="3843" max="3843" width="3.28515625" style="116" customWidth="1"/>
    <col min="3844" max="3844" width="3.140625" style="116" customWidth="1"/>
    <col min="3845" max="3845" width="3" style="116" customWidth="1"/>
    <col min="3846" max="3846" width="26.7109375" style="116" customWidth="1"/>
    <col min="3847" max="3847" width="6.28515625" style="116" customWidth="1"/>
    <col min="3848" max="3848" width="6.140625" style="116" customWidth="1"/>
    <col min="3849" max="3849" width="11.7109375" style="116" customWidth="1"/>
    <col min="3850" max="3850" width="14.7109375" style="116" customWidth="1"/>
    <col min="3851" max="3851" width="8.85546875" style="116"/>
    <col min="3852" max="3852" width="21" style="116" customWidth="1"/>
    <col min="3853" max="4085" width="8.85546875" style="116"/>
    <col min="4086" max="4086" width="1.5703125" style="116" customWidth="1"/>
    <col min="4087" max="4087" width="3.140625" style="116" customWidth="1"/>
    <col min="4088" max="4088" width="3.28515625" style="116" customWidth="1"/>
    <col min="4089" max="4089" width="3.140625" style="116" customWidth="1"/>
    <col min="4090" max="4090" width="2.85546875" style="116" customWidth="1"/>
    <col min="4091" max="4091" width="3.28515625" style="116" customWidth="1"/>
    <col min="4092" max="4092" width="26.7109375" style="116" customWidth="1"/>
    <col min="4093" max="4093" width="6.28515625" style="116" customWidth="1"/>
    <col min="4094" max="4094" width="6.7109375" style="116" customWidth="1"/>
    <col min="4095" max="4095" width="11.7109375" style="116" bestFit="1" customWidth="1"/>
    <col min="4096" max="4096" width="14" style="116" bestFit="1" customWidth="1"/>
    <col min="4097" max="4097" width="3.85546875" style="116" customWidth="1"/>
    <col min="4098" max="4098" width="3.42578125" style="116" customWidth="1"/>
    <col min="4099" max="4099" width="3.28515625" style="116" customWidth="1"/>
    <col min="4100" max="4100" width="3.140625" style="116" customWidth="1"/>
    <col min="4101" max="4101" width="3" style="116" customWidth="1"/>
    <col min="4102" max="4102" width="26.7109375" style="116" customWidth="1"/>
    <col min="4103" max="4103" width="6.28515625" style="116" customWidth="1"/>
    <col min="4104" max="4104" width="6.140625" style="116" customWidth="1"/>
    <col min="4105" max="4105" width="11.7109375" style="116" customWidth="1"/>
    <col min="4106" max="4106" width="14.7109375" style="116" customWidth="1"/>
    <col min="4107" max="4107" width="8.85546875" style="116"/>
    <col min="4108" max="4108" width="21" style="116" customWidth="1"/>
    <col min="4109" max="4341" width="8.85546875" style="116"/>
    <col min="4342" max="4342" width="1.5703125" style="116" customWidth="1"/>
    <col min="4343" max="4343" width="3.140625" style="116" customWidth="1"/>
    <col min="4344" max="4344" width="3.28515625" style="116" customWidth="1"/>
    <col min="4345" max="4345" width="3.140625" style="116" customWidth="1"/>
    <col min="4346" max="4346" width="2.85546875" style="116" customWidth="1"/>
    <col min="4347" max="4347" width="3.28515625" style="116" customWidth="1"/>
    <col min="4348" max="4348" width="26.7109375" style="116" customWidth="1"/>
    <col min="4349" max="4349" width="6.28515625" style="116" customWidth="1"/>
    <col min="4350" max="4350" width="6.7109375" style="116" customWidth="1"/>
    <col min="4351" max="4351" width="11.7109375" style="116" bestFit="1" customWidth="1"/>
    <col min="4352" max="4352" width="14" style="116" bestFit="1" customWidth="1"/>
    <col min="4353" max="4353" width="3.85546875" style="116" customWidth="1"/>
    <col min="4354" max="4354" width="3.42578125" style="116" customWidth="1"/>
    <col min="4355" max="4355" width="3.28515625" style="116" customWidth="1"/>
    <col min="4356" max="4356" width="3.140625" style="116" customWidth="1"/>
    <col min="4357" max="4357" width="3" style="116" customWidth="1"/>
    <col min="4358" max="4358" width="26.7109375" style="116" customWidth="1"/>
    <col min="4359" max="4359" width="6.28515625" style="116" customWidth="1"/>
    <col min="4360" max="4360" width="6.140625" style="116" customWidth="1"/>
    <col min="4361" max="4361" width="11.7109375" style="116" customWidth="1"/>
    <col min="4362" max="4362" width="14.7109375" style="116" customWidth="1"/>
    <col min="4363" max="4363" width="8.85546875" style="116"/>
    <col min="4364" max="4364" width="21" style="116" customWidth="1"/>
    <col min="4365" max="4597" width="8.85546875" style="116"/>
    <col min="4598" max="4598" width="1.5703125" style="116" customWidth="1"/>
    <col min="4599" max="4599" width="3.140625" style="116" customWidth="1"/>
    <col min="4600" max="4600" width="3.28515625" style="116" customWidth="1"/>
    <col min="4601" max="4601" width="3.140625" style="116" customWidth="1"/>
    <col min="4602" max="4602" width="2.85546875" style="116" customWidth="1"/>
    <col min="4603" max="4603" width="3.28515625" style="116" customWidth="1"/>
    <col min="4604" max="4604" width="26.7109375" style="116" customWidth="1"/>
    <col min="4605" max="4605" width="6.28515625" style="116" customWidth="1"/>
    <col min="4606" max="4606" width="6.7109375" style="116" customWidth="1"/>
    <col min="4607" max="4607" width="11.7109375" style="116" bestFit="1" customWidth="1"/>
    <col min="4608" max="4608" width="14" style="116" bestFit="1" customWidth="1"/>
    <col min="4609" max="4609" width="3.85546875" style="116" customWidth="1"/>
    <col min="4610" max="4610" width="3.42578125" style="116" customWidth="1"/>
    <col min="4611" max="4611" width="3.28515625" style="116" customWidth="1"/>
    <col min="4612" max="4612" width="3.140625" style="116" customWidth="1"/>
    <col min="4613" max="4613" width="3" style="116" customWidth="1"/>
    <col min="4614" max="4614" width="26.7109375" style="116" customWidth="1"/>
    <col min="4615" max="4615" width="6.28515625" style="116" customWidth="1"/>
    <col min="4616" max="4616" width="6.140625" style="116" customWidth="1"/>
    <col min="4617" max="4617" width="11.7109375" style="116" customWidth="1"/>
    <col min="4618" max="4618" width="14.7109375" style="116" customWidth="1"/>
    <col min="4619" max="4619" width="8.85546875" style="116"/>
    <col min="4620" max="4620" width="21" style="116" customWidth="1"/>
    <col min="4621" max="4853" width="8.85546875" style="116"/>
    <col min="4854" max="4854" width="1.5703125" style="116" customWidth="1"/>
    <col min="4855" max="4855" width="3.140625" style="116" customWidth="1"/>
    <col min="4856" max="4856" width="3.28515625" style="116" customWidth="1"/>
    <col min="4857" max="4857" width="3.140625" style="116" customWidth="1"/>
    <col min="4858" max="4858" width="2.85546875" style="116" customWidth="1"/>
    <col min="4859" max="4859" width="3.28515625" style="116" customWidth="1"/>
    <col min="4860" max="4860" width="26.7109375" style="116" customWidth="1"/>
    <col min="4861" max="4861" width="6.28515625" style="116" customWidth="1"/>
    <col min="4862" max="4862" width="6.7109375" style="116" customWidth="1"/>
    <col min="4863" max="4863" width="11.7109375" style="116" bestFit="1" customWidth="1"/>
    <col min="4864" max="4864" width="14" style="116" bestFit="1" customWidth="1"/>
    <col min="4865" max="4865" width="3.85546875" style="116" customWidth="1"/>
    <col min="4866" max="4866" width="3.42578125" style="116" customWidth="1"/>
    <col min="4867" max="4867" width="3.28515625" style="116" customWidth="1"/>
    <col min="4868" max="4868" width="3.140625" style="116" customWidth="1"/>
    <col min="4869" max="4869" width="3" style="116" customWidth="1"/>
    <col min="4870" max="4870" width="26.7109375" style="116" customWidth="1"/>
    <col min="4871" max="4871" width="6.28515625" style="116" customWidth="1"/>
    <col min="4872" max="4872" width="6.140625" style="116" customWidth="1"/>
    <col min="4873" max="4873" width="11.7109375" style="116" customWidth="1"/>
    <col min="4874" max="4874" width="14.7109375" style="116" customWidth="1"/>
    <col min="4875" max="4875" width="8.85546875" style="116"/>
    <col min="4876" max="4876" width="21" style="116" customWidth="1"/>
    <col min="4877" max="5109" width="8.85546875" style="116"/>
    <col min="5110" max="5110" width="1.5703125" style="116" customWidth="1"/>
    <col min="5111" max="5111" width="3.140625" style="116" customWidth="1"/>
    <col min="5112" max="5112" width="3.28515625" style="116" customWidth="1"/>
    <col min="5113" max="5113" width="3.140625" style="116" customWidth="1"/>
    <col min="5114" max="5114" width="2.85546875" style="116" customWidth="1"/>
    <col min="5115" max="5115" width="3.28515625" style="116" customWidth="1"/>
    <col min="5116" max="5116" width="26.7109375" style="116" customWidth="1"/>
    <col min="5117" max="5117" width="6.28515625" style="116" customWidth="1"/>
    <col min="5118" max="5118" width="6.7109375" style="116" customWidth="1"/>
    <col min="5119" max="5119" width="11.7109375" style="116" bestFit="1" customWidth="1"/>
    <col min="5120" max="5120" width="14" style="116" bestFit="1" customWidth="1"/>
    <col min="5121" max="5121" width="3.85546875" style="116" customWidth="1"/>
    <col min="5122" max="5122" width="3.42578125" style="116" customWidth="1"/>
    <col min="5123" max="5123" width="3.28515625" style="116" customWidth="1"/>
    <col min="5124" max="5124" width="3.140625" style="116" customWidth="1"/>
    <col min="5125" max="5125" width="3" style="116" customWidth="1"/>
    <col min="5126" max="5126" width="26.7109375" style="116" customWidth="1"/>
    <col min="5127" max="5127" width="6.28515625" style="116" customWidth="1"/>
    <col min="5128" max="5128" width="6.140625" style="116" customWidth="1"/>
    <col min="5129" max="5129" width="11.7109375" style="116" customWidth="1"/>
    <col min="5130" max="5130" width="14.7109375" style="116" customWidth="1"/>
    <col min="5131" max="5131" width="8.85546875" style="116"/>
    <col min="5132" max="5132" width="21" style="116" customWidth="1"/>
    <col min="5133" max="5365" width="8.85546875" style="116"/>
    <col min="5366" max="5366" width="1.5703125" style="116" customWidth="1"/>
    <col min="5367" max="5367" width="3.140625" style="116" customWidth="1"/>
    <col min="5368" max="5368" width="3.28515625" style="116" customWidth="1"/>
    <col min="5369" max="5369" width="3.140625" style="116" customWidth="1"/>
    <col min="5370" max="5370" width="2.85546875" style="116" customWidth="1"/>
    <col min="5371" max="5371" width="3.28515625" style="116" customWidth="1"/>
    <col min="5372" max="5372" width="26.7109375" style="116" customWidth="1"/>
    <col min="5373" max="5373" width="6.28515625" style="116" customWidth="1"/>
    <col min="5374" max="5374" width="6.7109375" style="116" customWidth="1"/>
    <col min="5375" max="5375" width="11.7109375" style="116" bestFit="1" customWidth="1"/>
    <col min="5376" max="5376" width="14" style="116" bestFit="1" customWidth="1"/>
    <col min="5377" max="5377" width="3.85546875" style="116" customWidth="1"/>
    <col min="5378" max="5378" width="3.42578125" style="116" customWidth="1"/>
    <col min="5379" max="5379" width="3.28515625" style="116" customWidth="1"/>
    <col min="5380" max="5380" width="3.140625" style="116" customWidth="1"/>
    <col min="5381" max="5381" width="3" style="116" customWidth="1"/>
    <col min="5382" max="5382" width="26.7109375" style="116" customWidth="1"/>
    <col min="5383" max="5383" width="6.28515625" style="116" customWidth="1"/>
    <col min="5384" max="5384" width="6.140625" style="116" customWidth="1"/>
    <col min="5385" max="5385" width="11.7109375" style="116" customWidth="1"/>
    <col min="5386" max="5386" width="14.7109375" style="116" customWidth="1"/>
    <col min="5387" max="5387" width="8.85546875" style="116"/>
    <col min="5388" max="5388" width="21" style="116" customWidth="1"/>
    <col min="5389" max="5621" width="8.85546875" style="116"/>
    <col min="5622" max="5622" width="1.5703125" style="116" customWidth="1"/>
    <col min="5623" max="5623" width="3.140625" style="116" customWidth="1"/>
    <col min="5624" max="5624" width="3.28515625" style="116" customWidth="1"/>
    <col min="5625" max="5625" width="3.140625" style="116" customWidth="1"/>
    <col min="5626" max="5626" width="2.85546875" style="116" customWidth="1"/>
    <col min="5627" max="5627" width="3.28515625" style="116" customWidth="1"/>
    <col min="5628" max="5628" width="26.7109375" style="116" customWidth="1"/>
    <col min="5629" max="5629" width="6.28515625" style="116" customWidth="1"/>
    <col min="5630" max="5630" width="6.7109375" style="116" customWidth="1"/>
    <col min="5631" max="5631" width="11.7109375" style="116" bestFit="1" customWidth="1"/>
    <col min="5632" max="5632" width="14" style="116" bestFit="1" customWidth="1"/>
    <col min="5633" max="5633" width="3.85546875" style="116" customWidth="1"/>
    <col min="5634" max="5634" width="3.42578125" style="116" customWidth="1"/>
    <col min="5635" max="5635" width="3.28515625" style="116" customWidth="1"/>
    <col min="5636" max="5636" width="3.140625" style="116" customWidth="1"/>
    <col min="5637" max="5637" width="3" style="116" customWidth="1"/>
    <col min="5638" max="5638" width="26.7109375" style="116" customWidth="1"/>
    <col min="5639" max="5639" width="6.28515625" style="116" customWidth="1"/>
    <col min="5640" max="5640" width="6.140625" style="116" customWidth="1"/>
    <col min="5641" max="5641" width="11.7109375" style="116" customWidth="1"/>
    <col min="5642" max="5642" width="14.7109375" style="116" customWidth="1"/>
    <col min="5643" max="5643" width="8.85546875" style="116"/>
    <col min="5644" max="5644" width="21" style="116" customWidth="1"/>
    <col min="5645" max="5877" width="8.85546875" style="116"/>
    <col min="5878" max="5878" width="1.5703125" style="116" customWidth="1"/>
    <col min="5879" max="5879" width="3.140625" style="116" customWidth="1"/>
    <col min="5880" max="5880" width="3.28515625" style="116" customWidth="1"/>
    <col min="5881" max="5881" width="3.140625" style="116" customWidth="1"/>
    <col min="5882" max="5882" width="2.85546875" style="116" customWidth="1"/>
    <col min="5883" max="5883" width="3.28515625" style="116" customWidth="1"/>
    <col min="5884" max="5884" width="26.7109375" style="116" customWidth="1"/>
    <col min="5885" max="5885" width="6.28515625" style="116" customWidth="1"/>
    <col min="5886" max="5886" width="6.7109375" style="116" customWidth="1"/>
    <col min="5887" max="5887" width="11.7109375" style="116" bestFit="1" customWidth="1"/>
    <col min="5888" max="5888" width="14" style="116" bestFit="1" customWidth="1"/>
    <col min="5889" max="5889" width="3.85546875" style="116" customWidth="1"/>
    <col min="5890" max="5890" width="3.42578125" style="116" customWidth="1"/>
    <col min="5891" max="5891" width="3.28515625" style="116" customWidth="1"/>
    <col min="5892" max="5892" width="3.140625" style="116" customWidth="1"/>
    <col min="5893" max="5893" width="3" style="116" customWidth="1"/>
    <col min="5894" max="5894" width="26.7109375" style="116" customWidth="1"/>
    <col min="5895" max="5895" width="6.28515625" style="116" customWidth="1"/>
    <col min="5896" max="5896" width="6.140625" style="116" customWidth="1"/>
    <col min="5897" max="5897" width="11.7109375" style="116" customWidth="1"/>
    <col min="5898" max="5898" width="14.7109375" style="116" customWidth="1"/>
    <col min="5899" max="5899" width="8.85546875" style="116"/>
    <col min="5900" max="5900" width="21" style="116" customWidth="1"/>
    <col min="5901" max="6133" width="8.85546875" style="116"/>
    <col min="6134" max="6134" width="1.5703125" style="116" customWidth="1"/>
    <col min="6135" max="6135" width="3.140625" style="116" customWidth="1"/>
    <col min="6136" max="6136" width="3.28515625" style="116" customWidth="1"/>
    <col min="6137" max="6137" width="3.140625" style="116" customWidth="1"/>
    <col min="6138" max="6138" width="2.85546875" style="116" customWidth="1"/>
    <col min="6139" max="6139" width="3.28515625" style="116" customWidth="1"/>
    <col min="6140" max="6140" width="26.7109375" style="116" customWidth="1"/>
    <col min="6141" max="6141" width="6.28515625" style="116" customWidth="1"/>
    <col min="6142" max="6142" width="6.7109375" style="116" customWidth="1"/>
    <col min="6143" max="6143" width="11.7109375" style="116" bestFit="1" customWidth="1"/>
    <col min="6144" max="6144" width="14" style="116" bestFit="1" customWidth="1"/>
    <col min="6145" max="6145" width="3.85546875" style="116" customWidth="1"/>
    <col min="6146" max="6146" width="3.42578125" style="116" customWidth="1"/>
    <col min="6147" max="6147" width="3.28515625" style="116" customWidth="1"/>
    <col min="6148" max="6148" width="3.140625" style="116" customWidth="1"/>
    <col min="6149" max="6149" width="3" style="116" customWidth="1"/>
    <col min="6150" max="6150" width="26.7109375" style="116" customWidth="1"/>
    <col min="6151" max="6151" width="6.28515625" style="116" customWidth="1"/>
    <col min="6152" max="6152" width="6.140625" style="116" customWidth="1"/>
    <col min="6153" max="6153" width="11.7109375" style="116" customWidth="1"/>
    <col min="6154" max="6154" width="14.7109375" style="116" customWidth="1"/>
    <col min="6155" max="6155" width="8.85546875" style="116"/>
    <col min="6156" max="6156" width="21" style="116" customWidth="1"/>
    <col min="6157" max="6389" width="8.85546875" style="116"/>
    <col min="6390" max="6390" width="1.5703125" style="116" customWidth="1"/>
    <col min="6391" max="6391" width="3.140625" style="116" customWidth="1"/>
    <col min="6392" max="6392" width="3.28515625" style="116" customWidth="1"/>
    <col min="6393" max="6393" width="3.140625" style="116" customWidth="1"/>
    <col min="6394" max="6394" width="2.85546875" style="116" customWidth="1"/>
    <col min="6395" max="6395" width="3.28515625" style="116" customWidth="1"/>
    <col min="6396" max="6396" width="26.7109375" style="116" customWidth="1"/>
    <col min="6397" max="6397" width="6.28515625" style="116" customWidth="1"/>
    <col min="6398" max="6398" width="6.7109375" style="116" customWidth="1"/>
    <col min="6399" max="6399" width="11.7109375" style="116" bestFit="1" customWidth="1"/>
    <col min="6400" max="6400" width="14" style="116" bestFit="1" customWidth="1"/>
    <col min="6401" max="6401" width="3.85546875" style="116" customWidth="1"/>
    <col min="6402" max="6402" width="3.42578125" style="116" customWidth="1"/>
    <col min="6403" max="6403" width="3.28515625" style="116" customWidth="1"/>
    <col min="6404" max="6404" width="3.140625" style="116" customWidth="1"/>
    <col min="6405" max="6405" width="3" style="116" customWidth="1"/>
    <col min="6406" max="6406" width="26.7109375" style="116" customWidth="1"/>
    <col min="6407" max="6407" width="6.28515625" style="116" customWidth="1"/>
    <col min="6408" max="6408" width="6.140625" style="116" customWidth="1"/>
    <col min="6409" max="6409" width="11.7109375" style="116" customWidth="1"/>
    <col min="6410" max="6410" width="14.7109375" style="116" customWidth="1"/>
    <col min="6411" max="6411" width="8.85546875" style="116"/>
    <col min="6412" max="6412" width="21" style="116" customWidth="1"/>
    <col min="6413" max="6645" width="8.85546875" style="116"/>
    <col min="6646" max="6646" width="1.5703125" style="116" customWidth="1"/>
    <col min="6647" max="6647" width="3.140625" style="116" customWidth="1"/>
    <col min="6648" max="6648" width="3.28515625" style="116" customWidth="1"/>
    <col min="6649" max="6649" width="3.140625" style="116" customWidth="1"/>
    <col min="6650" max="6650" width="2.85546875" style="116" customWidth="1"/>
    <col min="6651" max="6651" width="3.28515625" style="116" customWidth="1"/>
    <col min="6652" max="6652" width="26.7109375" style="116" customWidth="1"/>
    <col min="6653" max="6653" width="6.28515625" style="116" customWidth="1"/>
    <col min="6654" max="6654" width="6.7109375" style="116" customWidth="1"/>
    <col min="6655" max="6655" width="11.7109375" style="116" bestFit="1" customWidth="1"/>
    <col min="6656" max="6656" width="14" style="116" bestFit="1" customWidth="1"/>
    <col min="6657" max="6657" width="3.85546875" style="116" customWidth="1"/>
    <col min="6658" max="6658" width="3.42578125" style="116" customWidth="1"/>
    <col min="6659" max="6659" width="3.28515625" style="116" customWidth="1"/>
    <col min="6660" max="6660" width="3.140625" style="116" customWidth="1"/>
    <col min="6661" max="6661" width="3" style="116" customWidth="1"/>
    <col min="6662" max="6662" width="26.7109375" style="116" customWidth="1"/>
    <col min="6663" max="6663" width="6.28515625" style="116" customWidth="1"/>
    <col min="6664" max="6664" width="6.140625" style="116" customWidth="1"/>
    <col min="6665" max="6665" width="11.7109375" style="116" customWidth="1"/>
    <col min="6666" max="6666" width="14.7109375" style="116" customWidth="1"/>
    <col min="6667" max="6667" width="8.85546875" style="116"/>
    <col min="6668" max="6668" width="21" style="116" customWidth="1"/>
    <col min="6669" max="6901" width="8.85546875" style="116"/>
    <col min="6902" max="6902" width="1.5703125" style="116" customWidth="1"/>
    <col min="6903" max="6903" width="3.140625" style="116" customWidth="1"/>
    <col min="6904" max="6904" width="3.28515625" style="116" customWidth="1"/>
    <col min="6905" max="6905" width="3.140625" style="116" customWidth="1"/>
    <col min="6906" max="6906" width="2.85546875" style="116" customWidth="1"/>
    <col min="6907" max="6907" width="3.28515625" style="116" customWidth="1"/>
    <col min="6908" max="6908" width="26.7109375" style="116" customWidth="1"/>
    <col min="6909" max="6909" width="6.28515625" style="116" customWidth="1"/>
    <col min="6910" max="6910" width="6.7109375" style="116" customWidth="1"/>
    <col min="6911" max="6911" width="11.7109375" style="116" bestFit="1" customWidth="1"/>
    <col min="6912" max="6912" width="14" style="116" bestFit="1" customWidth="1"/>
    <col min="6913" max="6913" width="3.85546875" style="116" customWidth="1"/>
    <col min="6914" max="6914" width="3.42578125" style="116" customWidth="1"/>
    <col min="6915" max="6915" width="3.28515625" style="116" customWidth="1"/>
    <col min="6916" max="6916" width="3.140625" style="116" customWidth="1"/>
    <col min="6917" max="6917" width="3" style="116" customWidth="1"/>
    <col min="6918" max="6918" width="26.7109375" style="116" customWidth="1"/>
    <col min="6919" max="6919" width="6.28515625" style="116" customWidth="1"/>
    <col min="6920" max="6920" width="6.140625" style="116" customWidth="1"/>
    <col min="6921" max="6921" width="11.7109375" style="116" customWidth="1"/>
    <col min="6922" max="6922" width="14.7109375" style="116" customWidth="1"/>
    <col min="6923" max="6923" width="8.85546875" style="116"/>
    <col min="6924" max="6924" width="21" style="116" customWidth="1"/>
    <col min="6925" max="7157" width="8.85546875" style="116"/>
    <col min="7158" max="7158" width="1.5703125" style="116" customWidth="1"/>
    <col min="7159" max="7159" width="3.140625" style="116" customWidth="1"/>
    <col min="7160" max="7160" width="3.28515625" style="116" customWidth="1"/>
    <col min="7161" max="7161" width="3.140625" style="116" customWidth="1"/>
    <col min="7162" max="7162" width="2.85546875" style="116" customWidth="1"/>
    <col min="7163" max="7163" width="3.28515625" style="116" customWidth="1"/>
    <col min="7164" max="7164" width="26.7109375" style="116" customWidth="1"/>
    <col min="7165" max="7165" width="6.28515625" style="116" customWidth="1"/>
    <col min="7166" max="7166" width="6.7109375" style="116" customWidth="1"/>
    <col min="7167" max="7167" width="11.7109375" style="116" bestFit="1" customWidth="1"/>
    <col min="7168" max="7168" width="14" style="116" bestFit="1" customWidth="1"/>
    <col min="7169" max="7169" width="3.85546875" style="116" customWidth="1"/>
    <col min="7170" max="7170" width="3.42578125" style="116" customWidth="1"/>
    <col min="7171" max="7171" width="3.28515625" style="116" customWidth="1"/>
    <col min="7172" max="7172" width="3.140625" style="116" customWidth="1"/>
    <col min="7173" max="7173" width="3" style="116" customWidth="1"/>
    <col min="7174" max="7174" width="26.7109375" style="116" customWidth="1"/>
    <col min="7175" max="7175" width="6.28515625" style="116" customWidth="1"/>
    <col min="7176" max="7176" width="6.140625" style="116" customWidth="1"/>
    <col min="7177" max="7177" width="11.7109375" style="116" customWidth="1"/>
    <col min="7178" max="7178" width="14.7109375" style="116" customWidth="1"/>
    <col min="7179" max="7179" width="8.85546875" style="116"/>
    <col min="7180" max="7180" width="21" style="116" customWidth="1"/>
    <col min="7181" max="7413" width="8.85546875" style="116"/>
    <col min="7414" max="7414" width="1.5703125" style="116" customWidth="1"/>
    <col min="7415" max="7415" width="3.140625" style="116" customWidth="1"/>
    <col min="7416" max="7416" width="3.28515625" style="116" customWidth="1"/>
    <col min="7417" max="7417" width="3.140625" style="116" customWidth="1"/>
    <col min="7418" max="7418" width="2.85546875" style="116" customWidth="1"/>
    <col min="7419" max="7419" width="3.28515625" style="116" customWidth="1"/>
    <col min="7420" max="7420" width="26.7109375" style="116" customWidth="1"/>
    <col min="7421" max="7421" width="6.28515625" style="116" customWidth="1"/>
    <col min="7422" max="7422" width="6.7109375" style="116" customWidth="1"/>
    <col min="7423" max="7423" width="11.7109375" style="116" bestFit="1" customWidth="1"/>
    <col min="7424" max="7424" width="14" style="116" bestFit="1" customWidth="1"/>
    <col min="7425" max="7425" width="3.85546875" style="116" customWidth="1"/>
    <col min="7426" max="7426" width="3.42578125" style="116" customWidth="1"/>
    <col min="7427" max="7427" width="3.28515625" style="116" customWidth="1"/>
    <col min="7428" max="7428" width="3.140625" style="116" customWidth="1"/>
    <col min="7429" max="7429" width="3" style="116" customWidth="1"/>
    <col min="7430" max="7430" width="26.7109375" style="116" customWidth="1"/>
    <col min="7431" max="7431" width="6.28515625" style="116" customWidth="1"/>
    <col min="7432" max="7432" width="6.140625" style="116" customWidth="1"/>
    <col min="7433" max="7433" width="11.7109375" style="116" customWidth="1"/>
    <col min="7434" max="7434" width="14.7109375" style="116" customWidth="1"/>
    <col min="7435" max="7435" width="8.85546875" style="116"/>
    <col min="7436" max="7436" width="21" style="116" customWidth="1"/>
    <col min="7437" max="7669" width="8.85546875" style="116"/>
    <col min="7670" max="7670" width="1.5703125" style="116" customWidth="1"/>
    <col min="7671" max="7671" width="3.140625" style="116" customWidth="1"/>
    <col min="7672" max="7672" width="3.28515625" style="116" customWidth="1"/>
    <col min="7673" max="7673" width="3.140625" style="116" customWidth="1"/>
    <col min="7674" max="7674" width="2.85546875" style="116" customWidth="1"/>
    <col min="7675" max="7675" width="3.28515625" style="116" customWidth="1"/>
    <col min="7676" max="7676" width="26.7109375" style="116" customWidth="1"/>
    <col min="7677" max="7677" width="6.28515625" style="116" customWidth="1"/>
    <col min="7678" max="7678" width="6.7109375" style="116" customWidth="1"/>
    <col min="7679" max="7679" width="11.7109375" style="116" bestFit="1" customWidth="1"/>
    <col min="7680" max="7680" width="14" style="116" bestFit="1" customWidth="1"/>
    <col min="7681" max="7681" width="3.85546875" style="116" customWidth="1"/>
    <col min="7682" max="7682" width="3.42578125" style="116" customWidth="1"/>
    <col min="7683" max="7683" width="3.28515625" style="116" customWidth="1"/>
    <col min="7684" max="7684" width="3.140625" style="116" customWidth="1"/>
    <col min="7685" max="7685" width="3" style="116" customWidth="1"/>
    <col min="7686" max="7686" width="26.7109375" style="116" customWidth="1"/>
    <col min="7687" max="7687" width="6.28515625" style="116" customWidth="1"/>
    <col min="7688" max="7688" width="6.140625" style="116" customWidth="1"/>
    <col min="7689" max="7689" width="11.7109375" style="116" customWidth="1"/>
    <col min="7690" max="7690" width="14.7109375" style="116" customWidth="1"/>
    <col min="7691" max="7691" width="8.85546875" style="116"/>
    <col min="7692" max="7692" width="21" style="116" customWidth="1"/>
    <col min="7693" max="7925" width="8.85546875" style="116"/>
    <col min="7926" max="7926" width="1.5703125" style="116" customWidth="1"/>
    <col min="7927" max="7927" width="3.140625" style="116" customWidth="1"/>
    <col min="7928" max="7928" width="3.28515625" style="116" customWidth="1"/>
    <col min="7929" max="7929" width="3.140625" style="116" customWidth="1"/>
    <col min="7930" max="7930" width="2.85546875" style="116" customWidth="1"/>
    <col min="7931" max="7931" width="3.28515625" style="116" customWidth="1"/>
    <col min="7932" max="7932" width="26.7109375" style="116" customWidth="1"/>
    <col min="7933" max="7933" width="6.28515625" style="116" customWidth="1"/>
    <col min="7934" max="7934" width="6.7109375" style="116" customWidth="1"/>
    <col min="7935" max="7935" width="11.7109375" style="116" bestFit="1" customWidth="1"/>
    <col min="7936" max="7936" width="14" style="116" bestFit="1" customWidth="1"/>
    <col min="7937" max="7937" width="3.85546875" style="116" customWidth="1"/>
    <col min="7938" max="7938" width="3.42578125" style="116" customWidth="1"/>
    <col min="7939" max="7939" width="3.28515625" style="116" customWidth="1"/>
    <col min="7940" max="7940" width="3.140625" style="116" customWidth="1"/>
    <col min="7941" max="7941" width="3" style="116" customWidth="1"/>
    <col min="7942" max="7942" width="26.7109375" style="116" customWidth="1"/>
    <col min="7943" max="7943" width="6.28515625" style="116" customWidth="1"/>
    <col min="7944" max="7944" width="6.140625" style="116" customWidth="1"/>
    <col min="7945" max="7945" width="11.7109375" style="116" customWidth="1"/>
    <col min="7946" max="7946" width="14.7109375" style="116" customWidth="1"/>
    <col min="7947" max="7947" width="8.85546875" style="116"/>
    <col min="7948" max="7948" width="21" style="116" customWidth="1"/>
    <col min="7949" max="8181" width="8.85546875" style="116"/>
    <col min="8182" max="8182" width="1.5703125" style="116" customWidth="1"/>
    <col min="8183" max="8183" width="3.140625" style="116" customWidth="1"/>
    <col min="8184" max="8184" width="3.28515625" style="116" customWidth="1"/>
    <col min="8185" max="8185" width="3.140625" style="116" customWidth="1"/>
    <col min="8186" max="8186" width="2.85546875" style="116" customWidth="1"/>
    <col min="8187" max="8187" width="3.28515625" style="116" customWidth="1"/>
    <col min="8188" max="8188" width="26.7109375" style="116" customWidth="1"/>
    <col min="8189" max="8189" width="6.28515625" style="116" customWidth="1"/>
    <col min="8190" max="8190" width="6.7109375" style="116" customWidth="1"/>
    <col min="8191" max="8191" width="11.7109375" style="116" bestFit="1" customWidth="1"/>
    <col min="8192" max="8192" width="14" style="116" bestFit="1" customWidth="1"/>
    <col min="8193" max="8193" width="3.85546875" style="116" customWidth="1"/>
    <col min="8194" max="8194" width="3.42578125" style="116" customWidth="1"/>
    <col min="8195" max="8195" width="3.28515625" style="116" customWidth="1"/>
    <col min="8196" max="8196" width="3.140625" style="116" customWidth="1"/>
    <col min="8197" max="8197" width="3" style="116" customWidth="1"/>
    <col min="8198" max="8198" width="26.7109375" style="116" customWidth="1"/>
    <col min="8199" max="8199" width="6.28515625" style="116" customWidth="1"/>
    <col min="8200" max="8200" width="6.140625" style="116" customWidth="1"/>
    <col min="8201" max="8201" width="11.7109375" style="116" customWidth="1"/>
    <col min="8202" max="8202" width="14.7109375" style="116" customWidth="1"/>
    <col min="8203" max="8203" width="8.85546875" style="116"/>
    <col min="8204" max="8204" width="21" style="116" customWidth="1"/>
    <col min="8205" max="8437" width="8.85546875" style="116"/>
    <col min="8438" max="8438" width="1.5703125" style="116" customWidth="1"/>
    <col min="8439" max="8439" width="3.140625" style="116" customWidth="1"/>
    <col min="8440" max="8440" width="3.28515625" style="116" customWidth="1"/>
    <col min="8441" max="8441" width="3.140625" style="116" customWidth="1"/>
    <col min="8442" max="8442" width="2.85546875" style="116" customWidth="1"/>
    <col min="8443" max="8443" width="3.28515625" style="116" customWidth="1"/>
    <col min="8444" max="8444" width="26.7109375" style="116" customWidth="1"/>
    <col min="8445" max="8445" width="6.28515625" style="116" customWidth="1"/>
    <col min="8446" max="8446" width="6.7109375" style="116" customWidth="1"/>
    <col min="8447" max="8447" width="11.7109375" style="116" bestFit="1" customWidth="1"/>
    <col min="8448" max="8448" width="14" style="116" bestFit="1" customWidth="1"/>
    <col min="8449" max="8449" width="3.85546875" style="116" customWidth="1"/>
    <col min="8450" max="8450" width="3.42578125" style="116" customWidth="1"/>
    <col min="8451" max="8451" width="3.28515625" style="116" customWidth="1"/>
    <col min="8452" max="8452" width="3.140625" style="116" customWidth="1"/>
    <col min="8453" max="8453" width="3" style="116" customWidth="1"/>
    <col min="8454" max="8454" width="26.7109375" style="116" customWidth="1"/>
    <col min="8455" max="8455" width="6.28515625" style="116" customWidth="1"/>
    <col min="8456" max="8456" width="6.140625" style="116" customWidth="1"/>
    <col min="8457" max="8457" width="11.7109375" style="116" customWidth="1"/>
    <col min="8458" max="8458" width="14.7109375" style="116" customWidth="1"/>
    <col min="8459" max="8459" width="8.85546875" style="116"/>
    <col min="8460" max="8460" width="21" style="116" customWidth="1"/>
    <col min="8461" max="8693" width="8.85546875" style="116"/>
    <col min="8694" max="8694" width="1.5703125" style="116" customWidth="1"/>
    <col min="8695" max="8695" width="3.140625" style="116" customWidth="1"/>
    <col min="8696" max="8696" width="3.28515625" style="116" customWidth="1"/>
    <col min="8697" max="8697" width="3.140625" style="116" customWidth="1"/>
    <col min="8698" max="8698" width="2.85546875" style="116" customWidth="1"/>
    <col min="8699" max="8699" width="3.28515625" style="116" customWidth="1"/>
    <col min="8700" max="8700" width="26.7109375" style="116" customWidth="1"/>
    <col min="8701" max="8701" width="6.28515625" style="116" customWidth="1"/>
    <col min="8702" max="8702" width="6.7109375" style="116" customWidth="1"/>
    <col min="8703" max="8703" width="11.7109375" style="116" bestFit="1" customWidth="1"/>
    <col min="8704" max="8704" width="14" style="116" bestFit="1" customWidth="1"/>
    <col min="8705" max="8705" width="3.85546875" style="116" customWidth="1"/>
    <col min="8706" max="8706" width="3.42578125" style="116" customWidth="1"/>
    <col min="8707" max="8707" width="3.28515625" style="116" customWidth="1"/>
    <col min="8708" max="8708" width="3.140625" style="116" customWidth="1"/>
    <col min="8709" max="8709" width="3" style="116" customWidth="1"/>
    <col min="8710" max="8710" width="26.7109375" style="116" customWidth="1"/>
    <col min="8711" max="8711" width="6.28515625" style="116" customWidth="1"/>
    <col min="8712" max="8712" width="6.140625" style="116" customWidth="1"/>
    <col min="8713" max="8713" width="11.7109375" style="116" customWidth="1"/>
    <col min="8714" max="8714" width="14.7109375" style="116" customWidth="1"/>
    <col min="8715" max="8715" width="8.85546875" style="116"/>
    <col min="8716" max="8716" width="21" style="116" customWidth="1"/>
    <col min="8717" max="8949" width="8.85546875" style="116"/>
    <col min="8950" max="8950" width="1.5703125" style="116" customWidth="1"/>
    <col min="8951" max="8951" width="3.140625" style="116" customWidth="1"/>
    <col min="8952" max="8952" width="3.28515625" style="116" customWidth="1"/>
    <col min="8953" max="8953" width="3.140625" style="116" customWidth="1"/>
    <col min="8954" max="8954" width="2.85546875" style="116" customWidth="1"/>
    <col min="8955" max="8955" width="3.28515625" style="116" customWidth="1"/>
    <col min="8956" max="8956" width="26.7109375" style="116" customWidth="1"/>
    <col min="8957" max="8957" width="6.28515625" style="116" customWidth="1"/>
    <col min="8958" max="8958" width="6.7109375" style="116" customWidth="1"/>
    <col min="8959" max="8959" width="11.7109375" style="116" bestFit="1" customWidth="1"/>
    <col min="8960" max="8960" width="14" style="116" bestFit="1" customWidth="1"/>
    <col min="8961" max="8961" width="3.85546875" style="116" customWidth="1"/>
    <col min="8962" max="8962" width="3.42578125" style="116" customWidth="1"/>
    <col min="8963" max="8963" width="3.28515625" style="116" customWidth="1"/>
    <col min="8964" max="8964" width="3.140625" style="116" customWidth="1"/>
    <col min="8965" max="8965" width="3" style="116" customWidth="1"/>
    <col min="8966" max="8966" width="26.7109375" style="116" customWidth="1"/>
    <col min="8967" max="8967" width="6.28515625" style="116" customWidth="1"/>
    <col min="8968" max="8968" width="6.140625" style="116" customWidth="1"/>
    <col min="8969" max="8969" width="11.7109375" style="116" customWidth="1"/>
    <col min="8970" max="8970" width="14.7109375" style="116" customWidth="1"/>
    <col min="8971" max="8971" width="8.85546875" style="116"/>
    <col min="8972" max="8972" width="21" style="116" customWidth="1"/>
    <col min="8973" max="9205" width="8.85546875" style="116"/>
    <col min="9206" max="9206" width="1.5703125" style="116" customWidth="1"/>
    <col min="9207" max="9207" width="3.140625" style="116" customWidth="1"/>
    <col min="9208" max="9208" width="3.28515625" style="116" customWidth="1"/>
    <col min="9209" max="9209" width="3.140625" style="116" customWidth="1"/>
    <col min="9210" max="9210" width="2.85546875" style="116" customWidth="1"/>
    <col min="9211" max="9211" width="3.28515625" style="116" customWidth="1"/>
    <col min="9212" max="9212" width="26.7109375" style="116" customWidth="1"/>
    <col min="9213" max="9213" width="6.28515625" style="116" customWidth="1"/>
    <col min="9214" max="9214" width="6.7109375" style="116" customWidth="1"/>
    <col min="9215" max="9215" width="11.7109375" style="116" bestFit="1" customWidth="1"/>
    <col min="9216" max="9216" width="14" style="116" bestFit="1" customWidth="1"/>
    <col min="9217" max="9217" width="3.85546875" style="116" customWidth="1"/>
    <col min="9218" max="9218" width="3.42578125" style="116" customWidth="1"/>
    <col min="9219" max="9219" width="3.28515625" style="116" customWidth="1"/>
    <col min="9220" max="9220" width="3.140625" style="116" customWidth="1"/>
    <col min="9221" max="9221" width="3" style="116" customWidth="1"/>
    <col min="9222" max="9222" width="26.7109375" style="116" customWidth="1"/>
    <col min="9223" max="9223" width="6.28515625" style="116" customWidth="1"/>
    <col min="9224" max="9224" width="6.140625" style="116" customWidth="1"/>
    <col min="9225" max="9225" width="11.7109375" style="116" customWidth="1"/>
    <col min="9226" max="9226" width="14.7109375" style="116" customWidth="1"/>
    <col min="9227" max="9227" width="8.85546875" style="116"/>
    <col min="9228" max="9228" width="21" style="116" customWidth="1"/>
    <col min="9229" max="9461" width="8.85546875" style="116"/>
    <col min="9462" max="9462" width="1.5703125" style="116" customWidth="1"/>
    <col min="9463" max="9463" width="3.140625" style="116" customWidth="1"/>
    <col min="9464" max="9464" width="3.28515625" style="116" customWidth="1"/>
    <col min="9465" max="9465" width="3.140625" style="116" customWidth="1"/>
    <col min="9466" max="9466" width="2.85546875" style="116" customWidth="1"/>
    <col min="9467" max="9467" width="3.28515625" style="116" customWidth="1"/>
    <col min="9468" max="9468" width="26.7109375" style="116" customWidth="1"/>
    <col min="9469" max="9469" width="6.28515625" style="116" customWidth="1"/>
    <col min="9470" max="9470" width="6.7109375" style="116" customWidth="1"/>
    <col min="9471" max="9471" width="11.7109375" style="116" bestFit="1" customWidth="1"/>
    <col min="9472" max="9472" width="14" style="116" bestFit="1" customWidth="1"/>
    <col min="9473" max="9473" width="3.85546875" style="116" customWidth="1"/>
    <col min="9474" max="9474" width="3.42578125" style="116" customWidth="1"/>
    <col min="9475" max="9475" width="3.28515625" style="116" customWidth="1"/>
    <col min="9476" max="9476" width="3.140625" style="116" customWidth="1"/>
    <col min="9477" max="9477" width="3" style="116" customWidth="1"/>
    <col min="9478" max="9478" width="26.7109375" style="116" customWidth="1"/>
    <col min="9479" max="9479" width="6.28515625" style="116" customWidth="1"/>
    <col min="9480" max="9480" width="6.140625" style="116" customWidth="1"/>
    <col min="9481" max="9481" width="11.7109375" style="116" customWidth="1"/>
    <col min="9482" max="9482" width="14.7109375" style="116" customWidth="1"/>
    <col min="9483" max="9483" width="8.85546875" style="116"/>
    <col min="9484" max="9484" width="21" style="116" customWidth="1"/>
    <col min="9485" max="9717" width="8.85546875" style="116"/>
    <col min="9718" max="9718" width="1.5703125" style="116" customWidth="1"/>
    <col min="9719" max="9719" width="3.140625" style="116" customWidth="1"/>
    <col min="9720" max="9720" width="3.28515625" style="116" customWidth="1"/>
    <col min="9721" max="9721" width="3.140625" style="116" customWidth="1"/>
    <col min="9722" max="9722" width="2.85546875" style="116" customWidth="1"/>
    <col min="9723" max="9723" width="3.28515625" style="116" customWidth="1"/>
    <col min="9724" max="9724" width="26.7109375" style="116" customWidth="1"/>
    <col min="9725" max="9725" width="6.28515625" style="116" customWidth="1"/>
    <col min="9726" max="9726" width="6.7109375" style="116" customWidth="1"/>
    <col min="9727" max="9727" width="11.7109375" style="116" bestFit="1" customWidth="1"/>
    <col min="9728" max="9728" width="14" style="116" bestFit="1" customWidth="1"/>
    <col min="9729" max="9729" width="3.85546875" style="116" customWidth="1"/>
    <col min="9730" max="9730" width="3.42578125" style="116" customWidth="1"/>
    <col min="9731" max="9731" width="3.28515625" style="116" customWidth="1"/>
    <col min="9732" max="9732" width="3.140625" style="116" customWidth="1"/>
    <col min="9733" max="9733" width="3" style="116" customWidth="1"/>
    <col min="9734" max="9734" width="26.7109375" style="116" customWidth="1"/>
    <col min="9735" max="9735" width="6.28515625" style="116" customWidth="1"/>
    <col min="9736" max="9736" width="6.140625" style="116" customWidth="1"/>
    <col min="9737" max="9737" width="11.7109375" style="116" customWidth="1"/>
    <col min="9738" max="9738" width="14.7109375" style="116" customWidth="1"/>
    <col min="9739" max="9739" width="8.85546875" style="116"/>
    <col min="9740" max="9740" width="21" style="116" customWidth="1"/>
    <col min="9741" max="9973" width="8.85546875" style="116"/>
    <col min="9974" max="9974" width="1.5703125" style="116" customWidth="1"/>
    <col min="9975" max="9975" width="3.140625" style="116" customWidth="1"/>
    <col min="9976" max="9976" width="3.28515625" style="116" customWidth="1"/>
    <col min="9977" max="9977" width="3.140625" style="116" customWidth="1"/>
    <col min="9978" max="9978" width="2.85546875" style="116" customWidth="1"/>
    <col min="9979" max="9979" width="3.28515625" style="116" customWidth="1"/>
    <col min="9980" max="9980" width="26.7109375" style="116" customWidth="1"/>
    <col min="9981" max="9981" width="6.28515625" style="116" customWidth="1"/>
    <col min="9982" max="9982" width="6.7109375" style="116" customWidth="1"/>
    <col min="9983" max="9983" width="11.7109375" style="116" bestFit="1" customWidth="1"/>
    <col min="9984" max="9984" width="14" style="116" bestFit="1" customWidth="1"/>
    <col min="9985" max="9985" width="3.85546875" style="116" customWidth="1"/>
    <col min="9986" max="9986" width="3.42578125" style="116" customWidth="1"/>
    <col min="9987" max="9987" width="3.28515625" style="116" customWidth="1"/>
    <col min="9988" max="9988" width="3.140625" style="116" customWidth="1"/>
    <col min="9989" max="9989" width="3" style="116" customWidth="1"/>
    <col min="9990" max="9990" width="26.7109375" style="116" customWidth="1"/>
    <col min="9991" max="9991" width="6.28515625" style="116" customWidth="1"/>
    <col min="9992" max="9992" width="6.140625" style="116" customWidth="1"/>
    <col min="9993" max="9993" width="11.7109375" style="116" customWidth="1"/>
    <col min="9994" max="9994" width="14.7109375" style="116" customWidth="1"/>
    <col min="9995" max="9995" width="8.85546875" style="116"/>
    <col min="9996" max="9996" width="21" style="116" customWidth="1"/>
    <col min="9997" max="10229" width="8.85546875" style="116"/>
    <col min="10230" max="10230" width="1.5703125" style="116" customWidth="1"/>
    <col min="10231" max="10231" width="3.140625" style="116" customWidth="1"/>
    <col min="10232" max="10232" width="3.28515625" style="116" customWidth="1"/>
    <col min="10233" max="10233" width="3.140625" style="116" customWidth="1"/>
    <col min="10234" max="10234" width="2.85546875" style="116" customWidth="1"/>
    <col min="10235" max="10235" width="3.28515625" style="116" customWidth="1"/>
    <col min="10236" max="10236" width="26.7109375" style="116" customWidth="1"/>
    <col min="10237" max="10237" width="6.28515625" style="116" customWidth="1"/>
    <col min="10238" max="10238" width="6.7109375" style="116" customWidth="1"/>
    <col min="10239" max="10239" width="11.7109375" style="116" bestFit="1" customWidth="1"/>
    <col min="10240" max="10240" width="14" style="116" bestFit="1" customWidth="1"/>
    <col min="10241" max="10241" width="3.85546875" style="116" customWidth="1"/>
    <col min="10242" max="10242" width="3.42578125" style="116" customWidth="1"/>
    <col min="10243" max="10243" width="3.28515625" style="116" customWidth="1"/>
    <col min="10244" max="10244" width="3.140625" style="116" customWidth="1"/>
    <col min="10245" max="10245" width="3" style="116" customWidth="1"/>
    <col min="10246" max="10246" width="26.7109375" style="116" customWidth="1"/>
    <col min="10247" max="10247" width="6.28515625" style="116" customWidth="1"/>
    <col min="10248" max="10248" width="6.140625" style="116" customWidth="1"/>
    <col min="10249" max="10249" width="11.7109375" style="116" customWidth="1"/>
    <col min="10250" max="10250" width="14.7109375" style="116" customWidth="1"/>
    <col min="10251" max="10251" width="8.85546875" style="116"/>
    <col min="10252" max="10252" width="21" style="116" customWidth="1"/>
    <col min="10253" max="10485" width="8.85546875" style="116"/>
    <col min="10486" max="10486" width="1.5703125" style="116" customWidth="1"/>
    <col min="10487" max="10487" width="3.140625" style="116" customWidth="1"/>
    <col min="10488" max="10488" width="3.28515625" style="116" customWidth="1"/>
    <col min="10489" max="10489" width="3.140625" style="116" customWidth="1"/>
    <col min="10490" max="10490" width="2.85546875" style="116" customWidth="1"/>
    <col min="10491" max="10491" width="3.28515625" style="116" customWidth="1"/>
    <col min="10492" max="10492" width="26.7109375" style="116" customWidth="1"/>
    <col min="10493" max="10493" width="6.28515625" style="116" customWidth="1"/>
    <col min="10494" max="10494" width="6.7109375" style="116" customWidth="1"/>
    <col min="10495" max="10495" width="11.7109375" style="116" bestFit="1" customWidth="1"/>
    <col min="10496" max="10496" width="14" style="116" bestFit="1" customWidth="1"/>
    <col min="10497" max="10497" width="3.85546875" style="116" customWidth="1"/>
    <col min="10498" max="10498" width="3.42578125" style="116" customWidth="1"/>
    <col min="10499" max="10499" width="3.28515625" style="116" customWidth="1"/>
    <col min="10500" max="10500" width="3.140625" style="116" customWidth="1"/>
    <col min="10501" max="10501" width="3" style="116" customWidth="1"/>
    <col min="10502" max="10502" width="26.7109375" style="116" customWidth="1"/>
    <col min="10503" max="10503" width="6.28515625" style="116" customWidth="1"/>
    <col min="10504" max="10504" width="6.140625" style="116" customWidth="1"/>
    <col min="10505" max="10505" width="11.7109375" style="116" customWidth="1"/>
    <col min="10506" max="10506" width="14.7109375" style="116" customWidth="1"/>
    <col min="10507" max="10507" width="8.85546875" style="116"/>
    <col min="10508" max="10508" width="21" style="116" customWidth="1"/>
    <col min="10509" max="10741" width="8.85546875" style="116"/>
    <col min="10742" max="10742" width="1.5703125" style="116" customWidth="1"/>
    <col min="10743" max="10743" width="3.140625" style="116" customWidth="1"/>
    <col min="10744" max="10744" width="3.28515625" style="116" customWidth="1"/>
    <col min="10745" max="10745" width="3.140625" style="116" customWidth="1"/>
    <col min="10746" max="10746" width="2.85546875" style="116" customWidth="1"/>
    <col min="10747" max="10747" width="3.28515625" style="116" customWidth="1"/>
    <col min="10748" max="10748" width="26.7109375" style="116" customWidth="1"/>
    <col min="10749" max="10749" width="6.28515625" style="116" customWidth="1"/>
    <col min="10750" max="10750" width="6.7109375" style="116" customWidth="1"/>
    <col min="10751" max="10751" width="11.7109375" style="116" bestFit="1" customWidth="1"/>
    <col min="10752" max="10752" width="14" style="116" bestFit="1" customWidth="1"/>
    <col min="10753" max="10753" width="3.85546875" style="116" customWidth="1"/>
    <col min="10754" max="10754" width="3.42578125" style="116" customWidth="1"/>
    <col min="10755" max="10755" width="3.28515625" style="116" customWidth="1"/>
    <col min="10756" max="10756" width="3.140625" style="116" customWidth="1"/>
    <col min="10757" max="10757" width="3" style="116" customWidth="1"/>
    <col min="10758" max="10758" width="26.7109375" style="116" customWidth="1"/>
    <col min="10759" max="10759" width="6.28515625" style="116" customWidth="1"/>
    <col min="10760" max="10760" width="6.140625" style="116" customWidth="1"/>
    <col min="10761" max="10761" width="11.7109375" style="116" customWidth="1"/>
    <col min="10762" max="10762" width="14.7109375" style="116" customWidth="1"/>
    <col min="10763" max="10763" width="8.85546875" style="116"/>
    <col min="10764" max="10764" width="21" style="116" customWidth="1"/>
    <col min="10765" max="10997" width="8.85546875" style="116"/>
    <col min="10998" max="10998" width="1.5703125" style="116" customWidth="1"/>
    <col min="10999" max="10999" width="3.140625" style="116" customWidth="1"/>
    <col min="11000" max="11000" width="3.28515625" style="116" customWidth="1"/>
    <col min="11001" max="11001" width="3.140625" style="116" customWidth="1"/>
    <col min="11002" max="11002" width="2.85546875" style="116" customWidth="1"/>
    <col min="11003" max="11003" width="3.28515625" style="116" customWidth="1"/>
    <col min="11004" max="11004" width="26.7109375" style="116" customWidth="1"/>
    <col min="11005" max="11005" width="6.28515625" style="116" customWidth="1"/>
    <col min="11006" max="11006" width="6.7109375" style="116" customWidth="1"/>
    <col min="11007" max="11007" width="11.7109375" style="116" bestFit="1" customWidth="1"/>
    <col min="11008" max="11008" width="14" style="116" bestFit="1" customWidth="1"/>
    <col min="11009" max="11009" width="3.85546875" style="116" customWidth="1"/>
    <col min="11010" max="11010" width="3.42578125" style="116" customWidth="1"/>
    <col min="11011" max="11011" width="3.28515625" style="116" customWidth="1"/>
    <col min="11012" max="11012" width="3.140625" style="116" customWidth="1"/>
    <col min="11013" max="11013" width="3" style="116" customWidth="1"/>
    <col min="11014" max="11014" width="26.7109375" style="116" customWidth="1"/>
    <col min="11015" max="11015" width="6.28515625" style="116" customWidth="1"/>
    <col min="11016" max="11016" width="6.140625" style="116" customWidth="1"/>
    <col min="11017" max="11017" width="11.7109375" style="116" customWidth="1"/>
    <col min="11018" max="11018" width="14.7109375" style="116" customWidth="1"/>
    <col min="11019" max="11019" width="8.85546875" style="116"/>
    <col min="11020" max="11020" width="21" style="116" customWidth="1"/>
    <col min="11021" max="11253" width="8.85546875" style="116"/>
    <col min="11254" max="11254" width="1.5703125" style="116" customWidth="1"/>
    <col min="11255" max="11255" width="3.140625" style="116" customWidth="1"/>
    <col min="11256" max="11256" width="3.28515625" style="116" customWidth="1"/>
    <col min="11257" max="11257" width="3.140625" style="116" customWidth="1"/>
    <col min="11258" max="11258" width="2.85546875" style="116" customWidth="1"/>
    <col min="11259" max="11259" width="3.28515625" style="116" customWidth="1"/>
    <col min="11260" max="11260" width="26.7109375" style="116" customWidth="1"/>
    <col min="11261" max="11261" width="6.28515625" style="116" customWidth="1"/>
    <col min="11262" max="11262" width="6.7109375" style="116" customWidth="1"/>
    <col min="11263" max="11263" width="11.7109375" style="116" bestFit="1" customWidth="1"/>
    <col min="11264" max="11264" width="14" style="116" bestFit="1" customWidth="1"/>
    <col min="11265" max="11265" width="3.85546875" style="116" customWidth="1"/>
    <col min="11266" max="11266" width="3.42578125" style="116" customWidth="1"/>
    <col min="11267" max="11267" width="3.28515625" style="116" customWidth="1"/>
    <col min="11268" max="11268" width="3.140625" style="116" customWidth="1"/>
    <col min="11269" max="11269" width="3" style="116" customWidth="1"/>
    <col min="11270" max="11270" width="26.7109375" style="116" customWidth="1"/>
    <col min="11271" max="11271" width="6.28515625" style="116" customWidth="1"/>
    <col min="11272" max="11272" width="6.140625" style="116" customWidth="1"/>
    <col min="11273" max="11273" width="11.7109375" style="116" customWidth="1"/>
    <col min="11274" max="11274" width="14.7109375" style="116" customWidth="1"/>
    <col min="11275" max="11275" width="8.85546875" style="116"/>
    <col min="11276" max="11276" width="21" style="116" customWidth="1"/>
    <col min="11277" max="11509" width="8.85546875" style="116"/>
    <col min="11510" max="11510" width="1.5703125" style="116" customWidth="1"/>
    <col min="11511" max="11511" width="3.140625" style="116" customWidth="1"/>
    <col min="11512" max="11512" width="3.28515625" style="116" customWidth="1"/>
    <col min="11513" max="11513" width="3.140625" style="116" customWidth="1"/>
    <col min="11514" max="11514" width="2.85546875" style="116" customWidth="1"/>
    <col min="11515" max="11515" width="3.28515625" style="116" customWidth="1"/>
    <col min="11516" max="11516" width="26.7109375" style="116" customWidth="1"/>
    <col min="11517" max="11517" width="6.28515625" style="116" customWidth="1"/>
    <col min="11518" max="11518" width="6.7109375" style="116" customWidth="1"/>
    <col min="11519" max="11519" width="11.7109375" style="116" bestFit="1" customWidth="1"/>
    <col min="11520" max="11520" width="14" style="116" bestFit="1" customWidth="1"/>
    <col min="11521" max="11521" width="3.85546875" style="116" customWidth="1"/>
    <col min="11522" max="11522" width="3.42578125" style="116" customWidth="1"/>
    <col min="11523" max="11523" width="3.28515625" style="116" customWidth="1"/>
    <col min="11524" max="11524" width="3.140625" style="116" customWidth="1"/>
    <col min="11525" max="11525" width="3" style="116" customWidth="1"/>
    <col min="11526" max="11526" width="26.7109375" style="116" customWidth="1"/>
    <col min="11527" max="11527" width="6.28515625" style="116" customWidth="1"/>
    <col min="11528" max="11528" width="6.140625" style="116" customWidth="1"/>
    <col min="11529" max="11529" width="11.7109375" style="116" customWidth="1"/>
    <col min="11530" max="11530" width="14.7109375" style="116" customWidth="1"/>
    <col min="11531" max="11531" width="8.85546875" style="116"/>
    <col min="11532" max="11532" width="21" style="116" customWidth="1"/>
    <col min="11533" max="11765" width="8.85546875" style="116"/>
    <col min="11766" max="11766" width="1.5703125" style="116" customWidth="1"/>
    <col min="11767" max="11767" width="3.140625" style="116" customWidth="1"/>
    <col min="11768" max="11768" width="3.28515625" style="116" customWidth="1"/>
    <col min="11769" max="11769" width="3.140625" style="116" customWidth="1"/>
    <col min="11770" max="11770" width="2.85546875" style="116" customWidth="1"/>
    <col min="11771" max="11771" width="3.28515625" style="116" customWidth="1"/>
    <col min="11772" max="11772" width="26.7109375" style="116" customWidth="1"/>
    <col min="11773" max="11773" width="6.28515625" style="116" customWidth="1"/>
    <col min="11774" max="11774" width="6.7109375" style="116" customWidth="1"/>
    <col min="11775" max="11775" width="11.7109375" style="116" bestFit="1" customWidth="1"/>
    <col min="11776" max="11776" width="14" style="116" bestFit="1" customWidth="1"/>
    <col min="11777" max="11777" width="3.85546875" style="116" customWidth="1"/>
    <col min="11778" max="11778" width="3.42578125" style="116" customWidth="1"/>
    <col min="11779" max="11779" width="3.28515625" style="116" customWidth="1"/>
    <col min="11780" max="11780" width="3.140625" style="116" customWidth="1"/>
    <col min="11781" max="11781" width="3" style="116" customWidth="1"/>
    <col min="11782" max="11782" width="26.7109375" style="116" customWidth="1"/>
    <col min="11783" max="11783" width="6.28515625" style="116" customWidth="1"/>
    <col min="11784" max="11784" width="6.140625" style="116" customWidth="1"/>
    <col min="11785" max="11785" width="11.7109375" style="116" customWidth="1"/>
    <col min="11786" max="11786" width="14.7109375" style="116" customWidth="1"/>
    <col min="11787" max="11787" width="8.85546875" style="116"/>
    <col min="11788" max="11788" width="21" style="116" customWidth="1"/>
    <col min="11789" max="12021" width="8.85546875" style="116"/>
    <col min="12022" max="12022" width="1.5703125" style="116" customWidth="1"/>
    <col min="12023" max="12023" width="3.140625" style="116" customWidth="1"/>
    <col min="12024" max="12024" width="3.28515625" style="116" customWidth="1"/>
    <col min="12025" max="12025" width="3.140625" style="116" customWidth="1"/>
    <col min="12026" max="12026" width="2.85546875" style="116" customWidth="1"/>
    <col min="12027" max="12027" width="3.28515625" style="116" customWidth="1"/>
    <col min="12028" max="12028" width="26.7109375" style="116" customWidth="1"/>
    <col min="12029" max="12029" width="6.28515625" style="116" customWidth="1"/>
    <col min="12030" max="12030" width="6.7109375" style="116" customWidth="1"/>
    <col min="12031" max="12031" width="11.7109375" style="116" bestFit="1" customWidth="1"/>
    <col min="12032" max="12032" width="14" style="116" bestFit="1" customWidth="1"/>
    <col min="12033" max="12033" width="3.85546875" style="116" customWidth="1"/>
    <col min="12034" max="12034" width="3.42578125" style="116" customWidth="1"/>
    <col min="12035" max="12035" width="3.28515625" style="116" customWidth="1"/>
    <col min="12036" max="12036" width="3.140625" style="116" customWidth="1"/>
    <col min="12037" max="12037" width="3" style="116" customWidth="1"/>
    <col min="12038" max="12038" width="26.7109375" style="116" customWidth="1"/>
    <col min="12039" max="12039" width="6.28515625" style="116" customWidth="1"/>
    <col min="12040" max="12040" width="6.140625" style="116" customWidth="1"/>
    <col min="12041" max="12041" width="11.7109375" style="116" customWidth="1"/>
    <col min="12042" max="12042" width="14.7109375" style="116" customWidth="1"/>
    <col min="12043" max="12043" width="8.85546875" style="116"/>
    <col min="12044" max="12044" width="21" style="116" customWidth="1"/>
    <col min="12045" max="12277" width="8.85546875" style="116"/>
    <col min="12278" max="12278" width="1.5703125" style="116" customWidth="1"/>
    <col min="12279" max="12279" width="3.140625" style="116" customWidth="1"/>
    <col min="12280" max="12280" width="3.28515625" style="116" customWidth="1"/>
    <col min="12281" max="12281" width="3.140625" style="116" customWidth="1"/>
    <col min="12282" max="12282" width="2.85546875" style="116" customWidth="1"/>
    <col min="12283" max="12283" width="3.28515625" style="116" customWidth="1"/>
    <col min="12284" max="12284" width="26.7109375" style="116" customWidth="1"/>
    <col min="12285" max="12285" width="6.28515625" style="116" customWidth="1"/>
    <col min="12286" max="12286" width="6.7109375" style="116" customWidth="1"/>
    <col min="12287" max="12287" width="11.7109375" style="116" bestFit="1" customWidth="1"/>
    <col min="12288" max="12288" width="14" style="116" bestFit="1" customWidth="1"/>
    <col min="12289" max="12289" width="3.85546875" style="116" customWidth="1"/>
    <col min="12290" max="12290" width="3.42578125" style="116" customWidth="1"/>
    <col min="12291" max="12291" width="3.28515625" style="116" customWidth="1"/>
    <col min="12292" max="12292" width="3.140625" style="116" customWidth="1"/>
    <col min="12293" max="12293" width="3" style="116" customWidth="1"/>
    <col min="12294" max="12294" width="26.7109375" style="116" customWidth="1"/>
    <col min="12295" max="12295" width="6.28515625" style="116" customWidth="1"/>
    <col min="12296" max="12296" width="6.140625" style="116" customWidth="1"/>
    <col min="12297" max="12297" width="11.7109375" style="116" customWidth="1"/>
    <col min="12298" max="12298" width="14.7109375" style="116" customWidth="1"/>
    <col min="12299" max="12299" width="8.85546875" style="116"/>
    <col min="12300" max="12300" width="21" style="116" customWidth="1"/>
    <col min="12301" max="12533" width="8.85546875" style="116"/>
    <col min="12534" max="12534" width="1.5703125" style="116" customWidth="1"/>
    <col min="12535" max="12535" width="3.140625" style="116" customWidth="1"/>
    <col min="12536" max="12536" width="3.28515625" style="116" customWidth="1"/>
    <col min="12537" max="12537" width="3.140625" style="116" customWidth="1"/>
    <col min="12538" max="12538" width="2.85546875" style="116" customWidth="1"/>
    <col min="12539" max="12539" width="3.28515625" style="116" customWidth="1"/>
    <col min="12540" max="12540" width="26.7109375" style="116" customWidth="1"/>
    <col min="12541" max="12541" width="6.28515625" style="116" customWidth="1"/>
    <col min="12542" max="12542" width="6.7109375" style="116" customWidth="1"/>
    <col min="12543" max="12543" width="11.7109375" style="116" bestFit="1" customWidth="1"/>
    <col min="12544" max="12544" width="14" style="116" bestFit="1" customWidth="1"/>
    <col min="12545" max="12545" width="3.85546875" style="116" customWidth="1"/>
    <col min="12546" max="12546" width="3.42578125" style="116" customWidth="1"/>
    <col min="12547" max="12547" width="3.28515625" style="116" customWidth="1"/>
    <col min="12548" max="12548" width="3.140625" style="116" customWidth="1"/>
    <col min="12549" max="12549" width="3" style="116" customWidth="1"/>
    <col min="12550" max="12550" width="26.7109375" style="116" customWidth="1"/>
    <col min="12551" max="12551" width="6.28515625" style="116" customWidth="1"/>
    <col min="12552" max="12552" width="6.140625" style="116" customWidth="1"/>
    <col min="12553" max="12553" width="11.7109375" style="116" customWidth="1"/>
    <col min="12554" max="12554" width="14.7109375" style="116" customWidth="1"/>
    <col min="12555" max="12555" width="8.85546875" style="116"/>
    <col min="12556" max="12556" width="21" style="116" customWidth="1"/>
    <col min="12557" max="12789" width="8.85546875" style="116"/>
    <col min="12790" max="12790" width="1.5703125" style="116" customWidth="1"/>
    <col min="12791" max="12791" width="3.140625" style="116" customWidth="1"/>
    <col min="12792" max="12792" width="3.28515625" style="116" customWidth="1"/>
    <col min="12793" max="12793" width="3.140625" style="116" customWidth="1"/>
    <col min="12794" max="12794" width="2.85546875" style="116" customWidth="1"/>
    <col min="12795" max="12795" width="3.28515625" style="116" customWidth="1"/>
    <col min="12796" max="12796" width="26.7109375" style="116" customWidth="1"/>
    <col min="12797" max="12797" width="6.28515625" style="116" customWidth="1"/>
    <col min="12798" max="12798" width="6.7109375" style="116" customWidth="1"/>
    <col min="12799" max="12799" width="11.7109375" style="116" bestFit="1" customWidth="1"/>
    <col min="12800" max="12800" width="14" style="116" bestFit="1" customWidth="1"/>
    <col min="12801" max="12801" width="3.85546875" style="116" customWidth="1"/>
    <col min="12802" max="12802" width="3.42578125" style="116" customWidth="1"/>
    <col min="12803" max="12803" width="3.28515625" style="116" customWidth="1"/>
    <col min="12804" max="12804" width="3.140625" style="116" customWidth="1"/>
    <col min="12805" max="12805" width="3" style="116" customWidth="1"/>
    <col min="12806" max="12806" width="26.7109375" style="116" customWidth="1"/>
    <col min="12807" max="12807" width="6.28515625" style="116" customWidth="1"/>
    <col min="12808" max="12808" width="6.140625" style="116" customWidth="1"/>
    <col min="12809" max="12809" width="11.7109375" style="116" customWidth="1"/>
    <col min="12810" max="12810" width="14.7109375" style="116" customWidth="1"/>
    <col min="12811" max="12811" width="8.85546875" style="116"/>
    <col min="12812" max="12812" width="21" style="116" customWidth="1"/>
    <col min="12813" max="13045" width="8.85546875" style="116"/>
    <col min="13046" max="13046" width="1.5703125" style="116" customWidth="1"/>
    <col min="13047" max="13047" width="3.140625" style="116" customWidth="1"/>
    <col min="13048" max="13048" width="3.28515625" style="116" customWidth="1"/>
    <col min="13049" max="13049" width="3.140625" style="116" customWidth="1"/>
    <col min="13050" max="13050" width="2.85546875" style="116" customWidth="1"/>
    <col min="13051" max="13051" width="3.28515625" style="116" customWidth="1"/>
    <col min="13052" max="13052" width="26.7109375" style="116" customWidth="1"/>
    <col min="13053" max="13053" width="6.28515625" style="116" customWidth="1"/>
    <col min="13054" max="13054" width="6.7109375" style="116" customWidth="1"/>
    <col min="13055" max="13055" width="11.7109375" style="116" bestFit="1" customWidth="1"/>
    <col min="13056" max="13056" width="14" style="116" bestFit="1" customWidth="1"/>
    <col min="13057" max="13057" width="3.85546875" style="116" customWidth="1"/>
    <col min="13058" max="13058" width="3.42578125" style="116" customWidth="1"/>
    <col min="13059" max="13059" width="3.28515625" style="116" customWidth="1"/>
    <col min="13060" max="13060" width="3.140625" style="116" customWidth="1"/>
    <col min="13061" max="13061" width="3" style="116" customWidth="1"/>
    <col min="13062" max="13062" width="26.7109375" style="116" customWidth="1"/>
    <col min="13063" max="13063" width="6.28515625" style="116" customWidth="1"/>
    <col min="13064" max="13064" width="6.140625" style="116" customWidth="1"/>
    <col min="13065" max="13065" width="11.7109375" style="116" customWidth="1"/>
    <col min="13066" max="13066" width="14.7109375" style="116" customWidth="1"/>
    <col min="13067" max="13067" width="8.85546875" style="116"/>
    <col min="13068" max="13068" width="21" style="116" customWidth="1"/>
    <col min="13069" max="13301" width="8.85546875" style="116"/>
    <col min="13302" max="13302" width="1.5703125" style="116" customWidth="1"/>
    <col min="13303" max="13303" width="3.140625" style="116" customWidth="1"/>
    <col min="13304" max="13304" width="3.28515625" style="116" customWidth="1"/>
    <col min="13305" max="13305" width="3.140625" style="116" customWidth="1"/>
    <col min="13306" max="13306" width="2.85546875" style="116" customWidth="1"/>
    <col min="13307" max="13307" width="3.28515625" style="116" customWidth="1"/>
    <col min="13308" max="13308" width="26.7109375" style="116" customWidth="1"/>
    <col min="13309" max="13309" width="6.28515625" style="116" customWidth="1"/>
    <col min="13310" max="13310" width="6.7109375" style="116" customWidth="1"/>
    <col min="13311" max="13311" width="11.7109375" style="116" bestFit="1" customWidth="1"/>
    <col min="13312" max="13312" width="14" style="116" bestFit="1" customWidth="1"/>
    <col min="13313" max="13313" width="3.85546875" style="116" customWidth="1"/>
    <col min="13314" max="13314" width="3.42578125" style="116" customWidth="1"/>
    <col min="13315" max="13315" width="3.28515625" style="116" customWidth="1"/>
    <col min="13316" max="13316" width="3.140625" style="116" customWidth="1"/>
    <col min="13317" max="13317" width="3" style="116" customWidth="1"/>
    <col min="13318" max="13318" width="26.7109375" style="116" customWidth="1"/>
    <col min="13319" max="13319" width="6.28515625" style="116" customWidth="1"/>
    <col min="13320" max="13320" width="6.140625" style="116" customWidth="1"/>
    <col min="13321" max="13321" width="11.7109375" style="116" customWidth="1"/>
    <col min="13322" max="13322" width="14.7109375" style="116" customWidth="1"/>
    <col min="13323" max="13323" width="8.85546875" style="116"/>
    <col min="13324" max="13324" width="21" style="116" customWidth="1"/>
    <col min="13325" max="13557" width="8.85546875" style="116"/>
    <col min="13558" max="13558" width="1.5703125" style="116" customWidth="1"/>
    <col min="13559" max="13559" width="3.140625" style="116" customWidth="1"/>
    <col min="13560" max="13560" width="3.28515625" style="116" customWidth="1"/>
    <col min="13561" max="13561" width="3.140625" style="116" customWidth="1"/>
    <col min="13562" max="13562" width="2.85546875" style="116" customWidth="1"/>
    <col min="13563" max="13563" width="3.28515625" style="116" customWidth="1"/>
    <col min="13564" max="13564" width="26.7109375" style="116" customWidth="1"/>
    <col min="13565" max="13565" width="6.28515625" style="116" customWidth="1"/>
    <col min="13566" max="13566" width="6.7109375" style="116" customWidth="1"/>
    <col min="13567" max="13567" width="11.7109375" style="116" bestFit="1" customWidth="1"/>
    <col min="13568" max="13568" width="14" style="116" bestFit="1" customWidth="1"/>
    <col min="13569" max="13569" width="3.85546875" style="116" customWidth="1"/>
    <col min="13570" max="13570" width="3.42578125" style="116" customWidth="1"/>
    <col min="13571" max="13571" width="3.28515625" style="116" customWidth="1"/>
    <col min="13572" max="13572" width="3.140625" style="116" customWidth="1"/>
    <col min="13573" max="13573" width="3" style="116" customWidth="1"/>
    <col min="13574" max="13574" width="26.7109375" style="116" customWidth="1"/>
    <col min="13575" max="13575" width="6.28515625" style="116" customWidth="1"/>
    <col min="13576" max="13576" width="6.140625" style="116" customWidth="1"/>
    <col min="13577" max="13577" width="11.7109375" style="116" customWidth="1"/>
    <col min="13578" max="13578" width="14.7109375" style="116" customWidth="1"/>
    <col min="13579" max="13579" width="8.85546875" style="116"/>
    <col min="13580" max="13580" width="21" style="116" customWidth="1"/>
    <col min="13581" max="13813" width="8.85546875" style="116"/>
    <col min="13814" max="13814" width="1.5703125" style="116" customWidth="1"/>
    <col min="13815" max="13815" width="3.140625" style="116" customWidth="1"/>
    <col min="13816" max="13816" width="3.28515625" style="116" customWidth="1"/>
    <col min="13817" max="13817" width="3.140625" style="116" customWidth="1"/>
    <col min="13818" max="13818" width="2.85546875" style="116" customWidth="1"/>
    <col min="13819" max="13819" width="3.28515625" style="116" customWidth="1"/>
    <col min="13820" max="13820" width="26.7109375" style="116" customWidth="1"/>
    <col min="13821" max="13821" width="6.28515625" style="116" customWidth="1"/>
    <col min="13822" max="13822" width="6.7109375" style="116" customWidth="1"/>
    <col min="13823" max="13823" width="11.7109375" style="116" bestFit="1" customWidth="1"/>
    <col min="13824" max="13824" width="14" style="116" bestFit="1" customWidth="1"/>
    <col min="13825" max="13825" width="3.85546875" style="116" customWidth="1"/>
    <col min="13826" max="13826" width="3.42578125" style="116" customWidth="1"/>
    <col min="13827" max="13827" width="3.28515625" style="116" customWidth="1"/>
    <col min="13828" max="13828" width="3.140625" style="116" customWidth="1"/>
    <col min="13829" max="13829" width="3" style="116" customWidth="1"/>
    <col min="13830" max="13830" width="26.7109375" style="116" customWidth="1"/>
    <col min="13831" max="13831" width="6.28515625" style="116" customWidth="1"/>
    <col min="13832" max="13832" width="6.140625" style="116" customWidth="1"/>
    <col min="13833" max="13833" width="11.7109375" style="116" customWidth="1"/>
    <col min="13834" max="13834" width="14.7109375" style="116" customWidth="1"/>
    <col min="13835" max="13835" width="8.85546875" style="116"/>
    <col min="13836" max="13836" width="21" style="116" customWidth="1"/>
    <col min="13837" max="14069" width="8.85546875" style="116"/>
    <col min="14070" max="14070" width="1.5703125" style="116" customWidth="1"/>
    <col min="14071" max="14071" width="3.140625" style="116" customWidth="1"/>
    <col min="14072" max="14072" width="3.28515625" style="116" customWidth="1"/>
    <col min="14073" max="14073" width="3.140625" style="116" customWidth="1"/>
    <col min="14074" max="14074" width="2.85546875" style="116" customWidth="1"/>
    <col min="14075" max="14075" width="3.28515625" style="116" customWidth="1"/>
    <col min="14076" max="14076" width="26.7109375" style="116" customWidth="1"/>
    <col min="14077" max="14077" width="6.28515625" style="116" customWidth="1"/>
    <col min="14078" max="14078" width="6.7109375" style="116" customWidth="1"/>
    <col min="14079" max="14079" width="11.7109375" style="116" bestFit="1" customWidth="1"/>
    <col min="14080" max="14080" width="14" style="116" bestFit="1" customWidth="1"/>
    <col min="14081" max="14081" width="3.85546875" style="116" customWidth="1"/>
    <col min="14082" max="14082" width="3.42578125" style="116" customWidth="1"/>
    <col min="14083" max="14083" width="3.28515625" style="116" customWidth="1"/>
    <col min="14084" max="14084" width="3.140625" style="116" customWidth="1"/>
    <col min="14085" max="14085" width="3" style="116" customWidth="1"/>
    <col min="14086" max="14086" width="26.7109375" style="116" customWidth="1"/>
    <col min="14087" max="14087" width="6.28515625" style="116" customWidth="1"/>
    <col min="14088" max="14088" width="6.140625" style="116" customWidth="1"/>
    <col min="14089" max="14089" width="11.7109375" style="116" customWidth="1"/>
    <col min="14090" max="14090" width="14.7109375" style="116" customWidth="1"/>
    <col min="14091" max="14091" width="8.85546875" style="116"/>
    <col min="14092" max="14092" width="21" style="116" customWidth="1"/>
    <col min="14093" max="14325" width="8.85546875" style="116"/>
    <col min="14326" max="14326" width="1.5703125" style="116" customWidth="1"/>
    <col min="14327" max="14327" width="3.140625" style="116" customWidth="1"/>
    <col min="14328" max="14328" width="3.28515625" style="116" customWidth="1"/>
    <col min="14329" max="14329" width="3.140625" style="116" customWidth="1"/>
    <col min="14330" max="14330" width="2.85546875" style="116" customWidth="1"/>
    <col min="14331" max="14331" width="3.28515625" style="116" customWidth="1"/>
    <col min="14332" max="14332" width="26.7109375" style="116" customWidth="1"/>
    <col min="14333" max="14333" width="6.28515625" style="116" customWidth="1"/>
    <col min="14334" max="14334" width="6.7109375" style="116" customWidth="1"/>
    <col min="14335" max="14335" width="11.7109375" style="116" bestFit="1" customWidth="1"/>
    <col min="14336" max="14336" width="14" style="116" bestFit="1" customWidth="1"/>
    <col min="14337" max="14337" width="3.85546875" style="116" customWidth="1"/>
    <col min="14338" max="14338" width="3.42578125" style="116" customWidth="1"/>
    <col min="14339" max="14339" width="3.28515625" style="116" customWidth="1"/>
    <col min="14340" max="14340" width="3.140625" style="116" customWidth="1"/>
    <col min="14341" max="14341" width="3" style="116" customWidth="1"/>
    <col min="14342" max="14342" width="26.7109375" style="116" customWidth="1"/>
    <col min="14343" max="14343" width="6.28515625" style="116" customWidth="1"/>
    <col min="14344" max="14344" width="6.140625" style="116" customWidth="1"/>
    <col min="14345" max="14345" width="11.7109375" style="116" customWidth="1"/>
    <col min="14346" max="14346" width="14.7109375" style="116" customWidth="1"/>
    <col min="14347" max="14347" width="8.85546875" style="116"/>
    <col min="14348" max="14348" width="21" style="116" customWidth="1"/>
    <col min="14349" max="14581" width="8.85546875" style="116"/>
    <col min="14582" max="14582" width="1.5703125" style="116" customWidth="1"/>
    <col min="14583" max="14583" width="3.140625" style="116" customWidth="1"/>
    <col min="14584" max="14584" width="3.28515625" style="116" customWidth="1"/>
    <col min="14585" max="14585" width="3.140625" style="116" customWidth="1"/>
    <col min="14586" max="14586" width="2.85546875" style="116" customWidth="1"/>
    <col min="14587" max="14587" width="3.28515625" style="116" customWidth="1"/>
    <col min="14588" max="14588" width="26.7109375" style="116" customWidth="1"/>
    <col min="14589" max="14589" width="6.28515625" style="116" customWidth="1"/>
    <col min="14590" max="14590" width="6.7109375" style="116" customWidth="1"/>
    <col min="14591" max="14591" width="11.7109375" style="116" bestFit="1" customWidth="1"/>
    <col min="14592" max="14592" width="14" style="116" bestFit="1" customWidth="1"/>
    <col min="14593" max="14593" width="3.85546875" style="116" customWidth="1"/>
    <col min="14594" max="14594" width="3.42578125" style="116" customWidth="1"/>
    <col min="14595" max="14595" width="3.28515625" style="116" customWidth="1"/>
    <col min="14596" max="14596" width="3.140625" style="116" customWidth="1"/>
    <col min="14597" max="14597" width="3" style="116" customWidth="1"/>
    <col min="14598" max="14598" width="26.7109375" style="116" customWidth="1"/>
    <col min="14599" max="14599" width="6.28515625" style="116" customWidth="1"/>
    <col min="14600" max="14600" width="6.140625" style="116" customWidth="1"/>
    <col min="14601" max="14601" width="11.7109375" style="116" customWidth="1"/>
    <col min="14602" max="14602" width="14.7109375" style="116" customWidth="1"/>
    <col min="14603" max="14603" width="8.85546875" style="116"/>
    <col min="14604" max="14604" width="21" style="116" customWidth="1"/>
    <col min="14605" max="14837" width="8.85546875" style="116"/>
    <col min="14838" max="14838" width="1.5703125" style="116" customWidth="1"/>
    <col min="14839" max="14839" width="3.140625" style="116" customWidth="1"/>
    <col min="14840" max="14840" width="3.28515625" style="116" customWidth="1"/>
    <col min="14841" max="14841" width="3.140625" style="116" customWidth="1"/>
    <col min="14842" max="14842" width="2.85546875" style="116" customWidth="1"/>
    <col min="14843" max="14843" width="3.28515625" style="116" customWidth="1"/>
    <col min="14844" max="14844" width="26.7109375" style="116" customWidth="1"/>
    <col min="14845" max="14845" width="6.28515625" style="116" customWidth="1"/>
    <col min="14846" max="14846" width="6.7109375" style="116" customWidth="1"/>
    <col min="14847" max="14847" width="11.7109375" style="116" bestFit="1" customWidth="1"/>
    <col min="14848" max="14848" width="14" style="116" bestFit="1" customWidth="1"/>
    <col min="14849" max="14849" width="3.85546875" style="116" customWidth="1"/>
    <col min="14850" max="14850" width="3.42578125" style="116" customWidth="1"/>
    <col min="14851" max="14851" width="3.28515625" style="116" customWidth="1"/>
    <col min="14852" max="14852" width="3.140625" style="116" customWidth="1"/>
    <col min="14853" max="14853" width="3" style="116" customWidth="1"/>
    <col min="14854" max="14854" width="26.7109375" style="116" customWidth="1"/>
    <col min="14855" max="14855" width="6.28515625" style="116" customWidth="1"/>
    <col min="14856" max="14856" width="6.140625" style="116" customWidth="1"/>
    <col min="14857" max="14857" width="11.7109375" style="116" customWidth="1"/>
    <col min="14858" max="14858" width="14.7109375" style="116" customWidth="1"/>
    <col min="14859" max="14859" width="8.85546875" style="116"/>
    <col min="14860" max="14860" width="21" style="116" customWidth="1"/>
    <col min="14861" max="15093" width="8.85546875" style="116"/>
    <col min="15094" max="15094" width="1.5703125" style="116" customWidth="1"/>
    <col min="15095" max="15095" width="3.140625" style="116" customWidth="1"/>
    <col min="15096" max="15096" width="3.28515625" style="116" customWidth="1"/>
    <col min="15097" max="15097" width="3.140625" style="116" customWidth="1"/>
    <col min="15098" max="15098" width="2.85546875" style="116" customWidth="1"/>
    <col min="15099" max="15099" width="3.28515625" style="116" customWidth="1"/>
    <col min="15100" max="15100" width="26.7109375" style="116" customWidth="1"/>
    <col min="15101" max="15101" width="6.28515625" style="116" customWidth="1"/>
    <col min="15102" max="15102" width="6.7109375" style="116" customWidth="1"/>
    <col min="15103" max="15103" width="11.7109375" style="116" bestFit="1" customWidth="1"/>
    <col min="15104" max="15104" width="14" style="116" bestFit="1" customWidth="1"/>
    <col min="15105" max="15105" width="3.85546875" style="116" customWidth="1"/>
    <col min="15106" max="15106" width="3.42578125" style="116" customWidth="1"/>
    <col min="15107" max="15107" width="3.28515625" style="116" customWidth="1"/>
    <col min="15108" max="15108" width="3.140625" style="116" customWidth="1"/>
    <col min="15109" max="15109" width="3" style="116" customWidth="1"/>
    <col min="15110" max="15110" width="26.7109375" style="116" customWidth="1"/>
    <col min="15111" max="15111" width="6.28515625" style="116" customWidth="1"/>
    <col min="15112" max="15112" width="6.140625" style="116" customWidth="1"/>
    <col min="15113" max="15113" width="11.7109375" style="116" customWidth="1"/>
    <col min="15114" max="15114" width="14.7109375" style="116" customWidth="1"/>
    <col min="15115" max="15115" width="8.85546875" style="116"/>
    <col min="15116" max="15116" width="21" style="116" customWidth="1"/>
    <col min="15117" max="15349" width="8.85546875" style="116"/>
    <col min="15350" max="15350" width="1.5703125" style="116" customWidth="1"/>
    <col min="15351" max="15351" width="3.140625" style="116" customWidth="1"/>
    <col min="15352" max="15352" width="3.28515625" style="116" customWidth="1"/>
    <col min="15353" max="15353" width="3.140625" style="116" customWidth="1"/>
    <col min="15354" max="15354" width="2.85546875" style="116" customWidth="1"/>
    <col min="15355" max="15355" width="3.28515625" style="116" customWidth="1"/>
    <col min="15356" max="15356" width="26.7109375" style="116" customWidth="1"/>
    <col min="15357" max="15357" width="6.28515625" style="116" customWidth="1"/>
    <col min="15358" max="15358" width="6.7109375" style="116" customWidth="1"/>
    <col min="15359" max="15359" width="11.7109375" style="116" bestFit="1" customWidth="1"/>
    <col min="15360" max="15360" width="14" style="116" bestFit="1" customWidth="1"/>
    <col min="15361" max="15361" width="3.85546875" style="116" customWidth="1"/>
    <col min="15362" max="15362" width="3.42578125" style="116" customWidth="1"/>
    <col min="15363" max="15363" width="3.28515625" style="116" customWidth="1"/>
    <col min="15364" max="15364" width="3.140625" style="116" customWidth="1"/>
    <col min="15365" max="15365" width="3" style="116" customWidth="1"/>
    <col min="15366" max="15366" width="26.7109375" style="116" customWidth="1"/>
    <col min="15367" max="15367" width="6.28515625" style="116" customWidth="1"/>
    <col min="15368" max="15368" width="6.140625" style="116" customWidth="1"/>
    <col min="15369" max="15369" width="11.7109375" style="116" customWidth="1"/>
    <col min="15370" max="15370" width="14.7109375" style="116" customWidth="1"/>
    <col min="15371" max="15371" width="8.85546875" style="116"/>
    <col min="15372" max="15372" width="21" style="116" customWidth="1"/>
    <col min="15373" max="15605" width="8.85546875" style="116"/>
    <col min="15606" max="15606" width="1.5703125" style="116" customWidth="1"/>
    <col min="15607" max="15607" width="3.140625" style="116" customWidth="1"/>
    <col min="15608" max="15608" width="3.28515625" style="116" customWidth="1"/>
    <col min="15609" max="15609" width="3.140625" style="116" customWidth="1"/>
    <col min="15610" max="15610" width="2.85546875" style="116" customWidth="1"/>
    <col min="15611" max="15611" width="3.28515625" style="116" customWidth="1"/>
    <col min="15612" max="15612" width="26.7109375" style="116" customWidth="1"/>
    <col min="15613" max="15613" width="6.28515625" style="116" customWidth="1"/>
    <col min="15614" max="15614" width="6.7109375" style="116" customWidth="1"/>
    <col min="15615" max="15615" width="11.7109375" style="116" bestFit="1" customWidth="1"/>
    <col min="15616" max="15616" width="14" style="116" bestFit="1" customWidth="1"/>
    <col min="15617" max="15617" width="3.85546875" style="116" customWidth="1"/>
    <col min="15618" max="15618" width="3.42578125" style="116" customWidth="1"/>
    <col min="15619" max="15619" width="3.28515625" style="116" customWidth="1"/>
    <col min="15620" max="15620" width="3.140625" style="116" customWidth="1"/>
    <col min="15621" max="15621" width="3" style="116" customWidth="1"/>
    <col min="15622" max="15622" width="26.7109375" style="116" customWidth="1"/>
    <col min="15623" max="15623" width="6.28515625" style="116" customWidth="1"/>
    <col min="15624" max="15624" width="6.140625" style="116" customWidth="1"/>
    <col min="15625" max="15625" width="11.7109375" style="116" customWidth="1"/>
    <col min="15626" max="15626" width="14.7109375" style="116" customWidth="1"/>
    <col min="15627" max="15627" width="8.85546875" style="116"/>
    <col min="15628" max="15628" width="21" style="116" customWidth="1"/>
    <col min="15629" max="15861" width="8.85546875" style="116"/>
    <col min="15862" max="15862" width="1.5703125" style="116" customWidth="1"/>
    <col min="15863" max="15863" width="3.140625" style="116" customWidth="1"/>
    <col min="15864" max="15864" width="3.28515625" style="116" customWidth="1"/>
    <col min="15865" max="15865" width="3.140625" style="116" customWidth="1"/>
    <col min="15866" max="15866" width="2.85546875" style="116" customWidth="1"/>
    <col min="15867" max="15867" width="3.28515625" style="116" customWidth="1"/>
    <col min="15868" max="15868" width="26.7109375" style="116" customWidth="1"/>
    <col min="15869" max="15869" width="6.28515625" style="116" customWidth="1"/>
    <col min="15870" max="15870" width="6.7109375" style="116" customWidth="1"/>
    <col min="15871" max="15871" width="11.7109375" style="116" bestFit="1" customWidth="1"/>
    <col min="15872" max="15872" width="14" style="116" bestFit="1" customWidth="1"/>
    <col min="15873" max="15873" width="3.85546875" style="116" customWidth="1"/>
    <col min="15874" max="15874" width="3.42578125" style="116" customWidth="1"/>
    <col min="15875" max="15875" width="3.28515625" style="116" customWidth="1"/>
    <col min="15876" max="15876" width="3.140625" style="116" customWidth="1"/>
    <col min="15877" max="15877" width="3" style="116" customWidth="1"/>
    <col min="15878" max="15878" width="26.7109375" style="116" customWidth="1"/>
    <col min="15879" max="15879" width="6.28515625" style="116" customWidth="1"/>
    <col min="15880" max="15880" width="6.140625" style="116" customWidth="1"/>
    <col min="15881" max="15881" width="11.7109375" style="116" customWidth="1"/>
    <col min="15882" max="15882" width="14.7109375" style="116" customWidth="1"/>
    <col min="15883" max="15883" width="8.85546875" style="116"/>
    <col min="15884" max="15884" width="21" style="116" customWidth="1"/>
    <col min="15885" max="16117" width="8.85546875" style="116"/>
    <col min="16118" max="16118" width="1.5703125" style="116" customWidth="1"/>
    <col min="16119" max="16119" width="3.140625" style="116" customWidth="1"/>
    <col min="16120" max="16120" width="3.28515625" style="116" customWidth="1"/>
    <col min="16121" max="16121" width="3.140625" style="116" customWidth="1"/>
    <col min="16122" max="16122" width="2.85546875" style="116" customWidth="1"/>
    <col min="16123" max="16123" width="3.28515625" style="116" customWidth="1"/>
    <col min="16124" max="16124" width="26.7109375" style="116" customWidth="1"/>
    <col min="16125" max="16125" width="6.28515625" style="116" customWidth="1"/>
    <col min="16126" max="16126" width="6.7109375" style="116" customWidth="1"/>
    <col min="16127" max="16127" width="11.7109375" style="116" bestFit="1" customWidth="1"/>
    <col min="16128" max="16128" width="14" style="116" bestFit="1" customWidth="1"/>
    <col min="16129" max="16129" width="3.85546875" style="116" customWidth="1"/>
    <col min="16130" max="16130" width="3.42578125" style="116" customWidth="1"/>
    <col min="16131" max="16131" width="3.28515625" style="116" customWidth="1"/>
    <col min="16132" max="16132" width="3.140625" style="116" customWidth="1"/>
    <col min="16133" max="16133" width="3" style="116" customWidth="1"/>
    <col min="16134" max="16134" width="26.7109375" style="116" customWidth="1"/>
    <col min="16135" max="16135" width="6.28515625" style="116" customWidth="1"/>
    <col min="16136" max="16136" width="6.140625" style="116" customWidth="1"/>
    <col min="16137" max="16137" width="11.7109375" style="116" customWidth="1"/>
    <col min="16138" max="16138" width="14.7109375" style="116" customWidth="1"/>
    <col min="16139" max="16139" width="8.85546875" style="116"/>
    <col min="16140" max="16140" width="21" style="116" customWidth="1"/>
    <col min="16141" max="16384" width="8.85546875" style="116"/>
  </cols>
  <sheetData>
    <row r="1" spans="2:12" ht="17.25" thickTop="1" thickBot="1">
      <c r="B1" s="3050"/>
      <c r="C1" s="3051"/>
      <c r="D1" s="3052"/>
      <c r="E1" s="3052"/>
      <c r="F1" s="3052"/>
      <c r="G1" s="3052"/>
      <c r="H1" s="3052"/>
      <c r="I1" s="3052"/>
      <c r="J1" s="3053"/>
    </row>
    <row r="2" spans="2:12" ht="17.25" customHeight="1" thickTop="1">
      <c r="B2" s="3054" t="s">
        <v>274</v>
      </c>
      <c r="C2" s="3055"/>
      <c r="D2" s="3055"/>
      <c r="E2" s="3055"/>
      <c r="F2" s="3055"/>
      <c r="G2" s="3055"/>
      <c r="H2" s="3055"/>
      <c r="I2" s="3055"/>
      <c r="J2" s="3056"/>
    </row>
    <row r="3" spans="2:12" ht="16.5" customHeight="1">
      <c r="B3" s="3057" t="s">
        <v>2</v>
      </c>
      <c r="C3" s="3058"/>
      <c r="D3" s="3058"/>
      <c r="E3" s="3058"/>
      <c r="F3" s="3058"/>
      <c r="G3" s="3058"/>
      <c r="H3" s="3058"/>
      <c r="I3" s="3058"/>
      <c r="J3" s="3059"/>
    </row>
    <row r="4" spans="2:12" ht="16.5" customHeight="1">
      <c r="B4" s="3060" t="s">
        <v>153</v>
      </c>
      <c r="C4" s="3061"/>
      <c r="D4" s="3061"/>
      <c r="E4" s="3061"/>
      <c r="F4" s="3061"/>
      <c r="G4" s="3061"/>
      <c r="H4" s="3061"/>
      <c r="I4" s="3061"/>
      <c r="J4" s="3062"/>
    </row>
    <row r="5" spans="2:12" ht="15" customHeight="1">
      <c r="B5" s="3063" t="s">
        <v>1150</v>
      </c>
      <c r="C5" s="3064"/>
      <c r="D5" s="3064"/>
      <c r="E5" s="3064"/>
      <c r="F5" s="3064"/>
      <c r="G5" s="3064"/>
      <c r="H5" s="3064"/>
      <c r="I5" s="3064"/>
      <c r="J5" s="3065"/>
    </row>
    <row r="6" spans="2:12">
      <c r="B6" s="3047" t="s">
        <v>52</v>
      </c>
      <c r="C6" s="3048"/>
      <c r="D6" s="3048"/>
      <c r="E6" s="3048"/>
      <c r="F6" s="3048" t="s">
        <v>71</v>
      </c>
      <c r="G6" s="3048"/>
      <c r="H6" s="3048"/>
      <c r="I6" s="3048"/>
      <c r="J6" s="3049"/>
    </row>
    <row r="7" spans="2:12">
      <c r="B7" s="3072" t="s">
        <v>53</v>
      </c>
      <c r="C7" s="3073"/>
      <c r="D7" s="3073"/>
      <c r="E7" s="3073"/>
      <c r="F7" s="3073" t="s">
        <v>39</v>
      </c>
      <c r="G7" s="3073"/>
      <c r="H7" s="3073"/>
      <c r="I7" s="3073"/>
      <c r="J7" s="3074"/>
    </row>
    <row r="8" spans="2:12" ht="15.75">
      <c r="B8" s="3075" t="s">
        <v>154</v>
      </c>
      <c r="C8" s="3076"/>
      <c r="D8" s="3076"/>
      <c r="E8" s="3076"/>
      <c r="F8" s="3076"/>
      <c r="G8" s="3076"/>
      <c r="H8" s="3076"/>
      <c r="I8" s="3076"/>
      <c r="J8" s="3077"/>
    </row>
    <row r="9" spans="2:12" ht="15.75">
      <c r="B9" s="3078" t="s">
        <v>156</v>
      </c>
      <c r="C9" s="3079"/>
      <c r="D9" s="3079"/>
      <c r="E9" s="3079"/>
      <c r="F9" s="3079"/>
      <c r="G9" s="3079"/>
      <c r="H9" s="3079"/>
      <c r="I9" s="3079"/>
      <c r="J9" s="3080"/>
    </row>
    <row r="10" spans="2:12" ht="15" customHeight="1">
      <c r="B10" s="3075" t="s">
        <v>157</v>
      </c>
      <c r="C10" s="3076"/>
      <c r="D10" s="3076"/>
      <c r="E10" s="3081"/>
      <c r="F10" s="3083" t="s">
        <v>15</v>
      </c>
      <c r="G10" s="3086" t="s">
        <v>343</v>
      </c>
      <c r="H10" s="3086" t="s">
        <v>344</v>
      </c>
      <c r="I10" s="3086" t="s">
        <v>345</v>
      </c>
      <c r="J10" s="3089" t="s">
        <v>155</v>
      </c>
    </row>
    <row r="11" spans="2:12" ht="15" customHeight="1">
      <c r="B11" s="3078"/>
      <c r="C11" s="3079"/>
      <c r="D11" s="3079"/>
      <c r="E11" s="3082"/>
      <c r="F11" s="3084"/>
      <c r="G11" s="3087"/>
      <c r="H11" s="3087"/>
      <c r="I11" s="3087"/>
      <c r="J11" s="3090"/>
    </row>
    <row r="12" spans="2:12" ht="15.75" customHeight="1">
      <c r="B12" s="3092" t="s">
        <v>33</v>
      </c>
      <c r="C12" s="3093"/>
      <c r="D12" s="3094" t="s">
        <v>147</v>
      </c>
      <c r="E12" s="3081"/>
      <c r="F12" s="3084"/>
      <c r="G12" s="3087"/>
      <c r="H12" s="3087"/>
      <c r="I12" s="3087"/>
      <c r="J12" s="3090"/>
    </row>
    <row r="13" spans="2:12" ht="15.75" customHeight="1">
      <c r="B13" s="3078"/>
      <c r="C13" s="3079"/>
      <c r="D13" s="3095"/>
      <c r="E13" s="3082"/>
      <c r="F13" s="3085"/>
      <c r="G13" s="3088"/>
      <c r="H13" s="3088"/>
      <c r="I13" s="3088"/>
      <c r="J13" s="3091"/>
    </row>
    <row r="14" spans="2:12" ht="15.75">
      <c r="B14" s="3066">
        <v>1</v>
      </c>
      <c r="C14" s="3067"/>
      <c r="D14" s="3068">
        <v>2</v>
      </c>
      <c r="E14" s="3069"/>
      <c r="F14" s="677">
        <v>3</v>
      </c>
      <c r="G14" s="678">
        <v>4</v>
      </c>
      <c r="H14" s="678">
        <v>5</v>
      </c>
      <c r="I14" s="678">
        <v>6</v>
      </c>
      <c r="J14" s="679">
        <v>7</v>
      </c>
    </row>
    <row r="15" spans="2:12" ht="15.75">
      <c r="B15" s="980"/>
      <c r="C15" s="981"/>
      <c r="D15" s="982"/>
      <c r="E15" s="983"/>
      <c r="F15" s="680" t="s">
        <v>139</v>
      </c>
      <c r="G15" s="681">
        <v>25371011880</v>
      </c>
      <c r="H15" s="681"/>
      <c r="I15" s="681"/>
      <c r="J15" s="682">
        <f>SUM(G15:I15)</f>
        <v>25371011880</v>
      </c>
      <c r="K15" s="156">
        <f>PPAS!G11</f>
        <v>25371011880</v>
      </c>
      <c r="L15" s="117">
        <f>J15-K15</f>
        <v>0</v>
      </c>
    </row>
    <row r="16" spans="2:12" ht="15.75">
      <c r="B16" s="980"/>
      <c r="C16" s="981"/>
      <c r="D16" s="982"/>
      <c r="E16" s="983"/>
      <c r="F16" s="677"/>
      <c r="G16" s="681"/>
      <c r="H16" s="681"/>
      <c r="I16" s="681"/>
      <c r="J16" s="683"/>
      <c r="K16" s="156"/>
      <c r="L16" s="117">
        <f t="shared" ref="L16:L73" si="0">J16-K16</f>
        <v>0</v>
      </c>
    </row>
    <row r="17" spans="2:14" ht="15.75">
      <c r="B17" s="340">
        <v>0</v>
      </c>
      <c r="C17" s="684">
        <v>1</v>
      </c>
      <c r="D17" s="684"/>
      <c r="E17" s="684"/>
      <c r="F17" s="680" t="s">
        <v>159</v>
      </c>
      <c r="G17" s="685">
        <f>SUM(G18:G28)</f>
        <v>1435036000</v>
      </c>
      <c r="H17" s="685">
        <f>SUM(H18:H28)</f>
        <v>4487754452</v>
      </c>
      <c r="I17" s="685">
        <f>SUM(I18:I28)</f>
        <v>490030500</v>
      </c>
      <c r="J17" s="686">
        <f>SUM(J18:J28)</f>
        <v>6412820952</v>
      </c>
      <c r="K17" s="686">
        <f>SUM(K18:K28)</f>
        <v>6412820952</v>
      </c>
      <c r="L17" s="117">
        <f t="shared" si="0"/>
        <v>0</v>
      </c>
    </row>
    <row r="18" spans="2:14" ht="15.75">
      <c r="B18" s="340"/>
      <c r="C18" s="684"/>
      <c r="D18" s="687">
        <v>0</v>
      </c>
      <c r="E18" s="687">
        <v>1</v>
      </c>
      <c r="F18" s="688" t="s">
        <v>160</v>
      </c>
      <c r="G18" s="689"/>
      <c r="H18" s="689">
        <f>Surat!K25</f>
        <v>8000000</v>
      </c>
      <c r="I18" s="689"/>
      <c r="J18" s="690">
        <f>SUM(G18:I18)</f>
        <v>8000000</v>
      </c>
      <c r="K18" s="156">
        <f>PPAS!G14</f>
        <v>8000000</v>
      </c>
      <c r="L18" s="117">
        <f t="shared" si="0"/>
        <v>0</v>
      </c>
    </row>
    <row r="19" spans="2:14" ht="15.75">
      <c r="B19" s="340"/>
      <c r="C19" s="684"/>
      <c r="D19" s="687">
        <v>0</v>
      </c>
      <c r="E19" s="687">
        <v>2</v>
      </c>
      <c r="F19" s="688" t="s">
        <v>161</v>
      </c>
      <c r="G19" s="689"/>
      <c r="H19" s="689">
        <f>Komunikasi!K25</f>
        <v>1786721246</v>
      </c>
      <c r="I19" s="689"/>
      <c r="J19" s="690">
        <f t="shared" ref="J19:J28" si="1">SUM(G19:I19)</f>
        <v>1786721246</v>
      </c>
      <c r="K19" s="156">
        <f>PPAS!G15</f>
        <v>1786721246</v>
      </c>
      <c r="L19" s="117">
        <f t="shared" si="0"/>
        <v>0</v>
      </c>
    </row>
    <row r="20" spans="2:14" ht="15.75">
      <c r="B20" s="340"/>
      <c r="C20" s="684"/>
      <c r="D20" s="691">
        <v>0</v>
      </c>
      <c r="E20" s="687">
        <v>8</v>
      </c>
      <c r="F20" s="688" t="s">
        <v>162</v>
      </c>
      <c r="G20" s="689"/>
      <c r="H20" s="150">
        <f>Kebersihan!K25</f>
        <v>1744889000</v>
      </c>
      <c r="I20" s="689"/>
      <c r="J20" s="690">
        <f t="shared" si="1"/>
        <v>1744889000</v>
      </c>
      <c r="K20" s="156">
        <f>PPAS!G16</f>
        <v>1744889000</v>
      </c>
      <c r="L20" s="117">
        <f t="shared" si="0"/>
        <v>0</v>
      </c>
      <c r="N20" s="125"/>
    </row>
    <row r="21" spans="2:14" ht="15.75">
      <c r="B21" s="340"/>
      <c r="C21" s="684"/>
      <c r="D21" s="691">
        <v>1</v>
      </c>
      <c r="E21" s="691">
        <v>0</v>
      </c>
      <c r="F21" s="688" t="s">
        <v>97</v>
      </c>
      <c r="G21" s="689"/>
      <c r="H21" s="689">
        <f>ATK!K25</f>
        <v>159238000</v>
      </c>
      <c r="I21" s="689"/>
      <c r="J21" s="690">
        <f t="shared" si="1"/>
        <v>159238000</v>
      </c>
      <c r="K21" s="156">
        <f>PPAS!G17</f>
        <v>159238000</v>
      </c>
      <c r="L21" s="117">
        <f t="shared" si="0"/>
        <v>0</v>
      </c>
    </row>
    <row r="22" spans="2:14" ht="18" customHeight="1">
      <c r="B22" s="340"/>
      <c r="C22" s="684"/>
      <c r="D22" s="687">
        <v>1</v>
      </c>
      <c r="E22" s="687">
        <v>2</v>
      </c>
      <c r="F22" s="692" t="s">
        <v>163</v>
      </c>
      <c r="G22" s="689"/>
      <c r="H22" s="693">
        <f>Listrik!K25</f>
        <v>98624000</v>
      </c>
      <c r="I22" s="689"/>
      <c r="J22" s="690">
        <f t="shared" si="1"/>
        <v>98624000</v>
      </c>
      <c r="K22" s="156">
        <f>PPAS!G18</f>
        <v>98624000</v>
      </c>
      <c r="L22" s="117">
        <f t="shared" si="0"/>
        <v>0</v>
      </c>
    </row>
    <row r="23" spans="2:14" ht="18" customHeight="1">
      <c r="B23" s="340"/>
      <c r="C23" s="684"/>
      <c r="D23" s="687">
        <v>1</v>
      </c>
      <c r="E23" s="687">
        <v>3</v>
      </c>
      <c r="F23" s="692" t="s">
        <v>164</v>
      </c>
      <c r="G23" s="689"/>
      <c r="H23" s="693">
        <f>Kantor!K25</f>
        <v>143775206</v>
      </c>
      <c r="I23" s="2187">
        <f>Kantor!K43</f>
        <v>490030500</v>
      </c>
      <c r="J23" s="690">
        <f t="shared" si="1"/>
        <v>633805706</v>
      </c>
      <c r="K23" s="156">
        <f>PPAS!G19</f>
        <v>633805706</v>
      </c>
      <c r="L23" s="117">
        <f t="shared" si="0"/>
        <v>0</v>
      </c>
    </row>
    <row r="24" spans="2:14" ht="18" customHeight="1">
      <c r="B24" s="340"/>
      <c r="C24" s="341"/>
      <c r="D24" s="345">
        <v>1</v>
      </c>
      <c r="E24" s="344">
        <v>4</v>
      </c>
      <c r="F24" s="692" t="s">
        <v>165</v>
      </c>
      <c r="G24" s="689"/>
      <c r="H24" s="693">
        <f>RT!K25</f>
        <v>161890000</v>
      </c>
      <c r="I24" s="689"/>
      <c r="J24" s="690">
        <f t="shared" si="1"/>
        <v>161890000</v>
      </c>
      <c r="K24" s="156">
        <f>PPAS!G20</f>
        <v>161890000</v>
      </c>
      <c r="L24" s="117">
        <f t="shared" si="0"/>
        <v>0</v>
      </c>
    </row>
    <row r="25" spans="2:14" ht="18" customHeight="1">
      <c r="B25" s="340"/>
      <c r="C25" s="341"/>
      <c r="D25" s="345">
        <v>1</v>
      </c>
      <c r="E25" s="345">
        <v>5</v>
      </c>
      <c r="F25" s="692" t="s">
        <v>178</v>
      </c>
      <c r="G25" s="689"/>
      <c r="H25" s="693">
        <f>Bacaan!K25</f>
        <v>10800000</v>
      </c>
      <c r="I25" s="689"/>
      <c r="J25" s="690">
        <f t="shared" si="1"/>
        <v>10800000</v>
      </c>
      <c r="K25" s="156">
        <f>PPAS!G21</f>
        <v>10800000</v>
      </c>
      <c r="L25" s="117">
        <f t="shared" si="0"/>
        <v>0</v>
      </c>
    </row>
    <row r="26" spans="2:14" ht="15.75" customHeight="1">
      <c r="B26" s="340"/>
      <c r="C26" s="341"/>
      <c r="D26" s="344">
        <v>1</v>
      </c>
      <c r="E26" s="344">
        <v>7</v>
      </c>
      <c r="F26" s="692" t="s">
        <v>166</v>
      </c>
      <c r="G26" s="689"/>
      <c r="H26" s="693">
        <f>Makan!K25</f>
        <v>35800000</v>
      </c>
      <c r="I26" s="689"/>
      <c r="J26" s="690">
        <f t="shared" si="1"/>
        <v>35800000</v>
      </c>
      <c r="K26" s="156">
        <f>PPAS!G22</f>
        <v>35800000</v>
      </c>
      <c r="L26" s="117">
        <f t="shared" si="0"/>
        <v>0</v>
      </c>
      <c r="N26" s="125"/>
    </row>
    <row r="27" spans="2:14" ht="15.75">
      <c r="B27" s="340"/>
      <c r="C27" s="341"/>
      <c r="D27" s="344">
        <v>1</v>
      </c>
      <c r="E27" s="344">
        <v>8</v>
      </c>
      <c r="F27" s="692" t="s">
        <v>167</v>
      </c>
      <c r="G27" s="689"/>
      <c r="H27" s="693">
        <f>Rapat!K25</f>
        <v>260777000</v>
      </c>
      <c r="I27" s="689"/>
      <c r="J27" s="690">
        <f t="shared" si="1"/>
        <v>260777000</v>
      </c>
      <c r="K27" s="156">
        <f>PPAS!G23</f>
        <v>260777000</v>
      </c>
      <c r="L27" s="117">
        <f t="shared" si="0"/>
        <v>0</v>
      </c>
    </row>
    <row r="28" spans="2:14" ht="14.25" customHeight="1">
      <c r="B28" s="340"/>
      <c r="C28" s="341"/>
      <c r="D28" s="344">
        <v>2</v>
      </c>
      <c r="E28" s="344">
        <v>2</v>
      </c>
      <c r="F28" s="692" t="s">
        <v>321</v>
      </c>
      <c r="G28" s="689">
        <f>'ADM kantor'!K25</f>
        <v>1435036000</v>
      </c>
      <c r="H28" s="693">
        <f>'ADM kantor'!K70</f>
        <v>77240000</v>
      </c>
      <c r="I28" s="689"/>
      <c r="J28" s="690">
        <f t="shared" si="1"/>
        <v>1512276000</v>
      </c>
      <c r="K28" s="156">
        <f>PPAS!G24</f>
        <v>1512276000</v>
      </c>
      <c r="L28" s="117">
        <f t="shared" si="0"/>
        <v>0</v>
      </c>
    </row>
    <row r="29" spans="2:14" ht="15.75">
      <c r="B29" s="340"/>
      <c r="C29" s="341"/>
      <c r="D29" s="695"/>
      <c r="E29" s="695"/>
      <c r="F29" s="696"/>
      <c r="G29" s="697"/>
      <c r="H29" s="697"/>
      <c r="I29" s="697"/>
      <c r="J29" s="698"/>
      <c r="K29" s="156"/>
      <c r="L29" s="117">
        <f t="shared" si="0"/>
        <v>0</v>
      </c>
    </row>
    <row r="30" spans="2:14" ht="15.75">
      <c r="B30" s="340">
        <v>0</v>
      </c>
      <c r="C30" s="341">
        <v>2</v>
      </c>
      <c r="D30" s="695"/>
      <c r="E30" s="695"/>
      <c r="F30" s="699" t="s">
        <v>168</v>
      </c>
      <c r="G30" s="700">
        <f>SUM(G31:G33)</f>
        <v>0</v>
      </c>
      <c r="H30" s="700">
        <f>SUM(H31:H33)</f>
        <v>240012000</v>
      </c>
      <c r="I30" s="700">
        <f>SUM(I31:I33)</f>
        <v>0</v>
      </c>
      <c r="J30" s="698">
        <f>SUM(J31:J33)</f>
        <v>240012000</v>
      </c>
      <c r="K30" s="698">
        <f>SUM(K31:K33)</f>
        <v>240012000</v>
      </c>
      <c r="L30" s="117">
        <f t="shared" si="0"/>
        <v>0</v>
      </c>
    </row>
    <row r="31" spans="2:14" ht="15.75">
      <c r="B31" s="340"/>
      <c r="C31" s="341"/>
      <c r="D31" s="345">
        <v>0</v>
      </c>
      <c r="E31" s="345">
        <v>4</v>
      </c>
      <c r="F31" s="701" t="s">
        <v>291</v>
      </c>
      <c r="G31" s="693"/>
      <c r="H31" s="697"/>
      <c r="I31" s="697">
        <f>'mbl jabatan'!K25</f>
        <v>0</v>
      </c>
      <c r="J31" s="690">
        <f t="shared" ref="J31:J33" si="2">SUM(G31:I31)</f>
        <v>0</v>
      </c>
      <c r="K31" s="156">
        <f>PPAS!G26</f>
        <v>0</v>
      </c>
      <c r="L31" s="117">
        <f t="shared" si="0"/>
        <v>0</v>
      </c>
    </row>
    <row r="32" spans="2:14" ht="15.75">
      <c r="B32" s="340"/>
      <c r="C32" s="341"/>
      <c r="D32" s="345">
        <v>0</v>
      </c>
      <c r="E32" s="345">
        <v>6</v>
      </c>
      <c r="F32" s="701" t="s">
        <v>630</v>
      </c>
      <c r="G32" s="693"/>
      <c r="H32" s="697"/>
      <c r="I32" s="697">
        <f>'Perleng Rmh dinas'!K25</f>
        <v>0</v>
      </c>
      <c r="J32" s="690">
        <f t="shared" si="2"/>
        <v>0</v>
      </c>
      <c r="K32" s="156">
        <f>PPAS!G27</f>
        <v>0</v>
      </c>
      <c r="L32" s="117">
        <f t="shared" si="0"/>
        <v>0</v>
      </c>
    </row>
    <row r="33" spans="2:12">
      <c r="B33" s="343"/>
      <c r="C33" s="344"/>
      <c r="D33" s="345">
        <v>2</v>
      </c>
      <c r="E33" s="345">
        <v>4</v>
      </c>
      <c r="F33" s="701" t="s">
        <v>169</v>
      </c>
      <c r="G33" s="693"/>
      <c r="H33" s="697">
        <f>'P. Kendaraaan '!K25</f>
        <v>240012000</v>
      </c>
      <c r="I33" s="697"/>
      <c r="J33" s="690">
        <f t="shared" si="2"/>
        <v>240012000</v>
      </c>
      <c r="K33" s="156">
        <f>PPAS!G28</f>
        <v>240012000</v>
      </c>
      <c r="L33" s="117">
        <f t="shared" si="0"/>
        <v>0</v>
      </c>
    </row>
    <row r="34" spans="2:12">
      <c r="B34" s="343"/>
      <c r="C34" s="344"/>
      <c r="D34" s="345"/>
      <c r="E34" s="703"/>
      <c r="F34" s="701"/>
      <c r="G34" s="697"/>
      <c r="H34" s="697"/>
      <c r="I34" s="697"/>
      <c r="J34" s="702"/>
      <c r="K34" s="156"/>
      <c r="L34" s="117">
        <f t="shared" si="0"/>
        <v>0</v>
      </c>
    </row>
    <row r="35" spans="2:12" ht="15.75">
      <c r="B35" s="340">
        <v>0</v>
      </c>
      <c r="C35" s="341">
        <v>3</v>
      </c>
      <c r="D35" s="695"/>
      <c r="E35" s="695"/>
      <c r="F35" s="696" t="s">
        <v>170</v>
      </c>
      <c r="G35" s="697">
        <f>G36</f>
        <v>0</v>
      </c>
      <c r="H35" s="700">
        <f>H36</f>
        <v>460040000</v>
      </c>
      <c r="I35" s="697">
        <f>I36</f>
        <v>0</v>
      </c>
      <c r="J35" s="698">
        <f>J36</f>
        <v>460040000</v>
      </c>
      <c r="K35" s="698">
        <f>K36</f>
        <v>460040000</v>
      </c>
      <c r="L35" s="117">
        <f t="shared" si="0"/>
        <v>0</v>
      </c>
    </row>
    <row r="36" spans="2:12">
      <c r="B36" s="343"/>
      <c r="C36" s="344"/>
      <c r="D36" s="345">
        <v>0</v>
      </c>
      <c r="E36" s="345">
        <v>2</v>
      </c>
      <c r="F36" s="701" t="s">
        <v>171</v>
      </c>
      <c r="G36" s="697"/>
      <c r="H36" s="697">
        <f>Pakaian!K25</f>
        <v>460040000</v>
      </c>
      <c r="I36" s="697"/>
      <c r="J36" s="690">
        <f t="shared" ref="J36" si="3">SUM(G36:I36)</f>
        <v>460040000</v>
      </c>
      <c r="K36" s="156">
        <f>PPAS!G30</f>
        <v>460040000</v>
      </c>
      <c r="L36" s="117">
        <f t="shared" si="0"/>
        <v>0</v>
      </c>
    </row>
    <row r="37" spans="2:12">
      <c r="B37" s="343"/>
      <c r="C37" s="344"/>
      <c r="D37" s="345"/>
      <c r="E37" s="345"/>
      <c r="F37" s="704"/>
      <c r="G37" s="705"/>
      <c r="H37" s="705"/>
      <c r="I37" s="705"/>
      <c r="J37" s="706"/>
      <c r="K37" s="156"/>
      <c r="L37" s="117">
        <f t="shared" si="0"/>
        <v>0</v>
      </c>
    </row>
    <row r="38" spans="2:12" ht="15.75">
      <c r="B38" s="340">
        <v>0</v>
      </c>
      <c r="C38" s="341">
        <v>5</v>
      </c>
      <c r="D38" s="695"/>
      <c r="E38" s="345"/>
      <c r="F38" s="696" t="s">
        <v>172</v>
      </c>
      <c r="G38" s="700">
        <f>SUM(G39:G39)</f>
        <v>0</v>
      </c>
      <c r="H38" s="700">
        <f>SUM(H39:H39)</f>
        <v>76925000</v>
      </c>
      <c r="I38" s="700">
        <f>SUM(I39:I39)</f>
        <v>0</v>
      </c>
      <c r="J38" s="698">
        <f>SUM(J39:J39)</f>
        <v>76925000</v>
      </c>
      <c r="K38" s="698">
        <f>SUM(K39:K39)</f>
        <v>76925000</v>
      </c>
      <c r="L38" s="117">
        <f t="shared" si="0"/>
        <v>0</v>
      </c>
    </row>
    <row r="39" spans="2:12">
      <c r="B39" s="343"/>
      <c r="C39" s="344"/>
      <c r="D39" s="345">
        <v>2</v>
      </c>
      <c r="E39" s="345">
        <v>4</v>
      </c>
      <c r="F39" s="707" t="s">
        <v>346</v>
      </c>
      <c r="G39" s="892"/>
      <c r="H39" s="708">
        <f>Agama!K25</f>
        <v>76925000</v>
      </c>
      <c r="I39" s="709"/>
      <c r="J39" s="690">
        <f t="shared" ref="J39" si="4">SUM(G39:I39)</f>
        <v>76925000</v>
      </c>
      <c r="K39" s="156">
        <f>PPAS!G32</f>
        <v>76925000</v>
      </c>
      <c r="L39" s="117">
        <f t="shared" si="0"/>
        <v>0</v>
      </c>
    </row>
    <row r="40" spans="2:12">
      <c r="B40" s="343"/>
      <c r="C40" s="344"/>
      <c r="D40" s="345"/>
      <c r="E40" s="345"/>
      <c r="F40" s="707"/>
      <c r="G40" s="697"/>
      <c r="H40" s="708"/>
      <c r="I40" s="708"/>
      <c r="J40" s="710"/>
      <c r="K40" s="156"/>
      <c r="L40" s="117">
        <f t="shared" si="0"/>
        <v>0</v>
      </c>
    </row>
    <row r="41" spans="2:12" ht="31.5">
      <c r="B41" s="340">
        <v>2</v>
      </c>
      <c r="C41" s="341">
        <v>6</v>
      </c>
      <c r="D41" s="695"/>
      <c r="E41" s="695"/>
      <c r="F41" s="711" t="s">
        <v>173</v>
      </c>
      <c r="G41" s="712">
        <f>SUM(G42:G48)</f>
        <v>0</v>
      </c>
      <c r="H41" s="712">
        <f>SUM(H42:H48)</f>
        <v>888162650</v>
      </c>
      <c r="I41" s="712">
        <f>SUM(I42:I48)</f>
        <v>4192506741</v>
      </c>
      <c r="J41" s="713">
        <f>SUM(J42:J48)</f>
        <v>5080669391</v>
      </c>
      <c r="K41" s="713">
        <f>SUM(K42:K48)</f>
        <v>5080669391</v>
      </c>
      <c r="L41" s="117">
        <f t="shared" si="0"/>
        <v>0</v>
      </c>
    </row>
    <row r="42" spans="2:12" ht="15.75">
      <c r="B42" s="340"/>
      <c r="C42" s="341"/>
      <c r="D42" s="345">
        <v>0</v>
      </c>
      <c r="E42" s="345">
        <v>1</v>
      </c>
      <c r="F42" s="985" t="s">
        <v>174</v>
      </c>
      <c r="G42" s="986"/>
      <c r="H42" s="986">
        <f>'Pembangunan RS'!K25</f>
        <v>0</v>
      </c>
      <c r="I42" s="2170">
        <f>'Pembangunan RS'!K30</f>
        <v>0</v>
      </c>
      <c r="J42" s="690">
        <f t="shared" ref="J42:J48" si="5">SUM(G42:I42)</f>
        <v>0</v>
      </c>
      <c r="K42" s="156">
        <f>PPAS!G34</f>
        <v>0</v>
      </c>
      <c r="L42" s="117">
        <f t="shared" si="0"/>
        <v>0</v>
      </c>
    </row>
    <row r="43" spans="2:12" ht="15.75">
      <c r="B43" s="340"/>
      <c r="C43" s="341"/>
      <c r="D43" s="345">
        <v>0</v>
      </c>
      <c r="E43" s="345">
        <v>4</v>
      </c>
      <c r="F43" s="1204" t="s">
        <v>1197</v>
      </c>
      <c r="G43" s="986"/>
      <c r="H43" s="986">
        <f>'R.Rawat Inap'!K25</f>
        <v>0</v>
      </c>
      <c r="I43" s="987"/>
      <c r="J43" s="690">
        <f t="shared" si="5"/>
        <v>0</v>
      </c>
      <c r="K43" s="156">
        <f>PPAS!G35</f>
        <v>0</v>
      </c>
      <c r="L43" s="117">
        <f t="shared" si="0"/>
        <v>0</v>
      </c>
    </row>
    <row r="44" spans="2:12">
      <c r="B44" s="343"/>
      <c r="C44" s="344"/>
      <c r="D44" s="345">
        <v>1</v>
      </c>
      <c r="E44" s="345">
        <v>7</v>
      </c>
      <c r="F44" s="701" t="s">
        <v>175</v>
      </c>
      <c r="G44" s="693"/>
      <c r="H44" s="697">
        <f>Rehabilitasi!K25</f>
        <v>97854000</v>
      </c>
      <c r="I44" s="2171">
        <f>Rehabilitasi!K31</f>
        <v>677600000</v>
      </c>
      <c r="J44" s="690">
        <f t="shared" si="5"/>
        <v>775454000</v>
      </c>
      <c r="K44" s="156">
        <f>PPAS!G36</f>
        <v>775454000</v>
      </c>
      <c r="L44" s="117">
        <f t="shared" si="0"/>
        <v>0</v>
      </c>
    </row>
    <row r="45" spans="2:12">
      <c r="B45" s="343"/>
      <c r="C45" s="344"/>
      <c r="D45" s="345">
        <v>1</v>
      </c>
      <c r="E45" s="345">
        <v>8</v>
      </c>
      <c r="F45" s="1202" t="s">
        <v>1200</v>
      </c>
      <c r="G45" s="693"/>
      <c r="H45" s="697"/>
      <c r="I45" s="2171">
        <f>Alkes!K25</f>
        <v>3229406741</v>
      </c>
      <c r="J45" s="690">
        <f t="shared" si="5"/>
        <v>3229406741</v>
      </c>
      <c r="K45" s="156">
        <f>PPAS!G37</f>
        <v>3229406741</v>
      </c>
      <c r="L45" s="117">
        <f t="shared" si="0"/>
        <v>0</v>
      </c>
    </row>
    <row r="46" spans="2:12">
      <c r="B46" s="343"/>
      <c r="C46" s="344"/>
      <c r="D46" s="345">
        <v>2</v>
      </c>
      <c r="E46" s="345">
        <v>0</v>
      </c>
      <c r="F46" s="1202" t="s">
        <v>1203</v>
      </c>
      <c r="G46" s="693"/>
      <c r="H46" s="697"/>
      <c r="I46" s="714">
        <f>Ambulance!K25</f>
        <v>0</v>
      </c>
      <c r="J46" s="690">
        <f t="shared" si="5"/>
        <v>0</v>
      </c>
      <c r="K46" s="156">
        <f>PPAS!G38</f>
        <v>0</v>
      </c>
      <c r="L46" s="117">
        <f t="shared" si="0"/>
        <v>0</v>
      </c>
    </row>
    <row r="47" spans="2:12" ht="15.75">
      <c r="B47" s="340"/>
      <c r="C47" s="341"/>
      <c r="D47" s="344">
        <v>2</v>
      </c>
      <c r="E47" s="344">
        <v>1</v>
      </c>
      <c r="F47" s="692" t="s">
        <v>255</v>
      </c>
      <c r="G47" s="693"/>
      <c r="H47" s="693"/>
      <c r="I47" s="2171">
        <f>Mebeleur!K25</f>
        <v>285500000</v>
      </c>
      <c r="J47" s="690">
        <f t="shared" si="5"/>
        <v>285500000</v>
      </c>
      <c r="K47" s="156">
        <f>PPAS!G39</f>
        <v>285500000</v>
      </c>
      <c r="L47" s="117">
        <f t="shared" si="0"/>
        <v>0</v>
      </c>
    </row>
    <row r="48" spans="2:12" ht="15.75">
      <c r="B48" s="340"/>
      <c r="C48" s="341"/>
      <c r="D48" s="344">
        <v>2</v>
      </c>
      <c r="E48" s="344">
        <v>4</v>
      </c>
      <c r="F48" s="692" t="s">
        <v>632</v>
      </c>
      <c r="G48" s="693"/>
      <c r="H48" s="693">
        <f>'Cetak&amp;Penggandaan'!J25</f>
        <v>790308650</v>
      </c>
      <c r="I48" s="714"/>
      <c r="J48" s="690">
        <f t="shared" si="5"/>
        <v>790308650</v>
      </c>
      <c r="K48" s="156">
        <f>PPAS!G40</f>
        <v>790308650</v>
      </c>
      <c r="L48" s="117">
        <f t="shared" si="0"/>
        <v>0</v>
      </c>
    </row>
    <row r="49" spans="2:12" ht="15.75">
      <c r="B49" s="340"/>
      <c r="C49" s="341"/>
      <c r="D49" s="695"/>
      <c r="E49" s="695"/>
      <c r="F49" s="696"/>
      <c r="G49" s="697"/>
      <c r="H49" s="697"/>
      <c r="I49" s="697"/>
      <c r="J49" s="698"/>
      <c r="K49" s="156"/>
      <c r="L49" s="117">
        <f t="shared" si="0"/>
        <v>0</v>
      </c>
    </row>
    <row r="50" spans="2:12" ht="31.5">
      <c r="B50" s="340">
        <v>2</v>
      </c>
      <c r="C50" s="341">
        <v>7</v>
      </c>
      <c r="D50" s="695"/>
      <c r="E50" s="341"/>
      <c r="F50" s="711" t="s">
        <v>176</v>
      </c>
      <c r="G50" s="712">
        <f>SUM(G51:G54)</f>
        <v>356640000</v>
      </c>
      <c r="H50" s="712">
        <f>SUM(H51:H54)</f>
        <v>956220000</v>
      </c>
      <c r="I50" s="712">
        <f>SUM(I51:I54)</f>
        <v>201500000</v>
      </c>
      <c r="J50" s="713">
        <f>SUM(J51:J54)</f>
        <v>1514360000</v>
      </c>
      <c r="K50" s="713">
        <f>SUM(K51:K54)</f>
        <v>1514360000</v>
      </c>
      <c r="L50" s="117">
        <f t="shared" si="0"/>
        <v>0</v>
      </c>
    </row>
    <row r="51" spans="2:12" ht="15.75">
      <c r="B51" s="340"/>
      <c r="C51" s="341"/>
      <c r="D51" s="345">
        <v>0</v>
      </c>
      <c r="E51" s="344">
        <v>1</v>
      </c>
      <c r="F51" s="715" t="s">
        <v>256</v>
      </c>
      <c r="G51" s="693"/>
      <c r="H51" s="693">
        <f>Pel.rs!K25</f>
        <v>21150000</v>
      </c>
      <c r="I51" s="693">
        <f>Pel.rs!K30</f>
        <v>201500000</v>
      </c>
      <c r="J51" s="690">
        <f t="shared" ref="J51:J54" si="6">SUM(G51:I51)</f>
        <v>222650000</v>
      </c>
      <c r="K51" s="156">
        <f>PPAS!G42</f>
        <v>222650000</v>
      </c>
      <c r="L51" s="117">
        <f t="shared" si="0"/>
        <v>0</v>
      </c>
    </row>
    <row r="52" spans="2:12" ht="15.75">
      <c r="B52" s="340"/>
      <c r="C52" s="341"/>
      <c r="D52" s="345">
        <v>1</v>
      </c>
      <c r="E52" s="344">
        <v>6</v>
      </c>
      <c r="F52" s="715" t="s">
        <v>257</v>
      </c>
      <c r="G52" s="693">
        <f>Pem.limbah!K25</f>
        <v>138000000</v>
      </c>
      <c r="H52" s="693">
        <f>Pem.limbah!K32</f>
        <v>63844000</v>
      </c>
      <c r="I52" s="693">
        <f>Pem.limbah!K98</f>
        <v>0</v>
      </c>
      <c r="J52" s="690">
        <f t="shared" si="6"/>
        <v>201844000</v>
      </c>
      <c r="K52" s="156">
        <f>PPAS!G43</f>
        <v>201844000</v>
      </c>
      <c r="L52" s="117">
        <f t="shared" si="0"/>
        <v>0</v>
      </c>
    </row>
    <row r="53" spans="2:12">
      <c r="B53" s="343"/>
      <c r="C53" s="344"/>
      <c r="D53" s="345">
        <v>1</v>
      </c>
      <c r="E53" s="345">
        <v>7</v>
      </c>
      <c r="F53" s="715" t="s">
        <v>258</v>
      </c>
      <c r="G53" s="693"/>
      <c r="H53" s="716">
        <f>Pem.alkes!K25</f>
        <v>425745000</v>
      </c>
      <c r="I53" s="693">
        <f>Pem.alkes!K54</f>
        <v>0</v>
      </c>
      <c r="J53" s="690">
        <f t="shared" si="6"/>
        <v>425745000</v>
      </c>
      <c r="K53" s="156">
        <f>PPAS!G44</f>
        <v>425745000</v>
      </c>
      <c r="L53" s="117">
        <f t="shared" si="0"/>
        <v>0</v>
      </c>
    </row>
    <row r="54" spans="2:12">
      <c r="B54" s="343"/>
      <c r="C54" s="344"/>
      <c r="D54" s="345">
        <v>2</v>
      </c>
      <c r="E54" s="345">
        <v>0</v>
      </c>
      <c r="F54" s="717" t="s">
        <v>743</v>
      </c>
      <c r="G54" s="693">
        <f>Pem.per.RS!K25</f>
        <v>218640000</v>
      </c>
      <c r="H54" s="716">
        <f>Pem.per.RS!K33</f>
        <v>445481000</v>
      </c>
      <c r="I54" s="693"/>
      <c r="J54" s="690">
        <f t="shared" si="6"/>
        <v>664121000</v>
      </c>
      <c r="K54" s="156">
        <f>PPAS!G45</f>
        <v>664121000</v>
      </c>
      <c r="L54" s="117">
        <f t="shared" si="0"/>
        <v>0</v>
      </c>
    </row>
    <row r="55" spans="2:12">
      <c r="B55" s="343"/>
      <c r="C55" s="344"/>
      <c r="D55" s="345"/>
      <c r="E55" s="345"/>
      <c r="F55" s="715"/>
      <c r="G55" s="693"/>
      <c r="H55" s="716"/>
      <c r="I55" s="693"/>
      <c r="J55" s="342"/>
      <c r="K55" s="156"/>
      <c r="L55" s="117">
        <f t="shared" si="0"/>
        <v>0</v>
      </c>
    </row>
    <row r="56" spans="2:12" ht="15.75">
      <c r="B56" s="340">
        <v>3</v>
      </c>
      <c r="C56" s="341">
        <v>4</v>
      </c>
      <c r="D56" s="695"/>
      <c r="E56" s="695"/>
      <c r="F56" s="696" t="s">
        <v>279</v>
      </c>
      <c r="G56" s="700">
        <f>SUM(G57:G62)</f>
        <v>5986905000</v>
      </c>
      <c r="H56" s="700">
        <f>SUM(H57:H62)</f>
        <v>935538304</v>
      </c>
      <c r="I56" s="700">
        <f>SUM(I57:I62)</f>
        <v>6680570725</v>
      </c>
      <c r="J56" s="713">
        <f>SUM(J57:J62)</f>
        <v>13603014029</v>
      </c>
      <c r="K56" s="713">
        <f>SUM(K57:K62)</f>
        <v>13603014029</v>
      </c>
      <c r="L56" s="117">
        <f t="shared" si="0"/>
        <v>0</v>
      </c>
    </row>
    <row r="57" spans="2:12" ht="15.75">
      <c r="B57" s="340"/>
      <c r="C57" s="341"/>
      <c r="D57" s="345">
        <v>0</v>
      </c>
      <c r="E57" s="345">
        <v>6</v>
      </c>
      <c r="F57" s="717" t="s">
        <v>739</v>
      </c>
      <c r="G57" s="697">
        <f>IGD!K25</f>
        <v>615600000</v>
      </c>
      <c r="H57" s="697"/>
      <c r="I57" s="697">
        <f>IGD!K30</f>
        <v>217971724</v>
      </c>
      <c r="J57" s="690">
        <f t="shared" ref="J57:J62" si="7">SUM(G57:I57)</f>
        <v>833571724</v>
      </c>
      <c r="K57" s="156">
        <f>PPAS!G47</f>
        <v>833571724</v>
      </c>
      <c r="L57" s="117">
        <f t="shared" si="0"/>
        <v>0</v>
      </c>
    </row>
    <row r="58" spans="2:12">
      <c r="B58" s="343"/>
      <c r="C58" s="344"/>
      <c r="D58" s="345">
        <v>0</v>
      </c>
      <c r="E58" s="345">
        <v>7</v>
      </c>
      <c r="F58" s="720" t="s">
        <v>323</v>
      </c>
      <c r="G58" s="697">
        <f>COT!K25</f>
        <v>90000000</v>
      </c>
      <c r="H58" s="697"/>
      <c r="I58" s="697">
        <f>COT!K30</f>
        <v>952961476</v>
      </c>
      <c r="J58" s="690">
        <f>SUM(G58:I58)</f>
        <v>1042961476</v>
      </c>
      <c r="K58" s="156">
        <f>PPAS!G48</f>
        <v>1042961476</v>
      </c>
      <c r="L58" s="117">
        <f t="shared" si="0"/>
        <v>0</v>
      </c>
    </row>
    <row r="59" spans="2:12">
      <c r="B59" s="343"/>
      <c r="C59" s="344"/>
      <c r="D59" s="345">
        <v>0</v>
      </c>
      <c r="E59" s="345">
        <v>8</v>
      </c>
      <c r="F59" s="720" t="s">
        <v>324</v>
      </c>
      <c r="G59" s="697"/>
      <c r="H59" s="697"/>
      <c r="I59" s="697">
        <f>I.Anak!K25</f>
        <v>2807542879</v>
      </c>
      <c r="J59" s="690">
        <f t="shared" si="7"/>
        <v>2807542879</v>
      </c>
      <c r="K59" s="156">
        <f>PPAS!G49</f>
        <v>2807542879</v>
      </c>
      <c r="L59" s="117">
        <f t="shared" si="0"/>
        <v>0</v>
      </c>
    </row>
    <row r="60" spans="2:12">
      <c r="B60" s="343"/>
      <c r="C60" s="344"/>
      <c r="D60" s="345">
        <v>0</v>
      </c>
      <c r="E60" s="345">
        <v>9</v>
      </c>
      <c r="F60" s="720" t="s">
        <v>325</v>
      </c>
      <c r="G60" s="697">
        <f>I.Dewasa!K25</f>
        <v>138000000</v>
      </c>
      <c r="H60" s="697"/>
      <c r="I60" s="697">
        <f>I.Dewasa!K30</f>
        <v>1167331620</v>
      </c>
      <c r="J60" s="690">
        <f t="shared" si="7"/>
        <v>1305331620</v>
      </c>
      <c r="K60" s="156">
        <f>PPAS!G50</f>
        <v>1305331620</v>
      </c>
      <c r="L60" s="117">
        <f t="shared" si="0"/>
        <v>0</v>
      </c>
    </row>
    <row r="61" spans="2:12">
      <c r="B61" s="343"/>
      <c r="C61" s="344"/>
      <c r="D61" s="345">
        <v>1</v>
      </c>
      <c r="E61" s="345">
        <v>2</v>
      </c>
      <c r="F61" s="720" t="s">
        <v>326</v>
      </c>
      <c r="G61" s="697">
        <f>R.Jalan!K25</f>
        <v>877200000</v>
      </c>
      <c r="H61" s="697"/>
      <c r="I61" s="697">
        <f>R.Jalan!K55</f>
        <v>587176529</v>
      </c>
      <c r="J61" s="690">
        <f t="shared" si="7"/>
        <v>1464376529</v>
      </c>
      <c r="K61" s="156">
        <f>PPAS!G51</f>
        <v>1464376529</v>
      </c>
      <c r="L61" s="117">
        <f t="shared" si="0"/>
        <v>0</v>
      </c>
    </row>
    <row r="62" spans="2:12">
      <c r="B62" s="343"/>
      <c r="C62" s="344"/>
      <c r="D62" s="345">
        <v>1</v>
      </c>
      <c r="E62" s="345">
        <v>3</v>
      </c>
      <c r="F62" s="720" t="s">
        <v>327</v>
      </c>
      <c r="G62" s="697">
        <f>R.Inap!K25</f>
        <v>4266105000</v>
      </c>
      <c r="H62" s="697">
        <f>R.Inap!K58</f>
        <v>935538304</v>
      </c>
      <c r="I62" s="697">
        <f>R.Inap!K85</f>
        <v>947586497</v>
      </c>
      <c r="J62" s="690">
        <f t="shared" si="7"/>
        <v>6149229801</v>
      </c>
      <c r="K62" s="156">
        <f>PPAS!G52</f>
        <v>6149229801</v>
      </c>
      <c r="L62" s="117">
        <f t="shared" si="0"/>
        <v>0</v>
      </c>
    </row>
    <row r="63" spans="2:12" ht="15.75">
      <c r="B63" s="340"/>
      <c r="C63" s="341"/>
      <c r="D63" s="695"/>
      <c r="E63" s="341"/>
      <c r="F63" s="718"/>
      <c r="G63" s="693"/>
      <c r="H63" s="693"/>
      <c r="I63" s="693"/>
      <c r="J63" s="719"/>
      <c r="K63" s="156"/>
      <c r="L63" s="117">
        <f t="shared" si="0"/>
        <v>0</v>
      </c>
    </row>
    <row r="64" spans="2:12" ht="15.75">
      <c r="B64" s="340">
        <v>3</v>
      </c>
      <c r="C64" s="341">
        <v>5</v>
      </c>
      <c r="D64" s="695"/>
      <c r="E64" s="695"/>
      <c r="F64" s="696" t="s">
        <v>263</v>
      </c>
      <c r="G64" s="700">
        <f>SUM(G65:G67)</f>
        <v>51840000</v>
      </c>
      <c r="H64" s="700">
        <f>SUM(H65:H67)</f>
        <v>0</v>
      </c>
      <c r="I64" s="700">
        <f>SUM(I65:I67)</f>
        <v>34000000</v>
      </c>
      <c r="J64" s="698">
        <f>SUM(J65:J67)</f>
        <v>85840000</v>
      </c>
      <c r="K64" s="698">
        <f>SUM(K65:K67)</f>
        <v>85840000</v>
      </c>
      <c r="L64" s="117">
        <f t="shared" si="0"/>
        <v>0</v>
      </c>
    </row>
    <row r="65" spans="2:17" ht="15.75">
      <c r="B65" s="340"/>
      <c r="C65" s="341"/>
      <c r="D65" s="345">
        <v>0</v>
      </c>
      <c r="E65" s="345">
        <v>1</v>
      </c>
      <c r="F65" s="720" t="s">
        <v>330</v>
      </c>
      <c r="G65" s="697"/>
      <c r="H65" s="697"/>
      <c r="I65" s="697">
        <f>Radiologi!K25</f>
        <v>0</v>
      </c>
      <c r="J65" s="690">
        <f t="shared" ref="J65:J67" si="8">SUM(G65:I65)</f>
        <v>0</v>
      </c>
      <c r="K65" s="156">
        <f>PPAS!G54</f>
        <v>0</v>
      </c>
      <c r="L65" s="117">
        <f t="shared" si="0"/>
        <v>0</v>
      </c>
    </row>
    <row r="66" spans="2:17">
      <c r="B66" s="343"/>
      <c r="C66" s="344"/>
      <c r="D66" s="345">
        <v>0</v>
      </c>
      <c r="E66" s="345">
        <v>3</v>
      </c>
      <c r="F66" s="701" t="s">
        <v>264</v>
      </c>
      <c r="G66" s="697"/>
      <c r="H66" s="697"/>
      <c r="I66" s="697">
        <f>Gizi!K25</f>
        <v>0</v>
      </c>
      <c r="J66" s="690">
        <f t="shared" si="8"/>
        <v>0</v>
      </c>
      <c r="K66" s="156">
        <f>PPAS!G55</f>
        <v>0</v>
      </c>
      <c r="L66" s="117">
        <f t="shared" si="0"/>
        <v>0</v>
      </c>
    </row>
    <row r="67" spans="2:17" ht="15.75">
      <c r="B67" s="343"/>
      <c r="C67" s="344"/>
      <c r="D67" s="345">
        <v>0</v>
      </c>
      <c r="E67" s="345">
        <v>7</v>
      </c>
      <c r="F67" s="721" t="s">
        <v>277</v>
      </c>
      <c r="G67" s="697">
        <f>Laundry!K25</f>
        <v>51840000</v>
      </c>
      <c r="H67" s="722"/>
      <c r="I67" s="697">
        <f>Laundry!K31</f>
        <v>34000000</v>
      </c>
      <c r="J67" s="690">
        <f t="shared" si="8"/>
        <v>85840000</v>
      </c>
      <c r="K67" s="156">
        <f>PPAS!G56</f>
        <v>85840000</v>
      </c>
      <c r="L67" s="117">
        <f t="shared" si="0"/>
        <v>0</v>
      </c>
      <c r="M67" s="149"/>
      <c r="N67" s="155"/>
      <c r="O67" s="156"/>
    </row>
    <row r="68" spans="2:17" ht="15.75">
      <c r="B68" s="343"/>
      <c r="C68" s="344"/>
      <c r="D68" s="345"/>
      <c r="E68" s="345"/>
      <c r="F68" s="724"/>
      <c r="G68" s="697"/>
      <c r="H68" s="725"/>
      <c r="I68" s="697"/>
      <c r="J68" s="723"/>
      <c r="K68" s="156"/>
      <c r="L68" s="117">
        <f t="shared" si="0"/>
        <v>0</v>
      </c>
      <c r="M68" s="149"/>
      <c r="N68" s="155"/>
      <c r="O68" s="156"/>
    </row>
    <row r="69" spans="2:17" ht="15.75">
      <c r="B69" s="340">
        <v>3</v>
      </c>
      <c r="C69" s="341">
        <v>6</v>
      </c>
      <c r="D69" s="345"/>
      <c r="E69" s="345"/>
      <c r="F69" s="726" t="s">
        <v>572</v>
      </c>
      <c r="G69" s="727">
        <f>G70</f>
        <v>62100000</v>
      </c>
      <c r="H69" s="727">
        <f>H70</f>
        <v>1727309266</v>
      </c>
      <c r="I69" s="697"/>
      <c r="J69" s="728">
        <f>J70</f>
        <v>1789409266</v>
      </c>
      <c r="K69" s="728">
        <f>K70</f>
        <v>1789409266</v>
      </c>
      <c r="L69" s="117">
        <f t="shared" si="0"/>
        <v>0</v>
      </c>
      <c r="M69" s="149"/>
      <c r="N69" s="155"/>
      <c r="O69" s="156"/>
    </row>
    <row r="70" spans="2:17" ht="15.75">
      <c r="B70" s="340"/>
      <c r="C70" s="684"/>
      <c r="D70" s="687">
        <v>0</v>
      </c>
      <c r="E70" s="687">
        <v>1</v>
      </c>
      <c r="F70" s="692" t="s">
        <v>573</v>
      </c>
      <c r="G70" s="689">
        <f>'Pelatihan (2)'!O25</f>
        <v>62100000</v>
      </c>
      <c r="H70" s="693">
        <f>'Pelatihan (2)'!O40</f>
        <v>1727309266</v>
      </c>
      <c r="I70" s="689"/>
      <c r="J70" s="690">
        <f t="shared" ref="J70" si="9">SUM(G70:I70)</f>
        <v>1789409266</v>
      </c>
      <c r="K70" s="156">
        <f>PPAS!G58</f>
        <v>1789409266</v>
      </c>
      <c r="L70" s="117">
        <f t="shared" si="0"/>
        <v>0</v>
      </c>
    </row>
    <row r="71" spans="2:17" ht="15.75">
      <c r="B71" s="343"/>
      <c r="C71" s="344"/>
      <c r="D71" s="345"/>
      <c r="E71" s="345"/>
      <c r="F71" s="720"/>
      <c r="G71" s="697"/>
      <c r="H71" s="725"/>
      <c r="I71" s="697"/>
      <c r="J71" s="723"/>
      <c r="K71" s="156"/>
      <c r="L71" s="117">
        <f t="shared" si="0"/>
        <v>0</v>
      </c>
      <c r="N71" s="167"/>
      <c r="O71" s="117"/>
      <c r="P71" s="151"/>
      <c r="Q71" s="156"/>
    </row>
    <row r="72" spans="2:17" s="2886" customFormat="1" ht="15.75">
      <c r="B72" s="2878">
        <v>3</v>
      </c>
      <c r="C72" s="2879">
        <v>8</v>
      </c>
      <c r="D72" s="2880"/>
      <c r="E72" s="2880"/>
      <c r="F72" s="2881" t="s">
        <v>328</v>
      </c>
      <c r="G72" s="2882">
        <f>G73</f>
        <v>1149040000</v>
      </c>
      <c r="H72" s="2883">
        <f>H73</f>
        <v>34829665500</v>
      </c>
      <c r="I72" s="2883">
        <f>I73</f>
        <v>1421794500</v>
      </c>
      <c r="J72" s="2884">
        <f>J73</f>
        <v>37400500000</v>
      </c>
      <c r="K72" s="2884">
        <f>K73</f>
        <v>37400500000</v>
      </c>
      <c r="L72" s="2885">
        <f t="shared" si="0"/>
        <v>0</v>
      </c>
    </row>
    <row r="73" spans="2:17" s="2886" customFormat="1" ht="15.75">
      <c r="B73" s="2887"/>
      <c r="C73" s="2888"/>
      <c r="D73" s="2880">
        <v>0</v>
      </c>
      <c r="E73" s="2880">
        <v>1</v>
      </c>
      <c r="F73" s="2889" t="s">
        <v>329</v>
      </c>
      <c r="G73" s="2890">
        <f>J.Layanan!K26</f>
        <v>1149040000</v>
      </c>
      <c r="H73" s="2891">
        <f>J.Layanan!K54</f>
        <v>34829665500</v>
      </c>
      <c r="I73" s="2890">
        <f>J.Layanan!K187</f>
        <v>1421794500</v>
      </c>
      <c r="J73" s="2892">
        <f t="shared" ref="J73" si="10">SUM(G73:I73)</f>
        <v>37400500000</v>
      </c>
      <c r="K73" s="2893">
        <f>PPAS!G60</f>
        <v>37400500000</v>
      </c>
      <c r="L73" s="2885">
        <f t="shared" si="0"/>
        <v>0</v>
      </c>
      <c r="M73" s="2894"/>
      <c r="N73" s="2895"/>
      <c r="O73" s="2896"/>
    </row>
    <row r="74" spans="2:17" ht="15.75">
      <c r="B74" s="340"/>
      <c r="C74" s="341"/>
      <c r="D74" s="695"/>
      <c r="E74" s="695"/>
      <c r="F74" s="692"/>
      <c r="G74" s="693"/>
      <c r="H74" s="693"/>
      <c r="I74" s="693"/>
      <c r="J74" s="694"/>
    </row>
    <row r="75" spans="2:17" ht="16.5" thickBot="1">
      <c r="B75" s="3070" t="s">
        <v>265</v>
      </c>
      <c r="C75" s="3071"/>
      <c r="D75" s="3071"/>
      <c r="E75" s="3071"/>
      <c r="F75" s="3071"/>
      <c r="G75" s="729">
        <f>G15+G17+G30+G35+G38+G41+G50+G56+G64+G69+G72</f>
        <v>34412572880</v>
      </c>
      <c r="H75" s="729">
        <f>H15+H17+H30+H35+H38+H41+H50+H56+H64+H69+H72</f>
        <v>44601627172</v>
      </c>
      <c r="I75" s="729">
        <f>I15+I17+I30+I35+I38+I41+I50+I56+I64+I69+I72</f>
        <v>13020402466</v>
      </c>
      <c r="J75" s="984">
        <f>J15+J17+J30+J35+J38+J41+J50+J56+J64+J69+J72</f>
        <v>92034602518</v>
      </c>
      <c r="K75" s="152"/>
      <c r="L75" s="117">
        <f>J75-I75</f>
        <v>79014200052</v>
      </c>
      <c r="M75" s="1206">
        <f>PPAS!J62+PPAS!L62</f>
        <v>20120394234</v>
      </c>
      <c r="N75" s="117"/>
    </row>
    <row r="76" spans="2:17" ht="16.5" thickTop="1">
      <c r="B76" s="128"/>
      <c r="C76" s="128"/>
      <c r="D76" s="128"/>
      <c r="E76" s="128"/>
      <c r="F76" s="128"/>
      <c r="G76" s="153"/>
      <c r="H76" s="153"/>
      <c r="I76" s="153"/>
      <c r="J76" s="164"/>
      <c r="K76" s="151"/>
      <c r="L76" s="117">
        <f>L75-J72</f>
        <v>41613700052</v>
      </c>
      <c r="M76" s="151"/>
    </row>
    <row r="77" spans="2:17" ht="15.75">
      <c r="B77" s="124"/>
      <c r="C77" s="124"/>
      <c r="D77" s="124"/>
      <c r="E77" s="124"/>
      <c r="F77" s="669"/>
      <c r="G77" s="2897">
        <f>G75-G72</f>
        <v>33263532880</v>
      </c>
      <c r="H77" s="2897">
        <f t="shared" ref="H77:I77" si="11">H75-H72</f>
        <v>9771961672</v>
      </c>
      <c r="I77" s="2897">
        <f t="shared" si="11"/>
        <v>11598607966</v>
      </c>
      <c r="J77" s="2898">
        <f>SUM(G77:I77)</f>
        <v>54634102518</v>
      </c>
      <c r="K77" s="151">
        <f>PPAS!G61</f>
        <v>92034602518</v>
      </c>
      <c r="M77" s="151"/>
    </row>
    <row r="78" spans="2:17" ht="15.75">
      <c r="B78" s="124"/>
      <c r="C78" s="124"/>
      <c r="D78" s="124"/>
      <c r="E78" s="124"/>
      <c r="F78" s="669"/>
      <c r="G78" s="670"/>
      <c r="H78" s="988"/>
      <c r="I78" s="273" t="s">
        <v>2113</v>
      </c>
      <c r="J78" s="260"/>
      <c r="K78" s="280">
        <f>K77-J75</f>
        <v>0</v>
      </c>
    </row>
    <row r="79" spans="2:17" ht="15" customHeight="1">
      <c r="B79" s="124"/>
      <c r="C79" s="124"/>
      <c r="D79" s="124"/>
      <c r="E79" s="124"/>
      <c r="F79" s="671"/>
      <c r="G79" s="670"/>
      <c r="H79" s="988"/>
      <c r="I79" s="988" t="s">
        <v>576</v>
      </c>
      <c r="J79" s="988"/>
      <c r="K79" s="191"/>
    </row>
    <row r="80" spans="2:17" ht="15" customHeight="1">
      <c r="B80" s="124"/>
      <c r="C80" s="124"/>
      <c r="D80" s="124"/>
      <c r="E80" s="124"/>
      <c r="F80" s="672"/>
      <c r="G80" s="670"/>
      <c r="H80" s="988"/>
      <c r="I80" s="988" t="s">
        <v>577</v>
      </c>
      <c r="J80" s="988"/>
    </row>
    <row r="81" spans="2:18" ht="15.75">
      <c r="B81" s="129"/>
      <c r="C81" s="129"/>
      <c r="D81" s="129"/>
      <c r="E81" s="129"/>
      <c r="F81" s="673"/>
      <c r="G81" s="2900">
        <f>G73/J73</f>
        <v>3.072258392267483E-2</v>
      </c>
      <c r="H81" s="2899">
        <f>H73/J73</f>
        <v>0.93126202858250562</v>
      </c>
      <c r="I81" s="2899">
        <f>I73/J73</f>
        <v>3.8015387494819586E-2</v>
      </c>
      <c r="J81" s="988"/>
    </row>
    <row r="82" spans="2:18" ht="15.75">
      <c r="B82" s="129"/>
      <c r="C82" s="129"/>
      <c r="D82" s="129"/>
      <c r="E82" s="129"/>
      <c r="F82" s="673"/>
      <c r="G82" s="2900">
        <f>G75/J75</f>
        <v>0.37390907265851053</v>
      </c>
      <c r="H82" s="2899">
        <f>H75/J75</f>
        <v>0.48461802356648281</v>
      </c>
      <c r="I82" s="2899">
        <f>I75/J75</f>
        <v>0.14147290377500665</v>
      </c>
      <c r="J82" s="988"/>
    </row>
    <row r="83" spans="2:18">
      <c r="F83" s="674"/>
      <c r="G83" s="126"/>
      <c r="H83" s="988"/>
      <c r="I83" s="988"/>
      <c r="J83" s="988"/>
      <c r="L83" s="117">
        <f>H75+G75</f>
        <v>79014200052</v>
      </c>
    </row>
    <row r="84" spans="2:18">
      <c r="F84" s="675"/>
      <c r="G84" s="126"/>
      <c r="H84" s="988"/>
      <c r="I84" s="988"/>
      <c r="J84" s="988"/>
    </row>
    <row r="85" spans="2:18">
      <c r="F85" s="675"/>
      <c r="G85" s="126"/>
      <c r="H85" s="988"/>
      <c r="I85" s="988" t="s">
        <v>904</v>
      </c>
      <c r="J85" s="988"/>
      <c r="M85" s="191"/>
      <c r="N85" s="191"/>
    </row>
    <row r="86" spans="2:18">
      <c r="F86" s="675"/>
      <c r="G86" s="126"/>
      <c r="H86" s="988"/>
      <c r="I86" s="988" t="s">
        <v>906</v>
      </c>
      <c r="J86" s="988"/>
    </row>
    <row r="87" spans="2:18">
      <c r="F87" s="675"/>
      <c r="G87" s="126"/>
      <c r="H87" s="126"/>
      <c r="I87" s="126"/>
      <c r="J87" s="676"/>
    </row>
    <row r="88" spans="2:18">
      <c r="K88" s="758">
        <f>I75-I72</f>
        <v>11598607966</v>
      </c>
      <c r="N88" s="192"/>
      <c r="R88" s="116">
        <v>89</v>
      </c>
    </row>
    <row r="89" spans="2:18">
      <c r="N89" s="192"/>
      <c r="R89" s="116">
        <f>SUM(R88:R88)</f>
        <v>89</v>
      </c>
    </row>
    <row r="90" spans="2:18">
      <c r="N90" s="192"/>
    </row>
    <row r="91" spans="2:18">
      <c r="N91" s="192"/>
    </row>
    <row r="92" spans="2:18">
      <c r="I92" s="117">
        <v>27992146829</v>
      </c>
      <c r="N92" s="192"/>
    </row>
    <row r="93" spans="2:18">
      <c r="H93" s="117">
        <v>70516786906</v>
      </c>
      <c r="I93" s="117">
        <v>194400</v>
      </c>
    </row>
    <row r="94" spans="2:18">
      <c r="I94" s="117">
        <f>SUM(I92:I93)</f>
        <v>27992341229</v>
      </c>
    </row>
    <row r="95" spans="2:18">
      <c r="G95" s="117">
        <f>G75+H75</f>
        <v>79014200052</v>
      </c>
      <c r="H95" s="117">
        <f>G95-G15</f>
        <v>53643188172</v>
      </c>
    </row>
  </sheetData>
  <mergeCells count="22">
    <mergeCell ref="B14:C14"/>
    <mergeCell ref="D14:E14"/>
    <mergeCell ref="B75:F75"/>
    <mergeCell ref="B7:E7"/>
    <mergeCell ref="F7:J7"/>
    <mergeCell ref="B8:J8"/>
    <mergeCell ref="B9:J9"/>
    <mergeCell ref="B10:E11"/>
    <mergeCell ref="F10:F13"/>
    <mergeCell ref="G10:G13"/>
    <mergeCell ref="H10:H13"/>
    <mergeCell ref="I10:I13"/>
    <mergeCell ref="J10:J13"/>
    <mergeCell ref="B12:C13"/>
    <mergeCell ref="D12:E13"/>
    <mergeCell ref="B6:E6"/>
    <mergeCell ref="F6:J6"/>
    <mergeCell ref="B1:J1"/>
    <mergeCell ref="B2:J2"/>
    <mergeCell ref="B3:J3"/>
    <mergeCell ref="B4:J4"/>
    <mergeCell ref="B5:J5"/>
  </mergeCells>
  <pageMargins left="0.11811023622047245" right="0.23622047244094491" top="0.43307086614173229" bottom="0.39" header="0.23622047244094491" footer="0.23622047244094491"/>
  <pageSetup paperSize="5" scale="75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FF00"/>
  </sheetPr>
  <dimension ref="B1:U120"/>
  <sheetViews>
    <sheetView view="pageBreakPreview" topLeftCell="A82" zoomScaleNormal="115" zoomScaleSheetLayoutView="100" workbookViewId="0">
      <selection activeCell="B82" sqref="B82:K88"/>
    </sheetView>
  </sheetViews>
  <sheetFormatPr defaultRowHeight="12.75"/>
  <cols>
    <col min="1" max="1" width="1.5703125" style="9" customWidth="1"/>
    <col min="2" max="6" width="3.5703125" style="9" customWidth="1"/>
    <col min="7" max="7" width="39.7109375" style="9" customWidth="1"/>
    <col min="8" max="8" width="10.28515625" style="9" bestFit="1" customWidth="1"/>
    <col min="9" max="9" width="9.7109375" style="9" customWidth="1"/>
    <col min="10" max="10" width="13.5703125" style="9" bestFit="1" customWidth="1"/>
    <col min="11" max="11" width="16.5703125" style="9" bestFit="1" customWidth="1"/>
    <col min="12" max="12" width="6.42578125" style="218" bestFit="1" customWidth="1"/>
    <col min="13" max="13" width="16.5703125" style="9" bestFit="1" customWidth="1"/>
    <col min="14" max="15" width="15.5703125" style="147" bestFit="1" customWidth="1"/>
    <col min="16" max="17" width="6.42578125" style="221" bestFit="1" customWidth="1"/>
    <col min="18" max="18" width="18.42578125" style="9" bestFit="1" customWidth="1"/>
    <col min="19" max="20" width="15.42578125" style="9" bestFit="1" customWidth="1"/>
    <col min="21" max="21" width="5" style="9" bestFit="1" customWidth="1"/>
    <col min="22" max="22" width="12.28515625" style="9" bestFit="1" customWidth="1"/>
    <col min="23" max="16384" width="9.140625" style="9"/>
  </cols>
  <sheetData>
    <row r="1" spans="2:15" s="9" customFormat="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  <c r="L1" s="216"/>
      <c r="N1" s="147"/>
      <c r="O1" s="147"/>
    </row>
    <row r="2" spans="2:15" s="9" customFormat="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  <c r="L2" s="215"/>
      <c r="N2" s="147"/>
      <c r="O2" s="147"/>
    </row>
    <row r="3" spans="2:15" s="9" customFormat="1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  <c r="L3" s="215"/>
      <c r="N3" s="147"/>
      <c r="O3" s="147"/>
    </row>
    <row r="4" spans="2:15" s="9" customFormat="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  <c r="L4" s="215"/>
      <c r="N4" s="147"/>
      <c r="O4" s="147"/>
    </row>
    <row r="5" spans="2:15" s="9" customFormat="1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  <c r="L5" s="214"/>
      <c r="N5" s="147"/>
      <c r="O5" s="147"/>
    </row>
    <row r="6" spans="2:15" s="9" customFormat="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  <c r="L6" s="214"/>
      <c r="N6" s="147"/>
      <c r="O6" s="147"/>
    </row>
    <row r="7" spans="2:15" s="9" customFormat="1">
      <c r="B7" s="3341" t="s">
        <v>33</v>
      </c>
      <c r="C7" s="3339"/>
      <c r="D7" s="3339"/>
      <c r="E7" s="3339"/>
      <c r="F7" s="3339"/>
      <c r="G7" s="3342" t="s">
        <v>1111</v>
      </c>
      <c r="H7" s="3342"/>
      <c r="I7" s="3342"/>
      <c r="J7" s="3342"/>
      <c r="K7" s="3343"/>
      <c r="L7" s="217"/>
      <c r="N7" s="147"/>
      <c r="O7" s="147"/>
    </row>
    <row r="8" spans="2:15" s="9" customFormat="1">
      <c r="B8" s="3341" t="s">
        <v>34</v>
      </c>
      <c r="C8" s="3339"/>
      <c r="D8" s="3339"/>
      <c r="E8" s="3339"/>
      <c r="F8" s="3339"/>
      <c r="G8" s="3339" t="s">
        <v>1118</v>
      </c>
      <c r="H8" s="3339"/>
      <c r="I8" s="3339"/>
      <c r="J8" s="3339"/>
      <c r="K8" s="3340"/>
      <c r="L8" s="214"/>
      <c r="N8" s="147"/>
      <c r="O8" s="147"/>
    </row>
    <row r="9" spans="2:15" s="9" customFormat="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L9" s="214"/>
      <c r="N9" s="220"/>
      <c r="O9" s="220"/>
    </row>
    <row r="10" spans="2:15" s="9" customFormat="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L10" s="214"/>
      <c r="N10" s="220"/>
      <c r="O10" s="220"/>
    </row>
    <row r="11" spans="2:15" s="9" customFormat="1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  <c r="L11" s="214"/>
      <c r="N11" s="147"/>
      <c r="O11" s="147"/>
    </row>
    <row r="12" spans="2:15" s="9" customFormat="1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  <c r="L12" s="215"/>
      <c r="N12" s="147"/>
      <c r="O12" s="147"/>
    </row>
    <row r="13" spans="2:15" s="9" customFormat="1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  <c r="L13" s="214"/>
      <c r="N13" s="147"/>
      <c r="O13" s="147"/>
    </row>
    <row r="14" spans="2:15" s="9" customFormat="1" ht="15" customHeight="1">
      <c r="B14" s="3462" t="s">
        <v>8</v>
      </c>
      <c r="C14" s="3463"/>
      <c r="D14" s="3463"/>
      <c r="E14" s="3463"/>
      <c r="F14" s="3464"/>
      <c r="G14" s="3445" t="s">
        <v>445</v>
      </c>
      <c r="H14" s="3448"/>
      <c r="I14" s="3450">
        <v>1</v>
      </c>
      <c r="J14" s="3451"/>
      <c r="K14" s="3452"/>
      <c r="L14" s="214"/>
      <c r="N14" s="147"/>
      <c r="O14" s="147"/>
    </row>
    <row r="15" spans="2:15" s="9" customFormat="1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6149229801</v>
      </c>
      <c r="J15" s="3454"/>
      <c r="K15" s="3455"/>
      <c r="L15" s="214"/>
      <c r="N15" s="147"/>
      <c r="O15" s="147"/>
    </row>
    <row r="16" spans="2:15" s="9" customFormat="1" ht="16.5" customHeight="1">
      <c r="B16" s="3439" t="s">
        <v>10</v>
      </c>
      <c r="C16" s="3451"/>
      <c r="D16" s="3451"/>
      <c r="E16" s="3451"/>
      <c r="F16" s="3460"/>
      <c r="G16" s="3445" t="s">
        <v>446</v>
      </c>
      <c r="H16" s="3448"/>
      <c r="I16" s="3456">
        <v>1</v>
      </c>
      <c r="J16" s="3457"/>
      <c r="K16" s="3458"/>
      <c r="L16" s="214"/>
      <c r="N16" s="147"/>
      <c r="O16" s="147"/>
    </row>
    <row r="17" spans="2:21">
      <c r="B17" s="3439" t="s">
        <v>11</v>
      </c>
      <c r="C17" s="3451"/>
      <c r="D17" s="3451"/>
      <c r="E17" s="3451"/>
      <c r="F17" s="3460"/>
      <c r="G17" s="3445" t="s">
        <v>447</v>
      </c>
      <c r="H17" s="3448"/>
      <c r="I17" s="3456">
        <v>1</v>
      </c>
      <c r="J17" s="3457"/>
      <c r="K17" s="3458"/>
      <c r="L17" s="214"/>
    </row>
    <row r="18" spans="2:21">
      <c r="B18" s="3442" t="s">
        <v>262</v>
      </c>
      <c r="C18" s="3443"/>
      <c r="D18" s="3443"/>
      <c r="E18" s="3443"/>
      <c r="F18" s="3443"/>
      <c r="G18" s="3443"/>
      <c r="H18" s="3443"/>
      <c r="I18" s="3443"/>
      <c r="J18" s="3443"/>
      <c r="K18" s="3444"/>
      <c r="L18" s="214"/>
    </row>
    <row r="19" spans="2:21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21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21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526"/>
      <c r="M21" s="1526"/>
      <c r="N21" s="1526"/>
      <c r="O21" s="1526"/>
      <c r="P21" s="1526"/>
      <c r="Q21" s="1526"/>
      <c r="R21" s="3378"/>
    </row>
    <row r="22" spans="2:21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525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21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526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21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K25+K58+K85</f>
        <v>6149229801</v>
      </c>
      <c r="L24" s="305"/>
      <c r="M24" s="305"/>
      <c r="N24" s="305"/>
      <c r="O24" s="305"/>
      <c r="P24" s="305"/>
      <c r="Q24" s="303"/>
      <c r="R24" s="303"/>
    </row>
    <row r="25" spans="2:21" ht="14.25" customHeight="1">
      <c r="B25" s="43">
        <v>5</v>
      </c>
      <c r="C25" s="17">
        <v>2</v>
      </c>
      <c r="D25" s="17">
        <v>1</v>
      </c>
      <c r="E25" s="17"/>
      <c r="F25" s="17"/>
      <c r="G25" s="44" t="s">
        <v>59</v>
      </c>
      <c r="H25" s="856"/>
      <c r="I25" s="17"/>
      <c r="J25" s="46"/>
      <c r="K25" s="47">
        <f>K26+K41</f>
        <v>4266105000</v>
      </c>
      <c r="L25" s="305"/>
      <c r="M25" s="305"/>
      <c r="N25" s="305"/>
      <c r="O25" s="305"/>
      <c r="P25" s="305"/>
      <c r="Q25" s="303"/>
      <c r="R25" s="303"/>
    </row>
    <row r="26" spans="2:21">
      <c r="B26" s="36">
        <v>5</v>
      </c>
      <c r="C26" s="37">
        <v>2</v>
      </c>
      <c r="D26" s="37">
        <v>1</v>
      </c>
      <c r="E26" s="38" t="s">
        <v>24</v>
      </c>
      <c r="F26" s="17"/>
      <c r="G26" s="49" t="s">
        <v>60</v>
      </c>
      <c r="H26" s="856"/>
      <c r="I26" s="17"/>
      <c r="J26" s="46"/>
      <c r="K26" s="47">
        <f>K27</f>
        <v>717275000</v>
      </c>
      <c r="L26" s="304"/>
      <c r="M26" s="303"/>
      <c r="N26" s="303"/>
      <c r="O26" s="303"/>
      <c r="P26" s="303"/>
      <c r="Q26" s="303"/>
      <c r="R26" s="303"/>
    </row>
    <row r="27" spans="2:21">
      <c r="B27" s="36">
        <v>5</v>
      </c>
      <c r="C27" s="37">
        <v>2</v>
      </c>
      <c r="D27" s="37">
        <v>1</v>
      </c>
      <c r="E27" s="38" t="s">
        <v>24</v>
      </c>
      <c r="F27" s="38" t="s">
        <v>66</v>
      </c>
      <c r="G27" s="48" t="s">
        <v>75</v>
      </c>
      <c r="H27" s="856"/>
      <c r="I27" s="17"/>
      <c r="J27" s="46"/>
      <c r="K27" s="50">
        <f>SUM(K28:K40)</f>
        <v>717275000</v>
      </c>
      <c r="L27" s="305"/>
      <c r="M27" s="305"/>
      <c r="N27" s="305"/>
      <c r="O27" s="305"/>
      <c r="P27" s="305"/>
      <c r="Q27" s="303"/>
      <c r="R27" s="303"/>
    </row>
    <row r="28" spans="2:21" s="1732" customFormat="1">
      <c r="B28" s="1722"/>
      <c r="C28" s="1723"/>
      <c r="D28" s="1723"/>
      <c r="E28" s="1724"/>
      <c r="F28" s="1724"/>
      <c r="G28" s="1725" t="s">
        <v>989</v>
      </c>
      <c r="H28" s="1721">
        <v>1250</v>
      </c>
      <c r="I28" s="1726" t="s">
        <v>908</v>
      </c>
      <c r="J28" s="1727">
        <v>150000</v>
      </c>
      <c r="K28" s="1728">
        <f t="shared" ref="K28:K39" si="0">H28*J28</f>
        <v>187500000</v>
      </c>
      <c r="L28" s="1729"/>
      <c r="M28" s="1730">
        <f>K28</f>
        <v>187500000</v>
      </c>
      <c r="N28" s="1730"/>
      <c r="O28" s="1730"/>
      <c r="P28" s="1731"/>
      <c r="Q28" s="1731"/>
      <c r="R28" s="1731"/>
    </row>
    <row r="29" spans="2:21" s="1732" customFormat="1" ht="25.5">
      <c r="B29" s="1722"/>
      <c r="C29" s="1723"/>
      <c r="D29" s="1723"/>
      <c r="E29" s="1724"/>
      <c r="F29" s="1724"/>
      <c r="G29" s="1725" t="s">
        <v>990</v>
      </c>
      <c r="H29" s="1721">
        <v>51</v>
      </c>
      <c r="I29" s="1726" t="s">
        <v>908</v>
      </c>
      <c r="J29" s="1727">
        <v>300000</v>
      </c>
      <c r="K29" s="1728">
        <f>H29*J29</f>
        <v>15300000</v>
      </c>
      <c r="L29" s="1729"/>
      <c r="M29" s="1730">
        <f t="shared" ref="M29:M39" si="1">K29</f>
        <v>15300000</v>
      </c>
      <c r="N29" s="1730"/>
      <c r="O29" s="1731"/>
      <c r="P29" s="1731"/>
      <c r="Q29" s="1731"/>
      <c r="R29" s="1731"/>
    </row>
    <row r="30" spans="2:21" s="1732" customFormat="1">
      <c r="B30" s="1733"/>
      <c r="C30" s="1723"/>
      <c r="D30" s="1723"/>
      <c r="E30" s="1724"/>
      <c r="F30" s="1724"/>
      <c r="G30" s="1725" t="s">
        <v>991</v>
      </c>
      <c r="H30" s="1721">
        <v>117</v>
      </c>
      <c r="I30" s="1726" t="s">
        <v>908</v>
      </c>
      <c r="J30" s="1727">
        <v>115000</v>
      </c>
      <c r="K30" s="1728">
        <f t="shared" si="0"/>
        <v>13455000</v>
      </c>
      <c r="L30" s="1729"/>
      <c r="M30" s="1730">
        <f t="shared" si="1"/>
        <v>13455000</v>
      </c>
      <c r="N30" s="1730"/>
      <c r="O30" s="1729"/>
      <c r="P30" s="1729"/>
      <c r="Q30" s="1731"/>
      <c r="R30" s="1731"/>
      <c r="S30" s="1734" t="s">
        <v>468</v>
      </c>
    </row>
    <row r="31" spans="2:21" s="1732" customFormat="1" ht="25.5">
      <c r="B31" s="1733"/>
      <c r="C31" s="1723"/>
      <c r="D31" s="1723"/>
      <c r="E31" s="1724"/>
      <c r="F31" s="1724"/>
      <c r="G31" s="1725" t="s">
        <v>1001</v>
      </c>
      <c r="H31" s="1721">
        <v>8</v>
      </c>
      <c r="I31" s="1726" t="s">
        <v>908</v>
      </c>
      <c r="J31" s="1727">
        <v>200000</v>
      </c>
      <c r="K31" s="1728">
        <f t="shared" si="0"/>
        <v>1600000</v>
      </c>
      <c r="L31" s="1729"/>
      <c r="M31" s="1730">
        <f t="shared" si="1"/>
        <v>1600000</v>
      </c>
      <c r="N31" s="1730"/>
      <c r="O31" s="1729"/>
      <c r="P31" s="1729"/>
      <c r="Q31" s="1731"/>
      <c r="R31" s="1731"/>
      <c r="S31" s="1734"/>
    </row>
    <row r="32" spans="2:21" s="1732" customFormat="1">
      <c r="B32" s="1733"/>
      <c r="C32" s="1723"/>
      <c r="D32" s="1723"/>
      <c r="E32" s="1724"/>
      <c r="F32" s="1724"/>
      <c r="G32" s="1735" t="s">
        <v>1003</v>
      </c>
      <c r="H32" s="1736">
        <v>4477</v>
      </c>
      <c r="I32" s="1726" t="s">
        <v>908</v>
      </c>
      <c r="J32" s="1727">
        <v>70000</v>
      </c>
      <c r="K32" s="1728">
        <f t="shared" si="0"/>
        <v>313390000</v>
      </c>
      <c r="L32" s="1729"/>
      <c r="M32" s="1730">
        <f t="shared" si="1"/>
        <v>313390000</v>
      </c>
      <c r="N32" s="1730"/>
      <c r="O32" s="1731"/>
      <c r="P32" s="1731"/>
      <c r="Q32" s="1731"/>
      <c r="R32" s="1731"/>
      <c r="S32" s="1737" t="s">
        <v>468</v>
      </c>
      <c r="T32" s="1737">
        <v>855</v>
      </c>
      <c r="U32" s="1737" t="s">
        <v>469</v>
      </c>
    </row>
    <row r="33" spans="2:21" s="1732" customFormat="1" ht="25.5">
      <c r="B33" s="1733"/>
      <c r="C33" s="1723"/>
      <c r="D33" s="1723"/>
      <c r="E33" s="1724"/>
      <c r="F33" s="1724"/>
      <c r="G33" s="1735" t="s">
        <v>1254</v>
      </c>
      <c r="H33" s="1721">
        <v>301</v>
      </c>
      <c r="I33" s="1726" t="s">
        <v>908</v>
      </c>
      <c r="J33" s="1727">
        <v>90000</v>
      </c>
      <c r="K33" s="1728">
        <f t="shared" si="0"/>
        <v>27090000</v>
      </c>
      <c r="L33" s="1729"/>
      <c r="M33" s="1730">
        <f t="shared" si="1"/>
        <v>27090000</v>
      </c>
      <c r="N33" s="1730"/>
      <c r="O33" s="1731"/>
      <c r="P33" s="1731"/>
      <c r="Q33" s="1731"/>
      <c r="R33" s="1731"/>
      <c r="S33" s="1737"/>
      <c r="T33" s="1737"/>
      <c r="U33" s="1737"/>
    </row>
    <row r="34" spans="2:21" s="1732" customFormat="1">
      <c r="B34" s="1733"/>
      <c r="C34" s="1723"/>
      <c r="D34" s="1723"/>
      <c r="E34" s="1724"/>
      <c r="F34" s="1724"/>
      <c r="G34" s="1725" t="s">
        <v>1005</v>
      </c>
      <c r="H34" s="1721">
        <f>803+268</f>
        <v>1071</v>
      </c>
      <c r="I34" s="1726" t="s">
        <v>908</v>
      </c>
      <c r="J34" s="1727">
        <v>70000</v>
      </c>
      <c r="K34" s="1728">
        <f t="shared" si="0"/>
        <v>74970000</v>
      </c>
      <c r="L34" s="1729"/>
      <c r="M34" s="1730">
        <f t="shared" si="1"/>
        <v>74970000</v>
      </c>
      <c r="N34" s="1730"/>
      <c r="O34" s="1729"/>
      <c r="P34" s="1729"/>
      <c r="Q34" s="1731"/>
      <c r="R34" s="1731"/>
      <c r="T34" s="1732">
        <f>365-14</f>
        <v>351</v>
      </c>
    </row>
    <row r="35" spans="2:21" s="1732" customFormat="1" ht="25.5">
      <c r="B35" s="1733"/>
      <c r="C35" s="1723"/>
      <c r="D35" s="1723"/>
      <c r="E35" s="1724"/>
      <c r="F35" s="1724"/>
      <c r="G35" s="1725" t="s">
        <v>1006</v>
      </c>
      <c r="H35" s="1721">
        <f>54+18</f>
        <v>72</v>
      </c>
      <c r="I35" s="1726" t="s">
        <v>908</v>
      </c>
      <c r="J35" s="1727">
        <v>90000</v>
      </c>
      <c r="K35" s="1728">
        <f t="shared" si="0"/>
        <v>6480000</v>
      </c>
      <c r="L35" s="1729"/>
      <c r="M35" s="1730">
        <f t="shared" si="1"/>
        <v>6480000</v>
      </c>
      <c r="N35" s="1730"/>
      <c r="O35" s="1731"/>
      <c r="P35" s="1731"/>
      <c r="Q35" s="1731"/>
      <c r="R35" s="1731"/>
      <c r="S35" s="1737"/>
      <c r="T35" s="1737"/>
      <c r="U35" s="1737"/>
    </row>
    <row r="36" spans="2:21" s="1732" customFormat="1" ht="15">
      <c r="B36" s="1722"/>
      <c r="C36" s="1723"/>
      <c r="D36" s="1723"/>
      <c r="E36" s="1724"/>
      <c r="F36" s="1724"/>
      <c r="G36" s="1725" t="s">
        <v>909</v>
      </c>
      <c r="H36" s="1721">
        <v>357</v>
      </c>
      <c r="I36" s="1726" t="s">
        <v>908</v>
      </c>
      <c r="J36" s="1727">
        <v>110000</v>
      </c>
      <c r="K36" s="1728">
        <f t="shared" si="0"/>
        <v>39270000</v>
      </c>
      <c r="L36" s="1729"/>
      <c r="M36" s="1730">
        <f t="shared" si="1"/>
        <v>39270000</v>
      </c>
      <c r="N36" s="1730"/>
      <c r="O36" s="1729"/>
      <c r="P36" s="1729"/>
      <c r="Q36" s="1738"/>
      <c r="R36" s="1739"/>
    </row>
    <row r="37" spans="2:21" s="1732" customFormat="1" ht="15">
      <c r="B37" s="1722"/>
      <c r="C37" s="1723"/>
      <c r="D37" s="1723"/>
      <c r="E37" s="1724"/>
      <c r="F37" s="1724"/>
      <c r="G37" s="1725" t="s">
        <v>910</v>
      </c>
      <c r="H37" s="1721">
        <v>243</v>
      </c>
      <c r="I37" s="1726" t="s">
        <v>908</v>
      </c>
      <c r="J37" s="1727">
        <v>60000</v>
      </c>
      <c r="K37" s="1728">
        <f t="shared" si="0"/>
        <v>14580000</v>
      </c>
      <c r="L37" s="1729"/>
      <c r="M37" s="1730">
        <f t="shared" si="1"/>
        <v>14580000</v>
      </c>
      <c r="N37" s="1730"/>
      <c r="O37" s="1729"/>
      <c r="P37" s="1729"/>
      <c r="Q37" s="1738"/>
      <c r="R37" s="1739"/>
    </row>
    <row r="38" spans="2:21" s="1732" customFormat="1" ht="25.5">
      <c r="B38" s="1722"/>
      <c r="C38" s="1723"/>
      <c r="D38" s="1723"/>
      <c r="E38" s="1724"/>
      <c r="F38" s="1724"/>
      <c r="G38" s="1725" t="s">
        <v>1675</v>
      </c>
      <c r="H38" s="1721">
        <v>228</v>
      </c>
      <c r="I38" s="1726" t="s">
        <v>908</v>
      </c>
      <c r="J38" s="1727">
        <v>90000</v>
      </c>
      <c r="K38" s="1728">
        <f t="shared" si="0"/>
        <v>20520000</v>
      </c>
      <c r="L38" s="1729"/>
      <c r="M38" s="1730">
        <f t="shared" si="1"/>
        <v>20520000</v>
      </c>
      <c r="N38" s="1730"/>
      <c r="O38" s="1729"/>
      <c r="P38" s="1729"/>
      <c r="Q38" s="1738"/>
      <c r="R38" s="1739"/>
    </row>
    <row r="39" spans="2:21" s="1732" customFormat="1" ht="25.5">
      <c r="B39" s="1722"/>
      <c r="C39" s="1723"/>
      <c r="D39" s="1723"/>
      <c r="E39" s="1724"/>
      <c r="F39" s="1724"/>
      <c r="G39" s="1725" t="s">
        <v>1674</v>
      </c>
      <c r="H39" s="1721">
        <v>24</v>
      </c>
      <c r="I39" s="1726" t="s">
        <v>908</v>
      </c>
      <c r="J39" s="1727">
        <v>130000</v>
      </c>
      <c r="K39" s="1728">
        <f t="shared" si="0"/>
        <v>3120000</v>
      </c>
      <c r="L39" s="1729"/>
      <c r="M39" s="1730">
        <f t="shared" si="1"/>
        <v>3120000</v>
      </c>
      <c r="N39" s="1730"/>
      <c r="O39" s="1729"/>
      <c r="P39" s="1729"/>
      <c r="Q39" s="1738"/>
      <c r="R39" s="1739"/>
    </row>
    <row r="40" spans="2:21" ht="15">
      <c r="B40" s="1528"/>
      <c r="C40" s="59"/>
      <c r="D40" s="59"/>
      <c r="E40" s="60"/>
      <c r="F40" s="60"/>
      <c r="G40" s="32"/>
      <c r="H40" s="857"/>
      <c r="I40" s="4"/>
      <c r="J40" s="61"/>
      <c r="K40" s="55"/>
      <c r="L40" s="404"/>
      <c r="M40" s="406"/>
      <c r="N40" s="560"/>
      <c r="O40" s="407"/>
      <c r="P40" s="407"/>
      <c r="Q40" s="405"/>
      <c r="R40" s="306"/>
    </row>
    <row r="41" spans="2:21" s="76" customFormat="1" ht="15.75" customHeight="1">
      <c r="B41" s="94">
        <v>5</v>
      </c>
      <c r="C41" s="95">
        <v>2</v>
      </c>
      <c r="D41" s="95">
        <v>1</v>
      </c>
      <c r="E41" s="96" t="s">
        <v>25</v>
      </c>
      <c r="F41" s="96"/>
      <c r="G41" s="20" t="s">
        <v>185</v>
      </c>
      <c r="H41" s="245"/>
      <c r="I41" s="32"/>
      <c r="J41" s="122"/>
      <c r="K41" s="97">
        <f>K42+K48</f>
        <v>3548830000</v>
      </c>
      <c r="L41" s="404"/>
      <c r="M41" s="409"/>
      <c r="N41" s="410"/>
      <c r="O41" s="410"/>
      <c r="P41" s="410"/>
      <c r="Q41" s="405"/>
      <c r="R41" s="306"/>
    </row>
    <row r="42" spans="2:21" s="76" customFormat="1" ht="15.75" customHeight="1">
      <c r="B42" s="94">
        <v>5</v>
      </c>
      <c r="C42" s="95">
        <v>2</v>
      </c>
      <c r="D42" s="95">
        <v>1</v>
      </c>
      <c r="E42" s="96" t="s">
        <v>25</v>
      </c>
      <c r="F42" s="96" t="s">
        <v>25</v>
      </c>
      <c r="G42" s="20" t="s">
        <v>186</v>
      </c>
      <c r="H42" s="245"/>
      <c r="I42" s="32"/>
      <c r="J42" s="122"/>
      <c r="K42" s="97">
        <f>SUM(K43:K46)</f>
        <v>2076000000</v>
      </c>
      <c r="L42" s="404"/>
      <c r="M42" s="411"/>
      <c r="N42" s="402"/>
      <c r="O42" s="402"/>
      <c r="P42" s="402"/>
      <c r="Q42" s="405"/>
      <c r="R42" s="306"/>
    </row>
    <row r="43" spans="2:21" s="76" customFormat="1" ht="15.75" customHeight="1">
      <c r="B43" s="94"/>
      <c r="C43" s="95"/>
      <c r="D43" s="95"/>
      <c r="E43" s="96"/>
      <c r="F43" s="96"/>
      <c r="G43" s="32" t="s">
        <v>638</v>
      </c>
      <c r="H43" s="355">
        <f>3*12</f>
        <v>36</v>
      </c>
      <c r="I43" s="58" t="s">
        <v>62</v>
      </c>
      <c r="J43" s="122">
        <v>2200000</v>
      </c>
      <c r="K43" s="93">
        <f>J43*H43</f>
        <v>79200000</v>
      </c>
      <c r="L43" s="404"/>
      <c r="M43" s="1075">
        <f>K43</f>
        <v>79200000</v>
      </c>
      <c r="N43" s="1068"/>
      <c r="O43" s="405"/>
      <c r="P43" s="405"/>
      <c r="Q43" s="405"/>
      <c r="R43" s="306"/>
    </row>
    <row r="44" spans="2:21" s="2481" customFormat="1" ht="15.75" customHeight="1">
      <c r="B44" s="2468"/>
      <c r="C44" s="2469"/>
      <c r="D44" s="2469"/>
      <c r="E44" s="2470"/>
      <c r="F44" s="2470"/>
      <c r="G44" s="2471" t="s">
        <v>2049</v>
      </c>
      <c r="H44" s="2472">
        <f>66*12</f>
        <v>792</v>
      </c>
      <c r="I44" s="2473" t="s">
        <v>62</v>
      </c>
      <c r="J44" s="2474">
        <v>2300000</v>
      </c>
      <c r="K44" s="2475">
        <f>J44*H44</f>
        <v>1821600000</v>
      </c>
      <c r="L44" s="2476"/>
      <c r="M44" s="2477">
        <f t="shared" ref="M44:M46" si="2">K44</f>
        <v>1821600000</v>
      </c>
      <c r="N44" s="2478"/>
      <c r="O44" s="2479"/>
      <c r="P44" s="2479"/>
      <c r="Q44" s="2479"/>
      <c r="R44" s="2480"/>
    </row>
    <row r="45" spans="2:21" s="76" customFormat="1" ht="15.75" customHeight="1">
      <c r="B45" s="94"/>
      <c r="C45" s="95"/>
      <c r="D45" s="95"/>
      <c r="E45" s="96"/>
      <c r="F45" s="96"/>
      <c r="G45" s="32" t="s">
        <v>1108</v>
      </c>
      <c r="H45" s="355">
        <f>5*12</f>
        <v>60</v>
      </c>
      <c r="I45" s="58" t="s">
        <v>62</v>
      </c>
      <c r="J45" s="122">
        <v>2400000</v>
      </c>
      <c r="K45" s="93">
        <f>J45*H45</f>
        <v>144000000</v>
      </c>
      <c r="L45" s="404"/>
      <c r="M45" s="1075">
        <f t="shared" si="2"/>
        <v>144000000</v>
      </c>
      <c r="N45" s="1068"/>
      <c r="O45" s="405"/>
      <c r="P45" s="405"/>
      <c r="Q45" s="405"/>
      <c r="R45" s="306"/>
    </row>
    <row r="46" spans="2:21" s="76" customFormat="1" ht="15">
      <c r="B46" s="398"/>
      <c r="C46" s="389"/>
      <c r="D46" s="389"/>
      <c r="E46" s="390"/>
      <c r="F46" s="390"/>
      <c r="G46" s="391" t="s">
        <v>907</v>
      </c>
      <c r="H46" s="597">
        <v>12</v>
      </c>
      <c r="I46" s="393" t="s">
        <v>62</v>
      </c>
      <c r="J46" s="394">
        <v>2600000</v>
      </c>
      <c r="K46" s="93">
        <f>J46*H46</f>
        <v>31200000</v>
      </c>
      <c r="L46" s="404"/>
      <c r="M46" s="1075">
        <f t="shared" si="2"/>
        <v>31200000</v>
      </c>
      <c r="N46" s="1068"/>
      <c r="O46" s="412"/>
      <c r="P46" s="412"/>
      <c r="Q46" s="412"/>
      <c r="R46" s="378"/>
    </row>
    <row r="47" spans="2:21" ht="15">
      <c r="B47" s="1528"/>
      <c r="C47" s="59"/>
      <c r="D47" s="59"/>
      <c r="E47" s="60"/>
      <c r="F47" s="60"/>
      <c r="G47" s="32"/>
      <c r="H47" s="857"/>
      <c r="I47" s="4"/>
      <c r="J47" s="61"/>
      <c r="K47" s="55"/>
      <c r="L47" s="404"/>
      <c r="M47" s="408"/>
      <c r="N47" s="405"/>
      <c r="O47" s="405"/>
      <c r="P47" s="405"/>
      <c r="Q47" s="405"/>
      <c r="R47" s="306"/>
    </row>
    <row r="48" spans="2:21" s="76" customFormat="1" ht="25.5">
      <c r="B48" s="94">
        <v>5</v>
      </c>
      <c r="C48" s="95">
        <v>2</v>
      </c>
      <c r="D48" s="95">
        <v>1</v>
      </c>
      <c r="E48" s="96" t="s">
        <v>25</v>
      </c>
      <c r="F48" s="96" t="s">
        <v>44</v>
      </c>
      <c r="G48" s="20" t="s">
        <v>971</v>
      </c>
      <c r="H48" s="245"/>
      <c r="I48" s="32"/>
      <c r="J48" s="122"/>
      <c r="K48" s="97">
        <f>SUM(K49:K56)</f>
        <v>1472830000</v>
      </c>
      <c r="L48" s="404"/>
      <c r="M48" s="411"/>
      <c r="N48" s="402"/>
      <c r="O48" s="402"/>
      <c r="P48" s="402"/>
      <c r="Q48" s="405"/>
      <c r="R48" s="306"/>
    </row>
    <row r="49" spans="2:21" s="1732" customFormat="1">
      <c r="B49" s="1722"/>
      <c r="C49" s="1723"/>
      <c r="D49" s="1723"/>
      <c r="E49" s="1724"/>
      <c r="F49" s="1724"/>
      <c r="G49" s="1725" t="s">
        <v>989</v>
      </c>
      <c r="H49" s="1721">
        <v>535</v>
      </c>
      <c r="I49" s="1726" t="s">
        <v>908</v>
      </c>
      <c r="J49" s="1727">
        <v>150000</v>
      </c>
      <c r="K49" s="1728">
        <f t="shared" ref="K49:K56" si="3">H49*J49</f>
        <v>80250000</v>
      </c>
      <c r="L49" s="1729"/>
      <c r="M49" s="1730">
        <f>K49</f>
        <v>80250000</v>
      </c>
      <c r="N49" s="1730"/>
      <c r="O49" s="1731"/>
      <c r="P49" s="1731"/>
      <c r="Q49" s="1731"/>
      <c r="R49" s="1731"/>
    </row>
    <row r="50" spans="2:21" s="1732" customFormat="1" ht="25.5">
      <c r="B50" s="1722"/>
      <c r="C50" s="1723"/>
      <c r="D50" s="1723"/>
      <c r="E50" s="1724"/>
      <c r="F50" s="1724"/>
      <c r="G50" s="1725" t="s">
        <v>990</v>
      </c>
      <c r="H50" s="1721">
        <v>29</v>
      </c>
      <c r="I50" s="1726" t="s">
        <v>908</v>
      </c>
      <c r="J50" s="1727">
        <v>300000</v>
      </c>
      <c r="K50" s="1728">
        <f t="shared" si="3"/>
        <v>8700000</v>
      </c>
      <c r="L50" s="1729"/>
      <c r="M50" s="1730">
        <f t="shared" ref="M50:M56" si="4">K50</f>
        <v>8700000</v>
      </c>
      <c r="N50" s="1730"/>
      <c r="O50" s="1731"/>
      <c r="P50" s="1731"/>
      <c r="Q50" s="1731"/>
      <c r="R50" s="1731"/>
    </row>
    <row r="51" spans="2:21" s="1732" customFormat="1">
      <c r="B51" s="1733"/>
      <c r="C51" s="1723"/>
      <c r="D51" s="1723"/>
      <c r="E51" s="1724"/>
      <c r="F51" s="1724"/>
      <c r="G51" s="1725" t="s">
        <v>1002</v>
      </c>
      <c r="H51" s="1721">
        <v>954</v>
      </c>
      <c r="I51" s="1726" t="s">
        <v>908</v>
      </c>
      <c r="J51" s="1727">
        <v>115000</v>
      </c>
      <c r="K51" s="1728">
        <f t="shared" si="3"/>
        <v>109710000</v>
      </c>
      <c r="L51" s="1729"/>
      <c r="M51" s="1730">
        <f t="shared" si="4"/>
        <v>109710000</v>
      </c>
      <c r="N51" s="1730"/>
      <c r="O51" s="1729"/>
      <c r="P51" s="1729"/>
      <c r="Q51" s="1731"/>
      <c r="R51" s="1731"/>
      <c r="S51" s="1734"/>
    </row>
    <row r="52" spans="2:21" s="1732" customFormat="1" ht="25.5">
      <c r="B52" s="1733"/>
      <c r="C52" s="1723"/>
      <c r="D52" s="1723"/>
      <c r="E52" s="1724"/>
      <c r="F52" s="1724"/>
      <c r="G52" s="1725" t="s">
        <v>1001</v>
      </c>
      <c r="H52" s="1721">
        <v>64</v>
      </c>
      <c r="I52" s="1726" t="s">
        <v>908</v>
      </c>
      <c r="J52" s="1727">
        <v>200000</v>
      </c>
      <c r="K52" s="1728">
        <f t="shared" si="3"/>
        <v>12800000</v>
      </c>
      <c r="L52" s="1729"/>
      <c r="M52" s="1730">
        <f t="shared" si="4"/>
        <v>12800000</v>
      </c>
      <c r="N52" s="1730"/>
      <c r="O52" s="1729"/>
      <c r="P52" s="1729"/>
      <c r="Q52" s="1731"/>
      <c r="R52" s="1731"/>
      <c r="S52" s="1734"/>
    </row>
    <row r="53" spans="2:21" s="1732" customFormat="1">
      <c r="B53" s="1733"/>
      <c r="C53" s="1723"/>
      <c r="D53" s="1723"/>
      <c r="E53" s="1724"/>
      <c r="F53" s="1724"/>
      <c r="G53" s="1735" t="s">
        <v>1003</v>
      </c>
      <c r="H53" s="1736">
        <v>9089</v>
      </c>
      <c r="I53" s="1726" t="s">
        <v>908</v>
      </c>
      <c r="J53" s="1727">
        <v>70000</v>
      </c>
      <c r="K53" s="1728">
        <f t="shared" si="3"/>
        <v>636230000</v>
      </c>
      <c r="L53" s="1729"/>
      <c r="M53" s="1730">
        <f t="shared" si="4"/>
        <v>636230000</v>
      </c>
      <c r="N53" s="1730"/>
      <c r="O53" s="1731"/>
      <c r="P53" s="1731"/>
      <c r="Q53" s="1731"/>
      <c r="R53" s="1731"/>
      <c r="S53" s="1737"/>
      <c r="T53" s="1737"/>
      <c r="U53" s="1737"/>
    </row>
    <row r="54" spans="2:21" s="1732" customFormat="1" ht="25.5">
      <c r="B54" s="1733"/>
      <c r="C54" s="1723"/>
      <c r="D54" s="1723"/>
      <c r="E54" s="1724"/>
      <c r="F54" s="1724"/>
      <c r="G54" s="1735" t="s">
        <v>1004</v>
      </c>
      <c r="H54" s="1721">
        <v>611</v>
      </c>
      <c r="I54" s="1726" t="s">
        <v>908</v>
      </c>
      <c r="J54" s="1727">
        <v>90000</v>
      </c>
      <c r="K54" s="1728">
        <f t="shared" si="3"/>
        <v>54990000</v>
      </c>
      <c r="L54" s="1729"/>
      <c r="M54" s="1730">
        <f t="shared" si="4"/>
        <v>54990000</v>
      </c>
      <c r="N54" s="1730"/>
      <c r="O54" s="1731"/>
      <c r="P54" s="1731"/>
      <c r="Q54" s="1731"/>
      <c r="R54" s="1731"/>
      <c r="S54" s="1737"/>
      <c r="T54" s="1737"/>
      <c r="U54" s="1737"/>
    </row>
    <row r="55" spans="2:21" s="1732" customFormat="1">
      <c r="B55" s="1733"/>
      <c r="C55" s="1723"/>
      <c r="D55" s="1723"/>
      <c r="E55" s="1724"/>
      <c r="F55" s="1724"/>
      <c r="G55" s="1725" t="s">
        <v>1005</v>
      </c>
      <c r="H55" s="1721">
        <f>2410+5087</f>
        <v>7497</v>
      </c>
      <c r="I55" s="1726" t="s">
        <v>908</v>
      </c>
      <c r="J55" s="1727">
        <v>70000</v>
      </c>
      <c r="K55" s="1728">
        <f t="shared" si="3"/>
        <v>524790000</v>
      </c>
      <c r="L55" s="1729"/>
      <c r="M55" s="1730">
        <f t="shared" si="4"/>
        <v>524790000</v>
      </c>
      <c r="N55" s="1730"/>
      <c r="O55" s="1729"/>
      <c r="P55" s="1729"/>
      <c r="Q55" s="1731"/>
      <c r="R55" s="1731"/>
    </row>
    <row r="56" spans="2:21" s="1732" customFormat="1" ht="25.5">
      <c r="B56" s="1733"/>
      <c r="C56" s="1723"/>
      <c r="D56" s="1723"/>
      <c r="E56" s="1724"/>
      <c r="F56" s="1724"/>
      <c r="G56" s="1725" t="s">
        <v>1006</v>
      </c>
      <c r="H56" s="1721">
        <f>162+342</f>
        <v>504</v>
      </c>
      <c r="I56" s="1726" t="s">
        <v>908</v>
      </c>
      <c r="J56" s="1727">
        <v>90000</v>
      </c>
      <c r="K56" s="1728">
        <f t="shared" si="3"/>
        <v>45360000</v>
      </c>
      <c r="L56" s="1729"/>
      <c r="M56" s="1730">
        <f t="shared" si="4"/>
        <v>45360000</v>
      </c>
      <c r="N56" s="1730"/>
      <c r="O56" s="1731"/>
      <c r="P56" s="1731"/>
      <c r="Q56" s="1731"/>
      <c r="R56" s="1731"/>
      <c r="S56" s="1737"/>
      <c r="T56" s="1737"/>
      <c r="U56" s="1737"/>
    </row>
    <row r="57" spans="2:21">
      <c r="B57" s="1527"/>
      <c r="C57" s="474"/>
      <c r="D57" s="474"/>
      <c r="E57" s="574"/>
      <c r="F57" s="574"/>
      <c r="G57" s="391"/>
      <c r="H57" s="645"/>
      <c r="I57" s="380"/>
      <c r="J57" s="382"/>
      <c r="K57" s="416"/>
      <c r="L57" s="377"/>
      <c r="M57" s="730"/>
      <c r="N57" s="385"/>
      <c r="O57" s="385"/>
      <c r="P57" s="385"/>
      <c r="Q57" s="385"/>
      <c r="R57" s="385"/>
      <c r="S57" s="221"/>
      <c r="T57" s="221"/>
      <c r="U57" s="221"/>
    </row>
    <row r="58" spans="2:21" ht="15">
      <c r="B58" s="1523">
        <v>5</v>
      </c>
      <c r="C58" s="98">
        <v>2</v>
      </c>
      <c r="D58" s="98">
        <v>2</v>
      </c>
      <c r="E58" s="104"/>
      <c r="F58" s="104"/>
      <c r="G58" s="20" t="s">
        <v>43</v>
      </c>
      <c r="H58" s="857"/>
      <c r="I58" s="4"/>
      <c r="J58" s="61"/>
      <c r="K58" s="56">
        <f>K59+K66+K75</f>
        <v>935538304</v>
      </c>
      <c r="L58" s="404"/>
      <c r="M58" s="408"/>
      <c r="N58" s="405"/>
      <c r="O58" s="405"/>
      <c r="P58" s="405"/>
      <c r="Q58" s="405"/>
      <c r="R58" s="306"/>
    </row>
    <row r="59" spans="2:21" ht="14.25" customHeight="1">
      <c r="B59" s="36">
        <v>5</v>
      </c>
      <c r="C59" s="37">
        <v>2</v>
      </c>
      <c r="D59" s="37">
        <v>2</v>
      </c>
      <c r="E59" s="38" t="s">
        <v>24</v>
      </c>
      <c r="F59" s="17"/>
      <c r="G59" s="44" t="s">
        <v>69</v>
      </c>
      <c r="H59" s="856"/>
      <c r="I59" s="17"/>
      <c r="J59" s="46"/>
      <c r="K59" s="47">
        <f>K60</f>
        <v>169400000</v>
      </c>
      <c r="L59" s="404"/>
      <c r="M59" s="408"/>
      <c r="N59" s="405"/>
      <c r="O59" s="405"/>
      <c r="P59" s="405"/>
      <c r="Q59" s="405"/>
      <c r="R59" s="306"/>
    </row>
    <row r="60" spans="2:21" ht="27" customHeight="1">
      <c r="B60" s="36">
        <v>5</v>
      </c>
      <c r="C60" s="37">
        <v>2</v>
      </c>
      <c r="D60" s="37">
        <v>2</v>
      </c>
      <c r="E60" s="38" t="s">
        <v>24</v>
      </c>
      <c r="F60" s="38" t="s">
        <v>79</v>
      </c>
      <c r="G60" s="44" t="s">
        <v>382</v>
      </c>
      <c r="H60" s="856"/>
      <c r="I60" s="17"/>
      <c r="J60" s="46"/>
      <c r="K60" s="120">
        <f>SUM(K61:K65)</f>
        <v>169400000</v>
      </c>
      <c r="L60" s="404"/>
      <c r="M60" s="408"/>
      <c r="N60" s="405"/>
      <c r="O60" s="405"/>
      <c r="P60" s="405"/>
      <c r="Q60" s="405"/>
      <c r="R60" s="306"/>
    </row>
    <row r="61" spans="2:21" s="1793" customFormat="1" ht="15">
      <c r="B61" s="1880"/>
      <c r="C61" s="1864"/>
      <c r="D61" s="1864"/>
      <c r="E61" s="1865"/>
      <c r="F61" s="1865"/>
      <c r="G61" s="1918" t="s">
        <v>1840</v>
      </c>
      <c r="H61" s="1840">
        <v>300</v>
      </c>
      <c r="I61" s="1838" t="s">
        <v>361</v>
      </c>
      <c r="J61" s="1931">
        <f>(350000*10%)+350000</f>
        <v>385000</v>
      </c>
      <c r="K61" s="1932">
        <f t="shared" ref="K61:K64" si="5">H61*J61</f>
        <v>115500000</v>
      </c>
      <c r="L61" s="1933"/>
      <c r="M61" s="1928"/>
      <c r="N61" s="1929">
        <f>K61</f>
        <v>115500000</v>
      </c>
      <c r="O61" s="1930"/>
      <c r="P61" s="1930"/>
      <c r="Q61" s="1930"/>
      <c r="R61" s="1786"/>
    </row>
    <row r="62" spans="2:21" s="1793" customFormat="1" ht="15">
      <c r="B62" s="1885"/>
      <c r="C62" s="1886"/>
      <c r="D62" s="1886"/>
      <c r="E62" s="1887"/>
      <c r="F62" s="1887"/>
      <c r="G62" s="2260" t="s">
        <v>1841</v>
      </c>
      <c r="H62" s="1947">
        <v>300</v>
      </c>
      <c r="I62" s="1838" t="s">
        <v>361</v>
      </c>
      <c r="J62" s="1931">
        <f>(84000*10%)+84000</f>
        <v>92400</v>
      </c>
      <c r="K62" s="1932">
        <f t="shared" si="5"/>
        <v>27720000</v>
      </c>
      <c r="L62" s="2261"/>
      <c r="M62" s="1928"/>
      <c r="N62" s="1929">
        <f t="shared" ref="N62:N64" si="6">K62</f>
        <v>27720000</v>
      </c>
      <c r="O62" s="2262"/>
      <c r="P62" s="2262"/>
      <c r="Q62" s="2262"/>
      <c r="R62" s="1890"/>
    </row>
    <row r="63" spans="2:21" s="1793" customFormat="1" ht="15">
      <c r="B63" s="1885"/>
      <c r="C63" s="1886"/>
      <c r="D63" s="1886"/>
      <c r="E63" s="1887"/>
      <c r="F63" s="1887"/>
      <c r="G63" s="2260" t="s">
        <v>1842</v>
      </c>
      <c r="H63" s="1947">
        <v>100</v>
      </c>
      <c r="I63" s="1838" t="s">
        <v>361</v>
      </c>
      <c r="J63" s="1931">
        <f>(91000*10%)+91000</f>
        <v>100100</v>
      </c>
      <c r="K63" s="1932">
        <f t="shared" si="5"/>
        <v>10010000</v>
      </c>
      <c r="L63" s="2261"/>
      <c r="M63" s="1928"/>
      <c r="N63" s="1929">
        <f t="shared" si="6"/>
        <v>10010000</v>
      </c>
      <c r="O63" s="2262"/>
      <c r="P63" s="2262"/>
      <c r="Q63" s="2262"/>
      <c r="R63" s="1890"/>
    </row>
    <row r="64" spans="2:21" s="1793" customFormat="1" ht="15">
      <c r="B64" s="1885"/>
      <c r="C64" s="1886"/>
      <c r="D64" s="1886"/>
      <c r="E64" s="1887"/>
      <c r="F64" s="1887"/>
      <c r="G64" s="2260" t="s">
        <v>1843</v>
      </c>
      <c r="H64" s="1947">
        <v>100</v>
      </c>
      <c r="I64" s="1838" t="s">
        <v>361</v>
      </c>
      <c r="J64" s="1931">
        <f>(147000*10%)+147000</f>
        <v>161700</v>
      </c>
      <c r="K64" s="1932">
        <f t="shared" si="5"/>
        <v>16170000</v>
      </c>
      <c r="L64" s="2261"/>
      <c r="M64" s="1928"/>
      <c r="N64" s="1929">
        <f t="shared" si="6"/>
        <v>16170000</v>
      </c>
      <c r="O64" s="2262"/>
      <c r="P64" s="2262"/>
      <c r="Q64" s="2262"/>
      <c r="R64" s="1890"/>
    </row>
    <row r="65" spans="2:18" ht="15">
      <c r="B65" s="36"/>
      <c r="C65" s="37"/>
      <c r="D65" s="37"/>
      <c r="E65" s="38"/>
      <c r="F65" s="38"/>
      <c r="G65" s="59"/>
      <c r="H65" s="862"/>
      <c r="I65" s="102"/>
      <c r="J65" s="242"/>
      <c r="K65" s="62"/>
      <c r="L65" s="404"/>
      <c r="M65" s="408"/>
      <c r="N65" s="413">
        <f>K65</f>
        <v>0</v>
      </c>
      <c r="O65" s="405"/>
      <c r="P65" s="405"/>
      <c r="Q65" s="405"/>
      <c r="R65" s="306"/>
    </row>
    <row r="66" spans="2:18" ht="15">
      <c r="B66" s="36">
        <v>5</v>
      </c>
      <c r="C66" s="37">
        <v>2</v>
      </c>
      <c r="D66" s="37">
        <v>2</v>
      </c>
      <c r="E66" s="38" t="s">
        <v>25</v>
      </c>
      <c r="F66" s="17"/>
      <c r="G66" s="44" t="s">
        <v>109</v>
      </c>
      <c r="H66" s="862"/>
      <c r="I66" s="102"/>
      <c r="J66" s="242"/>
      <c r="K66" s="68">
        <f>K67+K70</f>
        <v>94331504</v>
      </c>
      <c r="L66" s="404"/>
      <c r="M66" s="408"/>
      <c r="N66" s="413"/>
      <c r="O66" s="405"/>
      <c r="P66" s="405"/>
      <c r="Q66" s="405"/>
      <c r="R66" s="306"/>
    </row>
    <row r="67" spans="2:18" ht="15">
      <c r="B67" s="429">
        <v>5</v>
      </c>
      <c r="C67" s="424">
        <v>2</v>
      </c>
      <c r="D67" s="424">
        <v>2</v>
      </c>
      <c r="E67" s="430" t="s">
        <v>25</v>
      </c>
      <c r="F67" s="430">
        <v>10</v>
      </c>
      <c r="G67" s="396" t="s">
        <v>639</v>
      </c>
      <c r="H67" s="933"/>
      <c r="I67" s="375"/>
      <c r="J67" s="242"/>
      <c r="K67" s="1046">
        <f>SUM(K68:K69)</f>
        <v>94331504</v>
      </c>
      <c r="L67" s="377"/>
      <c r="M67" s="1446"/>
      <c r="N67" s="963"/>
      <c r="O67" s="412"/>
      <c r="P67" s="412"/>
      <c r="Q67" s="412"/>
      <c r="R67" s="969"/>
    </row>
    <row r="68" spans="2:18" s="1793" customFormat="1" ht="15">
      <c r="B68" s="1847"/>
      <c r="C68" s="1848"/>
      <c r="D68" s="1848"/>
      <c r="E68" s="1849"/>
      <c r="F68" s="1838"/>
      <c r="G68" s="1839" t="s">
        <v>1395</v>
      </c>
      <c r="H68" s="1840">
        <v>1</v>
      </c>
      <c r="I68" s="1838" t="s">
        <v>29</v>
      </c>
      <c r="J68" s="1926">
        <f>231000000-110599056-12297614-24600000-6300000+408174+16720000</f>
        <v>94331504</v>
      </c>
      <c r="K68" s="1927">
        <f>H68*J68</f>
        <v>94331504</v>
      </c>
      <c r="L68" s="1883"/>
      <c r="M68" s="1928"/>
      <c r="N68" s="1929">
        <f>K68</f>
        <v>94331504</v>
      </c>
      <c r="O68" s="1930"/>
      <c r="P68" s="1930"/>
      <c r="Q68" s="1930"/>
      <c r="R68" s="1879"/>
    </row>
    <row r="69" spans="2:18" ht="15">
      <c r="B69" s="970"/>
      <c r="C69" s="383"/>
      <c r="D69" s="383"/>
      <c r="E69" s="968"/>
      <c r="F69" s="375"/>
      <c r="G69" s="558"/>
      <c r="H69" s="933"/>
      <c r="I69" s="375"/>
      <c r="J69" s="242"/>
      <c r="K69" s="465"/>
      <c r="L69" s="377"/>
      <c r="M69" s="1446"/>
      <c r="N69" s="963"/>
      <c r="O69" s="412"/>
      <c r="P69" s="412"/>
      <c r="Q69" s="412"/>
      <c r="R69" s="969"/>
    </row>
    <row r="70" spans="2:18" ht="15">
      <c r="B70" s="36">
        <v>5</v>
      </c>
      <c r="C70" s="37">
        <v>2</v>
      </c>
      <c r="D70" s="37">
        <v>2</v>
      </c>
      <c r="E70" s="38" t="s">
        <v>25</v>
      </c>
      <c r="F70" s="38" t="s">
        <v>600</v>
      </c>
      <c r="G70" s="44" t="s">
        <v>136</v>
      </c>
      <c r="H70" s="862"/>
      <c r="I70" s="102"/>
      <c r="J70" s="242"/>
      <c r="K70" s="68">
        <f>SUM(K71:K73)</f>
        <v>0</v>
      </c>
      <c r="L70" s="404"/>
      <c r="M70" s="408"/>
      <c r="N70" s="413"/>
      <c r="O70" s="405"/>
      <c r="P70" s="405"/>
      <c r="Q70" s="405"/>
      <c r="R70" s="306"/>
    </row>
    <row r="71" spans="2:18" ht="15">
      <c r="B71" s="36"/>
      <c r="C71" s="37"/>
      <c r="D71" s="37"/>
      <c r="E71" s="38"/>
      <c r="F71" s="38"/>
      <c r="G71" s="59" t="s">
        <v>627</v>
      </c>
      <c r="H71" s="862"/>
      <c r="I71" s="102" t="s">
        <v>106</v>
      </c>
      <c r="J71" s="242">
        <v>4000</v>
      </c>
      <c r="K71" s="62">
        <f>H71*J71</f>
        <v>0</v>
      </c>
      <c r="L71" s="404"/>
      <c r="M71" s="406"/>
      <c r="N71" s="413">
        <f>K71:K71</f>
        <v>0</v>
      </c>
      <c r="O71" s="405"/>
      <c r="P71" s="405"/>
      <c r="Q71" s="405"/>
      <c r="R71" s="306"/>
    </row>
    <row r="72" spans="2:18" ht="15">
      <c r="B72" s="36"/>
      <c r="C72" s="37"/>
      <c r="D72" s="37"/>
      <c r="E72" s="38"/>
      <c r="F72" s="38"/>
      <c r="G72" s="59" t="s">
        <v>628</v>
      </c>
      <c r="H72" s="862"/>
      <c r="I72" s="102" t="s">
        <v>106</v>
      </c>
      <c r="J72" s="242">
        <v>3500</v>
      </c>
      <c r="K72" s="62">
        <f>H72*J72</f>
        <v>0</v>
      </c>
      <c r="L72" s="404"/>
      <c r="M72" s="406"/>
      <c r="N72" s="413">
        <f t="shared" ref="N72:N73" si="7">K72:K72</f>
        <v>0</v>
      </c>
      <c r="O72" s="405"/>
      <c r="P72" s="405"/>
      <c r="Q72" s="405"/>
      <c r="R72" s="306"/>
    </row>
    <row r="73" spans="2:18" ht="15">
      <c r="B73" s="36"/>
      <c r="C73" s="37"/>
      <c r="D73" s="37"/>
      <c r="E73" s="38"/>
      <c r="F73" s="38"/>
      <c r="G73" s="59" t="s">
        <v>629</v>
      </c>
      <c r="H73" s="862"/>
      <c r="I73" s="102" t="s">
        <v>311</v>
      </c>
      <c r="J73" s="242">
        <v>324000</v>
      </c>
      <c r="K73" s="62">
        <f>H73*J73</f>
        <v>0</v>
      </c>
      <c r="L73" s="404"/>
      <c r="M73" s="406"/>
      <c r="N73" s="413">
        <f t="shared" si="7"/>
        <v>0</v>
      </c>
      <c r="O73" s="405"/>
      <c r="P73" s="405"/>
      <c r="Q73" s="405"/>
      <c r="R73" s="306"/>
    </row>
    <row r="74" spans="2:18" ht="14.25" customHeight="1">
      <c r="B74" s="43"/>
      <c r="C74" s="17"/>
      <c r="D74" s="17"/>
      <c r="E74" s="17"/>
      <c r="F74" s="17"/>
      <c r="G74" s="44"/>
      <c r="H74" s="856"/>
      <c r="I74" s="17"/>
      <c r="J74" s="46"/>
      <c r="K74" s="47"/>
      <c r="L74" s="404"/>
      <c r="M74" s="408"/>
      <c r="N74" s="413"/>
      <c r="O74" s="405"/>
      <c r="P74" s="405"/>
      <c r="Q74" s="405"/>
      <c r="R74" s="306"/>
    </row>
    <row r="75" spans="2:18" ht="15">
      <c r="B75" s="1523">
        <v>5</v>
      </c>
      <c r="C75" s="98">
        <v>2</v>
      </c>
      <c r="D75" s="98">
        <v>2</v>
      </c>
      <c r="E75" s="104">
        <v>11</v>
      </c>
      <c r="F75" s="104"/>
      <c r="G75" s="20" t="s">
        <v>182</v>
      </c>
      <c r="H75" s="857"/>
      <c r="I75" s="4"/>
      <c r="J75" s="61"/>
      <c r="K75" s="56">
        <f>K76+K82</f>
        <v>671806800</v>
      </c>
      <c r="L75" s="404"/>
      <c r="M75" s="408"/>
      <c r="N75" s="413"/>
      <c r="O75" s="405"/>
      <c r="P75" s="405"/>
      <c r="Q75" s="405"/>
      <c r="R75" s="306"/>
    </row>
    <row r="76" spans="2:18" ht="25.5">
      <c r="B76" s="1523">
        <v>5</v>
      </c>
      <c r="C76" s="52">
        <v>2</v>
      </c>
      <c r="D76" s="52">
        <v>2</v>
      </c>
      <c r="E76" s="53">
        <v>11</v>
      </c>
      <c r="F76" s="53" t="s">
        <v>65</v>
      </c>
      <c r="G76" s="20" t="s">
        <v>648</v>
      </c>
      <c r="H76" s="857"/>
      <c r="I76" s="4"/>
      <c r="J76" s="61"/>
      <c r="K76" s="56">
        <f>SUM(K77:K80)</f>
        <v>610486800</v>
      </c>
      <c r="L76" s="404"/>
      <c r="M76" s="408"/>
      <c r="N76" s="413"/>
      <c r="O76" s="405"/>
      <c r="P76" s="405"/>
      <c r="Q76" s="405"/>
      <c r="R76" s="306"/>
    </row>
    <row r="77" spans="2:18" s="2033" customFormat="1" ht="38.25">
      <c r="B77" s="2773"/>
      <c r="C77" s="2555"/>
      <c r="D77" s="2555"/>
      <c r="E77" s="2738"/>
      <c r="F77" s="2681"/>
      <c r="G77" s="2471" t="s">
        <v>1696</v>
      </c>
      <c r="H77" s="2745">
        <f>(365-38)*71</f>
        <v>23217</v>
      </c>
      <c r="I77" s="2680" t="s">
        <v>278</v>
      </c>
      <c r="J77" s="2746">
        <v>14400</v>
      </c>
      <c r="K77" s="2576">
        <f>H77*J77</f>
        <v>334324800</v>
      </c>
      <c r="L77" s="2476"/>
      <c r="M77" s="2774">
        <f>K77</f>
        <v>334324800</v>
      </c>
      <c r="N77" s="2775"/>
      <c r="O77" s="2479"/>
      <c r="P77" s="2479"/>
      <c r="Q77" s="2479"/>
      <c r="R77" s="2480"/>
    </row>
    <row r="78" spans="2:18" s="2033" customFormat="1" ht="38.25">
      <c r="B78" s="2773"/>
      <c r="C78" s="2555"/>
      <c r="D78" s="2555"/>
      <c r="E78" s="2738"/>
      <c r="F78" s="2681"/>
      <c r="G78" s="2471" t="s">
        <v>1695</v>
      </c>
      <c r="H78" s="2745">
        <f>71*30*2</f>
        <v>4260</v>
      </c>
      <c r="I78" s="2680" t="s">
        <v>278</v>
      </c>
      <c r="J78" s="2746">
        <v>43000</v>
      </c>
      <c r="K78" s="2576">
        <f>H78*J78</f>
        <v>183180000</v>
      </c>
      <c r="L78" s="2476"/>
      <c r="M78" s="2774">
        <f>K78</f>
        <v>183180000</v>
      </c>
      <c r="N78" s="2775"/>
      <c r="O78" s="2479"/>
      <c r="P78" s="2479"/>
      <c r="Q78" s="2479"/>
      <c r="R78" s="2480"/>
    </row>
    <row r="79" spans="2:18" s="2033" customFormat="1" ht="38.25">
      <c r="B79" s="2773"/>
      <c r="C79" s="2555"/>
      <c r="D79" s="2555"/>
      <c r="E79" s="2738"/>
      <c r="F79" s="2681"/>
      <c r="G79" s="2471" t="s">
        <v>1697</v>
      </c>
      <c r="H79" s="2745">
        <f>71*8*3</f>
        <v>1704</v>
      </c>
      <c r="I79" s="2680" t="s">
        <v>278</v>
      </c>
      <c r="J79" s="2746">
        <v>43000</v>
      </c>
      <c r="K79" s="2576">
        <f>H79*J79</f>
        <v>73272000</v>
      </c>
      <c r="L79" s="2476"/>
      <c r="M79" s="2774">
        <f>K79</f>
        <v>73272000</v>
      </c>
      <c r="N79" s="2775"/>
      <c r="O79" s="2479"/>
      <c r="P79" s="2479"/>
      <c r="Q79" s="2479"/>
      <c r="R79" s="2480"/>
    </row>
    <row r="80" spans="2:18" s="2033" customFormat="1" ht="25.5">
      <c r="B80" s="2773"/>
      <c r="C80" s="2555"/>
      <c r="D80" s="2555"/>
      <c r="E80" s="2738"/>
      <c r="F80" s="2681"/>
      <c r="G80" s="2471" t="s">
        <v>473</v>
      </c>
      <c r="H80" s="2745">
        <f>365*3</f>
        <v>1095</v>
      </c>
      <c r="I80" s="2680" t="s">
        <v>278</v>
      </c>
      <c r="J80" s="2746">
        <v>18000</v>
      </c>
      <c r="K80" s="2576">
        <f>H80*J80</f>
        <v>19710000</v>
      </c>
      <c r="L80" s="2476"/>
      <c r="M80" s="2774">
        <f>K80</f>
        <v>19710000</v>
      </c>
      <c r="N80" s="2775"/>
      <c r="O80" s="2479"/>
      <c r="P80" s="2479"/>
      <c r="Q80" s="2479"/>
      <c r="R80" s="2480"/>
    </row>
    <row r="81" spans="2:20" ht="15">
      <c r="B81" s="1528"/>
      <c r="C81" s="59"/>
      <c r="D81" s="59"/>
      <c r="E81" s="60"/>
      <c r="F81" s="60"/>
      <c r="G81" s="32"/>
      <c r="H81" s="857"/>
      <c r="I81" s="4"/>
      <c r="J81" s="61"/>
      <c r="K81" s="55"/>
      <c r="L81" s="404"/>
      <c r="M81" s="408"/>
      <c r="N81" s="413"/>
      <c r="O81" s="405"/>
      <c r="P81" s="405"/>
      <c r="Q81" s="405"/>
      <c r="R81" s="306"/>
    </row>
    <row r="82" spans="2:20" ht="15">
      <c r="B82" s="1523">
        <v>5</v>
      </c>
      <c r="C82" s="52">
        <v>2</v>
      </c>
      <c r="D82" s="52">
        <v>2</v>
      </c>
      <c r="E82" s="53">
        <v>11</v>
      </c>
      <c r="F82" s="53" t="s">
        <v>80</v>
      </c>
      <c r="G82" s="20" t="s">
        <v>633</v>
      </c>
      <c r="H82" s="857"/>
      <c r="I82" s="4"/>
      <c r="J82" s="61"/>
      <c r="K82" s="56">
        <f>SUM(K83:K83)</f>
        <v>61320000</v>
      </c>
      <c r="L82" s="404"/>
      <c r="M82" s="408"/>
      <c r="N82" s="413"/>
      <c r="O82" s="405"/>
      <c r="P82" s="405"/>
      <c r="Q82" s="405"/>
      <c r="R82" s="306"/>
    </row>
    <row r="83" spans="2:20" ht="15">
      <c r="B83" s="1528"/>
      <c r="C83" s="59"/>
      <c r="D83" s="59"/>
      <c r="E83" s="60"/>
      <c r="F83" s="60"/>
      <c r="G83" s="32" t="s">
        <v>634</v>
      </c>
      <c r="H83" s="2403">
        <f>6*365</f>
        <v>2190</v>
      </c>
      <c r="I83" s="4" t="s">
        <v>313</v>
      </c>
      <c r="J83" s="61">
        <v>28000</v>
      </c>
      <c r="K83" s="55">
        <f>H83*J83</f>
        <v>61320000</v>
      </c>
      <c r="L83" s="404"/>
      <c r="M83" s="1076"/>
      <c r="N83" s="413">
        <f>K83</f>
        <v>61320000</v>
      </c>
      <c r="O83" s="405"/>
      <c r="P83" s="405"/>
      <c r="Q83" s="405"/>
      <c r="R83" s="306"/>
    </row>
    <row r="84" spans="2:20" ht="15">
      <c r="B84" s="1527"/>
      <c r="C84" s="474"/>
      <c r="D84" s="474"/>
      <c r="E84" s="574"/>
      <c r="F84" s="574"/>
      <c r="G84" s="391"/>
      <c r="H84" s="645"/>
      <c r="I84" s="380"/>
      <c r="J84" s="382"/>
      <c r="K84" s="416"/>
      <c r="L84" s="964"/>
      <c r="M84" s="1090"/>
      <c r="N84" s="963"/>
      <c r="O84" s="412"/>
      <c r="P84" s="412"/>
      <c r="Q84" s="412"/>
      <c r="R84" s="378"/>
    </row>
    <row r="85" spans="2:20" ht="15">
      <c r="B85" s="43">
        <v>5</v>
      </c>
      <c r="C85" s="17">
        <v>2</v>
      </c>
      <c r="D85" s="17">
        <v>3</v>
      </c>
      <c r="E85" s="17"/>
      <c r="F85" s="17"/>
      <c r="G85" s="44" t="s">
        <v>78</v>
      </c>
      <c r="H85" s="331"/>
      <c r="I85" s="4"/>
      <c r="J85" s="61"/>
      <c r="K85" s="56">
        <f>K86+K90</f>
        <v>947586497</v>
      </c>
      <c r="L85" s="404"/>
      <c r="M85" s="408"/>
      <c r="N85" s="405"/>
      <c r="O85" s="405"/>
      <c r="P85" s="405"/>
      <c r="Q85" s="405"/>
      <c r="R85" s="306"/>
    </row>
    <row r="86" spans="2:20" s="179" customFormat="1" ht="25.5">
      <c r="B86" s="19">
        <v>5</v>
      </c>
      <c r="C86" s="15">
        <v>2</v>
      </c>
      <c r="D86" s="15">
        <v>3</v>
      </c>
      <c r="E86" s="28">
        <v>32</v>
      </c>
      <c r="F86" s="15"/>
      <c r="G86" s="112" t="s">
        <v>1839</v>
      </c>
      <c r="H86" s="2253"/>
      <c r="I86" s="15"/>
      <c r="J86" s="46"/>
      <c r="K86" s="50">
        <f>K87</f>
        <v>198426493</v>
      </c>
      <c r="L86" s="2254"/>
      <c r="M86" s="2255"/>
      <c r="N86" s="2255"/>
      <c r="O86" s="2255"/>
      <c r="P86" s="2255"/>
      <c r="Q86" s="2255"/>
      <c r="R86" s="2255"/>
    </row>
    <row r="87" spans="2:20" s="179" customFormat="1" ht="25.5">
      <c r="B87" s="19">
        <v>5</v>
      </c>
      <c r="C87" s="15">
        <v>2</v>
      </c>
      <c r="D87" s="15">
        <v>3</v>
      </c>
      <c r="E87" s="28">
        <v>32</v>
      </c>
      <c r="F87" s="28" t="s">
        <v>24</v>
      </c>
      <c r="G87" s="20" t="s">
        <v>1844</v>
      </c>
      <c r="H87" s="2253"/>
      <c r="I87" s="15"/>
      <c r="J87" s="454"/>
      <c r="K87" s="50">
        <f>K88</f>
        <v>198426493</v>
      </c>
      <c r="L87" s="1939"/>
      <c r="M87" s="1939"/>
      <c r="N87" s="1939"/>
      <c r="O87" s="1939"/>
      <c r="P87" s="1939"/>
      <c r="Q87" s="2255"/>
      <c r="R87" s="2255"/>
    </row>
    <row r="88" spans="2:20" s="179" customFormat="1" ht="17.25" customHeight="1">
      <c r="B88" s="1659"/>
      <c r="C88" s="1660"/>
      <c r="D88" s="1660"/>
      <c r="E88" s="1661"/>
      <c r="F88" s="1661"/>
      <c r="G88" s="1685" t="s">
        <v>1845</v>
      </c>
      <c r="H88" s="2266">
        <v>1</v>
      </c>
      <c r="I88" s="2267" t="s">
        <v>34</v>
      </c>
      <c r="J88" s="2041">
        <f>114565000+68634876-4700000-20000000+3209117-1782500+72720000-24000000-10220000</f>
        <v>198426493</v>
      </c>
      <c r="K88" s="2268">
        <f>H88*J88</f>
        <v>198426493</v>
      </c>
      <c r="L88" s="2264"/>
      <c r="M88" s="2264"/>
      <c r="N88" s="2264">
        <f>K88</f>
        <v>198426493</v>
      </c>
      <c r="O88" s="2264"/>
      <c r="P88" s="2264"/>
      <c r="Q88" s="2265"/>
      <c r="R88" s="2265"/>
    </row>
    <row r="89" spans="2:20" s="179" customFormat="1" ht="17.25" customHeight="1">
      <c r="B89" s="1713"/>
      <c r="C89" s="1706"/>
      <c r="D89" s="1706"/>
      <c r="E89" s="1707"/>
      <c r="F89" s="1707"/>
      <c r="G89" s="2065"/>
      <c r="H89" s="2263"/>
      <c r="I89" s="1706"/>
      <c r="J89" s="2188"/>
      <c r="K89" s="2032"/>
      <c r="L89" s="2264"/>
      <c r="M89" s="2264"/>
      <c r="N89" s="2264"/>
      <c r="O89" s="2264"/>
      <c r="P89" s="2264"/>
      <c r="Q89" s="2265"/>
      <c r="R89" s="2265"/>
    </row>
    <row r="90" spans="2:20" ht="25.5">
      <c r="B90" s="36">
        <v>5</v>
      </c>
      <c r="C90" s="37">
        <v>2</v>
      </c>
      <c r="D90" s="37">
        <v>3</v>
      </c>
      <c r="E90" s="38">
        <v>34</v>
      </c>
      <c r="F90" s="17"/>
      <c r="G90" s="48" t="s">
        <v>342</v>
      </c>
      <c r="H90" s="856"/>
      <c r="I90" s="17"/>
      <c r="J90" s="46"/>
      <c r="K90" s="47">
        <f>K91</f>
        <v>749160004</v>
      </c>
      <c r="L90" s="304"/>
      <c r="M90" s="303"/>
      <c r="N90" s="303"/>
      <c r="O90" s="303"/>
      <c r="P90" s="303"/>
      <c r="Q90" s="303"/>
      <c r="R90" s="303"/>
    </row>
    <row r="91" spans="2:20" ht="25.5">
      <c r="B91" s="36">
        <v>5</v>
      </c>
      <c r="C91" s="37">
        <v>2</v>
      </c>
      <c r="D91" s="37">
        <v>3</v>
      </c>
      <c r="E91" s="38">
        <v>34</v>
      </c>
      <c r="F91" s="38" t="s">
        <v>24</v>
      </c>
      <c r="G91" s="20" t="s">
        <v>515</v>
      </c>
      <c r="H91" s="856"/>
      <c r="I91" s="17"/>
      <c r="J91" s="454"/>
      <c r="K91" s="50">
        <f>SUM(K92:K95)</f>
        <v>749160004</v>
      </c>
      <c r="L91" s="305"/>
      <c r="M91" s="305"/>
      <c r="N91" s="305"/>
      <c r="O91" s="305"/>
      <c r="P91" s="305"/>
      <c r="Q91" s="303"/>
      <c r="R91" s="303"/>
    </row>
    <row r="92" spans="2:20">
      <c r="B92" s="1027"/>
      <c r="C92" s="383"/>
      <c r="D92" s="383"/>
      <c r="E92" s="968"/>
      <c r="F92" s="968"/>
      <c r="G92" s="391" t="s">
        <v>1436</v>
      </c>
      <c r="H92" s="933">
        <v>10</v>
      </c>
      <c r="I92" s="375" t="s">
        <v>85</v>
      </c>
      <c r="J92" s="456">
        <v>46022544</v>
      </c>
      <c r="K92" s="476">
        <f t="shared" ref="K92" si="8">H92*J92</f>
        <v>460225440</v>
      </c>
      <c r="L92" s="377"/>
      <c r="M92" s="564"/>
      <c r="N92" s="377"/>
      <c r="O92" s="1159">
        <f>K92</f>
        <v>460225440</v>
      </c>
      <c r="P92" s="377"/>
      <c r="Q92" s="385"/>
      <c r="R92" s="385"/>
    </row>
    <row r="93" spans="2:20">
      <c r="B93" s="1027"/>
      <c r="C93" s="383"/>
      <c r="D93" s="383"/>
      <c r="E93" s="968"/>
      <c r="F93" s="968"/>
      <c r="G93" s="391" t="s">
        <v>1437</v>
      </c>
      <c r="H93" s="933">
        <v>4</v>
      </c>
      <c r="I93" s="375" t="s">
        <v>85</v>
      </c>
      <c r="J93" s="456">
        <v>14011786</v>
      </c>
      <c r="K93" s="476">
        <f>H93*J93</f>
        <v>56047144</v>
      </c>
      <c r="L93" s="377"/>
      <c r="M93" s="564"/>
      <c r="N93" s="377"/>
      <c r="O93" s="1159">
        <f>K93</f>
        <v>56047144</v>
      </c>
      <c r="P93" s="377"/>
      <c r="Q93" s="385"/>
      <c r="R93" s="385"/>
    </row>
    <row r="94" spans="2:20">
      <c r="B94" s="1027"/>
      <c r="C94" s="383"/>
      <c r="D94" s="383"/>
      <c r="E94" s="968"/>
      <c r="F94" s="968"/>
      <c r="G94" s="391" t="s">
        <v>1438</v>
      </c>
      <c r="H94" s="933">
        <v>1</v>
      </c>
      <c r="I94" s="375" t="s">
        <v>85</v>
      </c>
      <c r="J94" s="456">
        <v>232887420</v>
      </c>
      <c r="K94" s="476">
        <f>H94*J94</f>
        <v>232887420</v>
      </c>
      <c r="L94" s="377"/>
      <c r="M94" s="564"/>
      <c r="N94" s="377"/>
      <c r="O94" s="1159">
        <f>K94</f>
        <v>232887420</v>
      </c>
      <c r="P94" s="377"/>
      <c r="Q94" s="385"/>
      <c r="R94" s="385"/>
    </row>
    <row r="95" spans="2:20" ht="15">
      <c r="B95" s="137"/>
      <c r="C95" s="59"/>
      <c r="D95" s="59"/>
      <c r="E95" s="60"/>
      <c r="F95" s="60"/>
      <c r="G95" s="32"/>
      <c r="H95" s="857"/>
      <c r="I95" s="4"/>
      <c r="J95" s="61"/>
      <c r="K95" s="109"/>
      <c r="L95" s="404"/>
      <c r="M95" s="408"/>
      <c r="N95" s="405"/>
      <c r="O95" s="405"/>
      <c r="P95" s="405"/>
      <c r="Q95" s="405"/>
      <c r="R95" s="306"/>
    </row>
    <row r="96" spans="2:20" ht="15" customHeight="1" thickBot="1">
      <c r="B96" s="3289" t="s">
        <v>30</v>
      </c>
      <c r="C96" s="3290"/>
      <c r="D96" s="3290"/>
      <c r="E96" s="3290"/>
      <c r="F96" s="3290"/>
      <c r="G96" s="3290"/>
      <c r="H96" s="3290"/>
      <c r="I96" s="3290"/>
      <c r="J96" s="3291"/>
      <c r="K96" s="63">
        <f>K24</f>
        <v>6149229801</v>
      </c>
      <c r="L96" s="305">
        <f>SUM(L25:L95)</f>
        <v>0</v>
      </c>
      <c r="M96" s="305">
        <f>SUM(M26:M95)</f>
        <v>4876591800</v>
      </c>
      <c r="N96" s="305">
        <f>SUM(N25:N95)</f>
        <v>523477997</v>
      </c>
      <c r="O96" s="305">
        <f>SUM(O40:O95)</f>
        <v>749160004</v>
      </c>
      <c r="P96" s="305">
        <f>SUM(P40:P95)</f>
        <v>0</v>
      </c>
      <c r="Q96" s="305">
        <f>SUM(Q40:Q95)</f>
        <v>0</v>
      </c>
      <c r="R96" s="450">
        <f>SUM(L96:Q96)</f>
        <v>6149229801</v>
      </c>
      <c r="S96" s="57">
        <v>8980808000</v>
      </c>
      <c r="T96" s="57">
        <f>S96-K96</f>
        <v>2831578199</v>
      </c>
    </row>
    <row r="97" spans="8:18" ht="15.75" thickTop="1">
      <c r="L97" s="305"/>
      <c r="M97" s="310"/>
      <c r="N97" s="306"/>
      <c r="O97" s="306"/>
      <c r="P97" s="306"/>
      <c r="Q97" s="306"/>
      <c r="R97" s="306"/>
    </row>
    <row r="98" spans="8:18" ht="15">
      <c r="L98" s="377"/>
      <c r="M98" s="569"/>
      <c r="N98" s="378"/>
      <c r="O98" s="378"/>
      <c r="P98" s="378"/>
      <c r="Q98" s="378"/>
      <c r="R98" s="378"/>
    </row>
    <row r="99" spans="8:18" ht="15">
      <c r="H99" s="3336" t="s">
        <v>1534</v>
      </c>
      <c r="I99" s="3336"/>
      <c r="J99" s="3336"/>
      <c r="K99" s="41"/>
      <c r="L99" s="305"/>
      <c r="M99" s="310"/>
      <c r="N99" s="306"/>
      <c r="O99" s="306"/>
      <c r="P99" s="306"/>
      <c r="Q99" s="306"/>
      <c r="R99" s="306"/>
    </row>
    <row r="100" spans="8:18" ht="15">
      <c r="H100" s="3337" t="s">
        <v>272</v>
      </c>
      <c r="I100" s="3337"/>
      <c r="J100" s="3485"/>
      <c r="K100" s="158"/>
      <c r="L100" s="305"/>
      <c r="M100" s="310"/>
      <c r="N100" s="306"/>
      <c r="O100" s="306"/>
      <c r="P100" s="306"/>
      <c r="Q100" s="306"/>
      <c r="R100" s="306"/>
    </row>
    <row r="101" spans="8:18" ht="15">
      <c r="H101" s="127"/>
      <c r="I101" s="127"/>
      <c r="J101" s="127"/>
      <c r="K101" s="158"/>
      <c r="L101" s="305"/>
      <c r="M101" s="310"/>
      <c r="N101" s="306"/>
      <c r="O101" s="306"/>
      <c r="P101" s="306"/>
      <c r="Q101" s="306"/>
      <c r="R101" s="306"/>
    </row>
    <row r="102" spans="8:18" ht="15">
      <c r="H102" s="127"/>
      <c r="I102" s="127"/>
      <c r="J102" s="127"/>
      <c r="L102" s="305"/>
      <c r="M102" s="310"/>
      <c r="N102" s="306"/>
      <c r="O102" s="306"/>
      <c r="P102" s="306"/>
      <c r="Q102" s="306"/>
      <c r="R102" s="306"/>
    </row>
    <row r="103" spans="8:18" ht="15">
      <c r="H103" s="3434" t="s">
        <v>904</v>
      </c>
      <c r="I103" s="3434"/>
      <c r="J103" s="3434"/>
      <c r="L103" s="305"/>
      <c r="M103" s="310"/>
      <c r="N103" s="306"/>
      <c r="O103" s="306"/>
      <c r="P103" s="306"/>
      <c r="Q103" s="306"/>
      <c r="R103" s="306"/>
    </row>
    <row r="104" spans="8:18" ht="15">
      <c r="H104" s="3434" t="s">
        <v>906</v>
      </c>
      <c r="I104" s="3434"/>
      <c r="J104" s="3434"/>
      <c r="L104" s="305"/>
      <c r="M104" s="310"/>
      <c r="N104" s="306"/>
      <c r="O104" s="306"/>
      <c r="P104" s="306"/>
      <c r="Q104" s="306"/>
      <c r="R104" s="306"/>
    </row>
    <row r="105" spans="8:18">
      <c r="M105" s="41">
        <v>1263632877</v>
      </c>
    </row>
    <row r="109" spans="8:18">
      <c r="K109" s="10">
        <v>109500000</v>
      </c>
      <c r="L109" s="219"/>
    </row>
    <row r="110" spans="8:18">
      <c r="K110" s="10">
        <v>114975000</v>
      </c>
      <c r="L110" s="219"/>
    </row>
    <row r="111" spans="8:18">
      <c r="K111" s="10">
        <v>85200000</v>
      </c>
      <c r="L111" s="219"/>
    </row>
    <row r="112" spans="8:18">
      <c r="K112" s="10">
        <v>1095000000</v>
      </c>
      <c r="L112" s="219"/>
    </row>
    <row r="113" spans="7:17">
      <c r="K113" s="21">
        <f>SUM(K109:K112)</f>
        <v>1404675000</v>
      </c>
    </row>
    <row r="120" spans="7:17" ht="14.25">
      <c r="G120" s="657" t="s">
        <v>803</v>
      </c>
      <c r="J120" s="41">
        <v>3300000</v>
      </c>
      <c r="L120" s="9"/>
      <c r="N120" s="9"/>
      <c r="O120" s="9"/>
      <c r="P120" s="9"/>
      <c r="Q120" s="9"/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104:J104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96:J96"/>
    <mergeCell ref="H99:J99"/>
    <mergeCell ref="H100:J100"/>
    <mergeCell ref="H103:J103"/>
  </mergeCells>
  <pageMargins left="0.11811023622047245" right="0.23622047244094491" top="0.51181102362204722" bottom="1.6929133858267718" header="0.23622047244094491" footer="0.15748031496062992"/>
  <pageSetup paperSize="5" scale="94" orientation="portrait" horizontalDpi="4294967293" verticalDpi="4294967293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</sheetPr>
  <dimension ref="B1:T49"/>
  <sheetViews>
    <sheetView view="pageBreakPreview" topLeftCell="A13" zoomScaleNormal="115" zoomScaleSheetLayoutView="100" workbookViewId="0">
      <selection activeCell="G7" sqref="G7:K7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4" width="3.140625" style="9" customWidth="1"/>
    <col min="5" max="6" width="3.28515625" style="9" customWidth="1"/>
    <col min="7" max="7" width="49" style="9" bestFit="1" customWidth="1"/>
    <col min="8" max="9" width="8" style="9" customWidth="1"/>
    <col min="10" max="10" width="13.42578125" style="9" customWidth="1"/>
    <col min="11" max="11" width="16.5703125" style="9" bestFit="1" customWidth="1"/>
    <col min="12" max="12" width="5.140625" style="9" bestFit="1" customWidth="1"/>
    <col min="13" max="13" width="15.28515625" style="9" bestFit="1" customWidth="1"/>
    <col min="14" max="14" width="5.140625" style="9" bestFit="1" customWidth="1"/>
    <col min="15" max="15" width="16.85546875" style="9" bestFit="1" customWidth="1"/>
    <col min="16" max="16" width="5.85546875" style="9" bestFit="1" customWidth="1"/>
    <col min="17" max="17" width="5.140625" style="9" bestFit="1" customWidth="1"/>
    <col min="18" max="19" width="16.85546875" style="9" bestFit="1" customWidth="1"/>
    <col min="20" max="20" width="16.28515625" style="9" bestFit="1" customWidth="1"/>
    <col min="21" max="16384" width="9.140625" style="9"/>
  </cols>
  <sheetData>
    <row r="1" spans="2:13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467" t="s">
        <v>31</v>
      </c>
      <c r="C5" s="3312"/>
      <c r="D5" s="3312"/>
      <c r="E5" s="3312"/>
      <c r="F5" s="3312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1112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1117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ht="15" customHeight="1">
      <c r="B14" s="3462" t="s">
        <v>8</v>
      </c>
      <c r="C14" s="3463"/>
      <c r="D14" s="3463"/>
      <c r="E14" s="3463"/>
      <c r="F14" s="3464"/>
      <c r="G14" s="3445" t="s">
        <v>448</v>
      </c>
      <c r="H14" s="3448"/>
      <c r="I14" s="3450">
        <v>1</v>
      </c>
      <c r="J14" s="3451"/>
      <c r="K14" s="3452"/>
    </row>
    <row r="15" spans="2:13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0</v>
      </c>
      <c r="J15" s="3454"/>
      <c r="K15" s="3455"/>
    </row>
    <row r="16" spans="2:13" ht="12.75" customHeight="1">
      <c r="B16" s="3439" t="s">
        <v>10</v>
      </c>
      <c r="C16" s="3451"/>
      <c r="D16" s="3451"/>
      <c r="E16" s="3451"/>
      <c r="F16" s="3460"/>
      <c r="G16" s="3445" t="s">
        <v>449</v>
      </c>
      <c r="H16" s="3448"/>
      <c r="I16" s="3456">
        <v>1</v>
      </c>
      <c r="J16" s="3457"/>
      <c r="K16" s="3458"/>
    </row>
    <row r="17" spans="2:20">
      <c r="B17" s="3439" t="s">
        <v>11</v>
      </c>
      <c r="C17" s="3451"/>
      <c r="D17" s="3451"/>
      <c r="E17" s="3451"/>
      <c r="F17" s="3460"/>
      <c r="G17" s="3445" t="s">
        <v>450</v>
      </c>
      <c r="H17" s="3448"/>
      <c r="I17" s="3456">
        <v>1</v>
      </c>
      <c r="J17" s="3457"/>
      <c r="K17" s="3458"/>
    </row>
    <row r="18" spans="2:20">
      <c r="B18" s="3442" t="s">
        <v>262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20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20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20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188"/>
      <c r="M21" s="1188"/>
      <c r="N21" s="1188"/>
      <c r="O21" s="1188"/>
      <c r="P21" s="1188"/>
      <c r="Q21" s="1188"/>
      <c r="R21" s="3378"/>
    </row>
    <row r="22" spans="2:20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187" t="s">
        <v>177</v>
      </c>
      <c r="M22" s="1187" t="s">
        <v>594</v>
      </c>
      <c r="N22" s="1187" t="s">
        <v>651</v>
      </c>
      <c r="O22" s="1187" t="s">
        <v>595</v>
      </c>
      <c r="P22" s="1187" t="s">
        <v>652</v>
      </c>
      <c r="Q22" s="1187" t="s">
        <v>593</v>
      </c>
      <c r="R22" s="3379"/>
    </row>
    <row r="23" spans="2:20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188">
        <v>6</v>
      </c>
      <c r="M23" s="1188">
        <v>7</v>
      </c>
      <c r="N23" s="1188">
        <v>8</v>
      </c>
      <c r="O23" s="1188">
        <v>9</v>
      </c>
      <c r="P23" s="1188">
        <v>10</v>
      </c>
      <c r="Q23" s="1188">
        <v>11</v>
      </c>
      <c r="R23" s="1188">
        <v>12</v>
      </c>
    </row>
    <row r="24" spans="2:20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+K25</f>
        <v>0</v>
      </c>
      <c r="L24" s="305"/>
      <c r="M24" s="305"/>
      <c r="N24" s="305"/>
      <c r="O24" s="305"/>
      <c r="P24" s="305"/>
      <c r="Q24" s="303"/>
      <c r="R24" s="303"/>
    </row>
    <row r="25" spans="2:20" ht="15">
      <c r="B25" s="43">
        <v>5</v>
      </c>
      <c r="C25" s="17">
        <v>2</v>
      </c>
      <c r="D25" s="17">
        <v>3</v>
      </c>
      <c r="E25" s="17"/>
      <c r="F25" s="17"/>
      <c r="G25" s="44" t="s">
        <v>78</v>
      </c>
      <c r="H25" s="331"/>
      <c r="I25" s="4"/>
      <c r="J25" s="61"/>
      <c r="K25" s="56">
        <f>K26</f>
        <v>0</v>
      </c>
      <c r="L25" s="305"/>
      <c r="M25" s="310"/>
      <c r="N25" s="306"/>
      <c r="O25" s="306"/>
      <c r="P25" s="306"/>
      <c r="Q25" s="306"/>
      <c r="R25" s="306"/>
    </row>
    <row r="26" spans="2:20" ht="15">
      <c r="B26" s="36">
        <v>5</v>
      </c>
      <c r="C26" s="37">
        <v>2</v>
      </c>
      <c r="D26" s="37">
        <v>3</v>
      </c>
      <c r="E26" s="38">
        <v>34</v>
      </c>
      <c r="F26" s="38"/>
      <c r="G26" s="49" t="s">
        <v>320</v>
      </c>
      <c r="H26" s="331"/>
      <c r="I26" s="4"/>
      <c r="J26" s="61"/>
      <c r="K26" s="56">
        <f>+K27</f>
        <v>0</v>
      </c>
      <c r="L26" s="305"/>
      <c r="M26" s="310"/>
      <c r="N26" s="306"/>
      <c r="O26" s="306"/>
      <c r="P26" s="306"/>
      <c r="Q26" s="306"/>
      <c r="R26" s="306"/>
    </row>
    <row r="27" spans="2:20" ht="15">
      <c r="B27" s="36">
        <v>5</v>
      </c>
      <c r="C27" s="37">
        <v>2</v>
      </c>
      <c r="D27" s="37">
        <v>3</v>
      </c>
      <c r="E27" s="38">
        <v>34</v>
      </c>
      <c r="F27" s="38">
        <v>18</v>
      </c>
      <c r="G27" s="49" t="s">
        <v>516</v>
      </c>
      <c r="H27" s="1020"/>
      <c r="I27" s="4"/>
      <c r="J27" s="61"/>
      <c r="K27" s="56">
        <f>SUM(K28:K29)</f>
        <v>0</v>
      </c>
      <c r="L27" s="305"/>
      <c r="M27" s="310"/>
      <c r="N27" s="306"/>
      <c r="O27" s="306"/>
      <c r="P27" s="306"/>
      <c r="Q27" s="306"/>
      <c r="R27" s="306"/>
    </row>
    <row r="28" spans="2:20" ht="15">
      <c r="B28" s="970"/>
      <c r="C28" s="383"/>
      <c r="D28" s="383"/>
      <c r="E28" s="968"/>
      <c r="F28" s="968"/>
      <c r="G28" s="469" t="s">
        <v>1388</v>
      </c>
      <c r="H28" s="1033"/>
      <c r="I28" s="380" t="s">
        <v>85</v>
      </c>
      <c r="J28" s="382">
        <v>810368409</v>
      </c>
      <c r="K28" s="55">
        <f>H28*J28</f>
        <v>0</v>
      </c>
      <c r="L28" s="377"/>
      <c r="M28" s="1444">
        <f>K28</f>
        <v>0</v>
      </c>
      <c r="N28" s="969"/>
      <c r="O28" s="1032"/>
      <c r="P28" s="969"/>
      <c r="Q28" s="969"/>
      <c r="R28" s="969"/>
    </row>
    <row r="29" spans="2:20" ht="15">
      <c r="B29" s="36"/>
      <c r="C29" s="37"/>
      <c r="D29" s="37"/>
      <c r="E29" s="38"/>
      <c r="F29" s="38"/>
      <c r="G29" s="133"/>
      <c r="H29" s="331"/>
      <c r="I29" s="4"/>
      <c r="J29" s="61"/>
      <c r="K29" s="55"/>
      <c r="L29" s="305"/>
      <c r="M29" s="663">
        <f>K29</f>
        <v>0</v>
      </c>
      <c r="N29" s="306"/>
      <c r="O29" s="306"/>
      <c r="P29" s="306"/>
      <c r="Q29" s="306"/>
      <c r="R29" s="306"/>
    </row>
    <row r="30" spans="2:20" ht="15" customHeight="1" thickBot="1">
      <c r="B30" s="3289" t="s">
        <v>30</v>
      </c>
      <c r="C30" s="3290"/>
      <c r="D30" s="3290"/>
      <c r="E30" s="3290"/>
      <c r="F30" s="3290"/>
      <c r="G30" s="3290"/>
      <c r="H30" s="3290"/>
      <c r="I30" s="3290"/>
      <c r="J30" s="3291"/>
      <c r="K30" s="63">
        <f>K24</f>
        <v>0</v>
      </c>
      <c r="L30" s="663">
        <f t="shared" ref="L30:Q30" si="0">SUM(L25:L29)</f>
        <v>0</v>
      </c>
      <c r="M30" s="663">
        <f t="shared" si="0"/>
        <v>0</v>
      </c>
      <c r="N30" s="663">
        <f t="shared" si="0"/>
        <v>0</v>
      </c>
      <c r="O30" s="663">
        <f t="shared" si="0"/>
        <v>0</v>
      </c>
      <c r="P30" s="663">
        <f t="shared" si="0"/>
        <v>0</v>
      </c>
      <c r="Q30" s="663">
        <f t="shared" si="0"/>
        <v>0</v>
      </c>
      <c r="R30" s="571">
        <f>SUM(L30:Q30)</f>
        <v>0</v>
      </c>
      <c r="S30" s="41">
        <v>1250000000</v>
      </c>
      <c r="T30" s="57">
        <f>S30-K30</f>
        <v>1250000000</v>
      </c>
    </row>
    <row r="31" spans="2:20" ht="15.75" thickTop="1">
      <c r="L31" s="315"/>
      <c r="M31" s="310"/>
      <c r="N31" s="306"/>
      <c r="O31" s="306"/>
      <c r="P31" s="306"/>
      <c r="Q31" s="306"/>
      <c r="R31" s="306"/>
    </row>
    <row r="32" spans="2:20" ht="15">
      <c r="L32" s="899"/>
      <c r="M32" s="569"/>
      <c r="N32" s="378"/>
      <c r="O32" s="378"/>
      <c r="P32" s="378"/>
      <c r="Q32" s="378"/>
      <c r="R32" s="378"/>
    </row>
    <row r="33" spans="8:18" ht="15">
      <c r="H33" s="3336" t="s">
        <v>1534</v>
      </c>
      <c r="I33" s="3336"/>
      <c r="J33" s="3336"/>
      <c r="L33" s="305"/>
      <c r="M33" s="310"/>
      <c r="N33" s="306"/>
      <c r="O33" s="306"/>
      <c r="P33" s="306"/>
      <c r="Q33" s="306"/>
      <c r="R33" s="306"/>
    </row>
    <row r="34" spans="8:18" ht="15">
      <c r="H34" s="3337" t="s">
        <v>272</v>
      </c>
      <c r="I34" s="3337"/>
      <c r="J34" s="3485"/>
      <c r="L34" s="305"/>
      <c r="M34" s="310"/>
      <c r="N34" s="306"/>
      <c r="O34" s="306"/>
      <c r="P34" s="306"/>
      <c r="Q34" s="306"/>
      <c r="R34" s="306"/>
    </row>
    <row r="35" spans="8:18" ht="15">
      <c r="H35" s="127"/>
      <c r="I35" s="127"/>
      <c r="J35" s="127"/>
      <c r="L35" s="305"/>
      <c r="M35" s="310"/>
      <c r="N35" s="306"/>
      <c r="O35" s="306"/>
      <c r="P35" s="306"/>
      <c r="Q35" s="306"/>
      <c r="R35" s="306"/>
    </row>
    <row r="36" spans="8:18" ht="15">
      <c r="H36" s="127"/>
      <c r="I36" s="127"/>
      <c r="J36" s="127"/>
      <c r="L36" s="305"/>
      <c r="M36" s="310"/>
      <c r="N36" s="306"/>
      <c r="O36" s="306"/>
      <c r="P36" s="306"/>
      <c r="Q36" s="306"/>
      <c r="R36" s="306"/>
    </row>
    <row r="37" spans="8:18" ht="15">
      <c r="H37" s="3434" t="s">
        <v>904</v>
      </c>
      <c r="I37" s="3434"/>
      <c r="J37" s="3434"/>
      <c r="L37" s="305"/>
      <c r="M37" s="310"/>
      <c r="N37" s="306"/>
      <c r="O37" s="306"/>
      <c r="P37" s="306"/>
      <c r="Q37" s="306"/>
      <c r="R37" s="306"/>
    </row>
    <row r="38" spans="8:18" ht="15">
      <c r="H38" s="3434" t="s">
        <v>906</v>
      </c>
      <c r="I38" s="3434"/>
      <c r="J38" s="3434"/>
      <c r="L38" s="305"/>
      <c r="M38" s="310"/>
      <c r="N38" s="306"/>
      <c r="O38" s="306"/>
      <c r="P38" s="306"/>
      <c r="Q38" s="306"/>
      <c r="R38" s="306"/>
    </row>
    <row r="41" spans="8:18">
      <c r="I41" s="9" t="s">
        <v>801</v>
      </c>
      <c r="J41" s="41">
        <v>166290</v>
      </c>
      <c r="K41" s="41">
        <f>J41*14000</f>
        <v>2328060000</v>
      </c>
    </row>
    <row r="42" spans="8:18">
      <c r="J42" s="9" t="s">
        <v>807</v>
      </c>
      <c r="K42" s="41">
        <v>57000000</v>
      </c>
    </row>
    <row r="43" spans="8:18">
      <c r="K43" s="41">
        <f>SUM(K41:K42)</f>
        <v>2385060000</v>
      </c>
    </row>
    <row r="44" spans="8:18">
      <c r="J44" s="9" t="s">
        <v>800</v>
      </c>
      <c r="K44" s="41">
        <f>0.5%*K43</f>
        <v>11925300</v>
      </c>
    </row>
    <row r="45" spans="8:18">
      <c r="K45" s="41">
        <f>SUM(K43:K44)</f>
        <v>2396985300</v>
      </c>
    </row>
    <row r="46" spans="8:18">
      <c r="J46" s="9" t="s">
        <v>808</v>
      </c>
      <c r="K46" s="41">
        <f>2%*K45</f>
        <v>47939706</v>
      </c>
    </row>
    <row r="47" spans="8:18">
      <c r="J47" s="9" t="s">
        <v>809</v>
      </c>
      <c r="K47" s="41">
        <f>SUM(K45:K46)</f>
        <v>2444925006</v>
      </c>
    </row>
    <row r="49" spans="10:11">
      <c r="J49" s="41">
        <v>95000</v>
      </c>
      <c r="K49" s="41">
        <f>J49*14000</f>
        <v>1330000000</v>
      </c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38:J38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30:J30"/>
    <mergeCell ref="H33:J33"/>
    <mergeCell ref="H34:J34"/>
    <mergeCell ref="H37:J37"/>
  </mergeCells>
  <pageMargins left="0.11811023622047245" right="0.23622047244094491" top="0.74803149606299213" bottom="0.6692913385826772" header="0.23622047244094491" footer="0.15748031496062992"/>
  <pageSetup paperSize="5" scale="91" orientation="portrait" horizontalDpi="4294967293" verticalDpi="4294967293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0000"/>
  </sheetPr>
  <dimension ref="B1:W60"/>
  <sheetViews>
    <sheetView view="pageBreakPreview" topLeftCell="A16" zoomScaleNormal="115" zoomScaleSheetLayoutView="100" workbookViewId="0">
      <selection activeCell="H28" sqref="H28"/>
    </sheetView>
  </sheetViews>
  <sheetFormatPr defaultRowHeight="12.75"/>
  <cols>
    <col min="1" max="1" width="0.85546875" style="9" customWidth="1"/>
    <col min="2" max="2" width="3.140625" style="9" customWidth="1"/>
    <col min="3" max="3" width="3.28515625" style="9" customWidth="1"/>
    <col min="4" max="4" width="3.140625" style="9" customWidth="1"/>
    <col min="5" max="6" width="3.28515625" style="9" customWidth="1"/>
    <col min="7" max="7" width="44" style="9" customWidth="1"/>
    <col min="8" max="8" width="8" style="9" bestFit="1" customWidth="1"/>
    <col min="9" max="9" width="8.5703125" style="9" bestFit="1" customWidth="1"/>
    <col min="10" max="10" width="13.5703125" style="9" bestFit="1" customWidth="1"/>
    <col min="11" max="11" width="15" style="9" bestFit="1" customWidth="1"/>
    <col min="12" max="12" width="4.28515625" style="9" bestFit="1" customWidth="1"/>
    <col min="13" max="13" width="15.28515625" style="9" bestFit="1" customWidth="1"/>
    <col min="14" max="14" width="5.140625" style="9" bestFit="1" customWidth="1"/>
    <col min="15" max="15" width="4.140625" style="9" bestFit="1" customWidth="1"/>
    <col min="16" max="16" width="5.85546875" style="9" bestFit="1" customWidth="1"/>
    <col min="17" max="17" width="5" style="9" bestFit="1" customWidth="1"/>
    <col min="18" max="18" width="18.42578125" style="9" bestFit="1" customWidth="1"/>
    <col min="19" max="20" width="16.5703125" style="41" bestFit="1" customWidth="1"/>
    <col min="21" max="21" width="14" style="41" bestFit="1" customWidth="1"/>
    <col min="22" max="22" width="11.28515625" style="41" bestFit="1" customWidth="1"/>
    <col min="23" max="23" width="14" style="41" bestFit="1" customWidth="1"/>
    <col min="24" max="16384" width="9.140625" style="9"/>
  </cols>
  <sheetData>
    <row r="1" spans="2:13" s="9" customFormat="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s="9" customFormat="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s="9" customFormat="1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s="9" customFormat="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 s="9" customFormat="1">
      <c r="B5" s="3467" t="s">
        <v>31</v>
      </c>
      <c r="C5" s="3312"/>
      <c r="D5" s="3312"/>
      <c r="E5" s="3312"/>
      <c r="F5" s="3312"/>
      <c r="G5" s="3312" t="s">
        <v>38</v>
      </c>
      <c r="H5" s="3312"/>
      <c r="I5" s="3312"/>
      <c r="J5" s="3312"/>
      <c r="K5" s="3313"/>
    </row>
    <row r="6" spans="2:13" s="9" customFormat="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 s="9" customFormat="1">
      <c r="B7" s="3341" t="s">
        <v>33</v>
      </c>
      <c r="C7" s="3339"/>
      <c r="D7" s="3339"/>
      <c r="E7" s="3339"/>
      <c r="F7" s="3339"/>
      <c r="G7" s="3342" t="s">
        <v>1112</v>
      </c>
      <c r="H7" s="3342"/>
      <c r="I7" s="3342"/>
      <c r="J7" s="3342"/>
      <c r="K7" s="3343"/>
    </row>
    <row r="8" spans="2:13" s="9" customFormat="1">
      <c r="B8" s="3341" t="s">
        <v>34</v>
      </c>
      <c r="C8" s="3339"/>
      <c r="D8" s="3339"/>
      <c r="E8" s="3339"/>
      <c r="F8" s="3339"/>
      <c r="G8" s="3339" t="s">
        <v>1116</v>
      </c>
      <c r="H8" s="3339"/>
      <c r="I8" s="3339"/>
      <c r="J8" s="3339"/>
      <c r="K8" s="3340"/>
    </row>
    <row r="9" spans="2:13" s="9" customFormat="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 s="9" customFormat="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 s="9" customFormat="1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 s="9" customFormat="1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 s="9" customFormat="1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s="9" customFormat="1" ht="15" customHeight="1">
      <c r="B14" s="3462" t="s">
        <v>8</v>
      </c>
      <c r="C14" s="3463"/>
      <c r="D14" s="3463"/>
      <c r="E14" s="3463"/>
      <c r="F14" s="3464"/>
      <c r="G14" s="3445" t="s">
        <v>181</v>
      </c>
      <c r="H14" s="3448"/>
      <c r="I14" s="3450">
        <v>1</v>
      </c>
      <c r="J14" s="3451"/>
      <c r="K14" s="3452"/>
    </row>
    <row r="15" spans="2:13" s="9" customFormat="1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0</v>
      </c>
      <c r="J15" s="3454"/>
      <c r="K15" s="3455"/>
    </row>
    <row r="16" spans="2:13" s="9" customFormat="1">
      <c r="B16" s="3439" t="s">
        <v>10</v>
      </c>
      <c r="C16" s="3451"/>
      <c r="D16" s="3451"/>
      <c r="E16" s="3451"/>
      <c r="F16" s="3460"/>
      <c r="G16" s="3445" t="s">
        <v>261</v>
      </c>
      <c r="H16" s="3446"/>
      <c r="I16" s="3456">
        <v>1</v>
      </c>
      <c r="J16" s="3457"/>
      <c r="K16" s="3458"/>
    </row>
    <row r="17" spans="2:23">
      <c r="B17" s="3439" t="s">
        <v>11</v>
      </c>
      <c r="C17" s="3451"/>
      <c r="D17" s="3451"/>
      <c r="E17" s="3451"/>
      <c r="F17" s="3460"/>
      <c r="G17" s="3445" t="s">
        <v>451</v>
      </c>
      <c r="H17" s="3448"/>
      <c r="I17" s="3456">
        <v>1</v>
      </c>
      <c r="J17" s="3457"/>
      <c r="K17" s="3458"/>
      <c r="S17" s="9"/>
      <c r="T17" s="9"/>
      <c r="U17" s="9"/>
      <c r="V17" s="9"/>
      <c r="W17" s="9"/>
    </row>
    <row r="18" spans="2:23">
      <c r="B18" s="3442" t="s">
        <v>262</v>
      </c>
      <c r="C18" s="3443"/>
      <c r="D18" s="3443"/>
      <c r="E18" s="3443"/>
      <c r="F18" s="3443"/>
      <c r="G18" s="3443"/>
      <c r="H18" s="3443"/>
      <c r="I18" s="3443"/>
      <c r="J18" s="3443"/>
      <c r="K18" s="3444"/>
      <c r="S18" s="9"/>
      <c r="T18" s="9"/>
      <c r="U18" s="9"/>
      <c r="V18" s="9"/>
      <c r="W18" s="9"/>
    </row>
    <row r="19" spans="2:23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  <c r="S19" s="9"/>
      <c r="T19" s="9"/>
      <c r="U19" s="9"/>
      <c r="V19" s="9"/>
      <c r="W19" s="9"/>
    </row>
    <row r="20" spans="2:23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  <c r="S20" s="9"/>
      <c r="T20" s="9"/>
      <c r="U20" s="9"/>
      <c r="V20" s="9"/>
      <c r="W20" s="9"/>
    </row>
    <row r="21" spans="2:23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990"/>
      <c r="M21" s="990"/>
      <c r="N21" s="990"/>
      <c r="O21" s="990"/>
      <c r="P21" s="990"/>
      <c r="Q21" s="990"/>
      <c r="R21" s="3378"/>
      <c r="S21" s="9"/>
      <c r="T21" s="9"/>
      <c r="U21" s="9"/>
      <c r="V21" s="9"/>
      <c r="W21" s="9"/>
    </row>
    <row r="22" spans="2:23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989" t="s">
        <v>177</v>
      </c>
      <c r="M22" s="989" t="s">
        <v>594</v>
      </c>
      <c r="N22" s="989" t="s">
        <v>651</v>
      </c>
      <c r="O22" s="989" t="s">
        <v>595</v>
      </c>
      <c r="P22" s="989" t="s">
        <v>652</v>
      </c>
      <c r="Q22" s="989" t="s">
        <v>593</v>
      </c>
      <c r="R22" s="3379"/>
      <c r="S22" s="9"/>
      <c r="T22" s="9"/>
      <c r="U22" s="9"/>
      <c r="V22" s="9"/>
      <c r="W22" s="9"/>
    </row>
    <row r="23" spans="2:23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990">
        <v>6</v>
      </c>
      <c r="M23" s="990">
        <v>7</v>
      </c>
      <c r="N23" s="990">
        <v>8</v>
      </c>
      <c r="O23" s="990">
        <v>9</v>
      </c>
      <c r="P23" s="990">
        <v>10</v>
      </c>
      <c r="Q23" s="990">
        <v>11</v>
      </c>
      <c r="R23" s="990">
        <v>12</v>
      </c>
      <c r="S23" s="9"/>
      <c r="T23" s="9"/>
      <c r="U23" s="9"/>
      <c r="V23" s="9"/>
      <c r="W23" s="9"/>
    </row>
    <row r="24" spans="2:23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5">
        <f>+K25</f>
        <v>0</v>
      </c>
      <c r="L24" s="305"/>
      <c r="M24" s="305"/>
      <c r="N24" s="305"/>
      <c r="O24" s="305"/>
      <c r="P24" s="305"/>
      <c r="Q24" s="303"/>
      <c r="R24" s="303"/>
      <c r="S24" s="9"/>
      <c r="T24" s="9"/>
      <c r="U24" s="9"/>
      <c r="V24" s="9"/>
      <c r="W24" s="9"/>
    </row>
    <row r="25" spans="2:23" ht="15">
      <c r="B25" s="43">
        <v>5</v>
      </c>
      <c r="C25" s="17">
        <v>2</v>
      </c>
      <c r="D25" s="17">
        <v>3</v>
      </c>
      <c r="E25" s="17"/>
      <c r="F25" s="17"/>
      <c r="G25" s="44" t="s">
        <v>78</v>
      </c>
      <c r="H25" s="933"/>
      <c r="I25" s="375"/>
      <c r="J25" s="376"/>
      <c r="K25" s="1038">
        <f>K26</f>
        <v>0</v>
      </c>
      <c r="L25" s="386"/>
      <c r="M25" s="979"/>
      <c r="N25" s="974"/>
      <c r="O25" s="319"/>
      <c r="P25" s="319"/>
      <c r="Q25" s="319"/>
      <c r="R25" s="378"/>
    </row>
    <row r="26" spans="2:23" s="27" customFormat="1" ht="15">
      <c r="B26" s="649">
        <v>5</v>
      </c>
      <c r="C26" s="650">
        <v>2</v>
      </c>
      <c r="D26" s="650">
        <v>3</v>
      </c>
      <c r="E26" s="651">
        <v>28</v>
      </c>
      <c r="F26" s="651"/>
      <c r="G26" s="615" t="s">
        <v>509</v>
      </c>
      <c r="H26" s="652"/>
      <c r="I26" s="586"/>
      <c r="J26" s="587"/>
      <c r="K26" s="1245">
        <f>K27</f>
        <v>0</v>
      </c>
      <c r="L26" s="386"/>
      <c r="M26" s="329"/>
      <c r="N26" s="330"/>
      <c r="O26" s="330"/>
      <c r="P26" s="330"/>
      <c r="Q26" s="319"/>
      <c r="R26" s="306"/>
    </row>
    <row r="27" spans="2:23" ht="15">
      <c r="B27" s="346">
        <v>5</v>
      </c>
      <c r="C27" s="371">
        <v>2</v>
      </c>
      <c r="D27" s="371">
        <v>3</v>
      </c>
      <c r="E27" s="372">
        <v>28</v>
      </c>
      <c r="F27" s="372" t="s">
        <v>80</v>
      </c>
      <c r="G27" s="613" t="s">
        <v>1175</v>
      </c>
      <c r="H27" s="599"/>
      <c r="I27" s="380"/>
      <c r="J27" s="438"/>
      <c r="K27" s="1245">
        <f>SUM(K28:K29)</f>
        <v>0</v>
      </c>
      <c r="L27" s="564"/>
      <c r="M27" s="308"/>
      <c r="N27" s="309"/>
      <c r="O27" s="309"/>
      <c r="P27" s="309"/>
      <c r="Q27" s="306"/>
      <c r="R27" s="306"/>
      <c r="S27" s="9"/>
      <c r="T27" s="9"/>
      <c r="U27" s="9"/>
      <c r="V27" s="9"/>
      <c r="W27" s="9"/>
    </row>
    <row r="28" spans="2:23" ht="12.75" customHeight="1">
      <c r="B28" s="429"/>
      <c r="C28" s="424"/>
      <c r="D28" s="424"/>
      <c r="E28" s="424"/>
      <c r="F28" s="424"/>
      <c r="G28" s="572" t="s">
        <v>1176</v>
      </c>
      <c r="H28" s="602"/>
      <c r="I28" s="603" t="s">
        <v>86</v>
      </c>
      <c r="J28" s="604">
        <v>300000000</v>
      </c>
      <c r="K28" s="479">
        <f>H28*J28</f>
        <v>0</v>
      </c>
      <c r="L28" s="564"/>
      <c r="M28" s="667">
        <f>K28</f>
        <v>0</v>
      </c>
      <c r="N28" s="377"/>
      <c r="O28" s="385"/>
      <c r="P28" s="385"/>
      <c r="Q28" s="385"/>
      <c r="R28" s="385"/>
      <c r="S28" s="9"/>
      <c r="T28" s="9"/>
      <c r="U28" s="9"/>
      <c r="V28" s="9"/>
      <c r="W28" s="9"/>
    </row>
    <row r="29" spans="2:23" ht="15">
      <c r="B29" s="36"/>
      <c r="C29" s="37"/>
      <c r="D29" s="37"/>
      <c r="E29" s="38"/>
      <c r="F29" s="38"/>
      <c r="G29" s="133"/>
      <c r="H29" s="134"/>
      <c r="I29" s="4"/>
      <c r="J29" s="61"/>
      <c r="K29" s="479"/>
      <c r="L29" s="305"/>
      <c r="M29" s="308"/>
      <c r="N29" s="309"/>
      <c r="O29" s="309"/>
      <c r="P29" s="309"/>
      <c r="Q29" s="306"/>
      <c r="R29" s="306"/>
    </row>
    <row r="30" spans="2:23" ht="15" customHeight="1" thickBot="1">
      <c r="B30" s="3289" t="s">
        <v>30</v>
      </c>
      <c r="C30" s="3290"/>
      <c r="D30" s="3290"/>
      <c r="E30" s="3290"/>
      <c r="F30" s="3290"/>
      <c r="G30" s="3290"/>
      <c r="H30" s="3290"/>
      <c r="I30" s="3290"/>
      <c r="J30" s="3291"/>
      <c r="K30" s="403">
        <f>K24</f>
        <v>0</v>
      </c>
      <c r="L30" s="305"/>
      <c r="M30" s="312">
        <f>SUM(M25:M29)</f>
        <v>0</v>
      </c>
      <c r="N30" s="312">
        <f>SUM(N25:N29)</f>
        <v>0</v>
      </c>
      <c r="O30" s="312"/>
      <c r="P30" s="312"/>
      <c r="Q30" s="306"/>
      <c r="R30" s="314">
        <f>SUM(L30:Q30)</f>
        <v>0</v>
      </c>
      <c r="S30" s="41">
        <v>2452500000</v>
      </c>
      <c r="T30" s="41">
        <f>S30-K30</f>
        <v>2452500000</v>
      </c>
    </row>
    <row r="31" spans="2:23" ht="15.75" thickTop="1">
      <c r="L31" s="305"/>
      <c r="M31" s="313"/>
      <c r="N31" s="314"/>
      <c r="O31" s="314"/>
      <c r="P31" s="314"/>
      <c r="Q31" s="306"/>
      <c r="R31" s="306"/>
    </row>
    <row r="32" spans="2:23" ht="15">
      <c r="L32" s="377"/>
      <c r="M32" s="559"/>
      <c r="N32" s="561"/>
      <c r="O32" s="561"/>
      <c r="P32" s="561"/>
      <c r="Q32" s="378"/>
      <c r="R32" s="378"/>
    </row>
    <row r="33" spans="7:23" ht="15">
      <c r="H33" s="3336" t="s">
        <v>1534</v>
      </c>
      <c r="I33" s="3336"/>
      <c r="J33" s="3336"/>
      <c r="L33" s="305"/>
      <c r="M33" s="310"/>
      <c r="N33" s="306"/>
      <c r="O33" s="306"/>
      <c r="P33" s="306"/>
      <c r="Q33" s="306"/>
      <c r="R33" s="306"/>
    </row>
    <row r="34" spans="7:23" ht="15">
      <c r="H34" s="3337" t="s">
        <v>272</v>
      </c>
      <c r="I34" s="3337"/>
      <c r="J34" s="3485"/>
      <c r="L34" s="305"/>
      <c r="M34" s="310"/>
      <c r="N34" s="306"/>
      <c r="O34" s="306"/>
      <c r="P34" s="306"/>
      <c r="Q34" s="306"/>
      <c r="R34" s="306"/>
    </row>
    <row r="35" spans="7:23" ht="15">
      <c r="H35" s="127"/>
      <c r="I35" s="127"/>
      <c r="J35" s="127"/>
      <c r="L35" s="305"/>
      <c r="M35" s="310"/>
      <c r="N35" s="306"/>
      <c r="O35" s="306"/>
      <c r="P35" s="306"/>
      <c r="Q35" s="306"/>
      <c r="R35" s="306"/>
    </row>
    <row r="36" spans="7:23" ht="15">
      <c r="H36" s="127"/>
      <c r="I36" s="127"/>
      <c r="J36" s="127"/>
      <c r="L36" s="305"/>
      <c r="M36" s="310"/>
      <c r="N36" s="306"/>
      <c r="O36" s="306"/>
      <c r="P36" s="306"/>
      <c r="Q36" s="306"/>
      <c r="R36" s="306"/>
    </row>
    <row r="37" spans="7:23" ht="15">
      <c r="H37" s="3434" t="s">
        <v>904</v>
      </c>
      <c r="I37" s="3434"/>
      <c r="J37" s="3434"/>
      <c r="L37" s="305"/>
      <c r="M37" s="310"/>
      <c r="N37" s="306"/>
      <c r="O37" s="306"/>
      <c r="P37" s="306"/>
      <c r="Q37" s="306"/>
      <c r="R37" s="306"/>
    </row>
    <row r="38" spans="7:23" ht="15">
      <c r="H38" s="3434" t="s">
        <v>906</v>
      </c>
      <c r="I38" s="3434"/>
      <c r="J38" s="3434"/>
      <c r="L38" s="305"/>
      <c r="M38" s="310"/>
      <c r="N38" s="306"/>
      <c r="O38" s="306"/>
      <c r="P38" s="306"/>
      <c r="Q38" s="306"/>
      <c r="R38" s="306"/>
    </row>
    <row r="39" spans="7:23" ht="15">
      <c r="L39" s="306"/>
      <c r="M39" s="306"/>
      <c r="N39" s="306"/>
      <c r="O39" s="306"/>
      <c r="P39" s="306"/>
      <c r="Q39" s="306"/>
      <c r="R39" s="306"/>
    </row>
    <row r="42" spans="7:23">
      <c r="G42" s="9" t="s">
        <v>751</v>
      </c>
      <c r="J42" s="9">
        <v>44275</v>
      </c>
      <c r="S42" s="9"/>
      <c r="T42" s="9"/>
      <c r="U42" s="9"/>
      <c r="V42" s="9"/>
      <c r="W42" s="9"/>
    </row>
    <row r="43" spans="7:23">
      <c r="I43" s="9" t="s">
        <v>752</v>
      </c>
      <c r="J43" s="9">
        <f>J42/10</f>
        <v>4427.5</v>
      </c>
      <c r="K43" s="9">
        <f>J43*12</f>
        <v>53130</v>
      </c>
      <c r="S43" s="9"/>
      <c r="T43" s="9"/>
      <c r="U43" s="9"/>
      <c r="V43" s="9"/>
      <c r="W43" s="9"/>
    </row>
    <row r="44" spans="7:23">
      <c r="I44" s="9" t="s">
        <v>753</v>
      </c>
      <c r="J44" s="9">
        <f>J43/30</f>
        <v>147.58333333333334</v>
      </c>
      <c r="S44" s="9"/>
      <c r="T44" s="9"/>
      <c r="U44" s="9"/>
      <c r="V44" s="9"/>
      <c r="W44" s="9"/>
    </row>
    <row r="45" spans="7:23">
      <c r="I45" s="9" t="s">
        <v>754</v>
      </c>
      <c r="J45" s="9">
        <f>J44/3</f>
        <v>49.19444444444445</v>
      </c>
      <c r="S45" s="9"/>
      <c r="T45" s="9"/>
      <c r="U45" s="9"/>
      <c r="V45" s="9"/>
      <c r="W45" s="9"/>
    </row>
    <row r="47" spans="7:23">
      <c r="G47" s="9" t="s">
        <v>755</v>
      </c>
      <c r="S47" s="9"/>
      <c r="T47" s="9"/>
      <c r="U47" s="9"/>
      <c r="V47" s="9"/>
      <c r="W47" s="9"/>
    </row>
    <row r="48" spans="7:23">
      <c r="G48" s="9" t="s">
        <v>756</v>
      </c>
      <c r="H48" s="9">
        <v>22</v>
      </c>
      <c r="S48" s="9"/>
      <c r="T48" s="9"/>
      <c r="U48" s="9"/>
      <c r="V48" s="9"/>
      <c r="W48" s="9"/>
    </row>
    <row r="49" spans="7:23">
      <c r="G49" s="9" t="s">
        <v>757</v>
      </c>
      <c r="H49" s="9">
        <f>8+2</f>
        <v>10</v>
      </c>
      <c r="S49" s="9"/>
      <c r="T49" s="9"/>
      <c r="U49" s="9"/>
      <c r="V49" s="9"/>
      <c r="W49" s="9"/>
    </row>
    <row r="50" spans="7:23">
      <c r="G50" s="9" t="s">
        <v>758</v>
      </c>
      <c r="H50" s="9">
        <v>11</v>
      </c>
      <c r="S50" s="9"/>
      <c r="T50" s="9"/>
      <c r="U50" s="9"/>
      <c r="V50" s="9"/>
      <c r="W50" s="9"/>
    </row>
    <row r="51" spans="7:23">
      <c r="G51" s="9" t="s">
        <v>759</v>
      </c>
      <c r="H51" s="9">
        <v>8</v>
      </c>
      <c r="S51" s="9"/>
      <c r="T51" s="9"/>
      <c r="U51" s="9"/>
      <c r="V51" s="9"/>
      <c r="W51" s="9"/>
    </row>
    <row r="52" spans="7:23">
      <c r="G52" s="9" t="s">
        <v>760</v>
      </c>
      <c r="H52" s="9">
        <v>20</v>
      </c>
      <c r="S52" s="9"/>
      <c r="T52" s="9"/>
      <c r="U52" s="9"/>
      <c r="V52" s="9"/>
      <c r="W52" s="9"/>
    </row>
    <row r="53" spans="7:23">
      <c r="G53" s="9" t="s">
        <v>761</v>
      </c>
      <c r="H53" s="9">
        <v>3</v>
      </c>
      <c r="S53" s="9"/>
      <c r="T53" s="9"/>
      <c r="U53" s="9"/>
      <c r="V53" s="9"/>
      <c r="W53" s="9"/>
    </row>
    <row r="54" spans="7:23">
      <c r="G54" s="9" t="s">
        <v>762</v>
      </c>
      <c r="H54" s="9">
        <v>3</v>
      </c>
      <c r="S54" s="9"/>
      <c r="T54" s="9"/>
      <c r="U54" s="9"/>
      <c r="V54" s="9"/>
      <c r="W54" s="9"/>
    </row>
    <row r="55" spans="7:23">
      <c r="G55" s="9" t="s">
        <v>763</v>
      </c>
      <c r="H55" s="9">
        <v>12</v>
      </c>
      <c r="S55" s="9"/>
      <c r="T55" s="9"/>
      <c r="U55" s="9"/>
      <c r="V55" s="9"/>
      <c r="W55" s="9"/>
    </row>
    <row r="56" spans="7:23">
      <c r="H56" s="9">
        <f>SUM(H48:H55)</f>
        <v>89</v>
      </c>
      <c r="I56" s="9">
        <f>H56-H55</f>
        <v>77</v>
      </c>
      <c r="S56" s="9"/>
      <c r="T56" s="9"/>
      <c r="U56" s="9"/>
      <c r="V56" s="9"/>
      <c r="W56" s="9"/>
    </row>
    <row r="57" spans="7:23">
      <c r="I57" s="9">
        <v>60</v>
      </c>
      <c r="J57" s="9">
        <f>I57*3*365</f>
        <v>65700</v>
      </c>
      <c r="S57" s="9"/>
      <c r="T57" s="9"/>
      <c r="U57" s="9"/>
      <c r="V57" s="9"/>
      <c r="W57" s="9"/>
    </row>
    <row r="58" spans="7:23">
      <c r="J58" s="9">
        <f>J57*22000</f>
        <v>1445400000</v>
      </c>
      <c r="S58" s="9"/>
      <c r="T58" s="9"/>
      <c r="U58" s="9"/>
      <c r="V58" s="9"/>
      <c r="W58" s="9"/>
    </row>
    <row r="60" spans="7:23">
      <c r="J60" s="934"/>
      <c r="S60" s="9"/>
      <c r="T60" s="9"/>
      <c r="U60" s="9"/>
      <c r="V60" s="9"/>
      <c r="W60" s="9"/>
    </row>
  </sheetData>
  <mergeCells count="49">
    <mergeCell ref="L20:Q20"/>
    <mergeCell ref="R20:R22"/>
    <mergeCell ref="B16:F16"/>
    <mergeCell ref="G16:H16"/>
    <mergeCell ref="I16:K16"/>
    <mergeCell ref="B23:F23"/>
    <mergeCell ref="B30:J30"/>
    <mergeCell ref="B17:F17"/>
    <mergeCell ref="G17:H17"/>
    <mergeCell ref="I17:K17"/>
    <mergeCell ref="B18:K18"/>
    <mergeCell ref="B19:K20"/>
    <mergeCell ref="B21:F22"/>
    <mergeCell ref="G21:G22"/>
    <mergeCell ref="H21:J21"/>
    <mergeCell ref="B14:F14"/>
    <mergeCell ref="G14:H14"/>
    <mergeCell ref="I14:K14"/>
    <mergeCell ref="B15:F15"/>
    <mergeCell ref="G15:H15"/>
    <mergeCell ref="I15:K15"/>
    <mergeCell ref="G9:K9"/>
    <mergeCell ref="B10:F10"/>
    <mergeCell ref="G10:K10"/>
    <mergeCell ref="B12:K12"/>
    <mergeCell ref="B13:F13"/>
    <mergeCell ref="G13:H13"/>
    <mergeCell ref="I13:K13"/>
    <mergeCell ref="G6:K6"/>
    <mergeCell ref="B7:F7"/>
    <mergeCell ref="G7:K7"/>
    <mergeCell ref="B8:F8"/>
    <mergeCell ref="G8:K8"/>
    <mergeCell ref="H33:J33"/>
    <mergeCell ref="H34:J34"/>
    <mergeCell ref="H37:J37"/>
    <mergeCell ref="H38:J38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</mergeCells>
  <pageMargins left="0.11811023622047245" right="0.23622047244094491" top="0.74803149606299213" bottom="0.6692913385826772" header="0.23622047244094491" footer="0.15748031496062992"/>
  <pageSetup paperSize="5" scale="97" orientation="portrait" horizontalDpi="4294967293" verticalDpi="4294967293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B050"/>
  </sheetPr>
  <dimension ref="B1:U54"/>
  <sheetViews>
    <sheetView view="pageBreakPreview" topLeftCell="A18" zoomScaleNormal="115" zoomScaleSheetLayoutView="100" workbookViewId="0">
      <selection activeCell="B26" sqref="B26:K37"/>
    </sheetView>
  </sheetViews>
  <sheetFormatPr defaultRowHeight="12.75"/>
  <cols>
    <col min="1" max="1" width="1.140625" style="9" customWidth="1"/>
    <col min="2" max="2" width="3.140625" style="9" customWidth="1"/>
    <col min="3" max="3" width="3.28515625" style="9" customWidth="1"/>
    <col min="4" max="4" width="3.140625" style="9" customWidth="1"/>
    <col min="5" max="6" width="3.28515625" style="9" customWidth="1"/>
    <col min="7" max="7" width="45.7109375" style="9" customWidth="1"/>
    <col min="8" max="8" width="8" style="9" customWidth="1"/>
    <col min="9" max="9" width="11.140625" style="9" customWidth="1"/>
    <col min="10" max="10" width="13.5703125" style="9" bestFit="1" customWidth="1"/>
    <col min="11" max="11" width="15" style="9" bestFit="1" customWidth="1"/>
    <col min="12" max="13" width="6.42578125" style="9" bestFit="1" customWidth="1"/>
    <col min="14" max="14" width="13.42578125" style="9" bestFit="1" customWidth="1"/>
    <col min="15" max="17" width="6.42578125" style="9" bestFit="1" customWidth="1"/>
    <col min="18" max="18" width="17.28515625" style="9" bestFit="1" customWidth="1"/>
    <col min="19" max="20" width="15" style="41" bestFit="1" customWidth="1"/>
    <col min="21" max="21" width="13.42578125" style="41" bestFit="1" customWidth="1"/>
    <col min="22" max="16384" width="9.140625" style="9"/>
  </cols>
  <sheetData>
    <row r="1" spans="2:13" s="9" customFormat="1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3" s="9" customFormat="1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s="9" customFormat="1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s="9" customFormat="1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 s="9" customFormat="1">
      <c r="B5" s="3467" t="s">
        <v>31</v>
      </c>
      <c r="C5" s="3312"/>
      <c r="D5" s="3312"/>
      <c r="E5" s="3312"/>
      <c r="F5" s="3312"/>
      <c r="G5" s="3312" t="s">
        <v>38</v>
      </c>
      <c r="H5" s="3312"/>
      <c r="I5" s="3312"/>
      <c r="J5" s="3312"/>
      <c r="K5" s="3313"/>
    </row>
    <row r="6" spans="2:13" s="9" customFormat="1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 s="9" customFormat="1">
      <c r="B7" s="3341" t="s">
        <v>33</v>
      </c>
      <c r="C7" s="3339"/>
      <c r="D7" s="3339"/>
      <c r="E7" s="3339"/>
      <c r="F7" s="3339"/>
      <c r="G7" s="3342" t="s">
        <v>1112</v>
      </c>
      <c r="H7" s="3342"/>
      <c r="I7" s="3342"/>
      <c r="J7" s="3342"/>
      <c r="K7" s="3343"/>
    </row>
    <row r="8" spans="2:13" s="9" customFormat="1">
      <c r="B8" s="3341" t="s">
        <v>34</v>
      </c>
      <c r="C8" s="3339"/>
      <c r="D8" s="3339"/>
      <c r="E8" s="3339"/>
      <c r="F8" s="3339"/>
      <c r="G8" s="3339" t="s">
        <v>1115</v>
      </c>
      <c r="H8" s="3339"/>
      <c r="I8" s="3339"/>
      <c r="J8" s="3339"/>
      <c r="K8" s="3340"/>
    </row>
    <row r="9" spans="2:13" s="9" customFormat="1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 s="9" customFormat="1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 s="9" customFormat="1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 s="9" customFormat="1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 s="9" customFormat="1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 s="9" customFormat="1" ht="15" customHeight="1">
      <c r="B14" s="3462" t="s">
        <v>8</v>
      </c>
      <c r="C14" s="3463"/>
      <c r="D14" s="3463"/>
      <c r="E14" s="3463"/>
      <c r="F14" s="3464"/>
      <c r="G14" s="3445" t="s">
        <v>452</v>
      </c>
      <c r="H14" s="3448"/>
      <c r="I14" s="3450">
        <v>1</v>
      </c>
      <c r="J14" s="3451"/>
      <c r="K14" s="3452"/>
    </row>
    <row r="15" spans="2:13" s="9" customFormat="1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85840000</v>
      </c>
      <c r="J15" s="3454"/>
      <c r="K15" s="3455"/>
    </row>
    <row r="16" spans="2:13" s="9" customFormat="1">
      <c r="B16" s="3439" t="s">
        <v>10</v>
      </c>
      <c r="C16" s="3451"/>
      <c r="D16" s="3451"/>
      <c r="E16" s="3451"/>
      <c r="F16" s="3460"/>
      <c r="G16" s="3445" t="s">
        <v>453</v>
      </c>
      <c r="H16" s="3448"/>
      <c r="I16" s="3456">
        <v>1</v>
      </c>
      <c r="J16" s="3457"/>
      <c r="K16" s="3458"/>
    </row>
    <row r="17" spans="2:21">
      <c r="B17" s="3439" t="s">
        <v>11</v>
      </c>
      <c r="C17" s="3451"/>
      <c r="D17" s="3451"/>
      <c r="E17" s="3451"/>
      <c r="F17" s="3460"/>
      <c r="G17" s="3445" t="s">
        <v>454</v>
      </c>
      <c r="H17" s="3448"/>
      <c r="I17" s="3456">
        <v>1</v>
      </c>
      <c r="J17" s="3457"/>
      <c r="K17" s="3458"/>
    </row>
    <row r="18" spans="2:21">
      <c r="B18" s="3442" t="s">
        <v>262</v>
      </c>
      <c r="C18" s="3443"/>
      <c r="D18" s="3443"/>
      <c r="E18" s="3443"/>
      <c r="F18" s="3443"/>
      <c r="G18" s="3443"/>
      <c r="H18" s="3443"/>
      <c r="I18" s="3443"/>
      <c r="J18" s="3443"/>
      <c r="K18" s="3444"/>
    </row>
    <row r="19" spans="2:21" ht="15" customHeight="1">
      <c r="B19" s="3292" t="s">
        <v>72</v>
      </c>
      <c r="C19" s="3293"/>
      <c r="D19" s="3293"/>
      <c r="E19" s="3293"/>
      <c r="F19" s="3293"/>
      <c r="G19" s="3293"/>
      <c r="H19" s="3293"/>
      <c r="I19" s="3293"/>
      <c r="J19" s="3293"/>
      <c r="K19" s="3294"/>
      <c r="L19" s="305"/>
      <c r="M19" s="305"/>
      <c r="N19" s="305"/>
      <c r="O19" s="305"/>
      <c r="P19" s="305"/>
      <c r="Q19" s="303"/>
      <c r="R19" s="303"/>
    </row>
    <row r="20" spans="2:21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21" ht="15" customHeight="1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150"/>
      <c r="M21" s="1150"/>
      <c r="N21" s="1150"/>
      <c r="O21" s="1150"/>
      <c r="P21" s="1150"/>
      <c r="Q21" s="1150"/>
      <c r="R21" s="3378"/>
    </row>
    <row r="22" spans="2:21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149" t="s">
        <v>177</v>
      </c>
      <c r="M22" s="1149" t="s">
        <v>594</v>
      </c>
      <c r="N22" s="1149" t="s">
        <v>651</v>
      </c>
      <c r="O22" s="1149" t="s">
        <v>595</v>
      </c>
      <c r="P22" s="1149" t="s">
        <v>652</v>
      </c>
      <c r="Q22" s="1149" t="s">
        <v>593</v>
      </c>
      <c r="R22" s="3379"/>
    </row>
    <row r="23" spans="2:21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150">
        <v>6</v>
      </c>
      <c r="M23" s="1150">
        <v>7</v>
      </c>
      <c r="N23" s="1150">
        <v>8</v>
      </c>
      <c r="O23" s="1150">
        <v>9</v>
      </c>
      <c r="P23" s="1150">
        <v>10</v>
      </c>
      <c r="Q23" s="1150">
        <v>11</v>
      </c>
      <c r="R23" s="1150">
        <v>12</v>
      </c>
    </row>
    <row r="24" spans="2:21" ht="15.75" customHeight="1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K25+K31</f>
        <v>85840000</v>
      </c>
      <c r="L24" s="305"/>
      <c r="M24" s="305"/>
      <c r="N24" s="305"/>
      <c r="O24" s="305"/>
      <c r="P24" s="305"/>
      <c r="Q24" s="303"/>
      <c r="R24" s="303"/>
    </row>
    <row r="25" spans="2:21" ht="15.75" customHeight="1">
      <c r="B25" s="94">
        <v>5</v>
      </c>
      <c r="C25" s="95">
        <v>2</v>
      </c>
      <c r="D25" s="95">
        <v>1</v>
      </c>
      <c r="E25" s="17"/>
      <c r="F25" s="17"/>
      <c r="G25" s="44" t="s">
        <v>343</v>
      </c>
      <c r="H25" s="856"/>
      <c r="I25" s="17"/>
      <c r="J25" s="454"/>
      <c r="K25" s="47">
        <f>K26</f>
        <v>51840000</v>
      </c>
      <c r="L25" s="305"/>
      <c r="M25" s="305"/>
      <c r="N25" s="305"/>
      <c r="O25" s="305"/>
      <c r="P25" s="305"/>
      <c r="Q25" s="303"/>
      <c r="R25" s="303"/>
    </row>
    <row r="26" spans="2:21" s="76" customFormat="1" ht="15.75" customHeight="1">
      <c r="B26" s="94">
        <v>5</v>
      </c>
      <c r="C26" s="95">
        <v>2</v>
      </c>
      <c r="D26" s="95">
        <v>1</v>
      </c>
      <c r="E26" s="96" t="s">
        <v>25</v>
      </c>
      <c r="F26" s="96"/>
      <c r="G26" s="20" t="s">
        <v>185</v>
      </c>
      <c r="H26" s="245"/>
      <c r="I26" s="32"/>
      <c r="J26" s="354"/>
      <c r="K26" s="97">
        <f>K27</f>
        <v>51840000</v>
      </c>
      <c r="L26" s="304"/>
      <c r="M26" s="303"/>
      <c r="N26" s="303"/>
      <c r="O26" s="303"/>
      <c r="P26" s="303"/>
      <c r="Q26" s="303"/>
      <c r="R26" s="303"/>
      <c r="S26" s="79"/>
      <c r="T26" s="79"/>
      <c r="U26" s="79"/>
    </row>
    <row r="27" spans="2:21" s="76" customFormat="1" ht="15.75" customHeight="1">
      <c r="B27" s="94">
        <v>5</v>
      </c>
      <c r="C27" s="95">
        <v>2</v>
      </c>
      <c r="D27" s="95">
        <v>1</v>
      </c>
      <c r="E27" s="96" t="s">
        <v>25</v>
      </c>
      <c r="F27" s="96" t="s">
        <v>25</v>
      </c>
      <c r="G27" s="20" t="s">
        <v>186</v>
      </c>
      <c r="H27" s="245"/>
      <c r="I27" s="32"/>
      <c r="J27" s="354"/>
      <c r="K27" s="97">
        <f>SUM(K28:K29)</f>
        <v>51840000</v>
      </c>
      <c r="L27" s="305"/>
      <c r="M27" s="305"/>
      <c r="N27" s="305"/>
      <c r="O27" s="305"/>
      <c r="P27" s="305"/>
      <c r="Q27" s="303"/>
      <c r="R27" s="303"/>
      <c r="S27" s="79"/>
      <c r="T27" s="79"/>
      <c r="U27" s="79"/>
    </row>
    <row r="28" spans="2:21" s="76" customFormat="1" ht="15.75" customHeight="1">
      <c r="B28" s="94"/>
      <c r="C28" s="95"/>
      <c r="D28" s="95"/>
      <c r="E28" s="96"/>
      <c r="F28" s="96"/>
      <c r="G28" s="32" t="s">
        <v>592</v>
      </c>
      <c r="H28" s="355">
        <v>12</v>
      </c>
      <c r="I28" s="58" t="s">
        <v>62</v>
      </c>
      <c r="J28" s="354">
        <v>2120000</v>
      </c>
      <c r="K28" s="93">
        <f>J28*H28</f>
        <v>25440000</v>
      </c>
      <c r="L28" s="305"/>
      <c r="M28" s="399"/>
      <c r="N28" s="399">
        <f>K28</f>
        <v>25440000</v>
      </c>
      <c r="O28" s="303"/>
      <c r="P28" s="303"/>
      <c r="Q28" s="303"/>
      <c r="R28" s="303"/>
      <c r="S28" s="79"/>
      <c r="T28" s="79"/>
      <c r="U28" s="79"/>
    </row>
    <row r="29" spans="2:21" s="76" customFormat="1" ht="15.75" customHeight="1">
      <c r="B29" s="94"/>
      <c r="C29" s="95"/>
      <c r="D29" s="95"/>
      <c r="E29" s="96"/>
      <c r="F29" s="96"/>
      <c r="G29" s="32" t="s">
        <v>637</v>
      </c>
      <c r="H29" s="355">
        <v>12</v>
      </c>
      <c r="I29" s="58" t="s">
        <v>62</v>
      </c>
      <c r="J29" s="354">
        <v>2200000</v>
      </c>
      <c r="K29" s="93">
        <f>J29*H29</f>
        <v>26400000</v>
      </c>
      <c r="L29" s="305"/>
      <c r="M29" s="399"/>
      <c r="N29" s="399">
        <f>K29</f>
        <v>26400000</v>
      </c>
      <c r="O29" s="305"/>
      <c r="P29" s="305"/>
      <c r="Q29" s="303"/>
      <c r="R29" s="303"/>
      <c r="S29" s="79"/>
      <c r="T29" s="79"/>
      <c r="U29" s="79"/>
    </row>
    <row r="30" spans="2:21" s="76" customFormat="1" ht="15.75" customHeight="1">
      <c r="B30" s="94"/>
      <c r="C30" s="95"/>
      <c r="D30" s="95"/>
      <c r="E30" s="96"/>
      <c r="F30" s="96"/>
      <c r="G30" s="32"/>
      <c r="H30" s="355"/>
      <c r="I30" s="58"/>
      <c r="J30" s="354"/>
      <c r="K30" s="93"/>
      <c r="L30" s="305"/>
      <c r="M30" s="303"/>
      <c r="N30" s="303"/>
      <c r="O30" s="303"/>
      <c r="P30" s="303"/>
      <c r="Q30" s="303"/>
      <c r="R30" s="303"/>
      <c r="S30" s="79"/>
      <c r="T30" s="79"/>
      <c r="U30" s="79"/>
    </row>
    <row r="31" spans="2:21" ht="12.75" customHeight="1">
      <c r="B31" s="429">
        <v>5</v>
      </c>
      <c r="C31" s="424">
        <v>2</v>
      </c>
      <c r="D31" s="424">
        <v>3</v>
      </c>
      <c r="E31" s="424"/>
      <c r="F31" s="424"/>
      <c r="G31" s="396" t="s">
        <v>78</v>
      </c>
      <c r="H31" s="599"/>
      <c r="I31" s="391"/>
      <c r="J31" s="579"/>
      <c r="K31" s="648">
        <f>K32</f>
        <v>34000000</v>
      </c>
      <c r="L31" s="564"/>
      <c r="M31" s="305"/>
      <c r="N31" s="305"/>
      <c r="O31" s="305"/>
      <c r="P31" s="305"/>
      <c r="Q31" s="306"/>
      <c r="R31" s="306"/>
      <c r="S31" s="9"/>
      <c r="T31" s="9"/>
      <c r="U31" s="9"/>
    </row>
    <row r="32" spans="2:21" s="27" customFormat="1" ht="15">
      <c r="B32" s="36">
        <v>5</v>
      </c>
      <c r="C32" s="37">
        <v>2</v>
      </c>
      <c r="D32" s="37">
        <v>3</v>
      </c>
      <c r="E32" s="38">
        <v>28</v>
      </c>
      <c r="F32" s="17"/>
      <c r="G32" s="49" t="s">
        <v>1178</v>
      </c>
      <c r="H32" s="652"/>
      <c r="I32" s="586"/>
      <c r="J32" s="1183"/>
      <c r="K32" s="653">
        <f>K33</f>
        <v>34000000</v>
      </c>
      <c r="L32" s="386"/>
      <c r="M32" s="329"/>
      <c r="N32" s="330"/>
      <c r="O32" s="330"/>
      <c r="P32" s="330"/>
      <c r="Q32" s="319"/>
      <c r="R32" s="306"/>
    </row>
    <row r="33" spans="2:21" ht="25.5">
      <c r="B33" s="36">
        <v>5</v>
      </c>
      <c r="C33" s="37">
        <v>2</v>
      </c>
      <c r="D33" s="37">
        <v>3</v>
      </c>
      <c r="E33" s="38">
        <v>28</v>
      </c>
      <c r="F33" s="38" t="s">
        <v>66</v>
      </c>
      <c r="G33" s="48" t="s">
        <v>1177</v>
      </c>
      <c r="H33" s="599"/>
      <c r="I33" s="380"/>
      <c r="J33" s="579"/>
      <c r="K33" s="653">
        <f>SUM(K34:K41)</f>
        <v>34000000</v>
      </c>
      <c r="L33" s="564"/>
      <c r="M33" s="308"/>
      <c r="N33" s="309"/>
      <c r="O33" s="309"/>
      <c r="P33" s="309"/>
      <c r="Q33" s="306"/>
      <c r="R33" s="306"/>
      <c r="S33" s="9"/>
      <c r="T33" s="9"/>
      <c r="U33" s="9"/>
    </row>
    <row r="34" spans="2:21" ht="12.75" customHeight="1">
      <c r="B34" s="429"/>
      <c r="C34" s="424"/>
      <c r="D34" s="424"/>
      <c r="E34" s="424"/>
      <c r="F34" s="424"/>
      <c r="G34" s="572" t="s">
        <v>1181</v>
      </c>
      <c r="H34" s="602">
        <v>1</v>
      </c>
      <c r="I34" s="603" t="s">
        <v>85</v>
      </c>
      <c r="J34" s="1247">
        <v>10000000</v>
      </c>
      <c r="K34" s="598">
        <f>H34*J34</f>
        <v>10000000</v>
      </c>
      <c r="L34" s="564"/>
      <c r="M34" s="667"/>
      <c r="N34" s="377">
        <f>K34</f>
        <v>10000000</v>
      </c>
      <c r="O34" s="385"/>
      <c r="P34" s="385"/>
      <c r="Q34" s="385"/>
      <c r="R34" s="385"/>
      <c r="S34" s="9"/>
      <c r="T34" s="9"/>
      <c r="U34" s="9"/>
    </row>
    <row r="35" spans="2:21" ht="12.75" customHeight="1">
      <c r="B35" s="429"/>
      <c r="C35" s="424"/>
      <c r="D35" s="424"/>
      <c r="E35" s="424"/>
      <c r="F35" s="424"/>
      <c r="G35" s="572" t="s">
        <v>1182</v>
      </c>
      <c r="H35" s="602">
        <v>1</v>
      </c>
      <c r="I35" s="603" t="s">
        <v>85</v>
      </c>
      <c r="J35" s="1247">
        <v>7657000</v>
      </c>
      <c r="K35" s="598">
        <f>H35*J35</f>
        <v>7657000</v>
      </c>
      <c r="L35" s="564"/>
      <c r="M35" s="667"/>
      <c r="N35" s="377">
        <f t="shared" ref="N35:N37" si="0">K35</f>
        <v>7657000</v>
      </c>
      <c r="O35" s="385"/>
      <c r="P35" s="385"/>
      <c r="Q35" s="385"/>
      <c r="R35" s="385"/>
      <c r="S35" s="9"/>
      <c r="T35" s="9"/>
      <c r="U35" s="9"/>
    </row>
    <row r="36" spans="2:21" ht="12.75" customHeight="1">
      <c r="B36" s="429"/>
      <c r="C36" s="424"/>
      <c r="D36" s="424"/>
      <c r="E36" s="424"/>
      <c r="F36" s="424"/>
      <c r="G36" s="572" t="s">
        <v>1179</v>
      </c>
      <c r="H36" s="602">
        <v>1</v>
      </c>
      <c r="I36" s="603" t="s">
        <v>85</v>
      </c>
      <c r="J36" s="1247">
        <v>9000000</v>
      </c>
      <c r="K36" s="598">
        <f>H36*J36</f>
        <v>9000000</v>
      </c>
      <c r="L36" s="564"/>
      <c r="M36" s="667"/>
      <c r="N36" s="377">
        <f t="shared" si="0"/>
        <v>9000000</v>
      </c>
      <c r="O36" s="385"/>
      <c r="P36" s="385"/>
      <c r="Q36" s="385"/>
      <c r="R36" s="385"/>
      <c r="S36" s="9"/>
      <c r="T36" s="9"/>
      <c r="U36" s="9"/>
    </row>
    <row r="37" spans="2:21" ht="12.75" customHeight="1">
      <c r="B37" s="429"/>
      <c r="C37" s="424"/>
      <c r="D37" s="424"/>
      <c r="E37" s="424"/>
      <c r="F37" s="424"/>
      <c r="G37" s="572" t="s">
        <v>1180</v>
      </c>
      <c r="H37" s="602">
        <v>1</v>
      </c>
      <c r="I37" s="603" t="s">
        <v>85</v>
      </c>
      <c r="J37" s="1247">
        <f>8000000-657000</f>
        <v>7343000</v>
      </c>
      <c r="K37" s="598">
        <f>H37*J37</f>
        <v>7343000</v>
      </c>
      <c r="L37" s="564"/>
      <c r="M37" s="667"/>
      <c r="N37" s="377">
        <f t="shared" si="0"/>
        <v>7343000</v>
      </c>
      <c r="O37" s="385"/>
      <c r="P37" s="385"/>
      <c r="Q37" s="385"/>
      <c r="R37" s="385"/>
      <c r="S37" s="9"/>
      <c r="T37" s="9"/>
      <c r="U37" s="9"/>
    </row>
    <row r="38" spans="2:21" ht="12.75" hidden="1" customHeight="1">
      <c r="B38" s="429"/>
      <c r="C38" s="424"/>
      <c r="D38" s="424"/>
      <c r="E38" s="424"/>
      <c r="F38" s="424"/>
      <c r="G38" s="572" t="s">
        <v>1404</v>
      </c>
      <c r="H38" s="602"/>
      <c r="I38" s="603"/>
      <c r="J38" s="1247"/>
      <c r="K38" s="598"/>
      <c r="L38" s="564"/>
      <c r="M38" s="667"/>
      <c r="N38" s="377"/>
      <c r="O38" s="385"/>
      <c r="P38" s="385"/>
      <c r="Q38" s="385"/>
      <c r="R38" s="385"/>
      <c r="S38" s="9"/>
      <c r="T38" s="9"/>
      <c r="U38" s="9"/>
    </row>
    <row r="39" spans="2:21" ht="12.75" hidden="1" customHeight="1">
      <c r="B39" s="429"/>
      <c r="C39" s="424"/>
      <c r="D39" s="424"/>
      <c r="E39" s="424"/>
      <c r="F39" s="424"/>
      <c r="G39" s="572" t="s">
        <v>1405</v>
      </c>
      <c r="H39" s="602"/>
      <c r="I39" s="603"/>
      <c r="J39" s="1247"/>
      <c r="K39" s="598"/>
      <c r="L39" s="564"/>
      <c r="M39" s="667"/>
      <c r="N39" s="377"/>
      <c r="O39" s="385"/>
      <c r="P39" s="385"/>
      <c r="Q39" s="385"/>
      <c r="R39" s="385"/>
      <c r="S39" s="9"/>
      <c r="T39" s="9"/>
      <c r="U39" s="9"/>
    </row>
    <row r="40" spans="2:21" ht="12.75" hidden="1" customHeight="1">
      <c r="B40" s="429"/>
      <c r="C40" s="424"/>
      <c r="D40" s="424"/>
      <c r="E40" s="424"/>
      <c r="F40" s="424"/>
      <c r="G40" s="572" t="s">
        <v>1406</v>
      </c>
      <c r="H40" s="602"/>
      <c r="I40" s="603"/>
      <c r="J40" s="1247"/>
      <c r="K40" s="598"/>
      <c r="L40" s="564"/>
      <c r="M40" s="667"/>
      <c r="N40" s="377"/>
      <c r="O40" s="385"/>
      <c r="P40" s="385"/>
      <c r="Q40" s="385"/>
      <c r="R40" s="385"/>
      <c r="S40" s="9"/>
      <c r="T40" s="9"/>
      <c r="U40" s="9"/>
    </row>
    <row r="41" spans="2:21" ht="12.75" customHeight="1">
      <c r="B41" s="429"/>
      <c r="C41" s="424"/>
      <c r="D41" s="424"/>
      <c r="E41" s="424"/>
      <c r="F41" s="424"/>
      <c r="G41" s="572"/>
      <c r="H41" s="602"/>
      <c r="I41" s="603"/>
      <c r="J41" s="604"/>
      <c r="K41" s="598"/>
      <c r="L41" s="564"/>
      <c r="M41" s="668"/>
      <c r="N41" s="377"/>
      <c r="O41" s="385"/>
      <c r="P41" s="385"/>
      <c r="Q41" s="385"/>
      <c r="R41" s="385"/>
      <c r="S41" s="9"/>
      <c r="T41" s="9"/>
      <c r="U41" s="9"/>
    </row>
    <row r="42" spans="2:21" ht="15" customHeight="1" thickBot="1">
      <c r="B42" s="3289" t="s">
        <v>30</v>
      </c>
      <c r="C42" s="3290"/>
      <c r="D42" s="3290"/>
      <c r="E42" s="3290"/>
      <c r="F42" s="3290"/>
      <c r="G42" s="3290"/>
      <c r="H42" s="3290"/>
      <c r="I42" s="3290"/>
      <c r="J42" s="3291"/>
      <c r="K42" s="63">
        <f>K24</f>
        <v>85840000</v>
      </c>
      <c r="L42" s="305">
        <f t="shared" ref="L42:Q42" si="1">SUM(L28:L41)</f>
        <v>0</v>
      </c>
      <c r="M42" s="305">
        <f t="shared" si="1"/>
        <v>0</v>
      </c>
      <c r="N42" s="305">
        <f t="shared" si="1"/>
        <v>85840000</v>
      </c>
      <c r="O42" s="305">
        <f t="shared" si="1"/>
        <v>0</v>
      </c>
      <c r="P42" s="305">
        <f t="shared" si="1"/>
        <v>0</v>
      </c>
      <c r="Q42" s="305">
        <f t="shared" si="1"/>
        <v>0</v>
      </c>
      <c r="R42" s="314">
        <f>SUM(L42:Q42)</f>
        <v>85840000</v>
      </c>
      <c r="S42" s="41">
        <v>456000000</v>
      </c>
      <c r="T42" s="41">
        <f>S42-R42</f>
        <v>370160000</v>
      </c>
    </row>
    <row r="43" spans="2:21" ht="15.75" thickTop="1">
      <c r="L43" s="305"/>
      <c r="M43" s="310"/>
      <c r="N43" s="306"/>
      <c r="O43" s="306"/>
      <c r="P43" s="306"/>
      <c r="Q43" s="306"/>
      <c r="R43" s="306"/>
    </row>
    <row r="44" spans="2:21" ht="15">
      <c r="L44" s="377"/>
      <c r="M44" s="569"/>
      <c r="N44" s="378"/>
      <c r="O44" s="378"/>
      <c r="P44" s="378"/>
      <c r="Q44" s="378"/>
      <c r="R44" s="378"/>
    </row>
    <row r="45" spans="2:21" ht="15">
      <c r="H45" s="3336" t="s">
        <v>1534</v>
      </c>
      <c r="I45" s="3336"/>
      <c r="J45" s="3336"/>
      <c r="L45" s="305"/>
      <c r="M45" s="310"/>
      <c r="N45" s="306"/>
      <c r="O45" s="306"/>
      <c r="P45" s="306"/>
      <c r="Q45" s="306"/>
      <c r="R45" s="306"/>
    </row>
    <row r="46" spans="2:21" ht="15">
      <c r="H46" s="3337" t="s">
        <v>272</v>
      </c>
      <c r="I46" s="3337"/>
      <c r="J46" s="3485"/>
      <c r="L46" s="305"/>
      <c r="M46" s="310"/>
      <c r="N46" s="306"/>
      <c r="O46" s="306"/>
      <c r="P46" s="306"/>
      <c r="Q46" s="306"/>
      <c r="R46" s="306"/>
    </row>
    <row r="47" spans="2:21" ht="15">
      <c r="H47" s="127"/>
      <c r="I47" s="127"/>
      <c r="J47" s="127"/>
      <c r="L47" s="305"/>
      <c r="M47" s="310"/>
      <c r="N47" s="306"/>
      <c r="O47" s="306"/>
      <c r="P47" s="306"/>
      <c r="Q47" s="306"/>
      <c r="R47" s="306"/>
    </row>
    <row r="48" spans="2:21" ht="15">
      <c r="H48" s="127"/>
      <c r="I48" s="127"/>
      <c r="J48" s="127"/>
      <c r="L48" s="305"/>
      <c r="M48" s="310"/>
      <c r="N48" s="306"/>
      <c r="O48" s="306"/>
      <c r="P48" s="306"/>
      <c r="Q48" s="306"/>
      <c r="R48" s="306"/>
    </row>
    <row r="49" spans="8:18" ht="15">
      <c r="H49" s="3434" t="s">
        <v>904</v>
      </c>
      <c r="I49" s="3434"/>
      <c r="J49" s="3434"/>
      <c r="L49" s="305"/>
      <c r="M49" s="310"/>
      <c r="N49" s="306"/>
      <c r="O49" s="306"/>
      <c r="P49" s="306"/>
      <c r="Q49" s="306"/>
      <c r="R49" s="306"/>
    </row>
    <row r="50" spans="8:18" ht="15">
      <c r="H50" s="3434" t="s">
        <v>906</v>
      </c>
      <c r="I50" s="3434"/>
      <c r="J50" s="3434"/>
      <c r="L50" s="305"/>
      <c r="M50" s="310"/>
      <c r="N50" s="306"/>
      <c r="O50" s="306"/>
      <c r="P50" s="306"/>
      <c r="Q50" s="306"/>
      <c r="R50" s="306"/>
    </row>
    <row r="53" spans="8:18">
      <c r="J53" s="658">
        <v>8541600</v>
      </c>
    </row>
    <row r="54" spans="8:18">
      <c r="J54" s="41"/>
    </row>
  </sheetData>
  <mergeCells count="49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15:F15"/>
    <mergeCell ref="G15:H15"/>
    <mergeCell ref="I15:K15"/>
    <mergeCell ref="B16:F16"/>
    <mergeCell ref="G16:H16"/>
    <mergeCell ref="I16:K16"/>
    <mergeCell ref="H50:J50"/>
    <mergeCell ref="B17:F17"/>
    <mergeCell ref="G17:H17"/>
    <mergeCell ref="I17:K17"/>
    <mergeCell ref="B18:K18"/>
    <mergeCell ref="B19:K20"/>
    <mergeCell ref="B21:F22"/>
    <mergeCell ref="G21:G22"/>
    <mergeCell ref="H21:J21"/>
    <mergeCell ref="B23:F23"/>
    <mergeCell ref="B42:J42"/>
    <mergeCell ref="H45:J45"/>
    <mergeCell ref="H46:J46"/>
    <mergeCell ref="H49:J49"/>
  </mergeCells>
  <pageMargins left="0.12" right="0.22" top="0.73" bottom="0.65" header="0.25" footer="0.14000000000000001"/>
  <pageSetup paperSize="5" scale="93" orientation="portrait" horizontalDpi="4294967293" verticalDpi="4294967293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FF00"/>
  </sheetPr>
  <dimension ref="B1:U224"/>
  <sheetViews>
    <sheetView view="pageBreakPreview" zoomScaleNormal="115" zoomScaleSheetLayoutView="100" workbookViewId="0">
      <selection activeCell="A129" sqref="A129:XFD137"/>
    </sheetView>
  </sheetViews>
  <sheetFormatPr defaultRowHeight="12.75"/>
  <cols>
    <col min="1" max="1" width="1" style="9" customWidth="1"/>
    <col min="2" max="2" width="3.85546875" style="9" customWidth="1"/>
    <col min="3" max="3" width="3.42578125" style="9" customWidth="1"/>
    <col min="4" max="4" width="3.28515625" style="9" customWidth="1"/>
    <col min="5" max="6" width="3.5703125" style="9" customWidth="1"/>
    <col min="7" max="7" width="49.5703125" style="9" customWidth="1"/>
    <col min="8" max="8" width="8" style="9" bestFit="1" customWidth="1"/>
    <col min="9" max="9" width="8.28515625" style="9" bestFit="1" customWidth="1"/>
    <col min="10" max="10" width="13.5703125" style="9" bestFit="1" customWidth="1"/>
    <col min="11" max="11" width="16.5703125" style="9" bestFit="1" customWidth="1"/>
    <col min="12" max="12" width="6.42578125" style="10" bestFit="1" customWidth="1"/>
    <col min="13" max="13" width="16" style="9" bestFit="1" customWidth="1"/>
    <col min="14" max="15" width="6.42578125" style="9" bestFit="1" customWidth="1"/>
    <col min="16" max="16" width="6.42578125" style="157" bestFit="1" customWidth="1"/>
    <col min="17" max="17" width="6.42578125" style="9" bestFit="1" customWidth="1"/>
    <col min="18" max="18" width="18.28515625" style="9" bestFit="1" customWidth="1"/>
    <col min="19" max="19" width="16.5703125" style="9" bestFit="1" customWidth="1"/>
    <col min="20" max="20" width="13.85546875" style="9" bestFit="1" customWidth="1"/>
    <col min="21" max="16384" width="9.140625" style="9"/>
  </cols>
  <sheetData>
    <row r="1" spans="2:14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4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4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4" ht="12.7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4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4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4">
      <c r="B7" s="3341" t="s">
        <v>33</v>
      </c>
      <c r="C7" s="3339"/>
      <c r="D7" s="3339"/>
      <c r="E7" s="3339"/>
      <c r="F7" s="3339"/>
      <c r="G7" s="3339" t="s">
        <v>1113</v>
      </c>
      <c r="H7" s="3339"/>
      <c r="I7" s="3339"/>
      <c r="J7" s="3339"/>
      <c r="K7" s="3340"/>
    </row>
    <row r="8" spans="2:14">
      <c r="B8" s="3341" t="s">
        <v>34</v>
      </c>
      <c r="C8" s="3339"/>
      <c r="D8" s="3339"/>
      <c r="E8" s="3339"/>
      <c r="F8" s="3339"/>
      <c r="G8" s="3339" t="s">
        <v>1114</v>
      </c>
      <c r="H8" s="3339"/>
      <c r="I8" s="3339"/>
      <c r="J8" s="3339"/>
      <c r="K8" s="3340"/>
    </row>
    <row r="9" spans="2:14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  <c r="N9" s="41"/>
    </row>
    <row r="10" spans="2:14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  <c r="N10" s="41"/>
    </row>
    <row r="11" spans="2:14">
      <c r="B11" s="3314" t="s">
        <v>37</v>
      </c>
      <c r="C11" s="3315"/>
      <c r="D11" s="3315"/>
      <c r="E11" s="3315"/>
      <c r="F11" s="3315"/>
      <c r="G11" s="3315" t="s">
        <v>42</v>
      </c>
      <c r="H11" s="3315"/>
      <c r="I11" s="3315"/>
      <c r="J11" s="3315"/>
      <c r="K11" s="3316"/>
    </row>
    <row r="12" spans="2:14">
      <c r="B12" s="3468" t="s">
        <v>89</v>
      </c>
      <c r="C12" s="3469"/>
      <c r="D12" s="3469"/>
      <c r="E12" s="3469"/>
      <c r="F12" s="3469"/>
      <c r="G12" s="3469"/>
      <c r="H12" s="3469"/>
      <c r="I12" s="3469"/>
      <c r="J12" s="3469"/>
      <c r="K12" s="3470"/>
    </row>
    <row r="13" spans="2:14">
      <c r="B13" s="3468" t="s">
        <v>5</v>
      </c>
      <c r="C13" s="3469"/>
      <c r="D13" s="3469"/>
      <c r="E13" s="3469"/>
      <c r="F13" s="3509"/>
      <c r="G13" s="3510" t="s">
        <v>90</v>
      </c>
      <c r="H13" s="3511"/>
      <c r="I13" s="3510" t="s">
        <v>7</v>
      </c>
      <c r="J13" s="3512"/>
      <c r="K13" s="3513"/>
    </row>
    <row r="14" spans="2:14">
      <c r="B14" s="3462" t="s">
        <v>8</v>
      </c>
      <c r="C14" s="3463"/>
      <c r="D14" s="3463"/>
      <c r="E14" s="3463"/>
      <c r="F14" s="3464"/>
      <c r="G14" s="3445" t="s">
        <v>481</v>
      </c>
      <c r="H14" s="3448"/>
      <c r="I14" s="3450">
        <v>1</v>
      </c>
      <c r="J14" s="3451"/>
      <c r="K14" s="3452"/>
    </row>
    <row r="15" spans="2:14">
      <c r="B15" s="3459" t="s">
        <v>9</v>
      </c>
      <c r="C15" s="3451"/>
      <c r="D15" s="3451"/>
      <c r="E15" s="3451"/>
      <c r="F15" s="3460"/>
      <c r="G15" s="3461" t="s">
        <v>47</v>
      </c>
      <c r="H15" s="3457"/>
      <c r="I15" s="3453">
        <f>K24</f>
        <v>2112642266</v>
      </c>
      <c r="J15" s="3454"/>
      <c r="K15" s="3455"/>
    </row>
    <row r="16" spans="2:14">
      <c r="B16" s="3439" t="s">
        <v>10</v>
      </c>
      <c r="C16" s="3451"/>
      <c r="D16" s="3451"/>
      <c r="E16" s="3451"/>
      <c r="F16" s="3460"/>
      <c r="G16" s="3445" t="s">
        <v>48</v>
      </c>
      <c r="H16" s="3448"/>
      <c r="I16" s="3456">
        <v>1</v>
      </c>
      <c r="J16" s="3457"/>
      <c r="K16" s="3458"/>
    </row>
    <row r="17" spans="2:18">
      <c r="B17" s="3439" t="s">
        <v>11</v>
      </c>
      <c r="C17" s="3451"/>
      <c r="D17" s="3451"/>
      <c r="E17" s="3451"/>
      <c r="F17" s="3460"/>
      <c r="G17" s="3445" t="s">
        <v>12</v>
      </c>
      <c r="H17" s="3448"/>
      <c r="I17" s="3456">
        <v>1</v>
      </c>
      <c r="J17" s="3457"/>
      <c r="K17" s="3458"/>
    </row>
    <row r="18" spans="2:18">
      <c r="B18" s="3442" t="s">
        <v>46</v>
      </c>
      <c r="C18" s="3443"/>
      <c r="D18" s="3443"/>
      <c r="E18" s="3443"/>
      <c r="F18" s="3443"/>
      <c r="G18" s="3443"/>
      <c r="H18" s="3443"/>
      <c r="I18" s="3443"/>
      <c r="J18" s="3443"/>
      <c r="K18" s="3444"/>
      <c r="M18" s="1416">
        <v>1423250000</v>
      </c>
    </row>
    <row r="19" spans="2:18">
      <c r="B19" s="3528" t="s">
        <v>87</v>
      </c>
      <c r="C19" s="3529"/>
      <c r="D19" s="3529"/>
      <c r="E19" s="3529"/>
      <c r="F19" s="3529"/>
      <c r="G19" s="3529"/>
      <c r="H19" s="3529"/>
      <c r="I19" s="3529"/>
      <c r="J19" s="3529"/>
      <c r="K19" s="3530"/>
      <c r="L19" s="305"/>
      <c r="M19" s="305"/>
      <c r="N19" s="305"/>
      <c r="O19" s="305"/>
      <c r="P19" s="305"/>
      <c r="Q19" s="303"/>
      <c r="R19" s="303"/>
    </row>
    <row r="20" spans="2:18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  <c r="L20" s="3378" t="s">
        <v>158</v>
      </c>
      <c r="M20" s="3378"/>
      <c r="N20" s="3378"/>
      <c r="O20" s="3378"/>
      <c r="P20" s="3378"/>
      <c r="Q20" s="3378"/>
      <c r="R20" s="3378" t="s">
        <v>17</v>
      </c>
    </row>
    <row r="21" spans="2:18">
      <c r="B21" s="3292" t="s">
        <v>14</v>
      </c>
      <c r="C21" s="3293"/>
      <c r="D21" s="3293"/>
      <c r="E21" s="3293"/>
      <c r="F21" s="3298"/>
      <c r="G21" s="3300" t="s">
        <v>15</v>
      </c>
      <c r="H21" s="3302" t="s">
        <v>16</v>
      </c>
      <c r="I21" s="3303"/>
      <c r="J21" s="3304"/>
      <c r="K21" s="14" t="s">
        <v>17</v>
      </c>
      <c r="L21" s="1526"/>
      <c r="M21" s="1526"/>
      <c r="N21" s="1526"/>
      <c r="O21" s="1526"/>
      <c r="P21" s="1526"/>
      <c r="Q21" s="1526"/>
      <c r="R21" s="3378"/>
    </row>
    <row r="22" spans="2:18">
      <c r="B22" s="3295"/>
      <c r="C22" s="3296"/>
      <c r="D22" s="3296"/>
      <c r="E22" s="3296"/>
      <c r="F22" s="3299"/>
      <c r="G22" s="3301"/>
      <c r="H22" s="15" t="s">
        <v>18</v>
      </c>
      <c r="I22" s="15" t="s">
        <v>19</v>
      </c>
      <c r="J22" s="15" t="s">
        <v>20</v>
      </c>
      <c r="K22" s="12" t="s">
        <v>21</v>
      </c>
      <c r="L22" s="1525" t="s">
        <v>177</v>
      </c>
      <c r="M22" s="1525" t="s">
        <v>594</v>
      </c>
      <c r="N22" s="1525" t="s">
        <v>651</v>
      </c>
      <c r="O22" s="1525" t="s">
        <v>595</v>
      </c>
      <c r="P22" s="1525" t="s">
        <v>652</v>
      </c>
      <c r="Q22" s="1525" t="s">
        <v>593</v>
      </c>
      <c r="R22" s="3379"/>
    </row>
    <row r="23" spans="2:18">
      <c r="B23" s="3305">
        <v>1</v>
      </c>
      <c r="C23" s="3306"/>
      <c r="D23" s="3306"/>
      <c r="E23" s="3306"/>
      <c r="F23" s="3307"/>
      <c r="G23" s="16">
        <v>2</v>
      </c>
      <c r="H23" s="17">
        <v>3</v>
      </c>
      <c r="I23" s="17">
        <v>4</v>
      </c>
      <c r="J23" s="17">
        <v>5</v>
      </c>
      <c r="K23" s="18" t="s">
        <v>22</v>
      </c>
      <c r="L23" s="1526">
        <v>6</v>
      </c>
      <c r="M23" s="1526">
        <v>7</v>
      </c>
      <c r="N23" s="1526">
        <v>8</v>
      </c>
      <c r="O23" s="1526">
        <v>9</v>
      </c>
      <c r="P23" s="1526">
        <v>10</v>
      </c>
      <c r="Q23" s="1526">
        <v>11</v>
      </c>
      <c r="R23" s="1526">
        <v>12</v>
      </c>
    </row>
    <row r="24" spans="2:18">
      <c r="B24" s="43">
        <v>5</v>
      </c>
      <c r="C24" s="17">
        <v>2</v>
      </c>
      <c r="D24" s="17"/>
      <c r="E24" s="17"/>
      <c r="F24" s="17"/>
      <c r="G24" s="44" t="s">
        <v>23</v>
      </c>
      <c r="H24" s="45"/>
      <c r="I24" s="17"/>
      <c r="J24" s="46"/>
      <c r="K24" s="47">
        <f>K25+K40</f>
        <v>2112642266</v>
      </c>
      <c r="L24" s="305"/>
      <c r="M24" s="305"/>
      <c r="N24" s="305"/>
      <c r="O24" s="305"/>
      <c r="P24" s="305"/>
      <c r="Q24" s="303"/>
      <c r="R24" s="303"/>
    </row>
    <row r="25" spans="2:18">
      <c r="B25" s="84">
        <v>5</v>
      </c>
      <c r="C25" s="85">
        <v>2</v>
      </c>
      <c r="D25" s="85">
        <v>1</v>
      </c>
      <c r="E25" s="85"/>
      <c r="F25" s="85"/>
      <c r="G25" s="86" t="s">
        <v>59</v>
      </c>
      <c r="H25" s="367"/>
      <c r="I25" s="368"/>
      <c r="J25" s="369"/>
      <c r="K25" s="370">
        <f>K26</f>
        <v>73500000</v>
      </c>
      <c r="L25" s="377"/>
      <c r="M25" s="377"/>
      <c r="N25" s="377"/>
      <c r="O25" s="377"/>
      <c r="P25" s="377"/>
      <c r="Q25" s="385"/>
      <c r="R25" s="385"/>
    </row>
    <row r="26" spans="2:18">
      <c r="B26" s="84">
        <v>5</v>
      </c>
      <c r="C26" s="85">
        <v>2</v>
      </c>
      <c r="D26" s="85">
        <v>1</v>
      </c>
      <c r="E26" s="89" t="s">
        <v>24</v>
      </c>
      <c r="F26" s="85"/>
      <c r="G26" s="86" t="s">
        <v>60</v>
      </c>
      <c r="H26" s="367"/>
      <c r="I26" s="368"/>
      <c r="J26" s="369"/>
      <c r="K26" s="370">
        <f>K27</f>
        <v>73500000</v>
      </c>
      <c r="L26" s="377"/>
      <c r="M26" s="377"/>
      <c r="N26" s="377"/>
      <c r="O26" s="377"/>
      <c r="P26" s="377"/>
      <c r="Q26" s="385"/>
      <c r="R26" s="385"/>
    </row>
    <row r="27" spans="2:18">
      <c r="B27" s="90">
        <v>5</v>
      </c>
      <c r="C27" s="85">
        <v>2</v>
      </c>
      <c r="D27" s="85">
        <v>1</v>
      </c>
      <c r="E27" s="89" t="s">
        <v>24</v>
      </c>
      <c r="F27" s="89" t="s">
        <v>24</v>
      </c>
      <c r="G27" s="86" t="s">
        <v>61</v>
      </c>
      <c r="H27" s="367"/>
      <c r="I27" s="368"/>
      <c r="J27" s="369"/>
      <c r="K27" s="370">
        <f>SUM(K28:K39)</f>
        <v>73500000</v>
      </c>
      <c r="L27" s="377"/>
      <c r="M27" s="377"/>
      <c r="N27" s="377"/>
      <c r="O27" s="377"/>
      <c r="P27" s="377"/>
      <c r="Q27" s="385"/>
      <c r="R27" s="385"/>
    </row>
    <row r="28" spans="2:18">
      <c r="B28" s="1079"/>
      <c r="C28" s="375"/>
      <c r="D28" s="375"/>
      <c r="E28" s="375"/>
      <c r="F28" s="375">
        <v>1</v>
      </c>
      <c r="G28" s="2005" t="s">
        <v>1391</v>
      </c>
      <c r="H28" s="2051">
        <v>1</v>
      </c>
      <c r="I28" s="1948" t="s">
        <v>147</v>
      </c>
      <c r="J28" s="2041">
        <v>7350000</v>
      </c>
      <c r="K28" s="1979">
        <f t="shared" ref="K28:K36" si="0">H28*J28</f>
        <v>7350000</v>
      </c>
      <c r="L28" s="377"/>
      <c r="M28" s="377">
        <f>K28</f>
        <v>7350000</v>
      </c>
      <c r="N28" s="377"/>
      <c r="O28" s="377"/>
      <c r="P28" s="377"/>
      <c r="Q28" s="385"/>
      <c r="R28" s="385"/>
    </row>
    <row r="29" spans="2:18">
      <c r="B29" s="1079"/>
      <c r="C29" s="375"/>
      <c r="D29" s="375"/>
      <c r="E29" s="375"/>
      <c r="F29" s="375">
        <v>2</v>
      </c>
      <c r="G29" s="2008" t="s">
        <v>1539</v>
      </c>
      <c r="H29" s="2052">
        <v>1</v>
      </c>
      <c r="I29" s="1952" t="s">
        <v>147</v>
      </c>
      <c r="J29" s="2042">
        <v>7350000</v>
      </c>
      <c r="K29" s="1985">
        <f t="shared" si="0"/>
        <v>7350000</v>
      </c>
      <c r="L29" s="377"/>
      <c r="M29" s="377">
        <f>K29</f>
        <v>7350000</v>
      </c>
      <c r="N29" s="377"/>
      <c r="O29" s="377"/>
      <c r="P29" s="377"/>
      <c r="Q29" s="385"/>
      <c r="R29" s="385"/>
    </row>
    <row r="30" spans="2:18">
      <c r="B30" s="1079"/>
      <c r="C30" s="375"/>
      <c r="D30" s="375"/>
      <c r="E30" s="375"/>
      <c r="F30" s="375">
        <v>3</v>
      </c>
      <c r="G30" s="2011" t="s">
        <v>1402</v>
      </c>
      <c r="H30" s="2053">
        <v>1</v>
      </c>
      <c r="I30" s="2044" t="s">
        <v>147</v>
      </c>
      <c r="J30" s="2045">
        <v>7350000</v>
      </c>
      <c r="K30" s="2012">
        <f t="shared" si="0"/>
        <v>7350000</v>
      </c>
      <c r="L30" s="377"/>
      <c r="M30" s="377">
        <f t="shared" ref="M30" si="1">K30</f>
        <v>7350000</v>
      </c>
      <c r="N30" s="377"/>
      <c r="O30" s="377"/>
      <c r="P30" s="377"/>
      <c r="Q30" s="385"/>
      <c r="R30" s="385"/>
    </row>
    <row r="31" spans="2:18">
      <c r="B31" s="1079"/>
      <c r="C31" s="375"/>
      <c r="D31" s="375"/>
      <c r="E31" s="375"/>
      <c r="F31" s="375">
        <v>4</v>
      </c>
      <c r="G31" s="2013" t="s">
        <v>1541</v>
      </c>
      <c r="H31" s="2054">
        <v>1</v>
      </c>
      <c r="I31" s="1955" t="s">
        <v>147</v>
      </c>
      <c r="J31" s="2046">
        <v>7350000</v>
      </c>
      <c r="K31" s="2014">
        <f t="shared" si="0"/>
        <v>7350000</v>
      </c>
      <c r="L31" s="377"/>
      <c r="M31" s="377">
        <f t="shared" ref="M31" si="2">K31</f>
        <v>7350000</v>
      </c>
      <c r="N31" s="377"/>
      <c r="O31" s="377"/>
      <c r="P31" s="377"/>
      <c r="Q31" s="385"/>
      <c r="R31" s="385"/>
    </row>
    <row r="32" spans="2:18">
      <c r="B32" s="1079"/>
      <c r="C32" s="375"/>
      <c r="D32" s="375"/>
      <c r="E32" s="375"/>
      <c r="F32" s="375">
        <v>5</v>
      </c>
      <c r="G32" s="2015" t="s">
        <v>1543</v>
      </c>
      <c r="H32" s="2055">
        <v>1</v>
      </c>
      <c r="I32" s="1958" t="s">
        <v>147</v>
      </c>
      <c r="J32" s="2047">
        <v>7350000</v>
      </c>
      <c r="K32" s="2016">
        <f t="shared" si="0"/>
        <v>7350000</v>
      </c>
      <c r="L32" s="377"/>
      <c r="M32" s="377">
        <f t="shared" ref="M32" si="3">K32</f>
        <v>7350000</v>
      </c>
      <c r="N32" s="377"/>
      <c r="O32" s="377"/>
      <c r="P32" s="377"/>
      <c r="Q32" s="385"/>
      <c r="R32" s="385"/>
    </row>
    <row r="33" spans="2:21">
      <c r="B33" s="1079"/>
      <c r="C33" s="375"/>
      <c r="D33" s="375"/>
      <c r="E33" s="375"/>
      <c r="F33" s="375">
        <v>6</v>
      </c>
      <c r="G33" s="2017" t="s">
        <v>1547</v>
      </c>
      <c r="H33" s="2056">
        <v>1</v>
      </c>
      <c r="I33" s="1961" t="s">
        <v>147</v>
      </c>
      <c r="J33" s="2048">
        <v>7350000</v>
      </c>
      <c r="K33" s="2018">
        <f t="shared" si="0"/>
        <v>7350000</v>
      </c>
      <c r="L33" s="377"/>
      <c r="M33" s="377">
        <f t="shared" ref="M33" si="4">K33</f>
        <v>7350000</v>
      </c>
      <c r="N33" s="377"/>
      <c r="O33" s="377"/>
      <c r="P33" s="377"/>
      <c r="Q33" s="385"/>
      <c r="R33" s="385"/>
    </row>
    <row r="34" spans="2:21">
      <c r="B34" s="1079"/>
      <c r="C34" s="375"/>
      <c r="D34" s="375"/>
      <c r="E34" s="375"/>
      <c r="F34" s="375">
        <v>7</v>
      </c>
      <c r="G34" s="2020" t="s">
        <v>1550</v>
      </c>
      <c r="H34" s="2057">
        <v>1</v>
      </c>
      <c r="I34" s="2049" t="s">
        <v>147</v>
      </c>
      <c r="J34" s="2050">
        <v>7350000</v>
      </c>
      <c r="K34" s="2021">
        <f t="shared" si="0"/>
        <v>7350000</v>
      </c>
      <c r="L34" s="377"/>
      <c r="M34" s="377">
        <f t="shared" ref="M34" si="5">K34</f>
        <v>7350000</v>
      </c>
      <c r="N34" s="377"/>
      <c r="O34" s="377"/>
      <c r="P34" s="377"/>
      <c r="Q34" s="385"/>
      <c r="R34" s="385"/>
    </row>
    <row r="35" spans="2:21">
      <c r="B35" s="1652"/>
      <c r="C35" s="1653"/>
      <c r="D35" s="1653"/>
      <c r="E35" s="1653"/>
      <c r="F35" s="375">
        <v>8</v>
      </c>
      <c r="G35" s="2022" t="s">
        <v>1769</v>
      </c>
      <c r="H35" s="2058">
        <v>1</v>
      </c>
      <c r="I35" s="1969" t="s">
        <v>147</v>
      </c>
      <c r="J35" s="2059">
        <v>7350000</v>
      </c>
      <c r="K35" s="1997">
        <f t="shared" si="0"/>
        <v>7350000</v>
      </c>
      <c r="L35" s="1656"/>
      <c r="M35" s="377">
        <f t="shared" ref="M35:M36" si="6">K35</f>
        <v>7350000</v>
      </c>
      <c r="N35" s="1656"/>
      <c r="O35" s="1656"/>
      <c r="P35" s="1656"/>
      <c r="Q35" s="1657"/>
      <c r="R35" s="1657"/>
    </row>
    <row r="36" spans="2:21">
      <c r="B36" s="1652"/>
      <c r="C36" s="1653"/>
      <c r="D36" s="1653"/>
      <c r="E36" s="1653"/>
      <c r="F36" s="375">
        <v>9</v>
      </c>
      <c r="G36" s="2022" t="s">
        <v>1770</v>
      </c>
      <c r="H36" s="2058">
        <v>1</v>
      </c>
      <c r="I36" s="1969" t="s">
        <v>147</v>
      </c>
      <c r="J36" s="2059">
        <v>7350000</v>
      </c>
      <c r="K36" s="1997">
        <f t="shared" si="0"/>
        <v>7350000</v>
      </c>
      <c r="L36" s="1656"/>
      <c r="M36" s="377">
        <f t="shared" si="6"/>
        <v>7350000</v>
      </c>
      <c r="N36" s="1656"/>
      <c r="O36" s="1656"/>
      <c r="P36" s="1656"/>
      <c r="Q36" s="1657"/>
      <c r="R36" s="1657"/>
    </row>
    <row r="37" spans="2:21">
      <c r="B37" s="1652"/>
      <c r="C37" s="1653"/>
      <c r="D37" s="1653"/>
      <c r="E37" s="1653"/>
      <c r="F37" s="375">
        <v>10</v>
      </c>
      <c r="G37" s="2022" t="s">
        <v>1954</v>
      </c>
      <c r="H37" s="2058">
        <v>1</v>
      </c>
      <c r="I37" s="1969" t="s">
        <v>147</v>
      </c>
      <c r="J37" s="2059">
        <v>7350000</v>
      </c>
      <c r="K37" s="1997">
        <f t="shared" ref="K37" si="7">H37*J37</f>
        <v>7350000</v>
      </c>
      <c r="L37" s="1656"/>
      <c r="M37" s="377">
        <f t="shared" ref="M37" si="8">K37</f>
        <v>7350000</v>
      </c>
      <c r="N37" s="1656"/>
      <c r="O37" s="1656"/>
      <c r="P37" s="1656"/>
      <c r="Q37" s="1657"/>
      <c r="R37" s="1657"/>
    </row>
    <row r="38" spans="2:21">
      <c r="B38" s="1079"/>
      <c r="C38" s="375"/>
      <c r="D38" s="375"/>
      <c r="E38" s="375"/>
      <c r="F38" s="375"/>
      <c r="G38" s="558"/>
      <c r="H38" s="374"/>
      <c r="I38" s="375"/>
      <c r="J38" s="376"/>
      <c r="K38" s="457"/>
      <c r="L38" s="377"/>
      <c r="M38" s="377"/>
      <c r="N38" s="377"/>
      <c r="O38" s="377"/>
      <c r="P38" s="377"/>
      <c r="Q38" s="385"/>
      <c r="R38" s="385"/>
    </row>
    <row r="39" spans="2:21">
      <c r="B39" s="1079"/>
      <c r="C39" s="375"/>
      <c r="D39" s="375"/>
      <c r="E39" s="375"/>
      <c r="F39" s="375"/>
      <c r="G39" s="558"/>
      <c r="H39" s="374"/>
      <c r="I39" s="375"/>
      <c r="J39" s="376"/>
      <c r="K39" s="457"/>
      <c r="L39" s="377"/>
      <c r="M39" s="377"/>
      <c r="N39" s="377"/>
      <c r="O39" s="377"/>
      <c r="P39" s="377"/>
      <c r="Q39" s="385"/>
      <c r="R39" s="385"/>
    </row>
    <row r="40" spans="2:21">
      <c r="B40" s="43">
        <v>5</v>
      </c>
      <c r="C40" s="17">
        <v>2</v>
      </c>
      <c r="D40" s="17">
        <v>2</v>
      </c>
      <c r="E40" s="17"/>
      <c r="F40" s="17"/>
      <c r="G40" s="44" t="s">
        <v>43</v>
      </c>
      <c r="H40" s="856"/>
      <c r="I40" s="17"/>
      <c r="J40" s="46"/>
      <c r="K40" s="47">
        <f>K41+K45+K49+K66+K73+K97+K139+K157</f>
        <v>2039142266</v>
      </c>
      <c r="L40" s="305"/>
      <c r="M40" s="305"/>
      <c r="N40" s="305"/>
      <c r="O40" s="305"/>
      <c r="P40" s="305"/>
      <c r="Q40" s="303"/>
      <c r="R40" s="303"/>
    </row>
    <row r="41" spans="2:21">
      <c r="B41" s="43">
        <v>5</v>
      </c>
      <c r="C41" s="17">
        <v>2</v>
      </c>
      <c r="D41" s="17">
        <v>2</v>
      </c>
      <c r="E41" s="65" t="s">
        <v>24</v>
      </c>
      <c r="F41" s="17"/>
      <c r="G41" s="44" t="s">
        <v>69</v>
      </c>
      <c r="H41" s="956"/>
      <c r="I41" s="368"/>
      <c r="J41" s="369"/>
      <c r="K41" s="370">
        <f>K42</f>
        <v>7000000</v>
      </c>
      <c r="L41" s="377"/>
      <c r="M41" s="377"/>
      <c r="N41" s="377"/>
      <c r="O41" s="377"/>
      <c r="P41" s="377"/>
      <c r="Q41" s="385"/>
      <c r="R41" s="385"/>
    </row>
    <row r="42" spans="2:21">
      <c r="B42" s="43">
        <v>5</v>
      </c>
      <c r="C42" s="15">
        <v>2</v>
      </c>
      <c r="D42" s="15">
        <v>2</v>
      </c>
      <c r="E42" s="28" t="s">
        <v>24</v>
      </c>
      <c r="F42" s="28" t="s">
        <v>24</v>
      </c>
      <c r="G42" s="44" t="s">
        <v>100</v>
      </c>
      <c r="H42" s="956"/>
      <c r="I42" s="368"/>
      <c r="J42" s="369"/>
      <c r="K42" s="370">
        <f>SUM(K43:K44)</f>
        <v>7000000</v>
      </c>
      <c r="L42" s="377"/>
      <c r="M42" s="377"/>
      <c r="N42" s="377"/>
      <c r="O42" s="377"/>
      <c r="P42" s="377"/>
      <c r="Q42" s="385"/>
      <c r="R42" s="385"/>
    </row>
    <row r="43" spans="2:21">
      <c r="B43" s="1079"/>
      <c r="C43" s="380"/>
      <c r="D43" s="380"/>
      <c r="E43" s="459"/>
      <c r="F43" s="459"/>
      <c r="G43" s="2005" t="s">
        <v>1949</v>
      </c>
      <c r="H43" s="1663">
        <v>1</v>
      </c>
      <c r="I43" s="1653" t="s">
        <v>147</v>
      </c>
      <c r="J43" s="1655">
        <v>7000000</v>
      </c>
      <c r="K43" s="1979">
        <f t="shared" ref="K43" si="9">H43*J43</f>
        <v>7000000</v>
      </c>
      <c r="L43" s="377"/>
      <c r="M43" s="377">
        <f t="shared" ref="M43" si="10">K43</f>
        <v>7000000</v>
      </c>
      <c r="N43" s="377"/>
      <c r="O43" s="377"/>
      <c r="P43" s="377"/>
      <c r="Q43" s="385"/>
      <c r="R43" s="385"/>
    </row>
    <row r="44" spans="2:21">
      <c r="B44" s="1079"/>
      <c r="C44" s="380"/>
      <c r="D44" s="380"/>
      <c r="E44" s="459"/>
      <c r="F44" s="459"/>
      <c r="G44" s="558"/>
      <c r="H44" s="933"/>
      <c r="I44" s="375"/>
      <c r="J44" s="456"/>
      <c r="K44" s="1163"/>
      <c r="L44" s="564"/>
      <c r="M44" s="377"/>
      <c r="N44" s="377"/>
      <c r="O44" s="377"/>
      <c r="P44" s="377"/>
      <c r="Q44" s="385"/>
      <c r="R44" s="385"/>
    </row>
    <row r="45" spans="2:21">
      <c r="B45" s="427">
        <v>5</v>
      </c>
      <c r="C45" s="368">
        <v>2</v>
      </c>
      <c r="D45" s="368">
        <v>2</v>
      </c>
      <c r="E45" s="428" t="s">
        <v>25</v>
      </c>
      <c r="F45" s="368"/>
      <c r="G45" s="366" t="s">
        <v>119</v>
      </c>
      <c r="H45" s="933"/>
      <c r="I45" s="375"/>
      <c r="J45" s="456"/>
      <c r="K45" s="1414">
        <f>+K46</f>
        <v>3000000</v>
      </c>
      <c r="L45" s="564"/>
      <c r="M45" s="377"/>
      <c r="N45" s="377"/>
      <c r="O45" s="377"/>
      <c r="P45" s="377"/>
      <c r="Q45" s="385"/>
      <c r="R45" s="385"/>
    </row>
    <row r="46" spans="2:21" ht="15.75" customHeight="1">
      <c r="B46" s="427">
        <v>5</v>
      </c>
      <c r="C46" s="368">
        <v>2</v>
      </c>
      <c r="D46" s="368">
        <v>2</v>
      </c>
      <c r="E46" s="428" t="s">
        <v>25</v>
      </c>
      <c r="F46" s="428" t="s">
        <v>607</v>
      </c>
      <c r="G46" s="366" t="s">
        <v>831</v>
      </c>
      <c r="H46" s="956"/>
      <c r="I46" s="368"/>
      <c r="J46" s="820"/>
      <c r="K46" s="636">
        <f>SUM(K47:K48)</f>
        <v>3000000</v>
      </c>
      <c r="L46" s="842"/>
      <c r="M46" s="822"/>
      <c r="N46" s="822"/>
      <c r="O46" s="822"/>
      <c r="P46" s="822"/>
      <c r="Q46" s="823"/>
      <c r="R46" s="823"/>
      <c r="S46" s="41"/>
      <c r="T46" s="41"/>
      <c r="U46" s="41"/>
    </row>
    <row r="47" spans="2:21">
      <c r="B47" s="427"/>
      <c r="C47" s="368"/>
      <c r="D47" s="368"/>
      <c r="E47" s="428"/>
      <c r="F47" s="428"/>
      <c r="G47" s="558" t="s">
        <v>1361</v>
      </c>
      <c r="H47" s="933">
        <v>15</v>
      </c>
      <c r="I47" s="375" t="s">
        <v>383</v>
      </c>
      <c r="J47" s="456">
        <v>200000</v>
      </c>
      <c r="K47" s="1163">
        <f t="shared" ref="K47" si="11">H47*J47</f>
        <v>3000000</v>
      </c>
      <c r="L47" s="842"/>
      <c r="M47" s="377">
        <f t="shared" ref="M47" si="12">K47</f>
        <v>3000000</v>
      </c>
      <c r="N47" s="837"/>
      <c r="O47" s="837"/>
      <c r="P47" s="837"/>
      <c r="Q47" s="846"/>
      <c r="R47" s="846"/>
      <c r="S47" s="41"/>
      <c r="T47" s="41"/>
      <c r="U47" s="41"/>
    </row>
    <row r="48" spans="2:21">
      <c r="B48" s="1694"/>
      <c r="C48" s="1682"/>
      <c r="D48" s="1682"/>
      <c r="E48" s="1695"/>
      <c r="F48" s="1695"/>
      <c r="G48" s="1654"/>
      <c r="H48" s="1663"/>
      <c r="I48" s="1653"/>
      <c r="J48" s="1655"/>
      <c r="K48" s="1163"/>
      <c r="L48" s="842"/>
      <c r="M48" s="1656"/>
      <c r="N48" s="1686"/>
      <c r="O48" s="1686"/>
      <c r="P48" s="1686"/>
      <c r="Q48" s="1687"/>
      <c r="R48" s="1687"/>
      <c r="S48" s="41"/>
      <c r="T48" s="41"/>
      <c r="U48" s="41"/>
    </row>
    <row r="49" spans="2:21" ht="15" customHeight="1">
      <c r="B49" s="1694">
        <v>5</v>
      </c>
      <c r="C49" s="1682">
        <v>2</v>
      </c>
      <c r="D49" s="1682">
        <v>2</v>
      </c>
      <c r="E49" s="1695" t="s">
        <v>44</v>
      </c>
      <c r="F49" s="1682"/>
      <c r="G49" s="2023" t="s">
        <v>45</v>
      </c>
      <c r="H49" s="2024"/>
      <c r="I49" s="1682"/>
      <c r="J49" s="2025"/>
      <c r="K49" s="2325">
        <f>K50+K53</f>
        <v>84300000</v>
      </c>
      <c r="L49" s="2027"/>
      <c r="M49" s="1657"/>
      <c r="N49" s="1657"/>
      <c r="O49" s="1657"/>
      <c r="P49" s="1657"/>
      <c r="Q49" s="1657"/>
      <c r="R49" s="1657"/>
    </row>
    <row r="50" spans="2:21">
      <c r="B50" s="1713">
        <v>5</v>
      </c>
      <c r="C50" s="1706">
        <v>2</v>
      </c>
      <c r="D50" s="1706">
        <v>2</v>
      </c>
      <c r="E50" s="1707" t="s">
        <v>44</v>
      </c>
      <c r="F50" s="1707" t="s">
        <v>77</v>
      </c>
      <c r="G50" s="2028" t="s">
        <v>505</v>
      </c>
      <c r="H50" s="2029"/>
      <c r="I50" s="2030"/>
      <c r="J50" s="2031"/>
      <c r="K50" s="2326">
        <f>SUM(K51:K52)</f>
        <v>20000000</v>
      </c>
      <c r="L50" s="1656"/>
      <c r="M50" s="1656"/>
      <c r="N50" s="1656"/>
      <c r="O50" s="1656"/>
      <c r="P50" s="1656"/>
      <c r="Q50" s="1657"/>
      <c r="R50" s="1657"/>
      <c r="S50" s="41">
        <v>294951025</v>
      </c>
    </row>
    <row r="51" spans="2:21" s="2033" customFormat="1">
      <c r="B51" s="2034"/>
      <c r="C51" s="2035"/>
      <c r="D51" s="2035"/>
      <c r="E51" s="2036"/>
      <c r="F51" s="2036"/>
      <c r="G51" s="2037" t="s">
        <v>1765</v>
      </c>
      <c r="H51" s="2379">
        <v>2</v>
      </c>
      <c r="I51" s="2380" t="s">
        <v>29</v>
      </c>
      <c r="J51" s="2381">
        <v>10000000</v>
      </c>
      <c r="K51" s="1985">
        <f t="shared" ref="K51" si="13">H51*J51</f>
        <v>20000000</v>
      </c>
      <c r="L51" s="2038"/>
      <c r="M51" s="2038">
        <f t="shared" ref="M51" si="14">K51</f>
        <v>20000000</v>
      </c>
      <c r="N51" s="2038"/>
      <c r="O51" s="2038"/>
      <c r="P51" s="2038"/>
      <c r="Q51" s="2039"/>
      <c r="R51" s="2039"/>
      <c r="S51" s="2040"/>
    </row>
    <row r="52" spans="2:21">
      <c r="B52" s="1694"/>
      <c r="C52" s="1682"/>
      <c r="D52" s="1682"/>
      <c r="E52" s="1695"/>
      <c r="F52" s="1695"/>
      <c r="G52" s="1654"/>
      <c r="H52" s="1663"/>
      <c r="I52" s="1653"/>
      <c r="J52" s="1655"/>
      <c r="K52" s="1163"/>
      <c r="L52" s="842"/>
      <c r="M52" s="1686"/>
      <c r="N52" s="1686"/>
      <c r="O52" s="1686"/>
      <c r="P52" s="1686"/>
      <c r="Q52" s="1687"/>
      <c r="R52" s="1687"/>
      <c r="S52" s="41"/>
      <c r="T52" s="41"/>
      <c r="U52" s="41"/>
    </row>
    <row r="53" spans="2:21">
      <c r="B53" s="1713">
        <v>5</v>
      </c>
      <c r="C53" s="1706">
        <v>2</v>
      </c>
      <c r="D53" s="1706">
        <v>2</v>
      </c>
      <c r="E53" s="1707" t="s">
        <v>44</v>
      </c>
      <c r="F53" s="1707" t="s">
        <v>1385</v>
      </c>
      <c r="G53" s="2028" t="s">
        <v>1892</v>
      </c>
      <c r="H53" s="2029"/>
      <c r="I53" s="2030"/>
      <c r="J53" s="2031"/>
      <c r="K53" s="2326">
        <f>SUM(K54:K65)</f>
        <v>64300000</v>
      </c>
      <c r="L53" s="1656"/>
      <c r="M53" s="1656"/>
      <c r="N53" s="1656"/>
      <c r="O53" s="1656"/>
      <c r="P53" s="1656"/>
      <c r="Q53" s="1657"/>
      <c r="R53" s="1657"/>
      <c r="S53" s="41">
        <v>294951025</v>
      </c>
    </row>
    <row r="54" spans="2:21">
      <c r="B54" s="1652"/>
      <c r="C54" s="1653"/>
      <c r="D54" s="1653"/>
      <c r="E54" s="1653"/>
      <c r="F54" s="1653"/>
      <c r="G54" s="2005" t="s">
        <v>1536</v>
      </c>
      <c r="H54" s="2051">
        <f>32*5</f>
        <v>160</v>
      </c>
      <c r="I54" s="1948" t="s">
        <v>27</v>
      </c>
      <c r="J54" s="2041">
        <v>50000</v>
      </c>
      <c r="K54" s="1979">
        <f>H54*J54</f>
        <v>8000000</v>
      </c>
      <c r="L54" s="377"/>
      <c r="M54" s="377">
        <f>K54</f>
        <v>8000000</v>
      </c>
      <c r="N54" s="1656"/>
      <c r="O54" s="1656"/>
      <c r="P54" s="1656"/>
      <c r="Q54" s="1657"/>
      <c r="R54" s="1657"/>
    </row>
    <row r="55" spans="2:21" ht="25.5">
      <c r="B55" s="1652"/>
      <c r="C55" s="1653"/>
      <c r="D55" s="1653"/>
      <c r="E55" s="1653"/>
      <c r="F55" s="1653"/>
      <c r="G55" s="2008" t="s">
        <v>1766</v>
      </c>
      <c r="H55" s="2052">
        <f>25*3</f>
        <v>75</v>
      </c>
      <c r="I55" s="1952" t="s">
        <v>27</v>
      </c>
      <c r="J55" s="2042">
        <v>50000</v>
      </c>
      <c r="K55" s="1985">
        <f>H55*J55</f>
        <v>3750000</v>
      </c>
      <c r="L55" s="377"/>
      <c r="M55" s="377">
        <f>K55</f>
        <v>3750000</v>
      </c>
      <c r="N55" s="1656"/>
      <c r="O55" s="1656"/>
      <c r="P55" s="1656"/>
      <c r="Q55" s="1657"/>
      <c r="R55" s="1657"/>
    </row>
    <row r="56" spans="2:21">
      <c r="B56" s="1694"/>
      <c r="C56" s="1682"/>
      <c r="D56" s="1682"/>
      <c r="E56" s="1695"/>
      <c r="F56" s="1695"/>
      <c r="G56" s="2011" t="s">
        <v>1980</v>
      </c>
      <c r="H56" s="1663">
        <f>3*4</f>
        <v>12</v>
      </c>
      <c r="I56" s="1653" t="s">
        <v>27</v>
      </c>
      <c r="J56" s="1655">
        <v>50000</v>
      </c>
      <c r="K56" s="1163">
        <f t="shared" ref="K56:K63" si="15">H56*J56</f>
        <v>600000</v>
      </c>
      <c r="L56" s="842"/>
      <c r="M56" s="377">
        <f t="shared" ref="M56:M63" si="16">K56</f>
        <v>600000</v>
      </c>
      <c r="N56" s="1686"/>
      <c r="O56" s="1686"/>
      <c r="P56" s="1686"/>
      <c r="Q56" s="1687"/>
      <c r="R56" s="1687"/>
      <c r="S56" s="41"/>
      <c r="T56" s="41"/>
      <c r="U56" s="41"/>
    </row>
    <row r="57" spans="2:21" ht="25.5">
      <c r="B57" s="1694"/>
      <c r="C57" s="1682"/>
      <c r="D57" s="1682"/>
      <c r="E57" s="1695"/>
      <c r="F57" s="1695"/>
      <c r="G57" s="2013" t="s">
        <v>1981</v>
      </c>
      <c r="H57" s="1663">
        <f>45*2</f>
        <v>90</v>
      </c>
      <c r="I57" s="1653" t="s">
        <v>27</v>
      </c>
      <c r="J57" s="1655">
        <v>50000</v>
      </c>
      <c r="K57" s="1163">
        <f t="shared" si="15"/>
        <v>4500000</v>
      </c>
      <c r="L57" s="842"/>
      <c r="M57" s="377">
        <f t="shared" si="16"/>
        <v>4500000</v>
      </c>
      <c r="N57" s="1686"/>
      <c r="O57" s="1686"/>
      <c r="P57" s="1686"/>
      <c r="Q57" s="1687"/>
      <c r="R57" s="1687"/>
      <c r="S57" s="41"/>
      <c r="T57" s="41"/>
      <c r="U57" s="41"/>
    </row>
    <row r="58" spans="2:21" ht="25.5">
      <c r="B58" s="1694"/>
      <c r="C58" s="1682"/>
      <c r="D58" s="1682"/>
      <c r="E58" s="1695"/>
      <c r="F58" s="1695"/>
      <c r="G58" s="2015" t="s">
        <v>1982</v>
      </c>
      <c r="H58" s="1663">
        <f>30*4</f>
        <v>120</v>
      </c>
      <c r="I58" s="1653" t="s">
        <v>27</v>
      </c>
      <c r="J58" s="1655">
        <v>50000</v>
      </c>
      <c r="K58" s="1163">
        <f t="shared" si="15"/>
        <v>6000000</v>
      </c>
      <c r="L58" s="842"/>
      <c r="M58" s="377">
        <f t="shared" si="16"/>
        <v>6000000</v>
      </c>
      <c r="N58" s="1686"/>
      <c r="O58" s="1686"/>
      <c r="P58" s="1686"/>
      <c r="Q58" s="1687"/>
      <c r="R58" s="1687"/>
      <c r="S58" s="41"/>
      <c r="T58" s="41"/>
      <c r="U58" s="41"/>
    </row>
    <row r="59" spans="2:21">
      <c r="B59" s="1694"/>
      <c r="C59" s="1682"/>
      <c r="D59" s="1682"/>
      <c r="E59" s="1695"/>
      <c r="F59" s="1695"/>
      <c r="G59" s="2017" t="s">
        <v>1983</v>
      </c>
      <c r="H59" s="1663">
        <f>50*2</f>
        <v>100</v>
      </c>
      <c r="I59" s="1653" t="s">
        <v>27</v>
      </c>
      <c r="J59" s="1655">
        <v>50000</v>
      </c>
      <c r="K59" s="1163">
        <f t="shared" si="15"/>
        <v>5000000</v>
      </c>
      <c r="L59" s="842"/>
      <c r="M59" s="377">
        <f t="shared" si="16"/>
        <v>5000000</v>
      </c>
      <c r="N59" s="1686"/>
      <c r="O59" s="1686"/>
      <c r="P59" s="1686"/>
      <c r="Q59" s="1687"/>
      <c r="R59" s="1687"/>
      <c r="S59" s="41"/>
      <c r="T59" s="41"/>
      <c r="U59" s="41"/>
    </row>
    <row r="60" spans="2:21">
      <c r="B60" s="1694"/>
      <c r="C60" s="1682"/>
      <c r="D60" s="1682"/>
      <c r="E60" s="1695"/>
      <c r="F60" s="1695"/>
      <c r="G60" s="2020" t="s">
        <v>1984</v>
      </c>
      <c r="H60" s="1663">
        <f>46*4</f>
        <v>184</v>
      </c>
      <c r="I60" s="1653" t="s">
        <v>27</v>
      </c>
      <c r="J60" s="1655">
        <v>50000</v>
      </c>
      <c r="K60" s="1163">
        <f t="shared" si="15"/>
        <v>9200000</v>
      </c>
      <c r="L60" s="842"/>
      <c r="M60" s="377">
        <f t="shared" si="16"/>
        <v>9200000</v>
      </c>
      <c r="N60" s="1686"/>
      <c r="O60" s="1686"/>
      <c r="P60" s="1686"/>
      <c r="Q60" s="1687"/>
      <c r="R60" s="1687"/>
      <c r="S60" s="41"/>
      <c r="T60" s="41"/>
      <c r="U60" s="41"/>
    </row>
    <row r="61" spans="2:21" ht="25.5">
      <c r="B61" s="1694"/>
      <c r="C61" s="1682"/>
      <c r="D61" s="1682"/>
      <c r="E61" s="1695"/>
      <c r="F61" s="1695"/>
      <c r="G61" s="2022" t="s">
        <v>1979</v>
      </c>
      <c r="H61" s="1663">
        <f>25*5</f>
        <v>125</v>
      </c>
      <c r="I61" s="1653" t="s">
        <v>27</v>
      </c>
      <c r="J61" s="1655">
        <v>50000</v>
      </c>
      <c r="K61" s="1163">
        <f t="shared" si="15"/>
        <v>6250000</v>
      </c>
      <c r="L61" s="842"/>
      <c r="M61" s="377">
        <f t="shared" si="16"/>
        <v>6250000</v>
      </c>
      <c r="N61" s="1686"/>
      <c r="O61" s="1686"/>
      <c r="P61" s="1686"/>
      <c r="Q61" s="1687"/>
      <c r="R61" s="1687"/>
      <c r="S61" s="41"/>
      <c r="T61" s="41"/>
      <c r="U61" s="41"/>
    </row>
    <row r="62" spans="2:21" ht="25.5">
      <c r="B62" s="1694"/>
      <c r="C62" s="1682"/>
      <c r="D62" s="1682"/>
      <c r="E62" s="1695"/>
      <c r="F62" s="1695"/>
      <c r="G62" s="2022" t="s">
        <v>1985</v>
      </c>
      <c r="H62" s="1663">
        <f>40*3</f>
        <v>120</v>
      </c>
      <c r="I62" s="1653" t="s">
        <v>27</v>
      </c>
      <c r="J62" s="1655">
        <v>50000</v>
      </c>
      <c r="K62" s="1163">
        <f t="shared" si="15"/>
        <v>6000000</v>
      </c>
      <c r="L62" s="842"/>
      <c r="M62" s="377">
        <f t="shared" si="16"/>
        <v>6000000</v>
      </c>
      <c r="N62" s="1686"/>
      <c r="O62" s="1686"/>
      <c r="P62" s="1686"/>
      <c r="Q62" s="1687"/>
      <c r="R62" s="1687"/>
      <c r="S62" s="41"/>
      <c r="T62" s="41"/>
      <c r="U62" s="41"/>
    </row>
    <row r="63" spans="2:21">
      <c r="B63" s="1694"/>
      <c r="C63" s="1682"/>
      <c r="D63" s="1682"/>
      <c r="E63" s="1695"/>
      <c r="F63" s="1695"/>
      <c r="G63" s="2022" t="s">
        <v>1986</v>
      </c>
      <c r="H63" s="1663">
        <f>50*2</f>
        <v>100</v>
      </c>
      <c r="I63" s="1653" t="s">
        <v>27</v>
      </c>
      <c r="J63" s="1655">
        <v>50000</v>
      </c>
      <c r="K63" s="1163">
        <f t="shared" si="15"/>
        <v>5000000</v>
      </c>
      <c r="L63" s="842"/>
      <c r="M63" s="377">
        <f t="shared" si="16"/>
        <v>5000000</v>
      </c>
      <c r="N63" s="1686"/>
      <c r="O63" s="1686"/>
      <c r="P63" s="1686"/>
      <c r="Q63" s="1687"/>
      <c r="R63" s="1687"/>
      <c r="S63" s="41"/>
      <c r="T63" s="41"/>
      <c r="U63" s="41"/>
    </row>
    <row r="64" spans="2:21">
      <c r="B64" s="1694"/>
      <c r="C64" s="1682"/>
      <c r="D64" s="1682"/>
      <c r="E64" s="1695"/>
      <c r="F64" s="1695"/>
      <c r="G64" s="1654" t="s">
        <v>1991</v>
      </c>
      <c r="H64" s="1663">
        <v>1</v>
      </c>
      <c r="I64" s="1653" t="s">
        <v>147</v>
      </c>
      <c r="J64" s="1655">
        <v>10000000</v>
      </c>
      <c r="K64" s="1163">
        <f t="shared" ref="K64" si="17">H64*J64</f>
        <v>10000000</v>
      </c>
      <c r="L64" s="842"/>
      <c r="M64" s="377">
        <f t="shared" ref="M64" si="18">K64</f>
        <v>10000000</v>
      </c>
      <c r="N64" s="1686"/>
      <c r="O64" s="1686"/>
      <c r="P64" s="1686"/>
      <c r="Q64" s="1687"/>
      <c r="R64" s="1687"/>
      <c r="S64" s="41"/>
      <c r="T64" s="41"/>
      <c r="U64" s="41"/>
    </row>
    <row r="65" spans="2:21">
      <c r="B65" s="1694"/>
      <c r="C65" s="1682"/>
      <c r="D65" s="1682"/>
      <c r="E65" s="1695"/>
      <c r="F65" s="1695"/>
      <c r="G65" s="1654"/>
      <c r="H65" s="1663"/>
      <c r="I65" s="1653"/>
      <c r="J65" s="1655"/>
      <c r="K65" s="1163"/>
      <c r="L65" s="842"/>
      <c r="M65" s="1686"/>
      <c r="N65" s="1686"/>
      <c r="O65" s="1686"/>
      <c r="P65" s="1686"/>
      <c r="Q65" s="1687"/>
      <c r="R65" s="1687"/>
      <c r="S65" s="41"/>
      <c r="T65" s="41"/>
      <c r="U65" s="41"/>
    </row>
    <row r="66" spans="2:21" ht="15" customHeight="1">
      <c r="B66" s="43">
        <v>5</v>
      </c>
      <c r="C66" s="17">
        <v>2</v>
      </c>
      <c r="D66" s="17">
        <v>2</v>
      </c>
      <c r="E66" s="65" t="s">
        <v>66</v>
      </c>
      <c r="F66" s="17"/>
      <c r="G66" s="44" t="s">
        <v>101</v>
      </c>
      <c r="H66" s="856"/>
      <c r="I66" s="17"/>
      <c r="J66" s="46"/>
      <c r="K66" s="47">
        <f>K67+K70</f>
        <v>17000000</v>
      </c>
      <c r="L66" s="304"/>
      <c r="M66" s="303"/>
      <c r="N66" s="303"/>
      <c r="O66" s="303"/>
      <c r="P66" s="303"/>
      <c r="Q66" s="303"/>
      <c r="R66" s="303"/>
    </row>
    <row r="67" spans="2:21">
      <c r="B67" s="19">
        <v>5</v>
      </c>
      <c r="C67" s="15">
        <v>2</v>
      </c>
      <c r="D67" s="15">
        <v>2</v>
      </c>
      <c r="E67" s="28" t="s">
        <v>66</v>
      </c>
      <c r="F67" s="28" t="s">
        <v>24</v>
      </c>
      <c r="G67" s="48" t="s">
        <v>102</v>
      </c>
      <c r="H67" s="1005"/>
      <c r="I67" s="123"/>
      <c r="J67" s="278"/>
      <c r="K67" s="50">
        <f>SUM(K68:K69)</f>
        <v>5000000</v>
      </c>
      <c r="L67" s="305"/>
      <c r="M67" s="305"/>
      <c r="N67" s="305"/>
      <c r="O67" s="305"/>
      <c r="P67" s="305"/>
      <c r="Q67" s="303"/>
      <c r="R67" s="303"/>
      <c r="S67" s="41">
        <v>294951025</v>
      </c>
    </row>
    <row r="68" spans="2:21">
      <c r="B68" s="458"/>
      <c r="C68" s="380"/>
      <c r="D68" s="380"/>
      <c r="E68" s="459"/>
      <c r="F68" s="459"/>
      <c r="G68" s="373" t="s">
        <v>1951</v>
      </c>
      <c r="H68" s="594">
        <v>1</v>
      </c>
      <c r="I68" s="932" t="s">
        <v>147</v>
      </c>
      <c r="J68" s="1103">
        <v>5000000</v>
      </c>
      <c r="K68" s="1163">
        <f t="shared" ref="K68" si="19">H68*J68</f>
        <v>5000000</v>
      </c>
      <c r="L68" s="377"/>
      <c r="M68" s="377">
        <f t="shared" ref="M68" si="20">K68</f>
        <v>5000000</v>
      </c>
      <c r="N68" s="377"/>
      <c r="O68" s="377"/>
      <c r="P68" s="377"/>
      <c r="Q68" s="385"/>
      <c r="R68" s="385"/>
      <c r="S68" s="41"/>
    </row>
    <row r="69" spans="2:21">
      <c r="B69" s="1659"/>
      <c r="C69" s="1660"/>
      <c r="D69" s="1660"/>
      <c r="E69" s="1661"/>
      <c r="F69" s="1661"/>
      <c r="G69" s="1683"/>
      <c r="H69" s="2379"/>
      <c r="I69" s="2380"/>
      <c r="J69" s="2381"/>
      <c r="K69" s="1163"/>
      <c r="L69" s="1656"/>
      <c r="M69" s="1656"/>
      <c r="N69" s="1656"/>
      <c r="O69" s="1656"/>
      <c r="P69" s="1656"/>
      <c r="Q69" s="1657"/>
      <c r="R69" s="1657"/>
      <c r="S69" s="41"/>
    </row>
    <row r="70" spans="2:21">
      <c r="B70" s="19">
        <v>5</v>
      </c>
      <c r="C70" s="98">
        <v>2</v>
      </c>
      <c r="D70" s="98">
        <v>2</v>
      </c>
      <c r="E70" s="65" t="s">
        <v>66</v>
      </c>
      <c r="F70" s="104" t="s">
        <v>25</v>
      </c>
      <c r="G70" s="20" t="s">
        <v>104</v>
      </c>
      <c r="H70" s="856"/>
      <c r="I70" s="17"/>
      <c r="J70" s="99"/>
      <c r="K70" s="100">
        <f>SUM(K71:K71)</f>
        <v>12000000</v>
      </c>
      <c r="L70" s="1656"/>
      <c r="M70" s="1656"/>
      <c r="N70" s="1656"/>
      <c r="O70" s="1656"/>
      <c r="P70" s="1656"/>
      <c r="Q70" s="1657"/>
      <c r="R70" s="1657"/>
      <c r="S70" s="41"/>
    </row>
    <row r="71" spans="2:21">
      <c r="B71" s="29"/>
      <c r="C71" s="59"/>
      <c r="D71" s="59"/>
      <c r="E71" s="60"/>
      <c r="F71" s="60"/>
      <c r="G71" s="105" t="s">
        <v>1950</v>
      </c>
      <c r="H71" s="857">
        <v>1</v>
      </c>
      <c r="I71" s="4" t="s">
        <v>147</v>
      </c>
      <c r="J71" s="61">
        <v>12000000</v>
      </c>
      <c r="K71" s="279">
        <f>H71*J71</f>
        <v>12000000</v>
      </c>
      <c r="L71" s="1656"/>
      <c r="M71" s="377">
        <f t="shared" ref="M71" si="21">K71</f>
        <v>12000000</v>
      </c>
      <c r="N71" s="1656"/>
      <c r="O71" s="1656"/>
      <c r="P71" s="1656"/>
      <c r="Q71" s="1657"/>
      <c r="R71" s="1657"/>
      <c r="S71" s="41"/>
    </row>
    <row r="72" spans="2:21">
      <c r="B72" s="1659"/>
      <c r="C72" s="1660"/>
      <c r="D72" s="1660"/>
      <c r="E72" s="1661"/>
      <c r="F72" s="1661"/>
      <c r="G72" s="1683"/>
      <c r="H72" s="2379"/>
      <c r="I72" s="2380"/>
      <c r="J72" s="2381"/>
      <c r="K72" s="1163"/>
      <c r="L72" s="1656"/>
      <c r="M72" s="1656"/>
      <c r="N72" s="1656"/>
      <c r="O72" s="1656"/>
      <c r="P72" s="1656"/>
      <c r="Q72" s="1657"/>
      <c r="R72" s="1657"/>
      <c r="S72" s="41"/>
    </row>
    <row r="73" spans="2:21">
      <c r="B73" s="43">
        <v>5</v>
      </c>
      <c r="C73" s="17">
        <v>2</v>
      </c>
      <c r="D73" s="17">
        <v>2</v>
      </c>
      <c r="E73" s="65">
        <v>11</v>
      </c>
      <c r="F73" s="17"/>
      <c r="G73" s="44" t="s">
        <v>182</v>
      </c>
      <c r="H73" s="856"/>
      <c r="I73" s="17"/>
      <c r="J73" s="46"/>
      <c r="K73" s="47">
        <f>K74</f>
        <v>102540000</v>
      </c>
      <c r="L73" s="304"/>
      <c r="M73" s="303"/>
      <c r="N73" s="303"/>
      <c r="O73" s="303"/>
      <c r="P73" s="303"/>
      <c r="Q73" s="303"/>
      <c r="R73" s="303"/>
    </row>
    <row r="74" spans="2:21">
      <c r="B74" s="43">
        <v>5</v>
      </c>
      <c r="C74" s="17">
        <v>2</v>
      </c>
      <c r="D74" s="17">
        <v>2</v>
      </c>
      <c r="E74" s="65">
        <v>11</v>
      </c>
      <c r="F74" s="65" t="s">
        <v>65</v>
      </c>
      <c r="G74" s="916" t="s">
        <v>648</v>
      </c>
      <c r="H74" s="856"/>
      <c r="I74" s="17"/>
      <c r="J74" s="46"/>
      <c r="K74" s="47">
        <f>SUM(K75:K96)</f>
        <v>102540000</v>
      </c>
      <c r="L74" s="305"/>
      <c r="M74" s="305"/>
      <c r="N74" s="305"/>
      <c r="O74" s="305"/>
      <c r="P74" s="305"/>
      <c r="Q74" s="303"/>
      <c r="R74" s="303"/>
    </row>
    <row r="75" spans="2:21" ht="25.5">
      <c r="B75" s="1079"/>
      <c r="C75" s="375"/>
      <c r="D75" s="375"/>
      <c r="E75" s="855"/>
      <c r="F75" s="855"/>
      <c r="G75" s="2005" t="s">
        <v>1947</v>
      </c>
      <c r="H75" s="2383">
        <f>54*5*1</f>
        <v>270</v>
      </c>
      <c r="I75" s="2384" t="s">
        <v>278</v>
      </c>
      <c r="J75" s="2385">
        <v>30000</v>
      </c>
      <c r="K75" s="2006">
        <f t="shared" ref="K75:K94" si="22">H75*J75</f>
        <v>8100000</v>
      </c>
      <c r="L75" s="564"/>
      <c r="M75" s="377">
        <f t="shared" ref="M75:M94" si="23">K75</f>
        <v>8100000</v>
      </c>
      <c r="N75" s="377"/>
      <c r="O75" s="377"/>
      <c r="P75" s="377"/>
      <c r="Q75" s="385"/>
      <c r="R75" s="385"/>
    </row>
    <row r="76" spans="2:21">
      <c r="B76" s="1079"/>
      <c r="C76" s="375"/>
      <c r="D76" s="375"/>
      <c r="E76" s="855"/>
      <c r="F76" s="855"/>
      <c r="G76" s="2007" t="s">
        <v>1948</v>
      </c>
      <c r="H76" s="1024">
        <f>54*5*2</f>
        <v>540</v>
      </c>
      <c r="I76" s="2384" t="s">
        <v>278</v>
      </c>
      <c r="J76" s="2385">
        <v>15000</v>
      </c>
      <c r="K76" s="2006">
        <f t="shared" si="22"/>
        <v>8100000</v>
      </c>
      <c r="L76" s="564"/>
      <c r="M76" s="377">
        <f t="shared" si="23"/>
        <v>8100000</v>
      </c>
      <c r="N76" s="377"/>
      <c r="O76" s="377"/>
      <c r="P76" s="377"/>
      <c r="Q76" s="385"/>
      <c r="R76" s="385"/>
    </row>
    <row r="77" spans="2:21" ht="25.5">
      <c r="B77" s="1079"/>
      <c r="C77" s="375"/>
      <c r="D77" s="375"/>
      <c r="E77" s="855"/>
      <c r="F77" s="855"/>
      <c r="G77" s="2008" t="s">
        <v>1952</v>
      </c>
      <c r="H77" s="2383">
        <f>41*3*1</f>
        <v>123</v>
      </c>
      <c r="I77" s="2384" t="s">
        <v>278</v>
      </c>
      <c r="J77" s="2385">
        <v>30000</v>
      </c>
      <c r="K77" s="2009">
        <f t="shared" si="22"/>
        <v>3690000</v>
      </c>
      <c r="L77" s="564"/>
      <c r="M77" s="377">
        <f t="shared" ref="M77:M78" si="24">K77</f>
        <v>3690000</v>
      </c>
      <c r="N77" s="377"/>
      <c r="O77" s="377"/>
      <c r="P77" s="377"/>
      <c r="Q77" s="385"/>
      <c r="R77" s="385"/>
    </row>
    <row r="78" spans="2:21">
      <c r="B78" s="1079"/>
      <c r="C78" s="375"/>
      <c r="D78" s="375"/>
      <c r="E78" s="855"/>
      <c r="F78" s="855"/>
      <c r="G78" s="2010" t="s">
        <v>1953</v>
      </c>
      <c r="H78" s="1024">
        <f>41*3*2</f>
        <v>246</v>
      </c>
      <c r="I78" s="2384" t="s">
        <v>278</v>
      </c>
      <c r="J78" s="2385">
        <v>15000</v>
      </c>
      <c r="K78" s="2009">
        <f t="shared" si="22"/>
        <v>3690000</v>
      </c>
      <c r="L78" s="564"/>
      <c r="M78" s="377">
        <f t="shared" si="24"/>
        <v>3690000</v>
      </c>
      <c r="N78" s="377"/>
      <c r="O78" s="377"/>
      <c r="P78" s="377"/>
      <c r="Q78" s="385"/>
      <c r="R78" s="385"/>
    </row>
    <row r="79" spans="2:21" ht="25.5">
      <c r="B79" s="1079"/>
      <c r="C79" s="375"/>
      <c r="D79" s="375"/>
      <c r="E79" s="855"/>
      <c r="F79" s="855"/>
      <c r="G79" s="2011" t="s">
        <v>1955</v>
      </c>
      <c r="H79" s="1024">
        <f>45*1*4</f>
        <v>180</v>
      </c>
      <c r="I79" s="1066" t="s">
        <v>278</v>
      </c>
      <c r="J79" s="926">
        <v>30000</v>
      </c>
      <c r="K79" s="2012">
        <f t="shared" si="22"/>
        <v>5400000</v>
      </c>
      <c r="L79" s="564"/>
      <c r="M79" s="377">
        <f t="shared" si="23"/>
        <v>5400000</v>
      </c>
      <c r="N79" s="377"/>
      <c r="O79" s="377"/>
      <c r="P79" s="377"/>
      <c r="Q79" s="385"/>
      <c r="R79" s="385"/>
    </row>
    <row r="80" spans="2:21" ht="25.5">
      <c r="B80" s="1079"/>
      <c r="C80" s="375"/>
      <c r="D80" s="375"/>
      <c r="E80" s="855"/>
      <c r="F80" s="855"/>
      <c r="G80" s="2011" t="s">
        <v>1956</v>
      </c>
      <c r="H80" s="1024">
        <f>45*1*2*4</f>
        <v>360</v>
      </c>
      <c r="I80" s="1066" t="s">
        <v>278</v>
      </c>
      <c r="J80" s="926">
        <v>15000</v>
      </c>
      <c r="K80" s="2012">
        <f t="shared" si="22"/>
        <v>5400000</v>
      </c>
      <c r="L80" s="564"/>
      <c r="M80" s="377">
        <f t="shared" si="23"/>
        <v>5400000</v>
      </c>
      <c r="N80" s="377"/>
      <c r="O80" s="377"/>
      <c r="P80" s="377"/>
      <c r="Q80" s="385"/>
      <c r="R80" s="385"/>
    </row>
    <row r="81" spans="2:18" ht="25.5">
      <c r="B81" s="1079"/>
      <c r="C81" s="375"/>
      <c r="D81" s="375"/>
      <c r="E81" s="855"/>
      <c r="F81" s="855"/>
      <c r="G81" s="2013" t="s">
        <v>1957</v>
      </c>
      <c r="H81" s="1024">
        <f>59*2</f>
        <v>118</v>
      </c>
      <c r="I81" s="1066" t="s">
        <v>278</v>
      </c>
      <c r="J81" s="926">
        <v>30000</v>
      </c>
      <c r="K81" s="2014">
        <f t="shared" si="22"/>
        <v>3540000</v>
      </c>
      <c r="L81" s="564"/>
      <c r="M81" s="377">
        <f t="shared" ref="M81:M82" si="25">K81</f>
        <v>3540000</v>
      </c>
      <c r="N81" s="377"/>
      <c r="O81" s="377"/>
      <c r="P81" s="377"/>
      <c r="Q81" s="385"/>
      <c r="R81" s="385"/>
    </row>
    <row r="82" spans="2:18" ht="25.5">
      <c r="B82" s="1079"/>
      <c r="C82" s="375"/>
      <c r="D82" s="375"/>
      <c r="E82" s="855"/>
      <c r="F82" s="855"/>
      <c r="G82" s="2013" t="s">
        <v>1958</v>
      </c>
      <c r="H82" s="1024">
        <f>59*2*2</f>
        <v>236</v>
      </c>
      <c r="I82" s="1066" t="s">
        <v>278</v>
      </c>
      <c r="J82" s="926">
        <v>15000</v>
      </c>
      <c r="K82" s="2014">
        <f t="shared" si="22"/>
        <v>3540000</v>
      </c>
      <c r="L82" s="564"/>
      <c r="M82" s="377">
        <f t="shared" si="25"/>
        <v>3540000</v>
      </c>
      <c r="N82" s="377"/>
      <c r="O82" s="377"/>
      <c r="P82" s="377"/>
      <c r="Q82" s="385"/>
      <c r="R82" s="385"/>
    </row>
    <row r="83" spans="2:18" ht="25.5">
      <c r="B83" s="1079"/>
      <c r="C83" s="375"/>
      <c r="D83" s="375"/>
      <c r="E83" s="855"/>
      <c r="F83" s="855"/>
      <c r="G83" s="2015" t="s">
        <v>1968</v>
      </c>
      <c r="H83" s="1024">
        <f>45*4</f>
        <v>180</v>
      </c>
      <c r="I83" s="1066" t="s">
        <v>278</v>
      </c>
      <c r="J83" s="926">
        <v>30000</v>
      </c>
      <c r="K83" s="2016">
        <f t="shared" si="22"/>
        <v>5400000</v>
      </c>
      <c r="L83" s="564"/>
      <c r="M83" s="377">
        <f t="shared" ref="M83:M84" si="26">K83</f>
        <v>5400000</v>
      </c>
      <c r="N83" s="377"/>
      <c r="O83" s="377"/>
      <c r="P83" s="377"/>
      <c r="Q83" s="385"/>
      <c r="R83" s="385"/>
    </row>
    <row r="84" spans="2:18" ht="25.5">
      <c r="B84" s="1079"/>
      <c r="C84" s="375"/>
      <c r="D84" s="375"/>
      <c r="E84" s="855"/>
      <c r="F84" s="855"/>
      <c r="G84" s="2015" t="s">
        <v>1969</v>
      </c>
      <c r="H84" s="1024">
        <f>45*4*2</f>
        <v>360</v>
      </c>
      <c r="I84" s="1066" t="s">
        <v>278</v>
      </c>
      <c r="J84" s="926">
        <v>15000</v>
      </c>
      <c r="K84" s="2016">
        <f t="shared" si="22"/>
        <v>5400000</v>
      </c>
      <c r="L84" s="564"/>
      <c r="M84" s="377">
        <f t="shared" si="26"/>
        <v>5400000</v>
      </c>
      <c r="N84" s="377"/>
      <c r="O84" s="377"/>
      <c r="P84" s="377"/>
      <c r="Q84" s="385"/>
      <c r="R84" s="385"/>
    </row>
    <row r="85" spans="2:18" ht="25.5">
      <c r="B85" s="1079"/>
      <c r="C85" s="375"/>
      <c r="D85" s="375"/>
      <c r="E85" s="855"/>
      <c r="F85" s="855"/>
      <c r="G85" s="2017" t="s">
        <v>1545</v>
      </c>
      <c r="H85" s="1024">
        <f>64*1*2</f>
        <v>128</v>
      </c>
      <c r="I85" s="1066" t="s">
        <v>278</v>
      </c>
      <c r="J85" s="926">
        <v>30000</v>
      </c>
      <c r="K85" s="2018">
        <f t="shared" si="22"/>
        <v>3840000</v>
      </c>
      <c r="L85" s="564"/>
      <c r="M85" s="377">
        <f t="shared" ref="M85:M86" si="27">K85</f>
        <v>3840000</v>
      </c>
      <c r="N85" s="377"/>
      <c r="O85" s="377"/>
      <c r="P85" s="377"/>
      <c r="Q85" s="385"/>
      <c r="R85" s="385"/>
    </row>
    <row r="86" spans="2:18" ht="25.5">
      <c r="B86" s="1079"/>
      <c r="C86" s="375"/>
      <c r="D86" s="375"/>
      <c r="E86" s="855"/>
      <c r="F86" s="855"/>
      <c r="G86" s="2017" t="s">
        <v>1546</v>
      </c>
      <c r="H86" s="1024">
        <f>64*1*2*2</f>
        <v>256</v>
      </c>
      <c r="I86" s="1066" t="s">
        <v>278</v>
      </c>
      <c r="J86" s="926">
        <v>15000</v>
      </c>
      <c r="K86" s="2018">
        <f t="shared" si="22"/>
        <v>3840000</v>
      </c>
      <c r="L86" s="564"/>
      <c r="M86" s="377">
        <f t="shared" si="27"/>
        <v>3840000</v>
      </c>
      <c r="N86" s="377"/>
      <c r="O86" s="377"/>
      <c r="P86" s="377"/>
      <c r="Q86" s="385"/>
      <c r="R86" s="385"/>
    </row>
    <row r="87" spans="2:18">
      <c r="B87" s="1079"/>
      <c r="C87" s="375"/>
      <c r="D87" s="375"/>
      <c r="E87" s="855"/>
      <c r="F87" s="855"/>
      <c r="G87" s="2019" t="s">
        <v>1965</v>
      </c>
      <c r="H87" s="1024">
        <f>65*2</f>
        <v>130</v>
      </c>
      <c r="I87" s="1066" t="s">
        <v>278</v>
      </c>
      <c r="J87" s="926">
        <v>30000</v>
      </c>
      <c r="K87" s="1991">
        <f t="shared" si="22"/>
        <v>3900000</v>
      </c>
      <c r="L87" s="564"/>
      <c r="M87" s="377">
        <f t="shared" ref="M87:M88" si="28">K87</f>
        <v>3900000</v>
      </c>
      <c r="N87" s="377"/>
      <c r="O87" s="377"/>
      <c r="P87" s="377"/>
      <c r="Q87" s="385"/>
      <c r="R87" s="385"/>
    </row>
    <row r="88" spans="2:18">
      <c r="B88" s="1079"/>
      <c r="C88" s="375"/>
      <c r="D88" s="375"/>
      <c r="E88" s="855"/>
      <c r="F88" s="855"/>
      <c r="G88" s="2019" t="s">
        <v>1966</v>
      </c>
      <c r="H88" s="1024">
        <f>65*2*2</f>
        <v>260</v>
      </c>
      <c r="I88" s="1066" t="s">
        <v>278</v>
      </c>
      <c r="J88" s="926">
        <v>15000</v>
      </c>
      <c r="K88" s="1991">
        <f t="shared" si="22"/>
        <v>3900000</v>
      </c>
      <c r="L88" s="564"/>
      <c r="M88" s="377">
        <f t="shared" si="28"/>
        <v>3900000</v>
      </c>
      <c r="N88" s="377"/>
      <c r="O88" s="377"/>
      <c r="P88" s="377"/>
      <c r="Q88" s="385"/>
      <c r="R88" s="385"/>
    </row>
    <row r="89" spans="2:18">
      <c r="B89" s="1079"/>
      <c r="C89" s="375"/>
      <c r="D89" s="375"/>
      <c r="E89" s="855"/>
      <c r="F89" s="855"/>
      <c r="G89" s="2020" t="s">
        <v>1959</v>
      </c>
      <c r="H89" s="1024">
        <f>60*4</f>
        <v>240</v>
      </c>
      <c r="I89" s="1066" t="s">
        <v>278</v>
      </c>
      <c r="J89" s="926">
        <v>30000</v>
      </c>
      <c r="K89" s="2021">
        <f t="shared" si="22"/>
        <v>7200000</v>
      </c>
      <c r="L89" s="564"/>
      <c r="M89" s="377">
        <f t="shared" ref="M89:M90" si="29">K89</f>
        <v>7200000</v>
      </c>
      <c r="N89" s="377"/>
      <c r="O89" s="377"/>
      <c r="P89" s="377"/>
      <c r="Q89" s="385"/>
      <c r="R89" s="385"/>
    </row>
    <row r="90" spans="2:18">
      <c r="B90" s="1079"/>
      <c r="C90" s="375"/>
      <c r="D90" s="375"/>
      <c r="E90" s="855"/>
      <c r="F90" s="855"/>
      <c r="G90" s="2020" t="s">
        <v>1960</v>
      </c>
      <c r="H90" s="1024">
        <f>60*4*2</f>
        <v>480</v>
      </c>
      <c r="I90" s="1066" t="s">
        <v>278</v>
      </c>
      <c r="J90" s="926">
        <v>15000</v>
      </c>
      <c r="K90" s="2021">
        <f t="shared" si="22"/>
        <v>7200000</v>
      </c>
      <c r="L90" s="564"/>
      <c r="M90" s="377">
        <f t="shared" si="29"/>
        <v>7200000</v>
      </c>
      <c r="N90" s="377"/>
      <c r="O90" s="377"/>
      <c r="P90" s="377"/>
      <c r="Q90" s="385"/>
      <c r="R90" s="385"/>
    </row>
    <row r="91" spans="2:18" ht="25.5">
      <c r="B91" s="1079"/>
      <c r="C91" s="375"/>
      <c r="D91" s="375"/>
      <c r="E91" s="855"/>
      <c r="F91" s="855"/>
      <c r="G91" s="2022" t="s">
        <v>1961</v>
      </c>
      <c r="H91" s="1024">
        <f>38*5</f>
        <v>190</v>
      </c>
      <c r="I91" s="1066" t="s">
        <v>278</v>
      </c>
      <c r="J91" s="926">
        <v>30000</v>
      </c>
      <c r="K91" s="1997">
        <f t="shared" si="22"/>
        <v>5700000</v>
      </c>
      <c r="L91" s="564"/>
      <c r="M91" s="377">
        <f t="shared" si="23"/>
        <v>5700000</v>
      </c>
      <c r="N91" s="377"/>
      <c r="O91" s="377"/>
      <c r="P91" s="377"/>
      <c r="Q91" s="385"/>
      <c r="R91" s="385"/>
    </row>
    <row r="92" spans="2:18" ht="25.5">
      <c r="B92" s="1079"/>
      <c r="C92" s="375"/>
      <c r="D92" s="375"/>
      <c r="E92" s="855"/>
      <c r="F92" s="855"/>
      <c r="G92" s="2022" t="s">
        <v>1962</v>
      </c>
      <c r="H92" s="1024">
        <f>38*5*2</f>
        <v>380</v>
      </c>
      <c r="I92" s="1066" t="s">
        <v>278</v>
      </c>
      <c r="J92" s="926">
        <v>15000</v>
      </c>
      <c r="K92" s="1997">
        <f t="shared" si="22"/>
        <v>5700000</v>
      </c>
      <c r="L92" s="564"/>
      <c r="M92" s="377">
        <f t="shared" si="23"/>
        <v>5700000</v>
      </c>
      <c r="N92" s="377"/>
      <c r="O92" s="377"/>
      <c r="P92" s="377"/>
      <c r="Q92" s="385"/>
      <c r="R92" s="385"/>
    </row>
    <row r="93" spans="2:18" ht="25.5">
      <c r="B93" s="1652"/>
      <c r="C93" s="1653"/>
      <c r="D93" s="1653"/>
      <c r="E93" s="2004"/>
      <c r="F93" s="2004"/>
      <c r="G93" s="2022" t="s">
        <v>1963</v>
      </c>
      <c r="H93" s="1024">
        <f>50*3</f>
        <v>150</v>
      </c>
      <c r="I93" s="1066" t="s">
        <v>278</v>
      </c>
      <c r="J93" s="926">
        <v>30000</v>
      </c>
      <c r="K93" s="1997">
        <f t="shared" si="22"/>
        <v>4500000</v>
      </c>
      <c r="L93" s="564"/>
      <c r="M93" s="377">
        <f t="shared" si="23"/>
        <v>4500000</v>
      </c>
      <c r="N93" s="1656"/>
      <c r="O93" s="1656"/>
      <c r="P93" s="1656"/>
      <c r="Q93" s="1657"/>
      <c r="R93" s="1657"/>
    </row>
    <row r="94" spans="2:18" ht="25.5">
      <c r="B94" s="1652"/>
      <c r="C94" s="1653"/>
      <c r="D94" s="1653"/>
      <c r="E94" s="2004"/>
      <c r="F94" s="2004"/>
      <c r="G94" s="2022" t="s">
        <v>1964</v>
      </c>
      <c r="H94" s="1024">
        <f>50*3*2</f>
        <v>300</v>
      </c>
      <c r="I94" s="1066" t="s">
        <v>278</v>
      </c>
      <c r="J94" s="926">
        <v>15000</v>
      </c>
      <c r="K94" s="1997">
        <f t="shared" si="22"/>
        <v>4500000</v>
      </c>
      <c r="L94" s="564"/>
      <c r="M94" s="377">
        <f t="shared" si="23"/>
        <v>4500000</v>
      </c>
      <c r="N94" s="1656"/>
      <c r="O94" s="1656"/>
      <c r="P94" s="1656"/>
      <c r="Q94" s="1657"/>
      <c r="R94" s="1657"/>
    </row>
    <row r="95" spans="2:18">
      <c r="B95" s="1652"/>
      <c r="C95" s="1653"/>
      <c r="D95" s="1653"/>
      <c r="E95" s="2004"/>
      <c r="F95" s="2004"/>
      <c r="G95" s="1654"/>
      <c r="H95" s="1024"/>
      <c r="I95" s="1066"/>
      <c r="J95" s="926"/>
      <c r="K95" s="1163"/>
      <c r="L95" s="564"/>
      <c r="M95" s="564"/>
      <c r="N95" s="1656"/>
      <c r="O95" s="1656"/>
      <c r="P95" s="1656"/>
      <c r="Q95" s="1657"/>
      <c r="R95" s="1657"/>
    </row>
    <row r="96" spans="2:18">
      <c r="B96" s="1079"/>
      <c r="C96" s="375"/>
      <c r="D96" s="375"/>
      <c r="E96" s="855"/>
      <c r="F96" s="855"/>
      <c r="G96" s="1410"/>
      <c r="H96" s="1024"/>
      <c r="I96" s="1066"/>
      <c r="J96" s="926"/>
      <c r="K96" s="1411"/>
      <c r="L96" s="564"/>
      <c r="M96" s="564"/>
      <c r="N96" s="377"/>
      <c r="O96" s="377"/>
      <c r="P96" s="377"/>
      <c r="Q96" s="385"/>
      <c r="R96" s="385"/>
    </row>
    <row r="97" spans="2:18">
      <c r="B97" s="36">
        <v>5</v>
      </c>
      <c r="C97" s="37">
        <v>2</v>
      </c>
      <c r="D97" s="37">
        <v>2</v>
      </c>
      <c r="E97" s="38">
        <v>15</v>
      </c>
      <c r="F97" s="17"/>
      <c r="G97" s="48" t="s">
        <v>134</v>
      </c>
      <c r="H97" s="856"/>
      <c r="I97" s="17"/>
      <c r="J97" s="46"/>
      <c r="K97" s="159">
        <f>K98+K104</f>
        <v>835850000</v>
      </c>
      <c r="L97" s="879"/>
      <c r="M97" s="880"/>
      <c r="N97" s="880"/>
      <c r="O97" s="880"/>
      <c r="P97" s="880"/>
      <c r="Q97" s="880"/>
      <c r="R97" s="880"/>
    </row>
    <row r="98" spans="2:18">
      <c r="B98" s="19">
        <v>5</v>
      </c>
      <c r="C98" s="15">
        <v>2</v>
      </c>
      <c r="D98" s="15">
        <v>2</v>
      </c>
      <c r="E98" s="28">
        <v>15</v>
      </c>
      <c r="F98" s="28" t="s">
        <v>24</v>
      </c>
      <c r="G98" s="52" t="s">
        <v>73</v>
      </c>
      <c r="H98" s="856"/>
      <c r="I98" s="17"/>
      <c r="J98" s="46"/>
      <c r="K98" s="159">
        <f>SUM(K99:K103)</f>
        <v>58600000</v>
      </c>
      <c r="L98" s="870"/>
      <c r="M98" s="870"/>
      <c r="N98" s="870"/>
      <c r="O98" s="870"/>
      <c r="P98" s="870"/>
      <c r="Q98" s="880"/>
      <c r="R98" s="880"/>
    </row>
    <row r="99" spans="2:18">
      <c r="B99" s="19"/>
      <c r="C99" s="15"/>
      <c r="D99" s="15"/>
      <c r="E99" s="28"/>
      <c r="F99" s="28"/>
      <c r="G99" s="33" t="s">
        <v>364</v>
      </c>
      <c r="H99" s="1002">
        <v>10</v>
      </c>
      <c r="I99" s="34" t="s">
        <v>26</v>
      </c>
      <c r="J99" s="286">
        <v>500000</v>
      </c>
      <c r="K99" s="1164">
        <f>H99*J99</f>
        <v>5000000</v>
      </c>
      <c r="L99" s="870"/>
      <c r="M99" s="377">
        <f t="shared" ref="M99:M102" si="30">K99</f>
        <v>5000000</v>
      </c>
      <c r="N99" s="888"/>
      <c r="O99" s="880"/>
      <c r="P99" s="880"/>
      <c r="Q99" s="880"/>
      <c r="R99" s="880"/>
    </row>
    <row r="100" spans="2:18">
      <c r="B100" s="19"/>
      <c r="C100" s="15"/>
      <c r="D100" s="15"/>
      <c r="E100" s="28"/>
      <c r="F100" s="28"/>
      <c r="G100" s="114" t="s">
        <v>376</v>
      </c>
      <c r="H100" s="1002"/>
      <c r="I100" s="34"/>
      <c r="J100" s="286"/>
      <c r="K100" s="1164">
        <f>H100*J100</f>
        <v>0</v>
      </c>
      <c r="L100" s="870"/>
      <c r="M100" s="377">
        <f t="shared" si="30"/>
        <v>0</v>
      </c>
      <c r="N100" s="888"/>
      <c r="O100" s="870"/>
      <c r="P100" s="870"/>
      <c r="Q100" s="880"/>
      <c r="R100" s="880"/>
    </row>
    <row r="101" spans="2:18">
      <c r="B101" s="19"/>
      <c r="C101" s="15"/>
      <c r="D101" s="15"/>
      <c r="E101" s="28"/>
      <c r="F101" s="28"/>
      <c r="G101" s="33" t="s">
        <v>1359</v>
      </c>
      <c r="H101" s="1002">
        <f>10*4</f>
        <v>40</v>
      </c>
      <c r="I101" s="34" t="s">
        <v>28</v>
      </c>
      <c r="J101" s="132">
        <v>530000</v>
      </c>
      <c r="K101" s="1164">
        <f>H101*J101</f>
        <v>21200000</v>
      </c>
      <c r="L101" s="870"/>
      <c r="M101" s="377">
        <f t="shared" si="30"/>
        <v>21200000</v>
      </c>
      <c r="N101" s="888"/>
      <c r="O101" s="880"/>
      <c r="P101" s="880"/>
      <c r="Q101" s="880"/>
      <c r="R101" s="880"/>
    </row>
    <row r="102" spans="2:18">
      <c r="B102" s="19"/>
      <c r="C102" s="15"/>
      <c r="D102" s="15"/>
      <c r="E102" s="28"/>
      <c r="F102" s="28"/>
      <c r="G102" s="33" t="s">
        <v>1360</v>
      </c>
      <c r="H102" s="1002">
        <f>10*3</f>
        <v>30</v>
      </c>
      <c r="I102" s="34" t="s">
        <v>27</v>
      </c>
      <c r="J102" s="132">
        <v>1080000</v>
      </c>
      <c r="K102" s="1164">
        <f>H102*J102</f>
        <v>32400000</v>
      </c>
      <c r="L102" s="870"/>
      <c r="M102" s="377">
        <f t="shared" si="30"/>
        <v>32400000</v>
      </c>
      <c r="N102" s="888"/>
      <c r="O102" s="870"/>
      <c r="P102" s="870"/>
      <c r="Q102" s="880"/>
      <c r="R102" s="880"/>
    </row>
    <row r="103" spans="2:18" ht="14.25">
      <c r="B103" s="36"/>
      <c r="C103" s="37"/>
      <c r="D103" s="37"/>
      <c r="E103" s="38"/>
      <c r="F103" s="17"/>
      <c r="G103" s="108"/>
      <c r="H103" s="856"/>
      <c r="I103" s="17"/>
      <c r="J103" s="46"/>
      <c r="K103" s="159"/>
      <c r="L103" s="870"/>
      <c r="M103" s="870"/>
      <c r="N103" s="888"/>
      <c r="O103" s="870"/>
      <c r="P103" s="870"/>
      <c r="Q103" s="872"/>
      <c r="R103" s="872"/>
    </row>
    <row r="104" spans="2:18" ht="14.25">
      <c r="B104" s="36">
        <v>5</v>
      </c>
      <c r="C104" s="37">
        <v>2</v>
      </c>
      <c r="D104" s="37">
        <v>2</v>
      </c>
      <c r="E104" s="38">
        <v>15</v>
      </c>
      <c r="F104" s="38" t="s">
        <v>25</v>
      </c>
      <c r="G104" s="49" t="s">
        <v>133</v>
      </c>
      <c r="H104" s="856"/>
      <c r="I104" s="17"/>
      <c r="J104" s="46"/>
      <c r="K104" s="160">
        <f>SUM(K106:K138)</f>
        <v>777250000</v>
      </c>
      <c r="L104" s="870"/>
      <c r="M104" s="881"/>
      <c r="N104" s="882"/>
      <c r="O104" s="882"/>
      <c r="P104" s="882"/>
      <c r="Q104" s="883"/>
      <c r="R104" s="883"/>
    </row>
    <row r="105" spans="2:18" ht="14.25">
      <c r="B105" s="346"/>
      <c r="C105" s="371"/>
      <c r="D105" s="371"/>
      <c r="E105" s="372"/>
      <c r="F105" s="372"/>
      <c r="G105" s="638" t="s">
        <v>1358</v>
      </c>
      <c r="H105" s="956"/>
      <c r="I105" s="368"/>
      <c r="J105" s="369"/>
      <c r="K105" s="1414"/>
      <c r="L105" s="893"/>
      <c r="M105" s="881"/>
      <c r="N105" s="882"/>
      <c r="O105" s="882"/>
      <c r="P105" s="882"/>
      <c r="Q105" s="883"/>
      <c r="R105" s="883"/>
    </row>
    <row r="106" spans="2:18" ht="14.25">
      <c r="B106" s="429"/>
      <c r="C106" s="424"/>
      <c r="D106" s="424"/>
      <c r="E106" s="430"/>
      <c r="F106" s="430"/>
      <c r="G106" s="2398" t="s">
        <v>1537</v>
      </c>
      <c r="H106" s="1976">
        <v>4</v>
      </c>
      <c r="I106" s="1977" t="s">
        <v>26</v>
      </c>
      <c r="J106" s="1978">
        <v>5500000</v>
      </c>
      <c r="K106" s="1979">
        <f t="shared" ref="K106:K120" si="31">H106*J106</f>
        <v>22000000</v>
      </c>
      <c r="L106" s="893"/>
      <c r="M106" s="377">
        <f t="shared" ref="M106:M108" si="32">K106</f>
        <v>22000000</v>
      </c>
      <c r="N106" s="1067"/>
      <c r="O106" s="886"/>
      <c r="P106" s="886"/>
      <c r="Q106" s="894"/>
      <c r="R106" s="886"/>
    </row>
    <row r="107" spans="2:18" ht="14.25">
      <c r="B107" s="429"/>
      <c r="C107" s="424"/>
      <c r="D107" s="424"/>
      <c r="E107" s="430"/>
      <c r="F107" s="430"/>
      <c r="G107" s="1975" t="s">
        <v>1759</v>
      </c>
      <c r="H107" s="1976">
        <f>4*6</f>
        <v>24</v>
      </c>
      <c r="I107" s="1977" t="s">
        <v>28</v>
      </c>
      <c r="J107" s="1980">
        <v>700000</v>
      </c>
      <c r="K107" s="1979">
        <f t="shared" si="31"/>
        <v>16800000</v>
      </c>
      <c r="L107" s="893"/>
      <c r="M107" s="377">
        <f t="shared" si="32"/>
        <v>16800000</v>
      </c>
      <c r="N107" s="1067"/>
      <c r="O107" s="894"/>
      <c r="P107" s="894"/>
      <c r="Q107" s="886"/>
      <c r="R107" s="886"/>
    </row>
    <row r="108" spans="2:18" ht="14.25">
      <c r="B108" s="429"/>
      <c r="C108" s="424"/>
      <c r="D108" s="424"/>
      <c r="E108" s="430"/>
      <c r="F108" s="430"/>
      <c r="G108" s="1975" t="s">
        <v>1760</v>
      </c>
      <c r="H108" s="1976">
        <f>4*5</f>
        <v>20</v>
      </c>
      <c r="I108" s="1977" t="s">
        <v>27</v>
      </c>
      <c r="J108" s="1980">
        <v>850000</v>
      </c>
      <c r="K108" s="1979">
        <f t="shared" si="31"/>
        <v>17000000</v>
      </c>
      <c r="L108" s="893"/>
      <c r="M108" s="377">
        <f t="shared" si="32"/>
        <v>17000000</v>
      </c>
      <c r="N108" s="1067"/>
      <c r="O108" s="885"/>
      <c r="P108" s="885"/>
      <c r="Q108" s="886"/>
      <c r="R108" s="886"/>
    </row>
    <row r="109" spans="2:18" ht="14.25">
      <c r="B109" s="429"/>
      <c r="C109" s="424"/>
      <c r="D109" s="424"/>
      <c r="E109" s="430"/>
      <c r="F109" s="430"/>
      <c r="G109" s="2399" t="s">
        <v>1538</v>
      </c>
      <c r="H109" s="1982">
        <v>6</v>
      </c>
      <c r="I109" s="1983" t="s">
        <v>26</v>
      </c>
      <c r="J109" s="1984">
        <v>5500000</v>
      </c>
      <c r="K109" s="1985">
        <f t="shared" si="31"/>
        <v>33000000</v>
      </c>
      <c r="L109" s="893"/>
      <c r="M109" s="377">
        <f t="shared" ref="M109:M111" si="33">K109</f>
        <v>33000000</v>
      </c>
      <c r="N109" s="1067"/>
      <c r="O109" s="886"/>
      <c r="P109" s="886"/>
      <c r="Q109" s="894"/>
      <c r="R109" s="886"/>
    </row>
    <row r="110" spans="2:18" ht="14.25">
      <c r="B110" s="429"/>
      <c r="C110" s="424"/>
      <c r="D110" s="424"/>
      <c r="E110" s="430"/>
      <c r="F110" s="430"/>
      <c r="G110" s="1981" t="s">
        <v>1761</v>
      </c>
      <c r="H110" s="1982">
        <f>6*5</f>
        <v>30</v>
      </c>
      <c r="I110" s="1983" t="s">
        <v>28</v>
      </c>
      <c r="J110" s="1986">
        <v>700000</v>
      </c>
      <c r="K110" s="1985">
        <f t="shared" si="31"/>
        <v>21000000</v>
      </c>
      <c r="L110" s="893"/>
      <c r="M110" s="377">
        <f t="shared" si="33"/>
        <v>21000000</v>
      </c>
      <c r="N110" s="1067"/>
      <c r="O110" s="894"/>
      <c r="P110" s="894"/>
      <c r="Q110" s="886"/>
      <c r="R110" s="886"/>
    </row>
    <row r="111" spans="2:18" ht="14.25">
      <c r="B111" s="429"/>
      <c r="C111" s="424"/>
      <c r="D111" s="424"/>
      <c r="E111" s="430"/>
      <c r="F111" s="430"/>
      <c r="G111" s="1981" t="s">
        <v>1762</v>
      </c>
      <c r="H111" s="1982">
        <f>6*4</f>
        <v>24</v>
      </c>
      <c r="I111" s="1983" t="s">
        <v>27</v>
      </c>
      <c r="J111" s="1986">
        <v>850000</v>
      </c>
      <c r="K111" s="1985">
        <f t="shared" si="31"/>
        <v>20400000</v>
      </c>
      <c r="L111" s="893"/>
      <c r="M111" s="377">
        <f t="shared" si="33"/>
        <v>20400000</v>
      </c>
      <c r="N111" s="1067"/>
      <c r="O111" s="885"/>
      <c r="P111" s="885"/>
      <c r="Q111" s="886"/>
      <c r="R111" s="886"/>
    </row>
    <row r="112" spans="2:18" ht="14.25">
      <c r="B112" s="429"/>
      <c r="C112" s="424"/>
      <c r="D112" s="424"/>
      <c r="E112" s="430"/>
      <c r="F112" s="430"/>
      <c r="G112" s="2400" t="s">
        <v>1549</v>
      </c>
      <c r="H112" s="1988">
        <v>2</v>
      </c>
      <c r="I112" s="1989" t="s">
        <v>26</v>
      </c>
      <c r="J112" s="1990">
        <v>5500000</v>
      </c>
      <c r="K112" s="1991">
        <f t="shared" si="31"/>
        <v>11000000</v>
      </c>
      <c r="L112" s="893"/>
      <c r="M112" s="377">
        <f t="shared" ref="M112:M119" si="34">K112</f>
        <v>11000000</v>
      </c>
      <c r="N112" s="1067"/>
      <c r="O112" s="886"/>
      <c r="P112" s="886"/>
      <c r="Q112" s="894"/>
      <c r="R112" s="886"/>
    </row>
    <row r="113" spans="2:18" ht="14.25">
      <c r="B113" s="429"/>
      <c r="C113" s="424"/>
      <c r="D113" s="424"/>
      <c r="E113" s="430"/>
      <c r="F113" s="430"/>
      <c r="G113" s="1987" t="s">
        <v>1977</v>
      </c>
      <c r="H113" s="1988">
        <f>2*4</f>
        <v>8</v>
      </c>
      <c r="I113" s="1989" t="s">
        <v>28</v>
      </c>
      <c r="J113" s="1992">
        <v>700000</v>
      </c>
      <c r="K113" s="1991">
        <f t="shared" si="31"/>
        <v>5600000</v>
      </c>
      <c r="L113" s="893"/>
      <c r="M113" s="377">
        <f t="shared" si="34"/>
        <v>5600000</v>
      </c>
      <c r="N113" s="1067"/>
      <c r="O113" s="894"/>
      <c r="P113" s="894"/>
      <c r="Q113" s="886"/>
      <c r="R113" s="886"/>
    </row>
    <row r="114" spans="2:18" ht="14.25">
      <c r="B114" s="429"/>
      <c r="C114" s="424"/>
      <c r="D114" s="424"/>
      <c r="E114" s="430"/>
      <c r="F114" s="430"/>
      <c r="G114" s="1987" t="s">
        <v>1976</v>
      </c>
      <c r="H114" s="1988">
        <f>2*3</f>
        <v>6</v>
      </c>
      <c r="I114" s="1989" t="s">
        <v>27</v>
      </c>
      <c r="J114" s="1992">
        <v>850000</v>
      </c>
      <c r="K114" s="1991">
        <f t="shared" si="31"/>
        <v>5100000</v>
      </c>
      <c r="L114" s="893"/>
      <c r="M114" s="377">
        <f t="shared" si="34"/>
        <v>5100000</v>
      </c>
      <c r="N114" s="1067"/>
      <c r="O114" s="885"/>
      <c r="P114" s="885"/>
      <c r="Q114" s="886"/>
      <c r="R114" s="886"/>
    </row>
    <row r="115" spans="2:18" ht="14.25">
      <c r="B115" s="429"/>
      <c r="C115" s="424"/>
      <c r="D115" s="424"/>
      <c r="E115" s="430"/>
      <c r="F115" s="430"/>
      <c r="G115" s="2401" t="s">
        <v>1763</v>
      </c>
      <c r="H115" s="1994">
        <v>3</v>
      </c>
      <c r="I115" s="1995" t="s">
        <v>26</v>
      </c>
      <c r="J115" s="1996">
        <v>5500000</v>
      </c>
      <c r="K115" s="1997">
        <f t="shared" si="31"/>
        <v>16500000</v>
      </c>
      <c r="L115" s="1035"/>
      <c r="M115" s="377">
        <f t="shared" si="34"/>
        <v>16500000</v>
      </c>
      <c r="N115" s="1067"/>
      <c r="O115" s="885"/>
      <c r="P115" s="885"/>
      <c r="Q115" s="886"/>
      <c r="R115" s="886"/>
    </row>
    <row r="116" spans="2:18" ht="14.25">
      <c r="B116" s="429"/>
      <c r="C116" s="424"/>
      <c r="D116" s="424"/>
      <c r="E116" s="430"/>
      <c r="F116" s="430"/>
      <c r="G116" s="1993" t="s">
        <v>1972</v>
      </c>
      <c r="H116" s="1994">
        <f>3*6</f>
        <v>18</v>
      </c>
      <c r="I116" s="1995" t="s">
        <v>28</v>
      </c>
      <c r="J116" s="1998">
        <v>700000</v>
      </c>
      <c r="K116" s="1997">
        <f t="shared" si="31"/>
        <v>12600000</v>
      </c>
      <c r="L116" s="1035"/>
      <c r="M116" s="377">
        <f t="shared" si="34"/>
        <v>12600000</v>
      </c>
      <c r="N116" s="1067"/>
      <c r="O116" s="885"/>
      <c r="P116" s="885"/>
      <c r="Q116" s="886"/>
      <c r="R116" s="886"/>
    </row>
    <row r="117" spans="2:18" ht="14.25">
      <c r="B117" s="429"/>
      <c r="C117" s="424"/>
      <c r="D117" s="424"/>
      <c r="E117" s="430"/>
      <c r="F117" s="430"/>
      <c r="G117" s="1993" t="s">
        <v>1973</v>
      </c>
      <c r="H117" s="1994">
        <f>3*5</f>
        <v>15</v>
      </c>
      <c r="I117" s="1995" t="s">
        <v>27</v>
      </c>
      <c r="J117" s="1998">
        <v>850000</v>
      </c>
      <c r="K117" s="1997">
        <f t="shared" si="31"/>
        <v>12750000</v>
      </c>
      <c r="L117" s="1035"/>
      <c r="M117" s="377">
        <f t="shared" si="34"/>
        <v>12750000</v>
      </c>
      <c r="N117" s="1067"/>
      <c r="O117" s="885"/>
      <c r="P117" s="885"/>
      <c r="Q117" s="886"/>
      <c r="R117" s="886"/>
    </row>
    <row r="118" spans="2:18" ht="14.25">
      <c r="B118" s="429"/>
      <c r="C118" s="424"/>
      <c r="D118" s="424"/>
      <c r="E118" s="430"/>
      <c r="F118" s="430"/>
      <c r="G118" s="2402" t="s">
        <v>1764</v>
      </c>
      <c r="H118" s="2393">
        <v>3</v>
      </c>
      <c r="I118" s="2394" t="s">
        <v>26</v>
      </c>
      <c r="J118" s="2395">
        <v>5500000</v>
      </c>
      <c r="K118" s="2396">
        <f t="shared" si="31"/>
        <v>16500000</v>
      </c>
      <c r="L118" s="1035"/>
      <c r="M118" s="377">
        <f t="shared" si="34"/>
        <v>16500000</v>
      </c>
      <c r="N118" s="1067"/>
      <c r="O118" s="885"/>
      <c r="P118" s="885"/>
      <c r="Q118" s="886"/>
      <c r="R118" s="886"/>
    </row>
    <row r="119" spans="2:18" ht="14.25">
      <c r="B119" s="429"/>
      <c r="C119" s="424"/>
      <c r="D119" s="424"/>
      <c r="E119" s="430"/>
      <c r="F119" s="430"/>
      <c r="G119" s="2392" t="s">
        <v>1974</v>
      </c>
      <c r="H119" s="2393">
        <f>3*4</f>
        <v>12</v>
      </c>
      <c r="I119" s="2394" t="s">
        <v>28</v>
      </c>
      <c r="J119" s="2397">
        <v>700000</v>
      </c>
      <c r="K119" s="2396">
        <f t="shared" si="31"/>
        <v>8400000</v>
      </c>
      <c r="L119" s="1035"/>
      <c r="M119" s="377">
        <f t="shared" si="34"/>
        <v>8400000</v>
      </c>
      <c r="N119" s="1067"/>
      <c r="O119" s="885"/>
      <c r="P119" s="885"/>
      <c r="Q119" s="886"/>
      <c r="R119" s="886"/>
    </row>
    <row r="120" spans="2:18" ht="14.25">
      <c r="B120" s="429"/>
      <c r="C120" s="424"/>
      <c r="D120" s="424"/>
      <c r="E120" s="430"/>
      <c r="F120" s="430"/>
      <c r="G120" s="2392" t="s">
        <v>1975</v>
      </c>
      <c r="H120" s="2393">
        <f>3*3</f>
        <v>9</v>
      </c>
      <c r="I120" s="2394" t="s">
        <v>27</v>
      </c>
      <c r="J120" s="2397">
        <v>850000</v>
      </c>
      <c r="K120" s="2396">
        <f t="shared" si="31"/>
        <v>7650000</v>
      </c>
      <c r="L120" s="1035"/>
      <c r="M120" s="377">
        <f t="shared" ref="M120:M137" si="35">K120</f>
        <v>7650000</v>
      </c>
      <c r="N120" s="1067"/>
      <c r="O120" s="885"/>
      <c r="P120" s="885"/>
      <c r="Q120" s="886"/>
      <c r="R120" s="886"/>
    </row>
    <row r="121" spans="2:18" ht="14.25">
      <c r="B121" s="429"/>
      <c r="C121" s="424"/>
      <c r="D121" s="424"/>
      <c r="E121" s="430"/>
      <c r="F121" s="430"/>
      <c r="G121" s="1999" t="s">
        <v>1555</v>
      </c>
      <c r="H121" s="867"/>
      <c r="I121" s="1412"/>
      <c r="J121" s="1413"/>
      <c r="K121" s="1163"/>
      <c r="L121" s="1035"/>
      <c r="M121" s="377">
        <f t="shared" si="35"/>
        <v>0</v>
      </c>
      <c r="N121" s="1067"/>
      <c r="O121" s="885"/>
      <c r="P121" s="885"/>
      <c r="Q121" s="886"/>
      <c r="R121" s="886"/>
    </row>
    <row r="122" spans="2:18" ht="14.25">
      <c r="B122" s="429"/>
      <c r="C122" s="424"/>
      <c r="D122" s="424"/>
      <c r="E122" s="430"/>
      <c r="F122" s="430"/>
      <c r="G122" s="1971" t="s">
        <v>364</v>
      </c>
      <c r="H122" s="2000">
        <v>3</v>
      </c>
      <c r="I122" s="2001" t="s">
        <v>26</v>
      </c>
      <c r="J122" s="2002">
        <v>5500000</v>
      </c>
      <c r="K122" s="595">
        <f t="shared" ref="K122:K124" si="36">H122*J122</f>
        <v>16500000</v>
      </c>
      <c r="L122" s="1035"/>
      <c r="M122" s="377">
        <f t="shared" si="35"/>
        <v>16500000</v>
      </c>
      <c r="N122" s="1067"/>
      <c r="O122" s="885"/>
      <c r="P122" s="885"/>
      <c r="Q122" s="886"/>
      <c r="R122" s="886"/>
    </row>
    <row r="123" spans="2:18" ht="14.25">
      <c r="B123" s="429"/>
      <c r="C123" s="424"/>
      <c r="D123" s="424"/>
      <c r="E123" s="430"/>
      <c r="F123" s="430"/>
      <c r="G123" s="1971" t="s">
        <v>1556</v>
      </c>
      <c r="H123" s="2000">
        <f>3*10</f>
        <v>30</v>
      </c>
      <c r="I123" s="2001" t="s">
        <v>28</v>
      </c>
      <c r="J123" s="2003">
        <v>600000</v>
      </c>
      <c r="K123" s="595">
        <f t="shared" si="36"/>
        <v>18000000</v>
      </c>
      <c r="L123" s="1035"/>
      <c r="M123" s="377">
        <f t="shared" si="35"/>
        <v>18000000</v>
      </c>
      <c r="N123" s="1067"/>
      <c r="O123" s="885"/>
      <c r="P123" s="885"/>
      <c r="Q123" s="886"/>
      <c r="R123" s="886"/>
    </row>
    <row r="124" spans="2:18" ht="14.25">
      <c r="B124" s="429"/>
      <c r="C124" s="424"/>
      <c r="D124" s="424"/>
      <c r="E124" s="430"/>
      <c r="F124" s="430"/>
      <c r="G124" s="1971" t="s">
        <v>1557</v>
      </c>
      <c r="H124" s="2000">
        <f>3*9</f>
        <v>27</v>
      </c>
      <c r="I124" s="2001" t="s">
        <v>27</v>
      </c>
      <c r="J124" s="2003">
        <v>750000</v>
      </c>
      <c r="K124" s="595">
        <f t="shared" si="36"/>
        <v>20250000</v>
      </c>
      <c r="L124" s="1035"/>
      <c r="M124" s="377">
        <f t="shared" si="35"/>
        <v>20250000</v>
      </c>
      <c r="N124" s="1067"/>
      <c r="O124" s="885"/>
      <c r="P124" s="885"/>
      <c r="Q124" s="886"/>
      <c r="R124" s="886"/>
    </row>
    <row r="125" spans="2:18" ht="14.25">
      <c r="B125" s="429"/>
      <c r="C125" s="424"/>
      <c r="D125" s="424"/>
      <c r="E125" s="430"/>
      <c r="F125" s="430"/>
      <c r="G125" s="2095" t="s">
        <v>1781</v>
      </c>
      <c r="H125" s="2096"/>
      <c r="I125" s="2097"/>
      <c r="J125" s="2098"/>
      <c r="K125" s="2012"/>
      <c r="L125" s="1035"/>
      <c r="M125" s="377">
        <f t="shared" ref="M125:M128" si="37">K125</f>
        <v>0</v>
      </c>
      <c r="N125" s="1067"/>
      <c r="O125" s="885"/>
      <c r="P125" s="885"/>
      <c r="Q125" s="886"/>
      <c r="R125" s="886"/>
    </row>
    <row r="126" spans="2:18" ht="14.25">
      <c r="B126" s="429"/>
      <c r="C126" s="424"/>
      <c r="D126" s="424"/>
      <c r="E126" s="430"/>
      <c r="F126" s="430"/>
      <c r="G126" s="2099" t="s">
        <v>364</v>
      </c>
      <c r="H126" s="2100">
        <v>2</v>
      </c>
      <c r="I126" s="2101" t="s">
        <v>26</v>
      </c>
      <c r="J126" s="2102">
        <v>5500000</v>
      </c>
      <c r="K126" s="2103">
        <f t="shared" ref="K126:K128" si="38">H126*J126</f>
        <v>11000000</v>
      </c>
      <c r="L126" s="1035"/>
      <c r="M126" s="377">
        <f t="shared" si="37"/>
        <v>11000000</v>
      </c>
      <c r="N126" s="1067"/>
      <c r="O126" s="885"/>
      <c r="P126" s="885"/>
      <c r="Q126" s="886"/>
      <c r="R126" s="886"/>
    </row>
    <row r="127" spans="2:18" ht="14.25">
      <c r="B127" s="429"/>
      <c r="C127" s="424"/>
      <c r="D127" s="424"/>
      <c r="E127" s="430"/>
      <c r="F127" s="430"/>
      <c r="G127" s="2099" t="s">
        <v>1782</v>
      </c>
      <c r="H127" s="2100">
        <f>2*100</f>
        <v>200</v>
      </c>
      <c r="I127" s="2101" t="s">
        <v>28</v>
      </c>
      <c r="J127" s="2104">
        <v>200000</v>
      </c>
      <c r="K127" s="2103">
        <f t="shared" si="38"/>
        <v>40000000</v>
      </c>
      <c r="L127" s="1035"/>
      <c r="M127" s="377">
        <f t="shared" si="37"/>
        <v>40000000</v>
      </c>
      <c r="N127" s="1067"/>
      <c r="O127" s="885"/>
      <c r="P127" s="885"/>
      <c r="Q127" s="886"/>
      <c r="R127" s="886"/>
    </row>
    <row r="128" spans="2:18" ht="14.25">
      <c r="B128" s="429"/>
      <c r="C128" s="424"/>
      <c r="D128" s="424"/>
      <c r="E128" s="430"/>
      <c r="F128" s="430"/>
      <c r="G128" s="2099" t="s">
        <v>1783</v>
      </c>
      <c r="H128" s="2100">
        <f>2*100</f>
        <v>200</v>
      </c>
      <c r="I128" s="2101" t="s">
        <v>27</v>
      </c>
      <c r="J128" s="2104">
        <v>150000</v>
      </c>
      <c r="K128" s="2103">
        <f t="shared" si="38"/>
        <v>30000000</v>
      </c>
      <c r="L128" s="1035"/>
      <c r="M128" s="377">
        <f t="shared" si="37"/>
        <v>30000000</v>
      </c>
      <c r="N128" s="1067"/>
      <c r="O128" s="885"/>
      <c r="P128" s="885"/>
      <c r="Q128" s="886"/>
      <c r="R128" s="886"/>
    </row>
    <row r="129" spans="2:18" ht="14.25">
      <c r="B129" s="429"/>
      <c r="C129" s="424"/>
      <c r="D129" s="424"/>
      <c r="E129" s="430"/>
      <c r="F129" s="430"/>
      <c r="G129" s="1999" t="s">
        <v>1357</v>
      </c>
      <c r="H129" s="867"/>
      <c r="I129" s="1412"/>
      <c r="J129" s="1413"/>
      <c r="K129" s="1163"/>
      <c r="L129" s="1035"/>
      <c r="M129" s="377">
        <f t="shared" si="35"/>
        <v>0</v>
      </c>
      <c r="N129" s="1067"/>
      <c r="O129" s="885"/>
      <c r="P129" s="885"/>
      <c r="Q129" s="886"/>
      <c r="R129" s="886"/>
    </row>
    <row r="130" spans="2:18" ht="14.25">
      <c r="B130" s="429"/>
      <c r="C130" s="424"/>
      <c r="D130" s="424"/>
      <c r="E130" s="430"/>
      <c r="F130" s="430"/>
      <c r="G130" s="1971" t="s">
        <v>364</v>
      </c>
      <c r="H130" s="2000">
        <v>39</v>
      </c>
      <c r="I130" s="2001" t="s">
        <v>26</v>
      </c>
      <c r="J130" s="2002">
        <v>5500000</v>
      </c>
      <c r="K130" s="595">
        <f t="shared" ref="K130:K135" si="39">H130*J130</f>
        <v>214500000</v>
      </c>
      <c r="L130" s="1035"/>
      <c r="M130" s="377">
        <f t="shared" si="35"/>
        <v>214500000</v>
      </c>
      <c r="N130" s="1067"/>
      <c r="O130" s="885"/>
      <c r="P130" s="885"/>
      <c r="Q130" s="886"/>
      <c r="R130" s="886"/>
    </row>
    <row r="131" spans="2:18" ht="14.25">
      <c r="B131" s="429"/>
      <c r="C131" s="424"/>
      <c r="D131" s="424"/>
      <c r="E131" s="430"/>
      <c r="F131" s="430"/>
      <c r="G131" s="1971" t="s">
        <v>1989</v>
      </c>
      <c r="H131" s="2000">
        <f>24*4</f>
        <v>96</v>
      </c>
      <c r="I131" s="2001" t="s">
        <v>28</v>
      </c>
      <c r="J131" s="2003">
        <v>600000</v>
      </c>
      <c r="K131" s="595">
        <f t="shared" si="39"/>
        <v>57600000</v>
      </c>
      <c r="L131" s="1035"/>
      <c r="M131" s="377">
        <f t="shared" si="35"/>
        <v>57600000</v>
      </c>
      <c r="N131" s="1067"/>
      <c r="O131" s="885"/>
      <c r="P131" s="885"/>
      <c r="Q131" s="886"/>
      <c r="R131" s="886"/>
    </row>
    <row r="132" spans="2:18" ht="14.25">
      <c r="B132" s="1713"/>
      <c r="C132" s="1706"/>
      <c r="D132" s="1706"/>
      <c r="E132" s="1707"/>
      <c r="F132" s="1707"/>
      <c r="G132" s="1971" t="s">
        <v>1990</v>
      </c>
      <c r="H132" s="2000">
        <f>24*3</f>
        <v>72</v>
      </c>
      <c r="I132" s="2001" t="s">
        <v>27</v>
      </c>
      <c r="J132" s="2003">
        <v>750000</v>
      </c>
      <c r="K132" s="595">
        <f t="shared" si="39"/>
        <v>54000000</v>
      </c>
      <c r="L132" s="1035"/>
      <c r="M132" s="377">
        <f t="shared" si="35"/>
        <v>54000000</v>
      </c>
      <c r="N132" s="1972"/>
      <c r="O132" s="1973"/>
      <c r="P132" s="1973"/>
      <c r="Q132" s="1974"/>
      <c r="R132" s="1974"/>
    </row>
    <row r="133" spans="2:18" ht="14.25">
      <c r="B133" s="1713"/>
      <c r="C133" s="1706"/>
      <c r="D133" s="1706"/>
      <c r="E133" s="1707"/>
      <c r="F133" s="1707"/>
      <c r="G133" s="1971" t="s">
        <v>1988</v>
      </c>
      <c r="H133" s="2000">
        <f>12*4</f>
        <v>48</v>
      </c>
      <c r="I133" s="2001" t="s">
        <v>28</v>
      </c>
      <c r="J133" s="2003">
        <v>700000</v>
      </c>
      <c r="K133" s="595">
        <f t="shared" si="39"/>
        <v>33600000</v>
      </c>
      <c r="L133" s="1035"/>
      <c r="M133" s="377">
        <f t="shared" si="35"/>
        <v>33600000</v>
      </c>
      <c r="N133" s="1972"/>
      <c r="O133" s="1973"/>
      <c r="P133" s="1973"/>
      <c r="Q133" s="1974"/>
      <c r="R133" s="1974"/>
    </row>
    <row r="134" spans="2:18" ht="14.25">
      <c r="B134" s="1713"/>
      <c r="C134" s="1706"/>
      <c r="D134" s="1706"/>
      <c r="E134" s="1707"/>
      <c r="F134" s="1707"/>
      <c r="G134" s="1971" t="s">
        <v>1987</v>
      </c>
      <c r="H134" s="2000">
        <f>12*3</f>
        <v>36</v>
      </c>
      <c r="I134" s="2001" t="s">
        <v>27</v>
      </c>
      <c r="J134" s="2003">
        <v>850000</v>
      </c>
      <c r="K134" s="595">
        <f t="shared" si="39"/>
        <v>30600000</v>
      </c>
      <c r="L134" s="1035"/>
      <c r="M134" s="377">
        <f t="shared" si="35"/>
        <v>30600000</v>
      </c>
      <c r="N134" s="1972"/>
      <c r="O134" s="1973"/>
      <c r="P134" s="1973"/>
      <c r="Q134" s="1974"/>
      <c r="R134" s="1974"/>
    </row>
    <row r="135" spans="2:18" ht="14.25">
      <c r="B135" s="1713"/>
      <c r="C135" s="1706"/>
      <c r="D135" s="1706"/>
      <c r="E135" s="1707"/>
      <c r="F135" s="1707"/>
      <c r="G135" s="1971" t="s">
        <v>1817</v>
      </c>
      <c r="H135" s="2000">
        <f>1*4*3</f>
        <v>12</v>
      </c>
      <c r="I135" s="2001" t="s">
        <v>28</v>
      </c>
      <c r="J135" s="2003">
        <v>800000</v>
      </c>
      <c r="K135" s="595">
        <f t="shared" si="39"/>
        <v>9600000</v>
      </c>
      <c r="L135" s="1035"/>
      <c r="M135" s="377">
        <f t="shared" si="35"/>
        <v>9600000</v>
      </c>
      <c r="N135" s="1972"/>
      <c r="O135" s="1973"/>
      <c r="P135" s="1973"/>
      <c r="Q135" s="1974"/>
      <c r="R135" s="1974"/>
    </row>
    <row r="136" spans="2:18" ht="14.25">
      <c r="B136" s="1713"/>
      <c r="C136" s="1706"/>
      <c r="D136" s="1706"/>
      <c r="E136" s="1707"/>
      <c r="F136" s="1707"/>
      <c r="G136" s="1971" t="s">
        <v>1818</v>
      </c>
      <c r="H136" s="2000">
        <f>1*3*3</f>
        <v>9</v>
      </c>
      <c r="I136" s="2001" t="s">
        <v>27</v>
      </c>
      <c r="J136" s="2003">
        <v>1300000</v>
      </c>
      <c r="K136" s="595">
        <f>H136*J136</f>
        <v>11700000</v>
      </c>
      <c r="L136" s="1035"/>
      <c r="M136" s="377">
        <f t="shared" si="35"/>
        <v>11700000</v>
      </c>
      <c r="N136" s="1972"/>
      <c r="O136" s="1973"/>
      <c r="P136" s="1973"/>
      <c r="Q136" s="1974"/>
      <c r="R136" s="1974"/>
    </row>
    <row r="137" spans="2:18" ht="14.25">
      <c r="B137" s="1713"/>
      <c r="C137" s="1706"/>
      <c r="D137" s="1706"/>
      <c r="E137" s="1707"/>
      <c r="F137" s="1707"/>
      <c r="G137" s="1971" t="s">
        <v>1819</v>
      </c>
      <c r="H137" s="2000">
        <f>1*4*3</f>
        <v>12</v>
      </c>
      <c r="I137" s="2001" t="s">
        <v>27</v>
      </c>
      <c r="J137" s="2003">
        <v>300000</v>
      </c>
      <c r="K137" s="1945">
        <f>H137*J137</f>
        <v>3600000</v>
      </c>
      <c r="L137" s="1035"/>
      <c r="M137" s="377">
        <f t="shared" si="35"/>
        <v>3600000</v>
      </c>
      <c r="N137" s="1972"/>
      <c r="O137" s="1973"/>
      <c r="P137" s="1973"/>
      <c r="Q137" s="1974"/>
      <c r="R137" s="1974"/>
    </row>
    <row r="138" spans="2:18" ht="14.25">
      <c r="B138" s="429"/>
      <c r="C138" s="424"/>
      <c r="D138" s="424"/>
      <c r="E138" s="430"/>
      <c r="F138" s="430"/>
      <c r="G138" s="462"/>
      <c r="H138" s="867"/>
      <c r="I138" s="1412"/>
      <c r="J138" s="1413"/>
      <c r="K138" s="1163"/>
      <c r="L138" s="1035"/>
      <c r="M138" s="1409"/>
      <c r="N138" s="1067"/>
      <c r="O138" s="885"/>
      <c r="P138" s="885"/>
      <c r="Q138" s="886"/>
      <c r="R138" s="886"/>
    </row>
    <row r="139" spans="2:18" ht="25.5">
      <c r="B139" s="429">
        <v>5</v>
      </c>
      <c r="C139" s="424">
        <v>2</v>
      </c>
      <c r="D139" s="424">
        <v>2</v>
      </c>
      <c r="E139" s="430">
        <v>24</v>
      </c>
      <c r="F139" s="424"/>
      <c r="G139" s="588" t="s">
        <v>518</v>
      </c>
      <c r="H139" s="956"/>
      <c r="I139" s="368"/>
      <c r="J139" s="589"/>
      <c r="K139" s="431">
        <f>K140</f>
        <v>849052266</v>
      </c>
      <c r="L139" s="377"/>
      <c r="M139" s="377"/>
      <c r="N139" s="473"/>
      <c r="O139" s="377"/>
      <c r="P139" s="377"/>
      <c r="Q139" s="385"/>
      <c r="R139" s="385"/>
    </row>
    <row r="140" spans="2:18" ht="15">
      <c r="B140" s="429">
        <v>5</v>
      </c>
      <c r="C140" s="424">
        <v>2</v>
      </c>
      <c r="D140" s="424">
        <v>2</v>
      </c>
      <c r="E140" s="430">
        <v>24</v>
      </c>
      <c r="F140" s="430" t="s">
        <v>24</v>
      </c>
      <c r="G140" s="588" t="s">
        <v>519</v>
      </c>
      <c r="H140" s="956"/>
      <c r="I140" s="368"/>
      <c r="J140" s="589"/>
      <c r="K140" s="431">
        <f>SUM(K141:K155)</f>
        <v>849052266</v>
      </c>
      <c r="L140" s="377"/>
      <c r="M140" s="377"/>
      <c r="N140" s="473"/>
      <c r="O140" s="377"/>
      <c r="P140" s="377"/>
      <c r="Q140" s="378"/>
      <c r="R140" s="378"/>
    </row>
    <row r="141" spans="2:18" ht="15">
      <c r="B141" s="458"/>
      <c r="C141" s="380"/>
      <c r="D141" s="380"/>
      <c r="E141" s="459"/>
      <c r="F141" s="459"/>
      <c r="G141" s="1662" t="s">
        <v>1362</v>
      </c>
      <c r="H141" s="1663">
        <v>1</v>
      </c>
      <c r="I141" s="1653" t="s">
        <v>29</v>
      </c>
      <c r="J141" s="1664">
        <f>202152266-10000000</f>
        <v>192152266</v>
      </c>
      <c r="K141" s="1945">
        <f>H141*J141</f>
        <v>192152266</v>
      </c>
      <c r="L141" s="377"/>
      <c r="M141" s="377">
        <f>K141</f>
        <v>192152266</v>
      </c>
      <c r="N141" s="473"/>
      <c r="O141" s="377"/>
      <c r="P141" s="377"/>
      <c r="Q141" s="969"/>
      <c r="R141" s="969"/>
    </row>
    <row r="142" spans="2:18" ht="15">
      <c r="B142" s="1659"/>
      <c r="C142" s="1660"/>
      <c r="D142" s="1660"/>
      <c r="E142" s="1661"/>
      <c r="F142" s="1661"/>
      <c r="G142" s="1662" t="s">
        <v>1551</v>
      </c>
      <c r="H142" s="1663">
        <v>1</v>
      </c>
      <c r="I142" s="1653" t="s">
        <v>29</v>
      </c>
      <c r="J142" s="1664">
        <f>18000000+4500000+3000000+1500000+9000000</f>
        <v>36000000</v>
      </c>
      <c r="K142" s="1945">
        <f t="shared" ref="K142:K148" si="40">H142*J142</f>
        <v>36000000</v>
      </c>
      <c r="L142" s="377"/>
      <c r="M142" s="377">
        <f t="shared" ref="M142" si="41">K142</f>
        <v>36000000</v>
      </c>
      <c r="N142" s="1658"/>
      <c r="O142" s="1656"/>
      <c r="P142" s="1656"/>
      <c r="Q142" s="1665"/>
      <c r="R142" s="1665"/>
    </row>
    <row r="143" spans="2:18" ht="15">
      <c r="B143" s="458"/>
      <c r="C143" s="380"/>
      <c r="D143" s="380"/>
      <c r="E143" s="459"/>
      <c r="F143" s="459"/>
      <c r="G143" s="1946" t="s">
        <v>1754</v>
      </c>
      <c r="H143" s="1947">
        <v>1</v>
      </c>
      <c r="I143" s="1948" t="s">
        <v>147</v>
      </c>
      <c r="J143" s="1949">
        <f>66000000+16000000</f>
        <v>82000000</v>
      </c>
      <c r="K143" s="1945">
        <f t="shared" si="40"/>
        <v>82000000</v>
      </c>
      <c r="L143" s="377"/>
      <c r="M143" s="377">
        <f t="shared" ref="M143:M149" si="42">K143</f>
        <v>82000000</v>
      </c>
      <c r="N143" s="473"/>
      <c r="O143" s="377"/>
      <c r="P143" s="377"/>
      <c r="Q143" s="969"/>
      <c r="R143" s="969"/>
    </row>
    <row r="144" spans="2:18" ht="15">
      <c r="B144" s="1659"/>
      <c r="C144" s="1660"/>
      <c r="D144" s="1660"/>
      <c r="E144" s="1661"/>
      <c r="F144" s="1661"/>
      <c r="G144" s="1950" t="s">
        <v>1755</v>
      </c>
      <c r="H144" s="1951">
        <v>25</v>
      </c>
      <c r="I144" s="1952" t="s">
        <v>28</v>
      </c>
      <c r="J144" s="1953">
        <v>2800000</v>
      </c>
      <c r="K144" s="1945">
        <f t="shared" si="40"/>
        <v>70000000</v>
      </c>
      <c r="L144" s="377"/>
      <c r="M144" s="377">
        <f t="shared" si="42"/>
        <v>70000000</v>
      </c>
      <c r="N144" s="1658"/>
      <c r="O144" s="1656"/>
      <c r="P144" s="1656"/>
      <c r="Q144" s="1665"/>
      <c r="R144" s="1665"/>
    </row>
    <row r="145" spans="2:18" ht="25.5">
      <c r="B145" s="458"/>
      <c r="C145" s="380"/>
      <c r="D145" s="380"/>
      <c r="E145" s="459"/>
      <c r="F145" s="459"/>
      <c r="G145" s="1954" t="s">
        <v>1540</v>
      </c>
      <c r="H145" s="2386">
        <f>4*2</f>
        <v>8</v>
      </c>
      <c r="I145" s="2387" t="s">
        <v>27</v>
      </c>
      <c r="J145" s="1956">
        <v>500000</v>
      </c>
      <c r="K145" s="1945">
        <f t="shared" si="40"/>
        <v>4000000</v>
      </c>
      <c r="L145" s="377"/>
      <c r="M145" s="377">
        <f t="shared" si="42"/>
        <v>4000000</v>
      </c>
      <c r="N145" s="473"/>
      <c r="O145" s="377"/>
      <c r="P145" s="377"/>
      <c r="Q145" s="969"/>
      <c r="R145" s="969"/>
    </row>
    <row r="146" spans="2:18" ht="25.5">
      <c r="B146" s="458"/>
      <c r="C146" s="380"/>
      <c r="D146" s="380"/>
      <c r="E146" s="459"/>
      <c r="F146" s="459"/>
      <c r="G146" s="1957" t="s">
        <v>1967</v>
      </c>
      <c r="H146" s="2388">
        <v>30</v>
      </c>
      <c r="I146" s="2382" t="s">
        <v>28</v>
      </c>
      <c r="J146" s="1959">
        <v>2300000</v>
      </c>
      <c r="K146" s="1945">
        <f t="shared" si="40"/>
        <v>69000000</v>
      </c>
      <c r="L146" s="377"/>
      <c r="M146" s="377">
        <f t="shared" si="42"/>
        <v>69000000</v>
      </c>
      <c r="N146" s="473"/>
      <c r="O146" s="377"/>
      <c r="P146" s="377"/>
      <c r="Q146" s="969"/>
      <c r="R146" s="969"/>
    </row>
    <row r="147" spans="2:18" ht="25.5">
      <c r="B147" s="458"/>
      <c r="C147" s="380"/>
      <c r="D147" s="380"/>
      <c r="E147" s="459"/>
      <c r="F147" s="459"/>
      <c r="G147" s="1960" t="s">
        <v>1544</v>
      </c>
      <c r="H147" s="2389">
        <f>4*1*2</f>
        <v>8</v>
      </c>
      <c r="I147" s="2390" t="s">
        <v>27</v>
      </c>
      <c r="J147" s="1962">
        <v>500000</v>
      </c>
      <c r="K147" s="1945">
        <f t="shared" si="40"/>
        <v>4000000</v>
      </c>
      <c r="L147" s="377"/>
      <c r="M147" s="377">
        <f t="shared" si="42"/>
        <v>4000000</v>
      </c>
      <c r="N147" s="473"/>
      <c r="O147" s="377"/>
      <c r="P147" s="377"/>
      <c r="Q147" s="969"/>
      <c r="R147" s="969"/>
    </row>
    <row r="148" spans="2:18" ht="15">
      <c r="B148" s="458"/>
      <c r="C148" s="380"/>
      <c r="D148" s="380"/>
      <c r="E148" s="459"/>
      <c r="F148" s="459"/>
      <c r="G148" s="1963" t="s">
        <v>1548</v>
      </c>
      <c r="H148" s="1964">
        <v>1</v>
      </c>
      <c r="I148" s="1965" t="s">
        <v>147</v>
      </c>
      <c r="J148" s="1966">
        <v>60000000</v>
      </c>
      <c r="K148" s="1945">
        <f t="shared" si="40"/>
        <v>60000000</v>
      </c>
      <c r="L148" s="377"/>
      <c r="M148" s="377">
        <f t="shared" si="42"/>
        <v>60000000</v>
      </c>
      <c r="N148" s="473"/>
      <c r="O148" s="377"/>
      <c r="P148" s="377"/>
      <c r="Q148" s="969"/>
      <c r="R148" s="969"/>
    </row>
    <row r="149" spans="2:18" ht="15">
      <c r="B149" s="458"/>
      <c r="C149" s="380"/>
      <c r="D149" s="380"/>
      <c r="E149" s="459"/>
      <c r="F149" s="459"/>
      <c r="G149" s="1967" t="s">
        <v>1756</v>
      </c>
      <c r="H149" s="1968">
        <v>1</v>
      </c>
      <c r="I149" s="1969" t="s">
        <v>147</v>
      </c>
      <c r="J149" s="1970">
        <f>25*1500000</f>
        <v>37500000</v>
      </c>
      <c r="K149" s="1945">
        <f>H149*J149</f>
        <v>37500000</v>
      </c>
      <c r="L149" s="377"/>
      <c r="M149" s="377">
        <f t="shared" si="42"/>
        <v>37500000</v>
      </c>
      <c r="N149" s="473"/>
      <c r="O149" s="377"/>
      <c r="P149" s="377"/>
      <c r="Q149" s="969"/>
      <c r="R149" s="969"/>
    </row>
    <row r="150" spans="2:18" ht="15">
      <c r="B150" s="458"/>
      <c r="C150" s="380"/>
      <c r="D150" s="380"/>
      <c r="E150" s="459"/>
      <c r="F150" s="459"/>
      <c r="G150" s="1967" t="s">
        <v>1757</v>
      </c>
      <c r="H150" s="1968">
        <v>1</v>
      </c>
      <c r="I150" s="1969" t="s">
        <v>147</v>
      </c>
      <c r="J150" s="1970">
        <v>35000000</v>
      </c>
      <c r="K150" s="1945">
        <f>H150*J150</f>
        <v>35000000</v>
      </c>
      <c r="L150" s="377"/>
      <c r="M150" s="377">
        <f t="shared" ref="M150:M155" si="43">K150</f>
        <v>35000000</v>
      </c>
      <c r="N150" s="473"/>
      <c r="O150" s="377"/>
      <c r="P150" s="377"/>
      <c r="Q150" s="969"/>
      <c r="R150" s="969"/>
    </row>
    <row r="151" spans="2:18" ht="15">
      <c r="B151" s="1659"/>
      <c r="C151" s="1660"/>
      <c r="D151" s="1660"/>
      <c r="E151" s="1661"/>
      <c r="F151" s="1661"/>
      <c r="G151" s="2092" t="s">
        <v>1780</v>
      </c>
      <c r="H151" s="2043">
        <v>2</v>
      </c>
      <c r="I151" s="2044" t="s">
        <v>28</v>
      </c>
      <c r="J151" s="2093">
        <v>12000000</v>
      </c>
      <c r="K151" s="2094">
        <f t="shared" ref="K151" si="44">H151*J151</f>
        <v>24000000</v>
      </c>
      <c r="L151" s="377"/>
      <c r="M151" s="377">
        <f t="shared" ref="M151" si="45">K151</f>
        <v>24000000</v>
      </c>
      <c r="N151" s="1658"/>
      <c r="O151" s="1656"/>
      <c r="P151" s="1656"/>
      <c r="Q151" s="1665"/>
      <c r="R151" s="1665"/>
    </row>
    <row r="152" spans="2:18" ht="15">
      <c r="B152" s="458"/>
      <c r="C152" s="380"/>
      <c r="D152" s="380"/>
      <c r="E152" s="459"/>
      <c r="F152" s="459"/>
      <c r="G152" s="1662" t="s">
        <v>1389</v>
      </c>
      <c r="H152" s="1968">
        <v>12</v>
      </c>
      <c r="I152" s="1653" t="s">
        <v>28</v>
      </c>
      <c r="J152" s="1664">
        <v>4500000</v>
      </c>
      <c r="K152" s="1945">
        <f t="shared" ref="K152:K155" si="46">H152*J152</f>
        <v>54000000</v>
      </c>
      <c r="L152" s="377"/>
      <c r="M152" s="377">
        <f t="shared" si="43"/>
        <v>54000000</v>
      </c>
      <c r="N152" s="473"/>
      <c r="O152" s="377"/>
      <c r="P152" s="377"/>
      <c r="Q152" s="969"/>
      <c r="R152" s="969"/>
    </row>
    <row r="153" spans="2:18" ht="15">
      <c r="B153" s="458"/>
      <c r="C153" s="380"/>
      <c r="D153" s="380"/>
      <c r="E153" s="459"/>
      <c r="F153" s="459"/>
      <c r="G153" s="1662" t="s">
        <v>1758</v>
      </c>
      <c r="H153" s="1663">
        <v>7</v>
      </c>
      <c r="I153" s="1653" t="s">
        <v>28</v>
      </c>
      <c r="J153" s="1664">
        <v>9000000</v>
      </c>
      <c r="K153" s="1945">
        <f t="shared" si="46"/>
        <v>63000000</v>
      </c>
      <c r="L153" s="377"/>
      <c r="M153" s="377">
        <f t="shared" si="43"/>
        <v>63000000</v>
      </c>
      <c r="N153" s="473"/>
      <c r="O153" s="377"/>
      <c r="P153" s="377"/>
      <c r="Q153" s="969"/>
      <c r="R153" s="969"/>
    </row>
    <row r="154" spans="2:18" ht="15">
      <c r="B154" s="458"/>
      <c r="C154" s="380"/>
      <c r="D154" s="380"/>
      <c r="E154" s="459"/>
      <c r="F154" s="459"/>
      <c r="G154" s="1662" t="s">
        <v>1390</v>
      </c>
      <c r="H154" s="1663">
        <v>8</v>
      </c>
      <c r="I154" s="1653" t="s">
        <v>28</v>
      </c>
      <c r="J154" s="1664">
        <v>9800000</v>
      </c>
      <c r="K154" s="1945">
        <f t="shared" si="46"/>
        <v>78400000</v>
      </c>
      <c r="L154" s="377"/>
      <c r="M154" s="377">
        <f t="shared" si="43"/>
        <v>78400000</v>
      </c>
      <c r="N154" s="473"/>
      <c r="O154" s="377"/>
      <c r="P154" s="377"/>
      <c r="Q154" s="969"/>
      <c r="R154" s="969"/>
    </row>
    <row r="155" spans="2:18" ht="15">
      <c r="B155" s="1659"/>
      <c r="C155" s="1660"/>
      <c r="D155" s="1660"/>
      <c r="E155" s="1661"/>
      <c r="F155" s="1661"/>
      <c r="G155" s="1662" t="s">
        <v>1403</v>
      </c>
      <c r="H155" s="1968">
        <v>10</v>
      </c>
      <c r="I155" s="1653" t="s">
        <v>28</v>
      </c>
      <c r="J155" s="1664">
        <v>4000000</v>
      </c>
      <c r="K155" s="1945">
        <f t="shared" si="46"/>
        <v>40000000</v>
      </c>
      <c r="L155" s="1656"/>
      <c r="M155" s="377">
        <f t="shared" si="43"/>
        <v>40000000</v>
      </c>
      <c r="N155" s="1658"/>
      <c r="O155" s="1656"/>
      <c r="P155" s="1656"/>
      <c r="Q155" s="1665"/>
      <c r="R155" s="1665"/>
    </row>
    <row r="156" spans="2:18" ht="15">
      <c r="B156" s="1659"/>
      <c r="C156" s="1660"/>
      <c r="D156" s="1660"/>
      <c r="E156" s="1661"/>
      <c r="F156" s="1661"/>
      <c r="G156" s="1662"/>
      <c r="H156" s="1663"/>
      <c r="I156" s="1653"/>
      <c r="J156" s="1664"/>
      <c r="K156" s="1945"/>
      <c r="L156" s="1656"/>
      <c r="M156" s="1656"/>
      <c r="N156" s="1658"/>
      <c r="O156" s="1656"/>
      <c r="P156" s="1656"/>
      <c r="Q156" s="1665"/>
      <c r="R156" s="1665"/>
    </row>
    <row r="157" spans="2:18" ht="25.5">
      <c r="B157" s="429">
        <v>5</v>
      </c>
      <c r="C157" s="424">
        <v>2</v>
      </c>
      <c r="D157" s="424">
        <v>2</v>
      </c>
      <c r="E157" s="430">
        <v>28</v>
      </c>
      <c r="F157" s="424"/>
      <c r="G157" s="588" t="s">
        <v>1889</v>
      </c>
      <c r="H157" s="956"/>
      <c r="I157" s="368"/>
      <c r="J157" s="589"/>
      <c r="K157" s="431">
        <f>K158</f>
        <v>140400000</v>
      </c>
      <c r="L157" s="377"/>
      <c r="M157" s="377"/>
      <c r="N157" s="473"/>
      <c r="O157" s="377"/>
      <c r="P157" s="377"/>
      <c r="Q157" s="385"/>
      <c r="R157" s="385"/>
    </row>
    <row r="158" spans="2:18" ht="15">
      <c r="B158" s="429">
        <v>5</v>
      </c>
      <c r="C158" s="424">
        <v>2</v>
      </c>
      <c r="D158" s="424">
        <v>2</v>
      </c>
      <c r="E158" s="430">
        <v>28</v>
      </c>
      <c r="F158" s="430" t="s">
        <v>24</v>
      </c>
      <c r="G158" s="588" t="s">
        <v>1890</v>
      </c>
      <c r="H158" s="956"/>
      <c r="I158" s="368"/>
      <c r="J158" s="589"/>
      <c r="K158" s="431">
        <f>SUM(K159:K163)</f>
        <v>140400000</v>
      </c>
      <c r="L158" s="377"/>
      <c r="M158" s="377"/>
      <c r="N158" s="473"/>
      <c r="O158" s="377"/>
      <c r="P158" s="377"/>
      <c r="Q158" s="378"/>
      <c r="R158" s="378"/>
    </row>
    <row r="159" spans="2:18" ht="25.5">
      <c r="B159" s="1079"/>
      <c r="C159" s="375"/>
      <c r="D159" s="375"/>
      <c r="E159" s="375"/>
      <c r="F159" s="375"/>
      <c r="G159" s="2011" t="s">
        <v>1767</v>
      </c>
      <c r="H159" s="2053">
        <f>1*9*1*4</f>
        <v>36</v>
      </c>
      <c r="I159" s="2044" t="s">
        <v>908</v>
      </c>
      <c r="J159" s="2045">
        <v>900000</v>
      </c>
      <c r="K159" s="1163">
        <f t="shared" ref="K159:K163" si="47">H159*J159</f>
        <v>32400000</v>
      </c>
      <c r="L159" s="377"/>
      <c r="M159" s="377">
        <f>K159</f>
        <v>32400000</v>
      </c>
      <c r="N159" s="377"/>
      <c r="O159" s="377"/>
      <c r="P159" s="377"/>
      <c r="Q159" s="385"/>
      <c r="R159" s="385"/>
    </row>
    <row r="160" spans="2:18" ht="25.5">
      <c r="B160" s="1079"/>
      <c r="C160" s="375"/>
      <c r="D160" s="375"/>
      <c r="E160" s="375"/>
      <c r="F160" s="375"/>
      <c r="G160" s="2013" t="s">
        <v>1542</v>
      </c>
      <c r="H160" s="2054">
        <f>1*9*2</f>
        <v>18</v>
      </c>
      <c r="I160" s="1955" t="s">
        <v>908</v>
      </c>
      <c r="J160" s="2046">
        <v>900000</v>
      </c>
      <c r="K160" s="1163">
        <f t="shared" si="47"/>
        <v>16200000</v>
      </c>
      <c r="L160" s="377"/>
      <c r="M160" s="377">
        <f>K160</f>
        <v>16200000</v>
      </c>
      <c r="N160" s="377"/>
      <c r="O160" s="377"/>
      <c r="P160" s="377"/>
      <c r="Q160" s="385"/>
      <c r="R160" s="385"/>
    </row>
    <row r="161" spans="2:20" ht="25.5">
      <c r="B161" s="1079"/>
      <c r="C161" s="375"/>
      <c r="D161" s="375"/>
      <c r="E161" s="375"/>
      <c r="F161" s="375"/>
      <c r="G161" s="2017" t="s">
        <v>1768</v>
      </c>
      <c r="H161" s="2056">
        <f>1*9*1*2</f>
        <v>18</v>
      </c>
      <c r="I161" s="1961" t="s">
        <v>908</v>
      </c>
      <c r="J161" s="2048">
        <v>900000</v>
      </c>
      <c r="K161" s="1163">
        <f t="shared" si="47"/>
        <v>16200000</v>
      </c>
      <c r="L161" s="377"/>
      <c r="M161" s="377">
        <f>K161</f>
        <v>16200000</v>
      </c>
      <c r="N161" s="377"/>
      <c r="O161" s="377"/>
      <c r="P161" s="377"/>
      <c r="Q161" s="385"/>
      <c r="R161" s="385"/>
    </row>
    <row r="162" spans="2:20">
      <c r="B162" s="1079"/>
      <c r="C162" s="375"/>
      <c r="D162" s="375"/>
      <c r="E162" s="375"/>
      <c r="F162" s="375"/>
      <c r="G162" s="2020" t="s">
        <v>1971</v>
      </c>
      <c r="H162" s="2057">
        <f>1*9*4</f>
        <v>36</v>
      </c>
      <c r="I162" s="2049" t="s">
        <v>908</v>
      </c>
      <c r="J162" s="2050">
        <v>900000</v>
      </c>
      <c r="K162" s="1163">
        <f t="shared" si="47"/>
        <v>32400000</v>
      </c>
      <c r="L162" s="377"/>
      <c r="M162" s="377">
        <f t="shared" ref="M162" si="48">K162</f>
        <v>32400000</v>
      </c>
      <c r="N162" s="377"/>
      <c r="O162" s="377"/>
      <c r="P162" s="377"/>
      <c r="Q162" s="385"/>
      <c r="R162" s="385"/>
    </row>
    <row r="163" spans="2:20" ht="25.5">
      <c r="B163" s="1079"/>
      <c r="C163" s="375"/>
      <c r="D163" s="375"/>
      <c r="E163" s="375"/>
      <c r="F163" s="375"/>
      <c r="G163" s="2020" t="s">
        <v>1970</v>
      </c>
      <c r="H163" s="2391">
        <f>2*3*3*4*3</f>
        <v>216</v>
      </c>
      <c r="I163" s="2049" t="s">
        <v>908</v>
      </c>
      <c r="J163" s="2050">
        <v>200000</v>
      </c>
      <c r="K163" s="1163">
        <f t="shared" si="47"/>
        <v>43200000</v>
      </c>
      <c r="L163" s="377"/>
      <c r="M163" s="377">
        <f>K163</f>
        <v>43200000</v>
      </c>
      <c r="N163" s="377"/>
      <c r="O163" s="377"/>
      <c r="P163" s="377"/>
      <c r="Q163" s="385"/>
      <c r="R163" s="385"/>
    </row>
    <row r="164" spans="2:20" ht="15">
      <c r="B164" s="1659"/>
      <c r="C164" s="1660"/>
      <c r="D164" s="1660"/>
      <c r="E164" s="1661"/>
      <c r="F164" s="1661"/>
      <c r="G164" s="1662"/>
      <c r="H164" s="1663"/>
      <c r="I164" s="1653"/>
      <c r="J164" s="1664"/>
      <c r="K164" s="595"/>
      <c r="L164" s="1656"/>
      <c r="M164" s="564"/>
      <c r="N164" s="1658"/>
      <c r="O164" s="1656"/>
      <c r="P164" s="1656"/>
      <c r="Q164" s="1665"/>
      <c r="R164" s="1665"/>
    </row>
    <row r="165" spans="2:20" ht="15">
      <c r="B165" s="429"/>
      <c r="C165" s="424"/>
      <c r="D165" s="424"/>
      <c r="E165" s="430"/>
      <c r="F165" s="430"/>
      <c r="G165" s="462"/>
      <c r="H165" s="646"/>
      <c r="I165" s="463"/>
      <c r="J165" s="647"/>
      <c r="K165" s="595"/>
      <c r="L165" s="814"/>
      <c r="M165" s="569"/>
      <c r="N165" s="473"/>
      <c r="O165" s="378"/>
      <c r="P165" s="378"/>
      <c r="Q165" s="378"/>
      <c r="R165" s="378"/>
    </row>
    <row r="166" spans="2:20" ht="15.75" thickBot="1">
      <c r="B166" s="3289" t="s">
        <v>30</v>
      </c>
      <c r="C166" s="3290"/>
      <c r="D166" s="3290"/>
      <c r="E166" s="3290"/>
      <c r="F166" s="3290"/>
      <c r="G166" s="3290"/>
      <c r="H166" s="3290"/>
      <c r="I166" s="3290"/>
      <c r="J166" s="3291"/>
      <c r="K166" s="63">
        <f>K24</f>
        <v>2112642266</v>
      </c>
      <c r="L166" s="305">
        <f>SUM(L139:L165)</f>
        <v>0</v>
      </c>
      <c r="M166" s="305">
        <f>SUM(M28:M165)</f>
        <v>2112642266</v>
      </c>
      <c r="N166" s="305">
        <f>SUM(N139:N165)</f>
        <v>0</v>
      </c>
      <c r="O166" s="305">
        <f>SUM(O139:O165)</f>
        <v>0</v>
      </c>
      <c r="P166" s="305">
        <f>SUM(P139:P165)</f>
        <v>0</v>
      </c>
      <c r="Q166" s="305">
        <f>SUM(Q139:Q165)</f>
        <v>0</v>
      </c>
      <c r="R166" s="314">
        <f>SUM(L166:Q166)</f>
        <v>2112642266</v>
      </c>
      <c r="S166" s="41">
        <f>K166-R166</f>
        <v>0</v>
      </c>
      <c r="T166" s="57"/>
    </row>
    <row r="167" spans="2:20" ht="15.75" thickTop="1">
      <c r="B167" s="70"/>
      <c r="C167" s="70"/>
      <c r="D167" s="70"/>
      <c r="E167" s="70"/>
      <c r="F167" s="70"/>
      <c r="G167" s="70"/>
      <c r="H167" s="70"/>
      <c r="I167" s="70"/>
      <c r="J167" s="70"/>
      <c r="K167" s="131"/>
      <c r="L167" s="305"/>
      <c r="M167" s="310"/>
      <c r="N167" s="306"/>
      <c r="O167" s="306"/>
      <c r="P167" s="306"/>
      <c r="Q167" s="306"/>
      <c r="R167" s="306"/>
    </row>
    <row r="168" spans="2:20" ht="15">
      <c r="B168" s="70"/>
      <c r="C168" s="70"/>
      <c r="D168" s="70"/>
      <c r="E168" s="70"/>
      <c r="F168" s="70"/>
      <c r="G168" s="70"/>
      <c r="H168" s="70"/>
      <c r="I168" s="70"/>
      <c r="J168" s="70"/>
      <c r="K168" s="1216"/>
      <c r="L168" s="377"/>
      <c r="M168" s="569"/>
      <c r="N168" s="378"/>
      <c r="O168" s="378"/>
      <c r="P168" s="378"/>
      <c r="Q168" s="378"/>
      <c r="R168" s="378"/>
    </row>
    <row r="169" spans="2:20" ht="15">
      <c r="B169" s="8"/>
      <c r="C169" s="8"/>
      <c r="D169" s="8"/>
      <c r="E169" s="8"/>
      <c r="F169" s="8"/>
      <c r="G169" s="8"/>
      <c r="H169" s="3336" t="s">
        <v>1534</v>
      </c>
      <c r="I169" s="3336"/>
      <c r="J169" s="3336"/>
      <c r="K169" s="146"/>
      <c r="L169" s="305"/>
      <c r="M169" s="310"/>
      <c r="N169" s="306"/>
      <c r="O169" s="306"/>
      <c r="P169" s="306"/>
      <c r="Q169" s="306"/>
      <c r="R169" s="306"/>
    </row>
    <row r="170" spans="2:20" ht="15">
      <c r="H170" s="3337" t="s">
        <v>272</v>
      </c>
      <c r="I170" s="3337"/>
      <c r="J170" s="3485"/>
      <c r="K170" s="295"/>
      <c r="L170" s="305"/>
      <c r="M170" s="310"/>
      <c r="N170" s="306"/>
      <c r="O170" s="306"/>
      <c r="P170" s="306"/>
      <c r="Q170" s="306"/>
      <c r="R170" s="306"/>
    </row>
    <row r="171" spans="2:20" ht="15">
      <c r="H171" s="127"/>
      <c r="I171" s="127"/>
      <c r="J171" s="127"/>
      <c r="K171" s="8"/>
      <c r="L171" s="305"/>
      <c r="M171" s="310"/>
      <c r="N171" s="306"/>
      <c r="O171" s="306"/>
      <c r="P171" s="306"/>
      <c r="Q171" s="306"/>
      <c r="R171" s="306"/>
    </row>
    <row r="172" spans="2:20" ht="15">
      <c r="H172" s="127"/>
      <c r="I172" s="127"/>
      <c r="J172" s="127"/>
      <c r="K172" s="8"/>
      <c r="L172" s="305"/>
      <c r="M172" s="310"/>
      <c r="N172" s="306"/>
      <c r="O172" s="306"/>
      <c r="P172" s="306"/>
      <c r="Q172" s="306"/>
      <c r="R172" s="306"/>
    </row>
    <row r="173" spans="2:20" ht="15">
      <c r="H173" s="3434" t="s">
        <v>904</v>
      </c>
      <c r="I173" s="3434"/>
      <c r="J173" s="3434"/>
      <c r="K173" s="8"/>
      <c r="L173" s="305"/>
      <c r="M173" s="310"/>
      <c r="N173" s="306"/>
      <c r="O173" s="306"/>
      <c r="P173" s="306"/>
      <c r="Q173" s="306"/>
      <c r="R173" s="306"/>
    </row>
    <row r="174" spans="2:20" ht="15">
      <c r="H174" s="3434" t="s">
        <v>906</v>
      </c>
      <c r="I174" s="3434"/>
      <c r="J174" s="3434"/>
      <c r="K174" s="8"/>
      <c r="L174" s="305"/>
      <c r="M174" s="310"/>
      <c r="N174" s="306"/>
      <c r="O174" s="306"/>
      <c r="P174" s="306"/>
      <c r="Q174" s="306"/>
      <c r="R174" s="306"/>
    </row>
    <row r="175" spans="2:20" ht="15">
      <c r="L175" s="305"/>
      <c r="M175" s="310"/>
      <c r="N175" s="306"/>
      <c r="O175" s="306"/>
      <c r="P175" s="306"/>
      <c r="Q175" s="306"/>
      <c r="R175" s="306"/>
    </row>
    <row r="176" spans="2:20" ht="15">
      <c r="L176" s="305"/>
      <c r="M176" s="310"/>
      <c r="N176" s="306"/>
      <c r="O176" s="306"/>
      <c r="P176" s="306"/>
      <c r="Q176" s="306"/>
      <c r="R176" s="306"/>
    </row>
    <row r="177" spans="2:18" ht="15">
      <c r="K177" s="9">
        <v>1400062303</v>
      </c>
      <c r="L177" s="305"/>
      <c r="M177" s="310"/>
      <c r="N177" s="306"/>
      <c r="O177" s="306"/>
      <c r="P177" s="306"/>
      <c r="Q177" s="306"/>
      <c r="R177" s="306"/>
    </row>
    <row r="178" spans="2:18" ht="15">
      <c r="L178" s="305"/>
      <c r="M178" s="310"/>
      <c r="N178" s="306"/>
      <c r="O178" s="306"/>
      <c r="P178" s="306"/>
      <c r="Q178" s="306"/>
      <c r="R178" s="306"/>
    </row>
    <row r="179" spans="2:18" ht="15">
      <c r="L179" s="305"/>
      <c r="M179" s="310"/>
      <c r="N179" s="306"/>
      <c r="O179" s="306"/>
      <c r="P179" s="306"/>
      <c r="Q179" s="306"/>
      <c r="R179" s="306"/>
    </row>
    <row r="180" spans="2:18" ht="15">
      <c r="L180" s="305"/>
      <c r="M180" s="310"/>
      <c r="N180" s="306"/>
      <c r="O180" s="306"/>
      <c r="P180" s="306"/>
      <c r="Q180" s="306"/>
      <c r="R180" s="306"/>
    </row>
    <row r="181" spans="2:18" ht="15">
      <c r="B181" s="19"/>
      <c r="C181" s="15"/>
      <c r="D181" s="15"/>
      <c r="E181" s="28"/>
      <c r="F181" s="28"/>
      <c r="G181" s="112"/>
      <c r="H181" s="45"/>
      <c r="I181" s="17"/>
      <c r="J181" s="46"/>
      <c r="K181" s="188"/>
      <c r="L181" s="305"/>
      <c r="M181" s="310"/>
      <c r="N181" s="306"/>
      <c r="O181" s="306"/>
      <c r="P181" s="306"/>
      <c r="Q181" s="306"/>
      <c r="R181" s="306"/>
    </row>
    <row r="182" spans="2:18" ht="15">
      <c r="B182" s="19"/>
      <c r="C182" s="15"/>
      <c r="D182" s="15"/>
      <c r="E182" s="28"/>
      <c r="F182" s="28"/>
      <c r="G182" s="112"/>
      <c r="H182" s="45"/>
      <c r="I182" s="17"/>
      <c r="J182" s="46"/>
      <c r="K182" s="188"/>
      <c r="L182" s="305"/>
      <c r="M182" s="310"/>
      <c r="N182" s="306"/>
      <c r="O182" s="306"/>
      <c r="P182" s="306"/>
      <c r="Q182" s="306"/>
      <c r="R182" s="306"/>
    </row>
    <row r="183" spans="2:18" ht="15">
      <c r="B183" s="19"/>
      <c r="C183" s="15"/>
      <c r="D183" s="15"/>
      <c r="E183" s="28"/>
      <c r="F183" s="28"/>
      <c r="G183" s="183" t="s">
        <v>363</v>
      </c>
      <c r="H183" s="174"/>
      <c r="I183" s="174"/>
      <c r="J183" s="187"/>
      <c r="K183" s="188">
        <f>SUM(K184:K187)</f>
        <v>1350000</v>
      </c>
      <c r="L183" s="305"/>
      <c r="M183" s="310"/>
      <c r="N183" s="400"/>
      <c r="O183" s="306"/>
      <c r="P183" s="306"/>
      <c r="Q183" s="306"/>
      <c r="R183" s="306"/>
    </row>
    <row r="184" spans="2:18" ht="15">
      <c r="B184" s="19"/>
      <c r="C184" s="15"/>
      <c r="D184" s="15"/>
      <c r="E184" s="28"/>
      <c r="F184" s="28"/>
      <c r="G184" s="171" t="s">
        <v>482</v>
      </c>
      <c r="H184" s="174">
        <v>1</v>
      </c>
      <c r="I184" s="174" t="s">
        <v>27</v>
      </c>
      <c r="J184" s="175">
        <v>250000</v>
      </c>
      <c r="K184" s="189">
        <f>H184*J184</f>
        <v>250000</v>
      </c>
      <c r="L184" s="305"/>
      <c r="M184" s="310"/>
      <c r="N184" s="306"/>
      <c r="O184" s="306"/>
      <c r="P184" s="306"/>
      <c r="Q184" s="306"/>
      <c r="R184" s="306"/>
    </row>
    <row r="185" spans="2:18" ht="15">
      <c r="B185" s="19"/>
      <c r="C185" s="15"/>
      <c r="D185" s="15"/>
      <c r="E185" s="28"/>
      <c r="F185" s="28"/>
      <c r="G185" s="171" t="s">
        <v>483</v>
      </c>
      <c r="H185" s="174">
        <v>1</v>
      </c>
      <c r="I185" s="174" t="s">
        <v>27</v>
      </c>
      <c r="J185" s="175">
        <v>250000</v>
      </c>
      <c r="K185" s="189">
        <f>H185*J185</f>
        <v>250000</v>
      </c>
      <c r="L185" s="305"/>
      <c r="M185" s="310"/>
      <c r="N185" s="306"/>
      <c r="O185" s="306"/>
      <c r="P185" s="306"/>
      <c r="Q185" s="306"/>
      <c r="R185" s="306"/>
    </row>
    <row r="186" spans="2:18" ht="15">
      <c r="B186" s="19"/>
      <c r="C186" s="15"/>
      <c r="D186" s="15"/>
      <c r="E186" s="28"/>
      <c r="F186" s="28"/>
      <c r="G186" s="171" t="s">
        <v>484</v>
      </c>
      <c r="H186" s="174">
        <v>1</v>
      </c>
      <c r="I186" s="174" t="s">
        <v>27</v>
      </c>
      <c r="J186" s="175">
        <v>200000</v>
      </c>
      <c r="K186" s="189">
        <f>H186*J186</f>
        <v>200000</v>
      </c>
      <c r="L186" s="305"/>
      <c r="M186" s="310"/>
      <c r="N186" s="306"/>
      <c r="O186" s="306"/>
      <c r="P186" s="306"/>
      <c r="Q186" s="306"/>
      <c r="R186" s="306"/>
    </row>
    <row r="187" spans="2:18" ht="15">
      <c r="B187" s="19"/>
      <c r="C187" s="15"/>
      <c r="D187" s="15"/>
      <c r="E187" s="28"/>
      <c r="F187" s="28"/>
      <c r="G187" s="183" t="s">
        <v>485</v>
      </c>
      <c r="H187" s="174">
        <v>1</v>
      </c>
      <c r="I187" s="174" t="s">
        <v>27</v>
      </c>
      <c r="J187" s="175">
        <v>650000</v>
      </c>
      <c r="K187" s="189">
        <f>H187*J187</f>
        <v>650000</v>
      </c>
      <c r="L187" s="305"/>
      <c r="M187" s="310"/>
      <c r="N187" s="306"/>
      <c r="O187" s="306"/>
      <c r="P187" s="306"/>
      <c r="Q187" s="306"/>
      <c r="R187" s="306"/>
    </row>
    <row r="188" spans="2:18" ht="15">
      <c r="B188" s="19"/>
      <c r="C188" s="15"/>
      <c r="D188" s="15"/>
      <c r="E188" s="28"/>
      <c r="F188" s="28"/>
      <c r="G188" s="183"/>
      <c r="H188" s="174"/>
      <c r="I188" s="174"/>
      <c r="J188" s="175"/>
      <c r="K188" s="189"/>
      <c r="L188" s="305"/>
      <c r="M188" s="310"/>
      <c r="N188" s="306"/>
      <c r="O188" s="306"/>
      <c r="P188" s="306"/>
      <c r="Q188" s="306"/>
      <c r="R188" s="306"/>
    </row>
    <row r="189" spans="2:18" ht="15">
      <c r="B189" s="19"/>
      <c r="C189" s="15"/>
      <c r="D189" s="15"/>
      <c r="E189" s="28"/>
      <c r="F189" s="28"/>
      <c r="G189" s="183" t="s">
        <v>486</v>
      </c>
      <c r="H189" s="174"/>
      <c r="I189" s="174"/>
      <c r="J189" s="187"/>
      <c r="K189" s="188">
        <f>SUM(K190:K193)</f>
        <v>1500000</v>
      </c>
      <c r="L189" s="305"/>
      <c r="M189" s="310"/>
      <c r="N189" s="306"/>
      <c r="O189" s="306"/>
      <c r="P189" s="306"/>
      <c r="Q189" s="306"/>
      <c r="R189" s="306"/>
    </row>
    <row r="190" spans="2:18" ht="15">
      <c r="B190" s="19"/>
      <c r="C190" s="15"/>
      <c r="D190" s="15"/>
      <c r="E190" s="28"/>
      <c r="F190" s="28"/>
      <c r="G190" s="171" t="s">
        <v>482</v>
      </c>
      <c r="H190" s="174">
        <v>1</v>
      </c>
      <c r="I190" s="174" t="s">
        <v>27</v>
      </c>
      <c r="J190" s="175">
        <v>250000</v>
      </c>
      <c r="K190" s="189">
        <f>H190*J190</f>
        <v>250000</v>
      </c>
      <c r="L190" s="305"/>
      <c r="M190" s="310"/>
      <c r="N190" s="306"/>
      <c r="O190" s="306"/>
      <c r="P190" s="306"/>
      <c r="Q190" s="306"/>
      <c r="R190" s="306"/>
    </row>
    <row r="191" spans="2:18" ht="15">
      <c r="B191" s="19"/>
      <c r="C191" s="15"/>
      <c r="D191" s="15"/>
      <c r="E191" s="28"/>
      <c r="F191" s="28"/>
      <c r="G191" s="171" t="s">
        <v>483</v>
      </c>
      <c r="H191" s="174">
        <v>1</v>
      </c>
      <c r="I191" s="174" t="s">
        <v>27</v>
      </c>
      <c r="J191" s="175">
        <v>300000</v>
      </c>
      <c r="K191" s="189">
        <f>H191*J191</f>
        <v>300000</v>
      </c>
      <c r="L191" s="305"/>
      <c r="M191" s="310"/>
      <c r="N191" s="306"/>
      <c r="O191" s="306"/>
      <c r="P191" s="306"/>
      <c r="Q191" s="306"/>
      <c r="R191" s="306"/>
    </row>
    <row r="192" spans="2:18" ht="15">
      <c r="B192" s="19"/>
      <c r="C192" s="15"/>
      <c r="D192" s="15"/>
      <c r="E192" s="28"/>
      <c r="F192" s="28"/>
      <c r="G192" s="171" t="s">
        <v>484</v>
      </c>
      <c r="H192" s="174">
        <v>1</v>
      </c>
      <c r="I192" s="174" t="s">
        <v>27</v>
      </c>
      <c r="J192" s="175">
        <v>300000</v>
      </c>
      <c r="K192" s="189">
        <f>H192*J192</f>
        <v>300000</v>
      </c>
      <c r="L192" s="305"/>
      <c r="M192" s="310"/>
      <c r="N192" s="306"/>
      <c r="O192" s="306"/>
      <c r="P192" s="306"/>
      <c r="Q192" s="306"/>
      <c r="R192" s="306"/>
    </row>
    <row r="193" spans="2:18" ht="15">
      <c r="B193" s="19"/>
      <c r="C193" s="15"/>
      <c r="D193" s="15"/>
      <c r="E193" s="28"/>
      <c r="F193" s="28"/>
      <c r="G193" s="183" t="s">
        <v>485</v>
      </c>
      <c r="H193" s="174">
        <v>1</v>
      </c>
      <c r="I193" s="174" t="s">
        <v>27</v>
      </c>
      <c r="J193" s="175">
        <v>650000</v>
      </c>
      <c r="K193" s="189">
        <f>H193*J193</f>
        <v>650000</v>
      </c>
      <c r="L193" s="305"/>
      <c r="M193" s="310"/>
      <c r="N193" s="306"/>
      <c r="O193" s="306"/>
      <c r="P193" s="306"/>
      <c r="Q193" s="306"/>
      <c r="R193" s="306"/>
    </row>
    <row r="194" spans="2:18" ht="15">
      <c r="B194" s="19"/>
      <c r="C194" s="15"/>
      <c r="D194" s="15"/>
      <c r="E194" s="28"/>
      <c r="F194" s="28"/>
      <c r="G194" s="112"/>
      <c r="H194" s="45"/>
      <c r="I194" s="17"/>
      <c r="J194" s="46"/>
      <c r="K194" s="188"/>
      <c r="L194" s="305"/>
      <c r="M194" s="310"/>
      <c r="N194" s="306"/>
      <c r="O194" s="306"/>
      <c r="P194" s="306"/>
      <c r="Q194" s="306"/>
      <c r="R194" s="306"/>
    </row>
    <row r="195" spans="2:18" ht="15">
      <c r="B195" s="19"/>
      <c r="C195" s="15"/>
      <c r="D195" s="15"/>
      <c r="E195" s="28"/>
      <c r="F195" s="28"/>
      <c r="G195" s="183" t="s">
        <v>487</v>
      </c>
      <c r="H195" s="174"/>
      <c r="I195" s="174"/>
      <c r="J195" s="187"/>
      <c r="K195" s="188">
        <f>SUM(K196:K199)</f>
        <v>1850000</v>
      </c>
      <c r="L195" s="305"/>
      <c r="M195" s="310"/>
      <c r="N195" s="306"/>
      <c r="O195" s="306"/>
      <c r="P195" s="306"/>
      <c r="Q195" s="306"/>
      <c r="R195" s="306"/>
    </row>
    <row r="196" spans="2:18" ht="15">
      <c r="B196" s="19"/>
      <c r="C196" s="15"/>
      <c r="D196" s="15"/>
      <c r="E196" s="28"/>
      <c r="F196" s="28"/>
      <c r="G196" s="171" t="s">
        <v>482</v>
      </c>
      <c r="H196" s="174">
        <v>1</v>
      </c>
      <c r="I196" s="174" t="s">
        <v>27</v>
      </c>
      <c r="J196" s="175">
        <v>300000</v>
      </c>
      <c r="K196" s="189">
        <f>H196*J196</f>
        <v>300000</v>
      </c>
      <c r="L196" s="305"/>
      <c r="M196" s="310"/>
      <c r="N196" s="306"/>
      <c r="O196" s="306"/>
      <c r="P196" s="306"/>
      <c r="Q196" s="306"/>
      <c r="R196" s="306"/>
    </row>
    <row r="197" spans="2:18" ht="15">
      <c r="B197" s="19"/>
      <c r="C197" s="15"/>
      <c r="D197" s="15"/>
      <c r="E197" s="28"/>
      <c r="F197" s="28"/>
      <c r="G197" s="171" t="s">
        <v>483</v>
      </c>
      <c r="H197" s="174">
        <v>1</v>
      </c>
      <c r="I197" s="174" t="s">
        <v>27</v>
      </c>
      <c r="J197" s="175">
        <v>350000</v>
      </c>
      <c r="K197" s="189">
        <f>H197*J197</f>
        <v>350000</v>
      </c>
      <c r="L197" s="305"/>
      <c r="M197" s="310"/>
      <c r="N197" s="306"/>
      <c r="O197" s="306"/>
      <c r="P197" s="306"/>
      <c r="Q197" s="306"/>
      <c r="R197" s="306"/>
    </row>
    <row r="198" spans="2:18" ht="15">
      <c r="B198" s="19"/>
      <c r="C198" s="15"/>
      <c r="D198" s="15"/>
      <c r="E198" s="28"/>
      <c r="F198" s="28"/>
      <c r="G198" s="171" t="s">
        <v>484</v>
      </c>
      <c r="H198" s="174">
        <v>1</v>
      </c>
      <c r="I198" s="174" t="s">
        <v>27</v>
      </c>
      <c r="J198" s="175">
        <v>400000</v>
      </c>
      <c r="K198" s="189">
        <f>H198*J198</f>
        <v>400000</v>
      </c>
      <c r="L198" s="305"/>
      <c r="M198" s="310"/>
      <c r="N198" s="306"/>
      <c r="O198" s="306"/>
      <c r="P198" s="306"/>
      <c r="Q198" s="306"/>
      <c r="R198" s="306"/>
    </row>
    <row r="199" spans="2:18" ht="15">
      <c r="B199" s="19"/>
      <c r="C199" s="15"/>
      <c r="D199" s="15"/>
      <c r="E199" s="28"/>
      <c r="F199" s="28"/>
      <c r="G199" s="183" t="s">
        <v>485</v>
      </c>
      <c r="H199" s="174">
        <v>1</v>
      </c>
      <c r="I199" s="174" t="s">
        <v>27</v>
      </c>
      <c r="J199" s="175">
        <v>800000</v>
      </c>
      <c r="K199" s="189">
        <f>H199*J199</f>
        <v>800000</v>
      </c>
      <c r="L199" s="305"/>
      <c r="M199" s="310"/>
      <c r="N199" s="306"/>
      <c r="O199" s="306"/>
      <c r="P199" s="306"/>
      <c r="Q199" s="306"/>
      <c r="R199" s="306"/>
    </row>
    <row r="200" spans="2:18" ht="15">
      <c r="B200" s="19"/>
      <c r="C200" s="15"/>
      <c r="D200" s="15"/>
      <c r="E200" s="28"/>
      <c r="F200" s="28"/>
      <c r="G200" s="112"/>
      <c r="H200" s="45"/>
      <c r="I200" s="17"/>
      <c r="J200" s="46"/>
      <c r="K200" s="188"/>
      <c r="L200" s="305"/>
      <c r="M200" s="310"/>
      <c r="N200" s="306"/>
      <c r="O200" s="306"/>
      <c r="P200" s="306"/>
      <c r="Q200" s="306"/>
      <c r="R200" s="306"/>
    </row>
    <row r="201" spans="2:18" ht="15">
      <c r="B201" s="19"/>
      <c r="C201" s="15"/>
      <c r="D201" s="15"/>
      <c r="E201" s="28"/>
      <c r="F201" s="28"/>
      <c r="G201" s="183" t="s">
        <v>374</v>
      </c>
      <c r="H201" s="174"/>
      <c r="I201" s="174"/>
      <c r="J201" s="187"/>
      <c r="K201" s="188">
        <f>SUM(K202:K206)</f>
        <v>3250000</v>
      </c>
      <c r="L201" s="305"/>
      <c r="M201" s="310"/>
      <c r="N201" s="306"/>
      <c r="O201" s="306"/>
      <c r="P201" s="306"/>
      <c r="Q201" s="306"/>
      <c r="R201" s="306"/>
    </row>
    <row r="202" spans="2:18" ht="15">
      <c r="B202" s="19"/>
      <c r="C202" s="15"/>
      <c r="D202" s="15"/>
      <c r="E202" s="28"/>
      <c r="F202" s="28"/>
      <c r="G202" s="171" t="s">
        <v>482</v>
      </c>
      <c r="H202" s="174">
        <v>1</v>
      </c>
      <c r="I202" s="174" t="s">
        <v>27</v>
      </c>
      <c r="J202" s="175">
        <v>400000</v>
      </c>
      <c r="K202" s="189">
        <f>H202*J202</f>
        <v>400000</v>
      </c>
      <c r="L202" s="305"/>
      <c r="M202" s="310"/>
      <c r="N202" s="306"/>
      <c r="O202" s="306"/>
      <c r="P202" s="306"/>
      <c r="Q202" s="306"/>
      <c r="R202" s="306"/>
    </row>
    <row r="203" spans="2:18" ht="15">
      <c r="B203" s="19"/>
      <c r="C203" s="15"/>
      <c r="D203" s="15"/>
      <c r="E203" s="28"/>
      <c r="F203" s="28"/>
      <c r="G203" s="171" t="s">
        <v>483</v>
      </c>
      <c r="H203" s="174">
        <v>1</v>
      </c>
      <c r="I203" s="174" t="s">
        <v>27</v>
      </c>
      <c r="J203" s="175">
        <v>400000</v>
      </c>
      <c r="K203" s="189">
        <f>H203*J203</f>
        <v>400000</v>
      </c>
      <c r="L203" s="305"/>
      <c r="M203" s="310"/>
      <c r="N203" s="306"/>
      <c r="O203" s="306"/>
      <c r="P203" s="306"/>
      <c r="Q203" s="306"/>
      <c r="R203" s="306"/>
    </row>
    <row r="204" spans="2:18" ht="15">
      <c r="B204" s="19"/>
      <c r="C204" s="15"/>
      <c r="D204" s="15"/>
      <c r="E204" s="28"/>
      <c r="F204" s="28"/>
      <c r="G204" s="171" t="s">
        <v>484</v>
      </c>
      <c r="H204" s="174">
        <v>1</v>
      </c>
      <c r="I204" s="174" t="s">
        <v>27</v>
      </c>
      <c r="J204" s="175">
        <v>500000</v>
      </c>
      <c r="K204" s="189">
        <f>H204*J204</f>
        <v>500000</v>
      </c>
      <c r="L204" s="305"/>
      <c r="M204" s="310"/>
      <c r="N204" s="306"/>
      <c r="O204" s="306"/>
      <c r="P204" s="306"/>
      <c r="Q204" s="306"/>
      <c r="R204" s="306"/>
    </row>
    <row r="205" spans="2:18" ht="15">
      <c r="B205" s="19"/>
      <c r="C205" s="15"/>
      <c r="D205" s="15"/>
      <c r="E205" s="28"/>
      <c r="F205" s="28"/>
      <c r="G205" s="171" t="s">
        <v>488</v>
      </c>
      <c r="H205" s="174">
        <v>1</v>
      </c>
      <c r="I205" s="174" t="s">
        <v>27</v>
      </c>
      <c r="J205" s="175">
        <v>500000</v>
      </c>
      <c r="K205" s="189">
        <f>H205*J205</f>
        <v>500000</v>
      </c>
      <c r="L205" s="305"/>
      <c r="M205" s="310"/>
      <c r="N205" s="306"/>
      <c r="O205" s="306"/>
      <c r="P205" s="306"/>
      <c r="Q205" s="306"/>
      <c r="R205" s="306"/>
    </row>
    <row r="206" spans="2:18" ht="15">
      <c r="B206" s="19"/>
      <c r="C206" s="15"/>
      <c r="D206" s="15"/>
      <c r="E206" s="28"/>
      <c r="F206" s="28"/>
      <c r="G206" s="183" t="s">
        <v>485</v>
      </c>
      <c r="H206" s="174">
        <v>1</v>
      </c>
      <c r="I206" s="174" t="s">
        <v>27</v>
      </c>
      <c r="J206" s="175">
        <v>1450000</v>
      </c>
      <c r="K206" s="189">
        <f>H206*J206</f>
        <v>1450000</v>
      </c>
      <c r="L206" s="305"/>
      <c r="M206" s="310"/>
      <c r="N206" s="306"/>
      <c r="O206" s="306"/>
      <c r="P206" s="306"/>
      <c r="Q206" s="306"/>
      <c r="R206" s="306"/>
    </row>
    <row r="207" spans="2:18" ht="15">
      <c r="B207" s="19"/>
      <c r="C207" s="15"/>
      <c r="D207" s="15"/>
      <c r="E207" s="28"/>
      <c r="F207" s="28"/>
      <c r="G207" s="183"/>
      <c r="H207" s="174"/>
      <c r="I207" s="174"/>
      <c r="J207" s="175"/>
      <c r="K207" s="189"/>
      <c r="L207" s="305"/>
      <c r="M207" s="310"/>
      <c r="N207" s="306"/>
      <c r="O207" s="306"/>
      <c r="P207" s="306"/>
      <c r="Q207" s="306"/>
      <c r="R207" s="306"/>
    </row>
    <row r="208" spans="2:18" ht="15">
      <c r="B208" s="19"/>
      <c r="C208" s="15"/>
      <c r="D208" s="15"/>
      <c r="E208" s="28"/>
      <c r="F208" s="28"/>
      <c r="G208" s="183" t="s">
        <v>489</v>
      </c>
      <c r="H208" s="184"/>
      <c r="I208" s="184"/>
      <c r="J208" s="185"/>
      <c r="K208" s="188">
        <f>SUM(K209:K219)</f>
        <v>50920000</v>
      </c>
      <c r="L208" s="305"/>
      <c r="M208" s="310"/>
      <c r="N208" s="306"/>
      <c r="O208" s="306"/>
      <c r="P208" s="306"/>
      <c r="Q208" s="306"/>
      <c r="R208" s="306"/>
    </row>
    <row r="209" spans="2:18" ht="15">
      <c r="B209" s="19"/>
      <c r="C209" s="15"/>
      <c r="D209" s="15"/>
      <c r="E209" s="28"/>
      <c r="F209" s="28"/>
      <c r="G209" s="186" t="s">
        <v>362</v>
      </c>
      <c r="H209" s="174">
        <v>1</v>
      </c>
      <c r="I209" s="174" t="s">
        <v>28</v>
      </c>
      <c r="J209" s="187">
        <v>10000000</v>
      </c>
      <c r="K209" s="189">
        <f t="shared" ref="K209:K214" si="49">H209*J209</f>
        <v>10000000</v>
      </c>
      <c r="L209" s="305"/>
      <c r="M209" s="310"/>
      <c r="N209" s="306"/>
      <c r="O209" s="306"/>
      <c r="P209" s="306"/>
      <c r="Q209" s="306"/>
      <c r="R209" s="306"/>
    </row>
    <row r="210" spans="2:18" ht="15">
      <c r="B210" s="19"/>
      <c r="C210" s="15"/>
      <c r="D210" s="15"/>
      <c r="E210" s="28"/>
      <c r="F210" s="28"/>
      <c r="G210" s="183" t="s">
        <v>363</v>
      </c>
      <c r="H210" s="174"/>
      <c r="I210" s="174"/>
      <c r="J210" s="187"/>
      <c r="K210" s="189">
        <f t="shared" si="49"/>
        <v>0</v>
      </c>
      <c r="L210" s="305"/>
      <c r="M210" s="310"/>
      <c r="N210" s="306"/>
      <c r="O210" s="306"/>
      <c r="P210" s="306"/>
      <c r="Q210" s="306"/>
      <c r="R210" s="306"/>
    </row>
    <row r="211" spans="2:18" ht="15">
      <c r="B211" s="19"/>
      <c r="C211" s="15"/>
      <c r="D211" s="15"/>
      <c r="E211" s="28"/>
      <c r="F211" s="28"/>
      <c r="G211" s="171" t="s">
        <v>379</v>
      </c>
      <c r="H211" s="174">
        <v>2</v>
      </c>
      <c r="I211" s="174" t="s">
        <v>27</v>
      </c>
      <c r="J211" s="175">
        <v>250000</v>
      </c>
      <c r="K211" s="189">
        <f t="shared" si="49"/>
        <v>500000</v>
      </c>
      <c r="L211" s="305"/>
      <c r="M211" s="310"/>
      <c r="N211" s="306"/>
      <c r="O211" s="306"/>
      <c r="P211" s="306"/>
      <c r="Q211" s="306"/>
      <c r="R211" s="306"/>
    </row>
    <row r="212" spans="2:18" ht="15">
      <c r="B212" s="19"/>
      <c r="C212" s="15"/>
      <c r="D212" s="15"/>
      <c r="E212" s="28"/>
      <c r="F212" s="28"/>
      <c r="G212" s="171" t="s">
        <v>380</v>
      </c>
      <c r="H212" s="174">
        <v>2</v>
      </c>
      <c r="I212" s="174" t="s">
        <v>27</v>
      </c>
      <c r="J212" s="175">
        <v>250000</v>
      </c>
      <c r="K212" s="189">
        <f t="shared" si="49"/>
        <v>500000</v>
      </c>
      <c r="L212" s="305"/>
      <c r="M212" s="310"/>
      <c r="N212" s="306"/>
      <c r="O212" s="306"/>
      <c r="P212" s="306"/>
      <c r="Q212" s="306"/>
      <c r="R212" s="306"/>
    </row>
    <row r="213" spans="2:18" ht="15">
      <c r="B213" s="19"/>
      <c r="C213" s="15"/>
      <c r="D213" s="15"/>
      <c r="E213" s="28"/>
      <c r="F213" s="28"/>
      <c r="G213" s="171" t="s">
        <v>378</v>
      </c>
      <c r="H213" s="174">
        <v>2</v>
      </c>
      <c r="I213" s="174" t="s">
        <v>27</v>
      </c>
      <c r="J213" s="175">
        <v>200000</v>
      </c>
      <c r="K213" s="189">
        <f t="shared" si="49"/>
        <v>400000</v>
      </c>
      <c r="L213" s="305"/>
      <c r="M213" s="310"/>
      <c r="N213" s="306"/>
      <c r="O213" s="306"/>
      <c r="P213" s="306"/>
      <c r="Q213" s="306"/>
      <c r="R213" s="306"/>
    </row>
    <row r="214" spans="2:18" ht="15">
      <c r="B214" s="19"/>
      <c r="C214" s="15"/>
      <c r="D214" s="15"/>
      <c r="E214" s="28"/>
      <c r="F214" s="28"/>
      <c r="G214" s="171" t="s">
        <v>381</v>
      </c>
      <c r="H214" s="174">
        <v>2</v>
      </c>
      <c r="I214" s="174" t="s">
        <v>27</v>
      </c>
      <c r="J214" s="175">
        <v>650000</v>
      </c>
      <c r="K214" s="189">
        <f t="shared" si="49"/>
        <v>1300000</v>
      </c>
      <c r="L214" s="305"/>
      <c r="M214" s="310"/>
      <c r="N214" s="306"/>
      <c r="O214" s="306"/>
      <c r="P214" s="306"/>
      <c r="Q214" s="306"/>
      <c r="R214" s="306"/>
    </row>
    <row r="215" spans="2:18" ht="15">
      <c r="B215" s="19"/>
      <c r="C215" s="15"/>
      <c r="D215" s="15"/>
      <c r="E215" s="28"/>
      <c r="F215" s="28"/>
      <c r="G215" s="183" t="s">
        <v>490</v>
      </c>
      <c r="H215" s="174"/>
      <c r="I215" s="174"/>
      <c r="J215" s="175"/>
      <c r="K215" s="189"/>
      <c r="L215" s="305"/>
      <c r="M215" s="310"/>
      <c r="N215" s="306"/>
      <c r="O215" s="306"/>
      <c r="P215" s="306"/>
      <c r="Q215" s="306"/>
      <c r="R215" s="306"/>
    </row>
    <row r="216" spans="2:18" ht="15">
      <c r="B216" s="19"/>
      <c r="C216" s="15"/>
      <c r="D216" s="15"/>
      <c r="E216" s="28"/>
      <c r="F216" s="28"/>
      <c r="G216" s="171" t="s">
        <v>491</v>
      </c>
      <c r="H216" s="174">
        <v>98</v>
      </c>
      <c r="I216" s="174" t="s">
        <v>27</v>
      </c>
      <c r="J216" s="175">
        <v>50000</v>
      </c>
      <c r="K216" s="189">
        <f>H216*J216</f>
        <v>4900000</v>
      </c>
      <c r="L216" s="305"/>
      <c r="M216" s="310"/>
      <c r="N216" s="306"/>
      <c r="O216" s="306"/>
      <c r="P216" s="306"/>
      <c r="Q216" s="306"/>
      <c r="R216" s="306"/>
    </row>
    <row r="217" spans="2:18" ht="15">
      <c r="B217" s="19"/>
      <c r="C217" s="15"/>
      <c r="D217" s="15"/>
      <c r="E217" s="28"/>
      <c r="F217" s="28"/>
      <c r="G217" s="171" t="s">
        <v>492</v>
      </c>
      <c r="H217" s="174">
        <v>98</v>
      </c>
      <c r="I217" s="174" t="s">
        <v>27</v>
      </c>
      <c r="J217" s="175">
        <v>90000</v>
      </c>
      <c r="K217" s="189">
        <f>H217*J217</f>
        <v>8820000</v>
      </c>
      <c r="L217" s="305"/>
      <c r="M217" s="310"/>
      <c r="N217" s="306"/>
      <c r="O217" s="306"/>
      <c r="P217" s="306"/>
      <c r="Q217" s="306"/>
      <c r="R217" s="306"/>
    </row>
    <row r="218" spans="2:18" ht="15">
      <c r="B218" s="19"/>
      <c r="C218" s="15"/>
      <c r="D218" s="15"/>
      <c r="E218" s="28"/>
      <c r="F218" s="28"/>
      <c r="G218" s="171" t="s">
        <v>493</v>
      </c>
      <c r="H218" s="174">
        <v>98</v>
      </c>
      <c r="I218" s="174" t="s">
        <v>27</v>
      </c>
      <c r="J218" s="175">
        <v>150000</v>
      </c>
      <c r="K218" s="189">
        <f>H218*J218</f>
        <v>14700000</v>
      </c>
      <c r="L218" s="305"/>
      <c r="M218" s="310"/>
      <c r="N218" s="306"/>
      <c r="O218" s="306"/>
      <c r="P218" s="306"/>
      <c r="Q218" s="306"/>
      <c r="R218" s="306"/>
    </row>
    <row r="219" spans="2:18" ht="15">
      <c r="B219" s="19"/>
      <c r="C219" s="15"/>
      <c r="D219" s="15"/>
      <c r="E219" s="28"/>
      <c r="F219" s="28"/>
      <c r="G219" s="171" t="s">
        <v>494</v>
      </c>
      <c r="H219" s="174">
        <v>98</v>
      </c>
      <c r="I219" s="174" t="s">
        <v>27</v>
      </c>
      <c r="J219" s="175">
        <v>100000</v>
      </c>
      <c r="K219" s="189">
        <f>H219*J219</f>
        <v>9800000</v>
      </c>
      <c r="L219" s="305"/>
      <c r="M219" s="310"/>
      <c r="N219" s="306"/>
      <c r="O219" s="306"/>
      <c r="P219" s="306"/>
      <c r="Q219" s="306"/>
      <c r="R219" s="306"/>
    </row>
    <row r="220" spans="2:18" ht="15">
      <c r="B220" s="19"/>
      <c r="C220" s="15"/>
      <c r="D220" s="15"/>
      <c r="E220" s="28"/>
      <c r="F220" s="28"/>
      <c r="G220" s="112"/>
      <c r="H220" s="45"/>
      <c r="I220" s="17"/>
      <c r="J220" s="46"/>
      <c r="K220" s="188"/>
      <c r="L220" s="305"/>
      <c r="M220" s="310"/>
      <c r="N220" s="306"/>
      <c r="O220" s="306"/>
      <c r="P220" s="306"/>
      <c r="Q220" s="306"/>
      <c r="R220" s="306"/>
    </row>
    <row r="221" spans="2:18" ht="15">
      <c r="L221" s="305"/>
      <c r="M221" s="310"/>
      <c r="N221" s="306"/>
      <c r="O221" s="306"/>
      <c r="P221" s="306"/>
      <c r="Q221" s="306"/>
      <c r="R221" s="306"/>
    </row>
    <row r="222" spans="2:18" ht="15">
      <c r="G222" s="9" t="s">
        <v>1399</v>
      </c>
      <c r="L222" s="306"/>
      <c r="M222" s="306"/>
      <c r="N222" s="306"/>
      <c r="O222" s="306"/>
      <c r="P222" s="306"/>
      <c r="Q222" s="306"/>
      <c r="R222" s="306"/>
    </row>
    <row r="223" spans="2:18">
      <c r="G223" s="9" t="s">
        <v>1400</v>
      </c>
      <c r="H223" s="9">
        <v>460</v>
      </c>
    </row>
    <row r="224" spans="2:18">
      <c r="G224" s="9" t="s">
        <v>1401</v>
      </c>
      <c r="H224" s="9">
        <v>144</v>
      </c>
    </row>
  </sheetData>
  <mergeCells count="50">
    <mergeCell ref="L20:Q20"/>
    <mergeCell ref="R20:R22"/>
    <mergeCell ref="B1:K1"/>
    <mergeCell ref="B2:D3"/>
    <mergeCell ref="E2:H2"/>
    <mergeCell ref="I2:J2"/>
    <mergeCell ref="E3:H3"/>
    <mergeCell ref="I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20:K20"/>
    <mergeCell ref="B15:F15"/>
    <mergeCell ref="G15:H15"/>
    <mergeCell ref="I15:K15"/>
    <mergeCell ref="B16:F16"/>
    <mergeCell ref="G16:H16"/>
    <mergeCell ref="I16:K16"/>
    <mergeCell ref="B17:F17"/>
    <mergeCell ref="G17:H17"/>
    <mergeCell ref="I17:K17"/>
    <mergeCell ref="B18:K18"/>
    <mergeCell ref="B19:K19"/>
    <mergeCell ref="H170:J170"/>
    <mergeCell ref="H173:J173"/>
    <mergeCell ref="H174:J174"/>
    <mergeCell ref="B21:F22"/>
    <mergeCell ref="G21:G22"/>
    <mergeCell ref="H21:J21"/>
    <mergeCell ref="B23:F23"/>
    <mergeCell ref="B166:J166"/>
    <mergeCell ref="H169:J169"/>
  </mergeCells>
  <pageMargins left="0.11811023622047245" right="0.23622047244094491" top="0.27559055118110237" bottom="1.5354330708661419" header="0.11811023622047245" footer="0.15748031496062992"/>
  <pageSetup paperSize="5" scale="90" orientation="portrait" horizontalDpi="4294967293" verticalDpi="4294967293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50"/>
  </sheetPr>
  <dimension ref="B1:X196"/>
  <sheetViews>
    <sheetView view="pageBreakPreview" topLeftCell="A149" zoomScaleSheetLayoutView="100" workbookViewId="0">
      <selection activeCell="S164" sqref="S164:S168"/>
    </sheetView>
  </sheetViews>
  <sheetFormatPr defaultColWidth="9.140625" defaultRowHeight="12.75"/>
  <cols>
    <col min="1" max="1" width="1" style="9" customWidth="1"/>
    <col min="2" max="2" width="3.140625" style="9" customWidth="1"/>
    <col min="3" max="3" width="3.28515625" style="9" customWidth="1"/>
    <col min="4" max="4" width="3.5703125" style="9" customWidth="1"/>
    <col min="5" max="6" width="4" style="9" customWidth="1"/>
    <col min="7" max="7" width="57" style="9" customWidth="1"/>
    <col min="8" max="8" width="8" style="9" bestFit="1" customWidth="1"/>
    <col min="9" max="9" width="8.85546875" style="9" customWidth="1"/>
    <col min="10" max="10" width="13.5703125" style="9" bestFit="1" customWidth="1"/>
    <col min="11" max="11" width="16.5703125" style="9" bestFit="1" customWidth="1"/>
    <col min="12" max="12" width="8.85546875" style="9" customWidth="1"/>
    <col min="13" max="13" width="8.5703125" style="9" customWidth="1"/>
    <col min="14" max="15" width="16.5703125" style="9" bestFit="1" customWidth="1"/>
    <col min="16" max="16" width="15.5703125" style="9" bestFit="1" customWidth="1"/>
    <col min="17" max="17" width="10.5703125" style="9" bestFit="1" customWidth="1"/>
    <col min="18" max="18" width="7.28515625" style="9" bestFit="1" customWidth="1"/>
    <col min="19" max="19" width="18.28515625" style="9" bestFit="1" customWidth="1"/>
    <col min="20" max="21" width="7.28515625" style="41" bestFit="1" customWidth="1"/>
    <col min="22" max="22" width="7.28515625" style="9" bestFit="1" customWidth="1"/>
    <col min="23" max="23" width="7.28515625" style="41" bestFit="1" customWidth="1"/>
    <col min="24" max="24" width="18.28515625" style="9" bestFit="1" customWidth="1"/>
    <col min="25" max="16384" width="9.140625" style="9"/>
  </cols>
  <sheetData>
    <row r="1" spans="2:17" ht="15" customHeight="1">
      <c r="B1" s="3673"/>
      <c r="C1" s="3673"/>
      <c r="D1" s="3673"/>
      <c r="E1" s="3674" t="s">
        <v>2068</v>
      </c>
      <c r="F1" s="3674"/>
      <c r="G1" s="3674"/>
      <c r="H1" s="3674"/>
      <c r="I1" s="3674"/>
      <c r="J1" s="3674"/>
      <c r="K1" s="3674"/>
      <c r="L1" s="3674"/>
      <c r="M1" s="3674"/>
      <c r="N1" s="3674"/>
      <c r="O1" s="3675" t="s">
        <v>0</v>
      </c>
      <c r="P1" s="3675"/>
      <c r="Q1" s="368" t="s">
        <v>1</v>
      </c>
    </row>
    <row r="2" spans="2:17">
      <c r="B2" s="3673"/>
      <c r="C2" s="3673"/>
      <c r="D2" s="3673"/>
      <c r="E2" s="3676" t="s">
        <v>2</v>
      </c>
      <c r="F2" s="3676"/>
      <c r="G2" s="3676"/>
      <c r="H2" s="3676"/>
      <c r="I2" s="3676"/>
      <c r="J2" s="3676"/>
      <c r="K2" s="3676"/>
      <c r="L2" s="3676"/>
      <c r="M2" s="3676"/>
      <c r="N2" s="3676"/>
      <c r="O2" s="3677" t="s">
        <v>2069</v>
      </c>
      <c r="P2" s="3677"/>
      <c r="Q2" s="368" t="s">
        <v>3</v>
      </c>
    </row>
    <row r="3" spans="2:17" ht="12.75" customHeight="1">
      <c r="B3" s="3673"/>
      <c r="C3" s="3673"/>
      <c r="D3" s="3673"/>
      <c r="E3" s="3678" t="s">
        <v>1151</v>
      </c>
      <c r="F3" s="3678"/>
      <c r="G3" s="3678"/>
      <c r="H3" s="3678"/>
      <c r="I3" s="3678"/>
      <c r="J3" s="3678"/>
      <c r="K3" s="3678"/>
      <c r="L3" s="3678"/>
      <c r="M3" s="3678"/>
      <c r="N3" s="3678"/>
      <c r="O3" s="3678"/>
      <c r="P3" s="3678"/>
      <c r="Q3" s="3678"/>
    </row>
    <row r="4" spans="2:17">
      <c r="B4" s="3680" t="s">
        <v>31</v>
      </c>
      <c r="C4" s="3680"/>
      <c r="D4" s="3680"/>
      <c r="E4" s="3680"/>
      <c r="F4" s="3680"/>
      <c r="G4" s="3679" t="s">
        <v>38</v>
      </c>
      <c r="H4" s="3679"/>
      <c r="I4" s="3679"/>
      <c r="J4" s="3679"/>
      <c r="K4" s="3679"/>
      <c r="L4" s="3679"/>
      <c r="M4" s="3679"/>
      <c r="N4" s="3679"/>
      <c r="O4" s="3679"/>
      <c r="P4" s="3679"/>
      <c r="Q4" s="3679"/>
    </row>
    <row r="5" spans="2:17">
      <c r="B5" s="3679" t="s">
        <v>32</v>
      </c>
      <c r="C5" s="3679"/>
      <c r="D5" s="3679"/>
      <c r="E5" s="3679"/>
      <c r="F5" s="3679"/>
      <c r="G5" s="3679" t="s">
        <v>39</v>
      </c>
      <c r="H5" s="3679"/>
      <c r="I5" s="3679"/>
      <c r="J5" s="3679"/>
      <c r="K5" s="3679"/>
      <c r="L5" s="3679"/>
      <c r="M5" s="3679"/>
      <c r="N5" s="3679"/>
      <c r="O5" s="3679"/>
      <c r="P5" s="3679"/>
      <c r="Q5" s="3679"/>
    </row>
    <row r="6" spans="2:17">
      <c r="B6" s="3679" t="s">
        <v>33</v>
      </c>
      <c r="C6" s="3679"/>
      <c r="D6" s="3679"/>
      <c r="E6" s="3679"/>
      <c r="F6" s="3679"/>
      <c r="G6" s="3681" t="s">
        <v>2070</v>
      </c>
      <c r="H6" s="3681"/>
      <c r="I6" s="3681"/>
      <c r="J6" s="3681"/>
      <c r="K6" s="3681"/>
      <c r="L6" s="3681"/>
      <c r="M6" s="3681"/>
      <c r="N6" s="3681"/>
      <c r="O6" s="3681"/>
      <c r="P6" s="3681"/>
      <c r="Q6" s="3681"/>
    </row>
    <row r="7" spans="2:17">
      <c r="B7" s="3679" t="s">
        <v>34</v>
      </c>
      <c r="C7" s="3679"/>
      <c r="D7" s="3679"/>
      <c r="E7" s="3679"/>
      <c r="F7" s="3679"/>
      <c r="G7" s="3679" t="s">
        <v>2071</v>
      </c>
      <c r="H7" s="3679"/>
      <c r="I7" s="3679"/>
      <c r="J7" s="3679"/>
      <c r="K7" s="3679"/>
      <c r="L7" s="3679"/>
      <c r="M7" s="3679"/>
      <c r="N7" s="3679"/>
      <c r="O7" s="3679"/>
      <c r="P7" s="3679"/>
      <c r="Q7" s="3679"/>
    </row>
    <row r="8" spans="2:17">
      <c r="B8" s="2777" t="s">
        <v>35</v>
      </c>
      <c r="C8" s="2777"/>
      <c r="D8" s="2777"/>
      <c r="E8" s="2777"/>
      <c r="F8" s="2777"/>
      <c r="G8" s="3679" t="s">
        <v>1152</v>
      </c>
      <c r="H8" s="3679"/>
      <c r="I8" s="3679"/>
      <c r="J8" s="3679"/>
      <c r="K8" s="3679"/>
      <c r="L8" s="3679"/>
      <c r="M8" s="3679"/>
      <c r="N8" s="3679"/>
      <c r="O8" s="3679"/>
      <c r="P8" s="3679"/>
      <c r="Q8" s="3679"/>
    </row>
    <row r="9" spans="2:17">
      <c r="B9" s="3679" t="s">
        <v>36</v>
      </c>
      <c r="C9" s="3679"/>
      <c r="D9" s="3679"/>
      <c r="E9" s="3679"/>
      <c r="F9" s="3679"/>
      <c r="G9" s="3679" t="s">
        <v>41</v>
      </c>
      <c r="H9" s="3679"/>
      <c r="I9" s="3679"/>
      <c r="J9" s="3679"/>
      <c r="K9" s="3679"/>
      <c r="L9" s="3679"/>
      <c r="M9" s="3679"/>
      <c r="N9" s="3679"/>
      <c r="O9" s="3679"/>
      <c r="P9" s="3679"/>
      <c r="Q9" s="3679"/>
    </row>
    <row r="10" spans="2:17">
      <c r="B10" s="3679" t="s">
        <v>37</v>
      </c>
      <c r="C10" s="3679"/>
      <c r="D10" s="3679"/>
      <c r="E10" s="3679"/>
      <c r="F10" s="3679"/>
      <c r="G10" s="3679" t="s">
        <v>2072</v>
      </c>
      <c r="H10" s="3679"/>
      <c r="I10" s="3679"/>
      <c r="J10" s="3679"/>
      <c r="K10" s="3679"/>
      <c r="L10" s="3679"/>
      <c r="M10" s="3679"/>
      <c r="N10" s="3679"/>
      <c r="O10" s="3679"/>
      <c r="P10" s="3679"/>
      <c r="Q10" s="3679"/>
    </row>
    <row r="11" spans="2:17">
      <c r="B11" s="3677" t="s">
        <v>2073</v>
      </c>
      <c r="C11" s="3677"/>
      <c r="D11" s="3677"/>
      <c r="E11" s="3677"/>
      <c r="F11" s="3677"/>
      <c r="G11" s="3677"/>
      <c r="H11" s="3677"/>
      <c r="I11" s="3677"/>
      <c r="J11" s="3677"/>
      <c r="K11" s="3677"/>
      <c r="L11" s="3677"/>
      <c r="M11" s="3677"/>
      <c r="N11" s="3677"/>
      <c r="O11" s="3677"/>
      <c r="P11" s="3677"/>
      <c r="Q11" s="3677"/>
    </row>
    <row r="12" spans="2:17">
      <c r="B12" s="3677" t="s">
        <v>5</v>
      </c>
      <c r="C12" s="3677"/>
      <c r="D12" s="3677"/>
      <c r="E12" s="3677"/>
      <c r="F12" s="3677"/>
      <c r="G12" s="3677" t="s">
        <v>6</v>
      </c>
      <c r="H12" s="3677"/>
      <c r="I12" s="3677"/>
      <c r="J12" s="3677"/>
      <c r="K12" s="3677"/>
      <c r="L12" s="3677" t="s">
        <v>7</v>
      </c>
      <c r="M12" s="3677"/>
      <c r="N12" s="3677"/>
      <c r="O12" s="3677"/>
      <c r="P12" s="3677"/>
      <c r="Q12" s="3677"/>
    </row>
    <row r="13" spans="2:17">
      <c r="B13" s="3677"/>
      <c r="C13" s="3677"/>
      <c r="D13" s="3677"/>
      <c r="E13" s="3677"/>
      <c r="F13" s="3677"/>
      <c r="G13" s="424" t="s">
        <v>2074</v>
      </c>
      <c r="H13" s="3677" t="s">
        <v>2075</v>
      </c>
      <c r="I13" s="3677"/>
      <c r="J13" s="3677"/>
      <c r="K13" s="3677"/>
      <c r="L13" s="3677" t="s">
        <v>2076</v>
      </c>
      <c r="M13" s="3677"/>
      <c r="N13" s="3677"/>
      <c r="O13" s="3675" t="s">
        <v>2075</v>
      </c>
      <c r="P13" s="3675"/>
      <c r="Q13" s="3675"/>
    </row>
    <row r="14" spans="2:17" ht="12.75" customHeight="1">
      <c r="B14" s="3682" t="s">
        <v>8</v>
      </c>
      <c r="C14" s="3683"/>
      <c r="D14" s="3683"/>
      <c r="E14" s="3683"/>
      <c r="F14" s="3683"/>
      <c r="G14" s="391" t="s">
        <v>2077</v>
      </c>
      <c r="H14" s="3684" t="s">
        <v>2077</v>
      </c>
      <c r="I14" s="3684"/>
      <c r="J14" s="3684"/>
      <c r="K14" s="3684"/>
      <c r="L14" s="3685">
        <v>1</v>
      </c>
      <c r="M14" s="3686"/>
      <c r="N14" s="3686"/>
      <c r="O14" s="3685">
        <v>1</v>
      </c>
      <c r="P14" s="3685"/>
      <c r="Q14" s="3685"/>
    </row>
    <row r="15" spans="2:17">
      <c r="B15" s="3686" t="s">
        <v>9</v>
      </c>
      <c r="C15" s="3679"/>
      <c r="D15" s="3679"/>
      <c r="E15" s="3679"/>
      <c r="F15" s="3679"/>
      <c r="G15" s="572" t="s">
        <v>47</v>
      </c>
      <c r="H15" s="3686" t="s">
        <v>47</v>
      </c>
      <c r="I15" s="3686"/>
      <c r="J15" s="3686"/>
      <c r="K15" s="3686"/>
      <c r="L15" s="3687">
        <f>K24</f>
        <v>2112642266</v>
      </c>
      <c r="M15" s="3687"/>
      <c r="N15" s="3687"/>
      <c r="O15" s="3688">
        <f>O24</f>
        <v>1789409266</v>
      </c>
      <c r="P15" s="3688"/>
      <c r="Q15" s="3688"/>
    </row>
    <row r="16" spans="2:17" ht="25.5" customHeight="1">
      <c r="B16" s="3684" t="s">
        <v>10</v>
      </c>
      <c r="C16" s="3679"/>
      <c r="D16" s="3679"/>
      <c r="E16" s="3679"/>
      <c r="F16" s="3679"/>
      <c r="G16" s="391" t="s">
        <v>2078</v>
      </c>
      <c r="H16" s="3684" t="s">
        <v>2078</v>
      </c>
      <c r="I16" s="3684"/>
      <c r="J16" s="3684"/>
      <c r="K16" s="3684"/>
      <c r="L16" s="3685">
        <v>1</v>
      </c>
      <c r="M16" s="3686"/>
      <c r="N16" s="3686"/>
      <c r="O16" s="3685">
        <v>1</v>
      </c>
      <c r="P16" s="3685"/>
      <c r="Q16" s="3685"/>
    </row>
    <row r="17" spans="2:24" ht="25.5" customHeight="1">
      <c r="B17" s="3684" t="s">
        <v>11</v>
      </c>
      <c r="C17" s="3679"/>
      <c r="D17" s="3679"/>
      <c r="E17" s="3679"/>
      <c r="F17" s="3679"/>
      <c r="G17" s="391" t="s">
        <v>2079</v>
      </c>
      <c r="H17" s="3684" t="s">
        <v>2079</v>
      </c>
      <c r="I17" s="3684"/>
      <c r="J17" s="3684"/>
      <c r="K17" s="3684"/>
      <c r="L17" s="3685">
        <v>1</v>
      </c>
      <c r="M17" s="3686"/>
      <c r="N17" s="3686"/>
      <c r="O17" s="3685">
        <v>1</v>
      </c>
      <c r="P17" s="3685"/>
      <c r="Q17" s="3685"/>
    </row>
    <row r="18" spans="2:24">
      <c r="B18" s="3684" t="s">
        <v>262</v>
      </c>
      <c r="C18" s="3684"/>
      <c r="D18" s="3684"/>
      <c r="E18" s="3684"/>
      <c r="F18" s="3684"/>
      <c r="G18" s="3684"/>
      <c r="H18" s="3684"/>
      <c r="I18" s="3684"/>
      <c r="J18" s="3684"/>
      <c r="K18" s="3684"/>
      <c r="L18" s="3684"/>
      <c r="M18" s="3684"/>
      <c r="N18" s="3684"/>
      <c r="O18" s="3684"/>
      <c r="P18" s="3684"/>
      <c r="Q18" s="3684"/>
    </row>
    <row r="19" spans="2:24">
      <c r="B19" s="3676" t="s">
        <v>2080</v>
      </c>
      <c r="C19" s="3676"/>
      <c r="D19" s="3676"/>
      <c r="E19" s="3676"/>
      <c r="F19" s="3676"/>
      <c r="G19" s="3676"/>
      <c r="H19" s="3676"/>
      <c r="I19" s="3676"/>
      <c r="J19" s="3676"/>
      <c r="K19" s="3676"/>
      <c r="L19" s="3676"/>
      <c r="M19" s="3676"/>
      <c r="N19" s="3676"/>
      <c r="O19" s="3676"/>
      <c r="P19" s="3676"/>
      <c r="Q19" s="3676"/>
      <c r="R19" s="377"/>
      <c r="S19" s="377"/>
      <c r="T19" s="377"/>
      <c r="U19" s="377"/>
      <c r="V19" s="377"/>
      <c r="W19" s="385"/>
      <c r="X19" s="385"/>
    </row>
    <row r="20" spans="2:24" ht="12.75" customHeight="1">
      <c r="B20" s="3676" t="s">
        <v>14</v>
      </c>
      <c r="C20" s="3676"/>
      <c r="D20" s="3676"/>
      <c r="E20" s="3676"/>
      <c r="F20" s="3676"/>
      <c r="G20" s="3676" t="s">
        <v>15</v>
      </c>
      <c r="H20" s="3678" t="s">
        <v>2074</v>
      </c>
      <c r="I20" s="3678"/>
      <c r="J20" s="3678"/>
      <c r="K20" s="3678"/>
      <c r="L20" s="3675" t="s">
        <v>2081</v>
      </c>
      <c r="M20" s="3675"/>
      <c r="N20" s="3675"/>
      <c r="O20" s="3675"/>
      <c r="P20" s="3677" t="s">
        <v>2082</v>
      </c>
      <c r="Q20" s="3677"/>
      <c r="R20" s="3689" t="s">
        <v>158</v>
      </c>
      <c r="S20" s="3689"/>
      <c r="T20" s="3689"/>
      <c r="U20" s="3689"/>
      <c r="V20" s="3689"/>
      <c r="W20" s="3689"/>
      <c r="X20" s="3689" t="s">
        <v>17</v>
      </c>
    </row>
    <row r="21" spans="2:24" ht="12.75" customHeight="1">
      <c r="B21" s="3676"/>
      <c r="C21" s="3676"/>
      <c r="D21" s="3676"/>
      <c r="E21" s="3676"/>
      <c r="F21" s="3676"/>
      <c r="G21" s="3676"/>
      <c r="H21" s="3678" t="s">
        <v>16</v>
      </c>
      <c r="I21" s="3678"/>
      <c r="J21" s="3678"/>
      <c r="K21" s="368" t="s">
        <v>17</v>
      </c>
      <c r="L21" s="3678" t="s">
        <v>16</v>
      </c>
      <c r="M21" s="3678"/>
      <c r="N21" s="3678"/>
      <c r="O21" s="368" t="s">
        <v>17</v>
      </c>
      <c r="P21" s="3677"/>
      <c r="Q21" s="3677"/>
      <c r="R21" s="2778"/>
      <c r="S21" s="2778"/>
      <c r="T21" s="2778"/>
      <c r="U21" s="2778"/>
      <c r="V21" s="2778"/>
      <c r="W21" s="2778"/>
      <c r="X21" s="3689"/>
    </row>
    <row r="22" spans="2:24" ht="12.75" customHeight="1">
      <c r="B22" s="3676"/>
      <c r="C22" s="3676"/>
      <c r="D22" s="3676"/>
      <c r="E22" s="3676"/>
      <c r="F22" s="3676"/>
      <c r="G22" s="3676"/>
      <c r="H22" s="424" t="s">
        <v>18</v>
      </c>
      <c r="I22" s="424" t="s">
        <v>19</v>
      </c>
      <c r="J22" s="424" t="s">
        <v>20</v>
      </c>
      <c r="K22" s="368" t="s">
        <v>21</v>
      </c>
      <c r="L22" s="424" t="s">
        <v>18</v>
      </c>
      <c r="M22" s="424" t="s">
        <v>19</v>
      </c>
      <c r="N22" s="424" t="s">
        <v>20</v>
      </c>
      <c r="O22" s="368" t="s">
        <v>21</v>
      </c>
      <c r="P22" s="424" t="s">
        <v>21</v>
      </c>
      <c r="Q22" s="424" t="s">
        <v>2083</v>
      </c>
      <c r="R22" s="2778" t="s">
        <v>177</v>
      </c>
      <c r="S22" s="2778" t="s">
        <v>594</v>
      </c>
      <c r="T22" s="2778" t="s">
        <v>651</v>
      </c>
      <c r="U22" s="2778" t="s">
        <v>595</v>
      </c>
      <c r="V22" s="2778" t="s">
        <v>652</v>
      </c>
      <c r="W22" s="2778" t="s">
        <v>593</v>
      </c>
      <c r="X22" s="3689"/>
    </row>
    <row r="23" spans="2:24">
      <c r="B23" s="3677">
        <v>1</v>
      </c>
      <c r="C23" s="3690"/>
      <c r="D23" s="3690"/>
      <c r="E23" s="3690"/>
      <c r="F23" s="3690"/>
      <c r="G23" s="425">
        <v>2</v>
      </c>
      <c r="H23" s="368">
        <v>3</v>
      </c>
      <c r="I23" s="368">
        <v>4</v>
      </c>
      <c r="J23" s="368">
        <v>5</v>
      </c>
      <c r="K23" s="368" t="s">
        <v>22</v>
      </c>
      <c r="L23" s="424">
        <v>7</v>
      </c>
      <c r="M23" s="424">
        <v>8</v>
      </c>
      <c r="N23" s="424">
        <v>9</v>
      </c>
      <c r="O23" s="368" t="s">
        <v>2084</v>
      </c>
      <c r="P23" s="424">
        <v>11</v>
      </c>
      <c r="Q23" s="424">
        <v>12</v>
      </c>
      <c r="R23" s="2778">
        <v>6</v>
      </c>
      <c r="S23" s="2778">
        <v>7</v>
      </c>
      <c r="T23" s="2778">
        <v>8</v>
      </c>
      <c r="U23" s="2778">
        <v>9</v>
      </c>
      <c r="V23" s="2778">
        <v>10</v>
      </c>
      <c r="W23" s="2778">
        <v>11</v>
      </c>
      <c r="X23" s="2778">
        <v>12</v>
      </c>
    </row>
    <row r="24" spans="2:24">
      <c r="B24" s="368">
        <v>5</v>
      </c>
      <c r="C24" s="368">
        <v>2</v>
      </c>
      <c r="D24" s="368"/>
      <c r="E24" s="368"/>
      <c r="F24" s="368"/>
      <c r="G24" s="366" t="s">
        <v>23</v>
      </c>
      <c r="H24" s="367"/>
      <c r="I24" s="368"/>
      <c r="J24" s="369"/>
      <c r="K24" s="2779">
        <f>K25+K40</f>
        <v>2112642266</v>
      </c>
      <c r="L24" s="367"/>
      <c r="M24" s="368"/>
      <c r="N24" s="369"/>
      <c r="O24" s="2779">
        <f>O25+O40</f>
        <v>1789409266</v>
      </c>
      <c r="P24" s="2780">
        <f>O24-K24</f>
        <v>-323233000</v>
      </c>
      <c r="Q24" s="2781"/>
      <c r="R24" s="377"/>
      <c r="S24" s="377"/>
      <c r="T24" s="377"/>
      <c r="U24" s="377"/>
      <c r="V24" s="377"/>
      <c r="W24" s="385"/>
      <c r="X24" s="385"/>
    </row>
    <row r="25" spans="2:24">
      <c r="B25" s="911">
        <v>5</v>
      </c>
      <c r="C25" s="911">
        <v>2</v>
      </c>
      <c r="D25" s="911">
        <v>1</v>
      </c>
      <c r="E25" s="911"/>
      <c r="F25" s="911"/>
      <c r="G25" s="2782" t="s">
        <v>59</v>
      </c>
      <c r="H25" s="367"/>
      <c r="I25" s="368"/>
      <c r="J25" s="369"/>
      <c r="K25" s="2779">
        <f>K26</f>
        <v>73500000</v>
      </c>
      <c r="L25" s="367"/>
      <c r="M25" s="368"/>
      <c r="N25" s="369"/>
      <c r="O25" s="2779">
        <f>O26</f>
        <v>62100000</v>
      </c>
      <c r="P25" s="2780">
        <f t="shared" ref="P25:P90" si="0">O25-K25</f>
        <v>-11400000</v>
      </c>
      <c r="Q25" s="474"/>
      <c r="R25" s="377"/>
      <c r="S25" s="377"/>
      <c r="T25" s="377"/>
      <c r="U25" s="377"/>
      <c r="V25" s="377"/>
      <c r="W25" s="385"/>
      <c r="X25" s="385"/>
    </row>
    <row r="26" spans="2:24">
      <c r="B26" s="911">
        <v>5</v>
      </c>
      <c r="C26" s="911">
        <v>2</v>
      </c>
      <c r="D26" s="911">
        <v>1</v>
      </c>
      <c r="E26" s="912" t="s">
        <v>24</v>
      </c>
      <c r="F26" s="911"/>
      <c r="G26" s="2782" t="s">
        <v>60</v>
      </c>
      <c r="H26" s="367"/>
      <c r="I26" s="368"/>
      <c r="J26" s="369"/>
      <c r="K26" s="2779">
        <f>K27</f>
        <v>73500000</v>
      </c>
      <c r="L26" s="367"/>
      <c r="M26" s="368"/>
      <c r="N26" s="369"/>
      <c r="O26" s="2779">
        <f>O27</f>
        <v>62100000</v>
      </c>
      <c r="P26" s="2780">
        <f t="shared" si="0"/>
        <v>-11400000</v>
      </c>
      <c r="Q26" s="474"/>
      <c r="R26" s="377"/>
      <c r="S26" s="377"/>
      <c r="T26" s="377"/>
      <c r="U26" s="377"/>
      <c r="V26" s="377"/>
      <c r="W26" s="385"/>
      <c r="X26" s="385"/>
    </row>
    <row r="27" spans="2:24" s="2033" customFormat="1">
      <c r="B27" s="2649">
        <v>5</v>
      </c>
      <c r="C27" s="2645">
        <v>2</v>
      </c>
      <c r="D27" s="2645">
        <v>1</v>
      </c>
      <c r="E27" s="2646" t="s">
        <v>24</v>
      </c>
      <c r="F27" s="2646" t="s">
        <v>24</v>
      </c>
      <c r="G27" s="2783" t="s">
        <v>61</v>
      </c>
      <c r="H27" s="2784"/>
      <c r="I27" s="2547"/>
      <c r="J27" s="2785"/>
      <c r="K27" s="2786">
        <f>SUM(K28:K39)</f>
        <v>73500000</v>
      </c>
      <c r="L27" s="2784"/>
      <c r="M27" s="2547"/>
      <c r="N27" s="2785"/>
      <c r="O27" s="2786">
        <f>SUM(O28:O39)</f>
        <v>62100000</v>
      </c>
      <c r="P27" s="2787">
        <f t="shared" si="0"/>
        <v>-11400000</v>
      </c>
      <c r="Q27" s="2788"/>
      <c r="R27" s="377"/>
      <c r="S27" s="377"/>
      <c r="T27" s="377"/>
      <c r="U27" s="377"/>
      <c r="V27" s="377"/>
      <c r="W27" s="385"/>
      <c r="X27" s="385"/>
    </row>
    <row r="28" spans="2:24" s="2033" customFormat="1">
      <c r="B28" s="2515"/>
      <c r="C28" s="2515"/>
      <c r="D28" s="2515"/>
      <c r="E28" s="2515"/>
      <c r="F28" s="2515"/>
      <c r="G28" s="2548" t="s">
        <v>1391</v>
      </c>
      <c r="H28" s="2789">
        <v>1</v>
      </c>
      <c r="I28" s="2515" t="s">
        <v>147</v>
      </c>
      <c r="J28" s="2516">
        <v>7350000</v>
      </c>
      <c r="K28" s="2790">
        <f t="shared" ref="K28:K37" si="1">H28*J28</f>
        <v>7350000</v>
      </c>
      <c r="L28" s="2789">
        <v>1</v>
      </c>
      <c r="M28" s="2515" t="s">
        <v>147</v>
      </c>
      <c r="N28" s="2516">
        <v>6900000</v>
      </c>
      <c r="O28" s="2790">
        <f t="shared" ref="O28:O37" si="2">L28*N28</f>
        <v>6900000</v>
      </c>
      <c r="P28" s="2787">
        <f t="shared" si="0"/>
        <v>-450000</v>
      </c>
      <c r="Q28" s="2560"/>
      <c r="R28" s="377"/>
      <c r="S28" s="377">
        <f>O28</f>
        <v>6900000</v>
      </c>
      <c r="T28" s="377"/>
      <c r="U28" s="377"/>
      <c r="V28" s="377"/>
      <c r="W28" s="385"/>
      <c r="X28" s="385"/>
    </row>
    <row r="29" spans="2:24" s="2033" customFormat="1">
      <c r="B29" s="2515"/>
      <c r="C29" s="2515"/>
      <c r="D29" s="2515"/>
      <c r="E29" s="2515"/>
      <c r="F29" s="2515"/>
      <c r="G29" s="2548" t="s">
        <v>1539</v>
      </c>
      <c r="H29" s="2789">
        <v>1</v>
      </c>
      <c r="I29" s="2515" t="s">
        <v>147</v>
      </c>
      <c r="J29" s="2516">
        <v>7350000</v>
      </c>
      <c r="K29" s="2790">
        <f t="shared" si="1"/>
        <v>7350000</v>
      </c>
      <c r="L29" s="2789">
        <v>1</v>
      </c>
      <c r="M29" s="2515" t="s">
        <v>147</v>
      </c>
      <c r="N29" s="2516">
        <v>6900000</v>
      </c>
      <c r="O29" s="2790">
        <f t="shared" si="2"/>
        <v>6900000</v>
      </c>
      <c r="P29" s="2787">
        <f t="shared" si="0"/>
        <v>-450000</v>
      </c>
      <c r="Q29" s="2560"/>
      <c r="R29" s="377"/>
      <c r="S29" s="377">
        <f t="shared" ref="S29:S37" si="3">O29</f>
        <v>6900000</v>
      </c>
      <c r="T29" s="377"/>
      <c r="U29" s="377"/>
      <c r="V29" s="377"/>
      <c r="W29" s="385"/>
      <c r="X29" s="385"/>
    </row>
    <row r="30" spans="2:24" s="2033" customFormat="1">
      <c r="B30" s="2515"/>
      <c r="C30" s="2515"/>
      <c r="D30" s="2515"/>
      <c r="E30" s="2515"/>
      <c r="F30" s="2515"/>
      <c r="G30" s="2548" t="s">
        <v>1402</v>
      </c>
      <c r="H30" s="2789">
        <v>1</v>
      </c>
      <c r="I30" s="2515" t="s">
        <v>147</v>
      </c>
      <c r="J30" s="2516">
        <v>7350000</v>
      </c>
      <c r="K30" s="2790">
        <f t="shared" si="1"/>
        <v>7350000</v>
      </c>
      <c r="L30" s="2789">
        <v>1</v>
      </c>
      <c r="M30" s="2515" t="s">
        <v>147</v>
      </c>
      <c r="N30" s="2516">
        <v>6900000</v>
      </c>
      <c r="O30" s="2790">
        <f t="shared" si="2"/>
        <v>6900000</v>
      </c>
      <c r="P30" s="2787">
        <f t="shared" si="0"/>
        <v>-450000</v>
      </c>
      <c r="Q30" s="2560"/>
      <c r="R30" s="377"/>
      <c r="S30" s="377">
        <f t="shared" si="3"/>
        <v>6900000</v>
      </c>
      <c r="T30" s="377"/>
      <c r="U30" s="377"/>
      <c r="V30" s="377"/>
      <c r="W30" s="385"/>
      <c r="X30" s="385"/>
    </row>
    <row r="31" spans="2:24" s="2033" customFormat="1">
      <c r="B31" s="2515"/>
      <c r="C31" s="2515"/>
      <c r="D31" s="2515"/>
      <c r="E31" s="2515"/>
      <c r="F31" s="2515"/>
      <c r="G31" s="2548" t="s">
        <v>1541</v>
      </c>
      <c r="H31" s="2789">
        <v>1</v>
      </c>
      <c r="I31" s="2515" t="s">
        <v>147</v>
      </c>
      <c r="J31" s="2516">
        <v>7350000</v>
      </c>
      <c r="K31" s="2790">
        <f t="shared" si="1"/>
        <v>7350000</v>
      </c>
      <c r="L31" s="2789">
        <v>1</v>
      </c>
      <c r="M31" s="2515" t="s">
        <v>147</v>
      </c>
      <c r="N31" s="2516">
        <v>6900000</v>
      </c>
      <c r="O31" s="2790">
        <f t="shared" si="2"/>
        <v>6900000</v>
      </c>
      <c r="P31" s="2791">
        <f t="shared" si="0"/>
        <v>-450000</v>
      </c>
      <c r="Q31" s="2560"/>
      <c r="R31" s="377"/>
      <c r="S31" s="377">
        <f t="shared" si="3"/>
        <v>6900000</v>
      </c>
      <c r="T31" s="377"/>
      <c r="U31" s="377"/>
      <c r="V31" s="377"/>
      <c r="W31" s="385"/>
      <c r="X31" s="385"/>
    </row>
    <row r="32" spans="2:24" s="2033" customFormat="1">
      <c r="B32" s="2515"/>
      <c r="C32" s="2515"/>
      <c r="D32" s="2515"/>
      <c r="E32" s="2515"/>
      <c r="F32" s="2515"/>
      <c r="G32" s="2548" t="s">
        <v>1543</v>
      </c>
      <c r="H32" s="2789">
        <v>1</v>
      </c>
      <c r="I32" s="2515" t="s">
        <v>147</v>
      </c>
      <c r="J32" s="2516">
        <v>7350000</v>
      </c>
      <c r="K32" s="2790">
        <f t="shared" si="1"/>
        <v>7350000</v>
      </c>
      <c r="L32" s="2789">
        <v>1</v>
      </c>
      <c r="M32" s="2515" t="s">
        <v>147</v>
      </c>
      <c r="N32" s="2516">
        <v>6900000</v>
      </c>
      <c r="O32" s="2790">
        <f t="shared" si="2"/>
        <v>6900000</v>
      </c>
      <c r="P32" s="2787">
        <f t="shared" si="0"/>
        <v>-450000</v>
      </c>
      <c r="Q32" s="2560"/>
      <c r="R32" s="377"/>
      <c r="S32" s="377">
        <f t="shared" si="3"/>
        <v>6900000</v>
      </c>
      <c r="T32" s="377"/>
      <c r="U32" s="377"/>
      <c r="V32" s="377"/>
      <c r="W32" s="385"/>
      <c r="X32" s="385"/>
    </row>
    <row r="33" spans="2:24" s="2033" customFormat="1">
      <c r="B33" s="2515"/>
      <c r="C33" s="2515"/>
      <c r="D33" s="2515"/>
      <c r="E33" s="2515"/>
      <c r="F33" s="2515"/>
      <c r="G33" s="2548" t="s">
        <v>1547</v>
      </c>
      <c r="H33" s="2789">
        <v>1</v>
      </c>
      <c r="I33" s="2515" t="s">
        <v>147</v>
      </c>
      <c r="J33" s="2516">
        <v>7350000</v>
      </c>
      <c r="K33" s="2790">
        <f t="shared" si="1"/>
        <v>7350000</v>
      </c>
      <c r="L33" s="2789">
        <v>1</v>
      </c>
      <c r="M33" s="2515" t="s">
        <v>147</v>
      </c>
      <c r="N33" s="2516">
        <v>6900000</v>
      </c>
      <c r="O33" s="2790">
        <f t="shared" si="2"/>
        <v>6900000</v>
      </c>
      <c r="P33" s="2787">
        <f t="shared" si="0"/>
        <v>-450000</v>
      </c>
      <c r="Q33" s="2560"/>
      <c r="R33" s="377"/>
      <c r="S33" s="377">
        <f t="shared" si="3"/>
        <v>6900000</v>
      </c>
      <c r="T33" s="377"/>
      <c r="U33" s="377"/>
      <c r="V33" s="377"/>
      <c r="W33" s="385"/>
      <c r="X33" s="385"/>
    </row>
    <row r="34" spans="2:24" s="2033" customFormat="1">
      <c r="B34" s="2515"/>
      <c r="C34" s="2515"/>
      <c r="D34" s="2515"/>
      <c r="E34" s="2515"/>
      <c r="F34" s="2515"/>
      <c r="G34" s="2548" t="s">
        <v>1550</v>
      </c>
      <c r="H34" s="2789">
        <v>1</v>
      </c>
      <c r="I34" s="2515" t="s">
        <v>147</v>
      </c>
      <c r="J34" s="2516">
        <v>7350000</v>
      </c>
      <c r="K34" s="2790">
        <f t="shared" si="1"/>
        <v>7350000</v>
      </c>
      <c r="L34" s="2789">
        <v>1</v>
      </c>
      <c r="M34" s="2515" t="s">
        <v>147</v>
      </c>
      <c r="N34" s="2516">
        <v>6900000</v>
      </c>
      <c r="O34" s="2790">
        <f t="shared" si="2"/>
        <v>6900000</v>
      </c>
      <c r="P34" s="2787">
        <f t="shared" si="0"/>
        <v>-450000</v>
      </c>
      <c r="Q34" s="2560"/>
      <c r="R34" s="377"/>
      <c r="S34" s="377">
        <f t="shared" si="3"/>
        <v>6900000</v>
      </c>
      <c r="T34" s="377"/>
      <c r="U34" s="377"/>
      <c r="V34" s="377"/>
      <c r="W34" s="385"/>
      <c r="X34" s="385"/>
    </row>
    <row r="35" spans="2:24" s="2033" customFormat="1">
      <c r="B35" s="2515"/>
      <c r="C35" s="2515"/>
      <c r="D35" s="2515"/>
      <c r="E35" s="2515"/>
      <c r="F35" s="2515"/>
      <c r="G35" s="2548" t="s">
        <v>1769</v>
      </c>
      <c r="H35" s="2789">
        <v>1</v>
      </c>
      <c r="I35" s="2515" t="s">
        <v>147</v>
      </c>
      <c r="J35" s="2516">
        <v>7350000</v>
      </c>
      <c r="K35" s="2790">
        <f t="shared" si="1"/>
        <v>7350000</v>
      </c>
      <c r="L35" s="2789">
        <v>1</v>
      </c>
      <c r="M35" s="2515" t="s">
        <v>147</v>
      </c>
      <c r="N35" s="2516">
        <v>6900000</v>
      </c>
      <c r="O35" s="2790">
        <f t="shared" si="2"/>
        <v>6900000</v>
      </c>
      <c r="P35" s="2787">
        <f t="shared" si="0"/>
        <v>-450000</v>
      </c>
      <c r="Q35" s="2560"/>
      <c r="R35" s="377"/>
      <c r="S35" s="377">
        <f t="shared" si="3"/>
        <v>6900000</v>
      </c>
      <c r="T35" s="377"/>
      <c r="U35" s="377"/>
      <c r="V35" s="377"/>
      <c r="W35" s="385"/>
      <c r="X35" s="385"/>
    </row>
    <row r="36" spans="2:24" s="2033" customFormat="1">
      <c r="B36" s="2515"/>
      <c r="C36" s="2515"/>
      <c r="D36" s="2515"/>
      <c r="E36" s="2515"/>
      <c r="F36" s="2515"/>
      <c r="G36" s="2548" t="s">
        <v>1770</v>
      </c>
      <c r="H36" s="2789">
        <v>1</v>
      </c>
      <c r="I36" s="2515" t="s">
        <v>147</v>
      </c>
      <c r="J36" s="2516">
        <v>7350000</v>
      </c>
      <c r="K36" s="2790">
        <f t="shared" si="1"/>
        <v>7350000</v>
      </c>
      <c r="L36" s="2789">
        <v>1</v>
      </c>
      <c r="M36" s="2515" t="s">
        <v>147</v>
      </c>
      <c r="N36" s="2516">
        <v>6900000</v>
      </c>
      <c r="O36" s="2790">
        <f t="shared" si="2"/>
        <v>6900000</v>
      </c>
      <c r="P36" s="2787">
        <f t="shared" si="0"/>
        <v>-450000</v>
      </c>
      <c r="Q36" s="2560"/>
      <c r="R36" s="377"/>
      <c r="S36" s="377">
        <f t="shared" si="3"/>
        <v>6900000</v>
      </c>
      <c r="T36" s="377"/>
      <c r="U36" s="377"/>
      <c r="V36" s="377"/>
      <c r="W36" s="385"/>
      <c r="X36" s="385"/>
    </row>
    <row r="37" spans="2:24" s="2033" customFormat="1">
      <c r="B37" s="2515"/>
      <c r="C37" s="2515"/>
      <c r="D37" s="2515"/>
      <c r="E37" s="2515"/>
      <c r="F37" s="2515"/>
      <c r="G37" s="2548" t="s">
        <v>1954</v>
      </c>
      <c r="H37" s="2789">
        <v>1</v>
      </c>
      <c r="I37" s="2515" t="s">
        <v>147</v>
      </c>
      <c r="J37" s="2516">
        <v>7350000</v>
      </c>
      <c r="K37" s="2790">
        <f t="shared" si="1"/>
        <v>7350000</v>
      </c>
      <c r="L37" s="2789"/>
      <c r="M37" s="2515" t="s">
        <v>147</v>
      </c>
      <c r="N37" s="2516">
        <v>6900000</v>
      </c>
      <c r="O37" s="2790">
        <f t="shared" si="2"/>
        <v>0</v>
      </c>
      <c r="P37" s="2787">
        <f t="shared" si="0"/>
        <v>-7350000</v>
      </c>
      <c r="Q37" s="2560"/>
      <c r="R37" s="377"/>
      <c r="S37" s="377">
        <f t="shared" si="3"/>
        <v>0</v>
      </c>
      <c r="T37" s="377"/>
      <c r="U37" s="377"/>
      <c r="V37" s="377"/>
      <c r="W37" s="385"/>
      <c r="X37" s="385"/>
    </row>
    <row r="38" spans="2:24">
      <c r="B38" s="375"/>
      <c r="C38" s="375"/>
      <c r="D38" s="375"/>
      <c r="E38" s="375"/>
      <c r="F38" s="375"/>
      <c r="G38" s="558"/>
      <c r="H38" s="374"/>
      <c r="I38" s="375"/>
      <c r="J38" s="376"/>
      <c r="K38" s="2780"/>
      <c r="L38" s="374"/>
      <c r="M38" s="375"/>
      <c r="N38" s="376"/>
      <c r="O38" s="2780"/>
      <c r="P38" s="2779">
        <f t="shared" si="0"/>
        <v>0</v>
      </c>
      <c r="Q38" s="474"/>
      <c r="R38" s="377"/>
      <c r="S38" s="377"/>
      <c r="T38" s="377"/>
      <c r="U38" s="377"/>
      <c r="V38" s="377"/>
      <c r="W38" s="385"/>
      <c r="X38" s="385"/>
    </row>
    <row r="39" spans="2:24">
      <c r="B39" s="375"/>
      <c r="C39" s="375"/>
      <c r="D39" s="375"/>
      <c r="E39" s="375"/>
      <c r="F39" s="375"/>
      <c r="G39" s="558"/>
      <c r="H39" s="374"/>
      <c r="I39" s="375"/>
      <c r="J39" s="376"/>
      <c r="K39" s="2780"/>
      <c r="L39" s="374"/>
      <c r="M39" s="375"/>
      <c r="N39" s="376"/>
      <c r="O39" s="2780"/>
      <c r="P39" s="2779">
        <f t="shared" si="0"/>
        <v>0</v>
      </c>
      <c r="Q39" s="474"/>
      <c r="R39" s="377"/>
      <c r="S39" s="377"/>
      <c r="T39" s="377"/>
      <c r="U39" s="377"/>
      <c r="V39" s="377"/>
      <c r="W39" s="385"/>
      <c r="X39" s="385"/>
    </row>
    <row r="40" spans="2:24">
      <c r="B40" s="368">
        <v>5</v>
      </c>
      <c r="C40" s="368">
        <v>2</v>
      </c>
      <c r="D40" s="368">
        <v>2</v>
      </c>
      <c r="E40" s="368"/>
      <c r="F40" s="368"/>
      <c r="G40" s="366" t="s">
        <v>43</v>
      </c>
      <c r="H40" s="956"/>
      <c r="I40" s="368"/>
      <c r="J40" s="369"/>
      <c r="K40" s="2779">
        <f>K41+K45+K49+K66+K73+K96+K144+K162</f>
        <v>2039142266</v>
      </c>
      <c r="L40" s="956"/>
      <c r="M40" s="368"/>
      <c r="N40" s="369"/>
      <c r="O40" s="2779">
        <f>O41+O45+O49+O66+O73+O96+O144+O162</f>
        <v>1727309266</v>
      </c>
      <c r="P40" s="2779">
        <f t="shared" si="0"/>
        <v>-311833000</v>
      </c>
      <c r="Q40" s="474"/>
      <c r="R40" s="377"/>
      <c r="S40" s="377"/>
      <c r="T40" s="377"/>
      <c r="U40" s="377"/>
      <c r="V40" s="377"/>
      <c r="W40" s="385"/>
      <c r="X40" s="385"/>
    </row>
    <row r="41" spans="2:24">
      <c r="B41" s="368">
        <v>5</v>
      </c>
      <c r="C41" s="368">
        <v>2</v>
      </c>
      <c r="D41" s="368">
        <v>2</v>
      </c>
      <c r="E41" s="428" t="s">
        <v>24</v>
      </c>
      <c r="F41" s="368"/>
      <c r="G41" s="366" t="s">
        <v>69</v>
      </c>
      <c r="H41" s="956"/>
      <c r="I41" s="368"/>
      <c r="J41" s="369"/>
      <c r="K41" s="2779">
        <f>K42</f>
        <v>7000000</v>
      </c>
      <c r="L41" s="956"/>
      <c r="M41" s="368"/>
      <c r="N41" s="369"/>
      <c r="O41" s="2779">
        <f>O42</f>
        <v>5600000</v>
      </c>
      <c r="P41" s="2779">
        <f t="shared" si="0"/>
        <v>-1400000</v>
      </c>
      <c r="Q41" s="474"/>
      <c r="R41" s="377"/>
      <c r="S41" s="377"/>
      <c r="T41" s="377"/>
      <c r="U41" s="377"/>
      <c r="V41" s="377"/>
      <c r="W41" s="385"/>
      <c r="X41" s="385"/>
    </row>
    <row r="42" spans="2:24" s="2033" customFormat="1">
      <c r="B42" s="2547">
        <v>5</v>
      </c>
      <c r="C42" s="2504">
        <v>2</v>
      </c>
      <c r="D42" s="2504">
        <v>2</v>
      </c>
      <c r="E42" s="2614" t="s">
        <v>24</v>
      </c>
      <c r="F42" s="2614" t="s">
        <v>24</v>
      </c>
      <c r="G42" s="2792" t="s">
        <v>100</v>
      </c>
      <c r="H42" s="2632"/>
      <c r="I42" s="2547"/>
      <c r="J42" s="2785"/>
      <c r="K42" s="2786">
        <f>SUM(K43:K44)</f>
        <v>7000000</v>
      </c>
      <c r="L42" s="2632"/>
      <c r="M42" s="2547"/>
      <c r="N42" s="2785"/>
      <c r="O42" s="2786">
        <f>SUM(O43:O44)</f>
        <v>5600000</v>
      </c>
      <c r="P42" s="2786">
        <f t="shared" si="0"/>
        <v>-1400000</v>
      </c>
      <c r="Q42" s="2560"/>
      <c r="R42" s="377"/>
      <c r="S42" s="377"/>
      <c r="T42" s="377"/>
      <c r="U42" s="377"/>
      <c r="V42" s="377"/>
      <c r="W42" s="385"/>
      <c r="X42" s="385"/>
    </row>
    <row r="43" spans="2:24" s="2033" customFormat="1">
      <c r="B43" s="2515"/>
      <c r="C43" s="2497"/>
      <c r="D43" s="2497"/>
      <c r="E43" s="2571"/>
      <c r="F43" s="2571"/>
      <c r="G43" s="2548" t="s">
        <v>1949</v>
      </c>
      <c r="H43" s="2514">
        <v>1</v>
      </c>
      <c r="I43" s="2515" t="s">
        <v>147</v>
      </c>
      <c r="J43" s="2516">
        <v>7000000</v>
      </c>
      <c r="K43" s="2790">
        <f t="shared" ref="K43" si="4">H43*J43</f>
        <v>7000000</v>
      </c>
      <c r="L43" s="2514">
        <v>1</v>
      </c>
      <c r="M43" s="2515" t="s">
        <v>147</v>
      </c>
      <c r="N43" s="2516">
        <f>7000000-1400000</f>
        <v>5600000</v>
      </c>
      <c r="O43" s="2790">
        <f t="shared" ref="O43" si="5">L43*N43</f>
        <v>5600000</v>
      </c>
      <c r="P43" s="2786">
        <f t="shared" si="0"/>
        <v>-1400000</v>
      </c>
      <c r="Q43" s="2560"/>
      <c r="R43" s="377"/>
      <c r="S43" s="377">
        <f>O43</f>
        <v>5600000</v>
      </c>
      <c r="T43" s="377"/>
      <c r="U43" s="377"/>
      <c r="V43" s="377"/>
      <c r="W43" s="385"/>
      <c r="X43" s="385"/>
    </row>
    <row r="44" spans="2:24">
      <c r="B44" s="375"/>
      <c r="C44" s="380"/>
      <c r="D44" s="380"/>
      <c r="E44" s="459"/>
      <c r="F44" s="459"/>
      <c r="G44" s="558"/>
      <c r="H44" s="933"/>
      <c r="I44" s="375"/>
      <c r="J44" s="456"/>
      <c r="K44" s="2793"/>
      <c r="L44" s="933"/>
      <c r="M44" s="375"/>
      <c r="N44" s="456"/>
      <c r="O44" s="2793"/>
      <c r="P44" s="2779">
        <f t="shared" si="0"/>
        <v>0</v>
      </c>
      <c r="Q44" s="474"/>
      <c r="R44" s="564"/>
      <c r="S44" s="377"/>
      <c r="T44" s="377"/>
      <c r="U44" s="377"/>
      <c r="V44" s="377"/>
      <c r="W44" s="385"/>
      <c r="X44" s="385"/>
    </row>
    <row r="45" spans="2:24">
      <c r="B45" s="368">
        <v>5</v>
      </c>
      <c r="C45" s="368">
        <v>2</v>
      </c>
      <c r="D45" s="368">
        <v>2</v>
      </c>
      <c r="E45" s="428" t="s">
        <v>25</v>
      </c>
      <c r="F45" s="368"/>
      <c r="G45" s="366" t="s">
        <v>119</v>
      </c>
      <c r="H45" s="933"/>
      <c r="I45" s="375"/>
      <c r="J45" s="456"/>
      <c r="K45" s="2794">
        <f>+K46</f>
        <v>3000000</v>
      </c>
      <c r="L45" s="933"/>
      <c r="M45" s="375"/>
      <c r="N45" s="456"/>
      <c r="O45" s="2794">
        <f>+O46</f>
        <v>2600000</v>
      </c>
      <c r="P45" s="2779">
        <f t="shared" si="0"/>
        <v>-400000</v>
      </c>
      <c r="Q45" s="474"/>
      <c r="R45" s="564"/>
      <c r="S45" s="377"/>
      <c r="T45" s="377"/>
      <c r="U45" s="377"/>
      <c r="V45" s="377"/>
      <c r="W45" s="385"/>
      <c r="X45" s="385"/>
    </row>
    <row r="46" spans="2:24" s="2033" customFormat="1">
      <c r="B46" s="2547">
        <v>5</v>
      </c>
      <c r="C46" s="2547">
        <v>2</v>
      </c>
      <c r="D46" s="2547">
        <v>2</v>
      </c>
      <c r="E46" s="2561" t="s">
        <v>25</v>
      </c>
      <c r="F46" s="2561" t="s">
        <v>607</v>
      </c>
      <c r="G46" s="2792" t="s">
        <v>831</v>
      </c>
      <c r="H46" s="2632"/>
      <c r="I46" s="2547"/>
      <c r="J46" s="2795"/>
      <c r="K46" s="2796">
        <f>SUM(K47:K48)</f>
        <v>3000000</v>
      </c>
      <c r="L46" s="2632"/>
      <c r="M46" s="2547"/>
      <c r="N46" s="2795"/>
      <c r="O46" s="2796">
        <f>SUM(O47:O48)</f>
        <v>2600000</v>
      </c>
      <c r="P46" s="2786">
        <f t="shared" si="0"/>
        <v>-400000</v>
      </c>
      <c r="Q46" s="2560"/>
      <c r="R46" s="842"/>
      <c r="S46" s="837"/>
      <c r="T46" s="837"/>
      <c r="U46" s="837"/>
      <c r="V46" s="837"/>
      <c r="W46" s="846"/>
      <c r="X46" s="846"/>
    </row>
    <row r="47" spans="2:24" s="2033" customFormat="1">
      <c r="B47" s="2547"/>
      <c r="C47" s="2547"/>
      <c r="D47" s="2547"/>
      <c r="E47" s="2561"/>
      <c r="F47" s="2561"/>
      <c r="G47" s="2548" t="s">
        <v>1361</v>
      </c>
      <c r="H47" s="2514">
        <v>15</v>
      </c>
      <c r="I47" s="2515" t="s">
        <v>383</v>
      </c>
      <c r="J47" s="2516">
        <v>200000</v>
      </c>
      <c r="K47" s="2790">
        <f t="shared" ref="K47" si="6">H47*J47</f>
        <v>3000000</v>
      </c>
      <c r="L47" s="2514">
        <v>13</v>
      </c>
      <c r="M47" s="2515" t="s">
        <v>383</v>
      </c>
      <c r="N47" s="2516">
        <v>200000</v>
      </c>
      <c r="O47" s="2790">
        <f t="shared" ref="O47" si="7">L47*N47</f>
        <v>2600000</v>
      </c>
      <c r="P47" s="2786">
        <f t="shared" si="0"/>
        <v>-400000</v>
      </c>
      <c r="Q47" s="2560"/>
      <c r="R47" s="842"/>
      <c r="S47" s="377">
        <f>O47</f>
        <v>2600000</v>
      </c>
      <c r="T47" s="837"/>
      <c r="U47" s="837"/>
      <c r="V47" s="837"/>
      <c r="W47" s="846"/>
      <c r="X47" s="846"/>
    </row>
    <row r="48" spans="2:24">
      <c r="B48" s="368"/>
      <c r="C48" s="368"/>
      <c r="D48" s="368"/>
      <c r="E48" s="428"/>
      <c r="F48" s="428"/>
      <c r="G48" s="558"/>
      <c r="H48" s="933"/>
      <c r="I48" s="375"/>
      <c r="J48" s="456"/>
      <c r="K48" s="2793"/>
      <c r="L48" s="933"/>
      <c r="M48" s="375"/>
      <c r="N48" s="456"/>
      <c r="O48" s="2793"/>
      <c r="P48" s="2779">
        <f t="shared" si="0"/>
        <v>0</v>
      </c>
      <c r="Q48" s="474"/>
      <c r="R48" s="842"/>
      <c r="S48" s="377"/>
      <c r="T48" s="837"/>
      <c r="U48" s="837"/>
      <c r="V48" s="837"/>
      <c r="W48" s="846"/>
      <c r="X48" s="846"/>
    </row>
    <row r="49" spans="2:24">
      <c r="B49" s="368">
        <v>5</v>
      </c>
      <c r="C49" s="368">
        <v>2</v>
      </c>
      <c r="D49" s="368">
        <v>2</v>
      </c>
      <c r="E49" s="428" t="s">
        <v>44</v>
      </c>
      <c r="F49" s="368"/>
      <c r="G49" s="366" t="s">
        <v>45</v>
      </c>
      <c r="H49" s="956"/>
      <c r="I49" s="368"/>
      <c r="J49" s="369"/>
      <c r="K49" s="2797">
        <f>K50+K53</f>
        <v>84300000</v>
      </c>
      <c r="L49" s="956"/>
      <c r="M49" s="368"/>
      <c r="N49" s="369"/>
      <c r="O49" s="2797">
        <f>O50+O53</f>
        <v>77270000</v>
      </c>
      <c r="P49" s="2779">
        <f t="shared" si="0"/>
        <v>-7030000</v>
      </c>
      <c r="Q49" s="474"/>
      <c r="R49" s="2798"/>
      <c r="S49" s="385"/>
      <c r="T49" s="385"/>
      <c r="U49" s="385"/>
      <c r="V49" s="385"/>
      <c r="W49" s="385"/>
      <c r="X49" s="385"/>
    </row>
    <row r="50" spans="2:24">
      <c r="B50" s="424">
        <v>5</v>
      </c>
      <c r="C50" s="424">
        <v>2</v>
      </c>
      <c r="D50" s="424">
        <v>2</v>
      </c>
      <c r="E50" s="430" t="s">
        <v>44</v>
      </c>
      <c r="F50" s="430" t="s">
        <v>77</v>
      </c>
      <c r="G50" s="381" t="s">
        <v>505</v>
      </c>
      <c r="H50" s="593"/>
      <c r="I50" s="650"/>
      <c r="J50" s="2799"/>
      <c r="K50" s="2794">
        <f>SUM(K51:K52)</f>
        <v>20000000</v>
      </c>
      <c r="L50" s="593"/>
      <c r="M50" s="650"/>
      <c r="N50" s="2799"/>
      <c r="O50" s="2794">
        <f>SUM(O51:O52)</f>
        <v>20000000</v>
      </c>
      <c r="P50" s="2779">
        <f t="shared" si="0"/>
        <v>0</v>
      </c>
      <c r="Q50" s="474"/>
      <c r="R50" s="377"/>
      <c r="S50" s="377"/>
      <c r="T50" s="377"/>
      <c r="U50" s="377"/>
      <c r="V50" s="377"/>
      <c r="W50" s="385"/>
      <c r="X50" s="385"/>
    </row>
    <row r="51" spans="2:24" s="76" customFormat="1">
      <c r="B51" s="380"/>
      <c r="C51" s="380"/>
      <c r="D51" s="380"/>
      <c r="E51" s="459"/>
      <c r="F51" s="459"/>
      <c r="G51" s="373" t="s">
        <v>1765</v>
      </c>
      <c r="H51" s="594">
        <v>2</v>
      </c>
      <c r="I51" s="932" t="s">
        <v>29</v>
      </c>
      <c r="J51" s="1103">
        <v>10000000</v>
      </c>
      <c r="K51" s="2793">
        <f t="shared" ref="K51" si="8">H51*J51</f>
        <v>20000000</v>
      </c>
      <c r="L51" s="594">
        <v>2</v>
      </c>
      <c r="M51" s="932" t="s">
        <v>29</v>
      </c>
      <c r="N51" s="1103">
        <v>10000000</v>
      </c>
      <c r="O51" s="2793">
        <f t="shared" ref="O51" si="9">L51*N51</f>
        <v>20000000</v>
      </c>
      <c r="P51" s="2779">
        <f t="shared" si="0"/>
        <v>0</v>
      </c>
      <c r="Q51" s="462"/>
      <c r="R51" s="2492"/>
      <c r="S51" s="2492">
        <f>O51</f>
        <v>20000000</v>
      </c>
      <c r="T51" s="2492"/>
      <c r="U51" s="2492"/>
      <c r="V51" s="2492"/>
      <c r="W51" s="2493"/>
      <c r="X51" s="2493"/>
    </row>
    <row r="52" spans="2:24">
      <c r="B52" s="368"/>
      <c r="C52" s="368"/>
      <c r="D52" s="368"/>
      <c r="E52" s="428"/>
      <c r="F52" s="428"/>
      <c r="G52" s="558"/>
      <c r="H52" s="933"/>
      <c r="I52" s="375"/>
      <c r="J52" s="456"/>
      <c r="K52" s="2793"/>
      <c r="L52" s="933"/>
      <c r="M52" s="375"/>
      <c r="N52" s="456"/>
      <c r="O52" s="2793"/>
      <c r="P52" s="2779">
        <f t="shared" si="0"/>
        <v>0</v>
      </c>
      <c r="Q52" s="474"/>
      <c r="R52" s="842"/>
      <c r="S52" s="837"/>
      <c r="T52" s="837"/>
      <c r="U52" s="837"/>
      <c r="V52" s="837"/>
      <c r="W52" s="846"/>
      <c r="X52" s="846"/>
    </row>
    <row r="53" spans="2:24" s="2481" customFormat="1">
      <c r="B53" s="2504">
        <v>5</v>
      </c>
      <c r="C53" s="2504">
        <v>2</v>
      </c>
      <c r="D53" s="2504">
        <v>2</v>
      </c>
      <c r="E53" s="2614" t="s">
        <v>44</v>
      </c>
      <c r="F53" s="2614" t="s">
        <v>1385</v>
      </c>
      <c r="G53" s="2487" t="s">
        <v>1892</v>
      </c>
      <c r="H53" s="2800"/>
      <c r="I53" s="2801"/>
      <c r="J53" s="2802"/>
      <c r="K53" s="2803">
        <f>SUM(K54:K65)</f>
        <v>64300000</v>
      </c>
      <c r="L53" s="2800"/>
      <c r="M53" s="2801"/>
      <c r="N53" s="2802"/>
      <c r="O53" s="2803">
        <f>SUM(O54:O65)</f>
        <v>57270000</v>
      </c>
      <c r="P53" s="2786">
        <f t="shared" si="0"/>
        <v>-7030000</v>
      </c>
      <c r="Q53" s="2619"/>
      <c r="R53" s="377"/>
      <c r="S53" s="377"/>
      <c r="T53" s="377"/>
      <c r="U53" s="377"/>
      <c r="V53" s="377"/>
      <c r="W53" s="385"/>
      <c r="X53" s="385"/>
    </row>
    <row r="54" spans="2:24" s="2481" customFormat="1">
      <c r="B54" s="2515"/>
      <c r="C54" s="2515"/>
      <c r="D54" s="2515"/>
      <c r="E54" s="2515"/>
      <c r="F54" s="2515"/>
      <c r="G54" s="2548" t="s">
        <v>1536</v>
      </c>
      <c r="H54" s="2789">
        <f>32*5</f>
        <v>160</v>
      </c>
      <c r="I54" s="2515" t="s">
        <v>27</v>
      </c>
      <c r="J54" s="2516">
        <v>50000</v>
      </c>
      <c r="K54" s="2790">
        <f>H54*J54</f>
        <v>8000000</v>
      </c>
      <c r="L54" s="2789">
        <f>32*5</f>
        <v>160</v>
      </c>
      <c r="M54" s="2515" t="s">
        <v>27</v>
      </c>
      <c r="N54" s="2516">
        <v>50000</v>
      </c>
      <c r="O54" s="2790">
        <f>L54*N54</f>
        <v>8000000</v>
      </c>
      <c r="P54" s="2787">
        <f t="shared" si="0"/>
        <v>0</v>
      </c>
      <c r="Q54" s="2619"/>
      <c r="R54" s="377"/>
      <c r="S54" s="377">
        <f>O54</f>
        <v>8000000</v>
      </c>
      <c r="T54" s="377"/>
      <c r="U54" s="377"/>
      <c r="V54" s="377"/>
      <c r="W54" s="385"/>
      <c r="X54" s="385"/>
    </row>
    <row r="55" spans="2:24" s="2481" customFormat="1">
      <c r="B55" s="2515"/>
      <c r="C55" s="2515"/>
      <c r="D55" s="2515"/>
      <c r="E55" s="2515"/>
      <c r="F55" s="2515"/>
      <c r="G55" s="2548" t="s">
        <v>1766</v>
      </c>
      <c r="H55" s="2789">
        <f>25*3</f>
        <v>75</v>
      </c>
      <c r="I55" s="2515" t="s">
        <v>27</v>
      </c>
      <c r="J55" s="2516">
        <v>50000</v>
      </c>
      <c r="K55" s="2790">
        <f>H55*J55</f>
        <v>3750000</v>
      </c>
      <c r="L55" s="2789">
        <f>25*3</f>
        <v>75</v>
      </c>
      <c r="M55" s="2515" t="s">
        <v>27</v>
      </c>
      <c r="N55" s="2516">
        <v>50000</v>
      </c>
      <c r="O55" s="2790">
        <f>L55*N55</f>
        <v>3750000</v>
      </c>
      <c r="P55" s="2787">
        <f t="shared" si="0"/>
        <v>0</v>
      </c>
      <c r="Q55" s="2619"/>
      <c r="R55" s="377"/>
      <c r="S55" s="377">
        <f t="shared" ref="S55:S64" si="10">O55</f>
        <v>3750000</v>
      </c>
      <c r="T55" s="377"/>
      <c r="U55" s="377"/>
      <c r="V55" s="377"/>
      <c r="W55" s="385"/>
      <c r="X55" s="385"/>
    </row>
    <row r="56" spans="2:24" s="2033" customFormat="1">
      <c r="B56" s="2547"/>
      <c r="C56" s="2547"/>
      <c r="D56" s="2547"/>
      <c r="E56" s="2561"/>
      <c r="F56" s="2561"/>
      <c r="G56" s="2548" t="s">
        <v>1980</v>
      </c>
      <c r="H56" s="2514">
        <f>3*4</f>
        <v>12</v>
      </c>
      <c r="I56" s="2515" t="s">
        <v>27</v>
      </c>
      <c r="J56" s="2516">
        <v>50000</v>
      </c>
      <c r="K56" s="2790">
        <f t="shared" ref="K56:K64" si="11">H56*J56</f>
        <v>600000</v>
      </c>
      <c r="L56" s="2514"/>
      <c r="M56" s="2515" t="s">
        <v>27</v>
      </c>
      <c r="N56" s="2516">
        <v>50000</v>
      </c>
      <c r="O56" s="2790">
        <f t="shared" ref="O56:O64" si="12">L56*N56</f>
        <v>0</v>
      </c>
      <c r="P56" s="2787">
        <f t="shared" si="0"/>
        <v>-600000</v>
      </c>
      <c r="Q56" s="2560"/>
      <c r="R56" s="842"/>
      <c r="S56" s="377">
        <f t="shared" si="10"/>
        <v>0</v>
      </c>
      <c r="T56" s="837"/>
      <c r="U56" s="837"/>
      <c r="V56" s="837"/>
      <c r="W56" s="846"/>
      <c r="X56" s="846"/>
    </row>
    <row r="57" spans="2:24" s="2033" customFormat="1">
      <c r="B57" s="2547"/>
      <c r="C57" s="2547"/>
      <c r="D57" s="2547"/>
      <c r="E57" s="2561"/>
      <c r="F57" s="2561"/>
      <c r="G57" s="2548" t="s">
        <v>1981</v>
      </c>
      <c r="H57" s="2514">
        <f>45*2</f>
        <v>90</v>
      </c>
      <c r="I57" s="2515" t="s">
        <v>27</v>
      </c>
      <c r="J57" s="2516">
        <v>50000</v>
      </c>
      <c r="K57" s="2790">
        <f t="shared" si="11"/>
        <v>4500000</v>
      </c>
      <c r="L57" s="2514">
        <f>45*2</f>
        <v>90</v>
      </c>
      <c r="M57" s="2515" t="s">
        <v>27</v>
      </c>
      <c r="N57" s="2516">
        <v>50000</v>
      </c>
      <c r="O57" s="2790">
        <f t="shared" si="12"/>
        <v>4500000</v>
      </c>
      <c r="P57" s="2787">
        <f t="shared" si="0"/>
        <v>0</v>
      </c>
      <c r="Q57" s="2560"/>
      <c r="R57" s="842"/>
      <c r="S57" s="377">
        <f t="shared" si="10"/>
        <v>4500000</v>
      </c>
      <c r="T57" s="837"/>
      <c r="U57" s="837"/>
      <c r="V57" s="837"/>
      <c r="W57" s="846"/>
      <c r="X57" s="846"/>
    </row>
    <row r="58" spans="2:24" s="2033" customFormat="1">
      <c r="B58" s="2547"/>
      <c r="C58" s="2547"/>
      <c r="D58" s="2547"/>
      <c r="E58" s="2561"/>
      <c r="F58" s="2561"/>
      <c r="G58" s="2548" t="s">
        <v>1982</v>
      </c>
      <c r="H58" s="2514">
        <f>30*4</f>
        <v>120</v>
      </c>
      <c r="I58" s="2515" t="s">
        <v>27</v>
      </c>
      <c r="J58" s="2516">
        <v>50000</v>
      </c>
      <c r="K58" s="2790">
        <f t="shared" si="11"/>
        <v>6000000</v>
      </c>
      <c r="L58" s="2514">
        <f>30*4</f>
        <v>120</v>
      </c>
      <c r="M58" s="2515" t="s">
        <v>27</v>
      </c>
      <c r="N58" s="2516">
        <v>50000</v>
      </c>
      <c r="O58" s="2790">
        <f t="shared" si="12"/>
        <v>6000000</v>
      </c>
      <c r="P58" s="2787">
        <f t="shared" si="0"/>
        <v>0</v>
      </c>
      <c r="Q58" s="2560"/>
      <c r="R58" s="842"/>
      <c r="S58" s="377">
        <f t="shared" si="10"/>
        <v>6000000</v>
      </c>
      <c r="T58" s="837"/>
      <c r="U58" s="837"/>
      <c r="V58" s="837"/>
      <c r="W58" s="846"/>
      <c r="X58" s="846"/>
    </row>
    <row r="59" spans="2:24" s="2033" customFormat="1">
      <c r="B59" s="2547"/>
      <c r="C59" s="2547"/>
      <c r="D59" s="2547"/>
      <c r="E59" s="2561"/>
      <c r="F59" s="2561"/>
      <c r="G59" s="2548" t="s">
        <v>1983</v>
      </c>
      <c r="H59" s="2514">
        <f>50*2</f>
        <v>100</v>
      </c>
      <c r="I59" s="2515" t="s">
        <v>27</v>
      </c>
      <c r="J59" s="2516">
        <v>50000</v>
      </c>
      <c r="K59" s="2790">
        <f t="shared" si="11"/>
        <v>5000000</v>
      </c>
      <c r="L59" s="2514">
        <f>50*2</f>
        <v>100</v>
      </c>
      <c r="M59" s="2515" t="s">
        <v>27</v>
      </c>
      <c r="N59" s="2516">
        <v>50000</v>
      </c>
      <c r="O59" s="2790">
        <f t="shared" si="12"/>
        <v>5000000</v>
      </c>
      <c r="P59" s="2787">
        <f t="shared" si="0"/>
        <v>0</v>
      </c>
      <c r="Q59" s="2560"/>
      <c r="R59" s="842"/>
      <c r="S59" s="377">
        <f t="shared" si="10"/>
        <v>5000000</v>
      </c>
      <c r="T59" s="837"/>
      <c r="U59" s="837"/>
      <c r="V59" s="837"/>
      <c r="W59" s="846"/>
      <c r="X59" s="846"/>
    </row>
    <row r="60" spans="2:24" s="2033" customFormat="1">
      <c r="B60" s="2547"/>
      <c r="C60" s="2547"/>
      <c r="D60" s="2547"/>
      <c r="E60" s="2561"/>
      <c r="F60" s="2561"/>
      <c r="G60" s="2548" t="s">
        <v>1984</v>
      </c>
      <c r="H60" s="2514">
        <f>46*4</f>
        <v>184</v>
      </c>
      <c r="I60" s="2515" t="s">
        <v>27</v>
      </c>
      <c r="J60" s="2516">
        <v>50000</v>
      </c>
      <c r="K60" s="2790">
        <f t="shared" si="11"/>
        <v>9200000</v>
      </c>
      <c r="L60" s="2514">
        <f>46*4</f>
        <v>184</v>
      </c>
      <c r="M60" s="2515" t="s">
        <v>27</v>
      </c>
      <c r="N60" s="2516">
        <v>50000</v>
      </c>
      <c r="O60" s="2790">
        <f t="shared" si="12"/>
        <v>9200000</v>
      </c>
      <c r="P60" s="2787">
        <f t="shared" si="0"/>
        <v>0</v>
      </c>
      <c r="Q60" s="2560"/>
      <c r="R60" s="842"/>
      <c r="S60" s="377">
        <f t="shared" si="10"/>
        <v>9200000</v>
      </c>
      <c r="T60" s="837"/>
      <c r="U60" s="837"/>
      <c r="V60" s="837"/>
      <c r="W60" s="846"/>
      <c r="X60" s="846"/>
    </row>
    <row r="61" spans="2:24" s="2033" customFormat="1">
      <c r="B61" s="2547"/>
      <c r="C61" s="2547"/>
      <c r="D61" s="2547"/>
      <c r="E61" s="2561"/>
      <c r="F61" s="2561"/>
      <c r="G61" s="2548" t="s">
        <v>1979</v>
      </c>
      <c r="H61" s="2514">
        <f>25*5</f>
        <v>125</v>
      </c>
      <c r="I61" s="2515" t="s">
        <v>27</v>
      </c>
      <c r="J61" s="2516">
        <v>50000</v>
      </c>
      <c r="K61" s="2790">
        <f t="shared" si="11"/>
        <v>6250000</v>
      </c>
      <c r="L61" s="2514">
        <f>25*5</f>
        <v>125</v>
      </c>
      <c r="M61" s="2515" t="s">
        <v>27</v>
      </c>
      <c r="N61" s="2516">
        <v>50000</v>
      </c>
      <c r="O61" s="2790">
        <f t="shared" si="12"/>
        <v>6250000</v>
      </c>
      <c r="P61" s="2787">
        <f t="shared" si="0"/>
        <v>0</v>
      </c>
      <c r="Q61" s="2560"/>
      <c r="R61" s="842"/>
      <c r="S61" s="377">
        <f t="shared" si="10"/>
        <v>6250000</v>
      </c>
      <c r="T61" s="837"/>
      <c r="U61" s="837"/>
      <c r="V61" s="837"/>
      <c r="W61" s="846"/>
      <c r="X61" s="846"/>
    </row>
    <row r="62" spans="2:24" s="2033" customFormat="1">
      <c r="B62" s="2547"/>
      <c r="C62" s="2547"/>
      <c r="D62" s="2547"/>
      <c r="E62" s="2561"/>
      <c r="F62" s="2561"/>
      <c r="G62" s="2548" t="s">
        <v>1985</v>
      </c>
      <c r="H62" s="2514">
        <f>40*3</f>
        <v>120</v>
      </c>
      <c r="I62" s="2515" t="s">
        <v>27</v>
      </c>
      <c r="J62" s="2516">
        <v>50000</v>
      </c>
      <c r="K62" s="2790">
        <f t="shared" si="11"/>
        <v>6000000</v>
      </c>
      <c r="L62" s="2514">
        <f>40*3</f>
        <v>120</v>
      </c>
      <c r="M62" s="2515" t="s">
        <v>27</v>
      </c>
      <c r="N62" s="2516">
        <v>50000</v>
      </c>
      <c r="O62" s="2790">
        <f t="shared" si="12"/>
        <v>6000000</v>
      </c>
      <c r="P62" s="2787">
        <f t="shared" si="0"/>
        <v>0</v>
      </c>
      <c r="Q62" s="2560"/>
      <c r="R62" s="842"/>
      <c r="S62" s="377">
        <f t="shared" si="10"/>
        <v>6000000</v>
      </c>
      <c r="T62" s="837"/>
      <c r="U62" s="837"/>
      <c r="V62" s="837"/>
      <c r="W62" s="846"/>
      <c r="X62" s="846"/>
    </row>
    <row r="63" spans="2:24" s="2033" customFormat="1">
      <c r="B63" s="2547"/>
      <c r="C63" s="2547"/>
      <c r="D63" s="2547"/>
      <c r="E63" s="2561"/>
      <c r="F63" s="2561"/>
      <c r="G63" s="2548" t="s">
        <v>1986</v>
      </c>
      <c r="H63" s="2514">
        <f>50*2</f>
        <v>100</v>
      </c>
      <c r="I63" s="2515" t="s">
        <v>27</v>
      </c>
      <c r="J63" s="2516">
        <v>50000</v>
      </c>
      <c r="K63" s="2790">
        <f t="shared" si="11"/>
        <v>5000000</v>
      </c>
      <c r="L63" s="2514"/>
      <c r="M63" s="2515" t="s">
        <v>27</v>
      </c>
      <c r="N63" s="2516">
        <v>50000</v>
      </c>
      <c r="O63" s="2790">
        <f t="shared" si="12"/>
        <v>0</v>
      </c>
      <c r="P63" s="2787">
        <f t="shared" si="0"/>
        <v>-5000000</v>
      </c>
      <c r="Q63" s="2560"/>
      <c r="R63" s="842"/>
      <c r="S63" s="377">
        <f t="shared" si="10"/>
        <v>0</v>
      </c>
      <c r="T63" s="837"/>
      <c r="U63" s="837"/>
      <c r="V63" s="837"/>
      <c r="W63" s="846"/>
      <c r="X63" s="846"/>
    </row>
    <row r="64" spans="2:24" s="2033" customFormat="1">
      <c r="B64" s="2547"/>
      <c r="C64" s="2547"/>
      <c r="D64" s="2547"/>
      <c r="E64" s="2561"/>
      <c r="F64" s="2561"/>
      <c r="G64" s="2548" t="s">
        <v>1991</v>
      </c>
      <c r="H64" s="2514">
        <v>1</v>
      </c>
      <c r="I64" s="2515" t="s">
        <v>147</v>
      </c>
      <c r="J64" s="2516">
        <v>10000000</v>
      </c>
      <c r="K64" s="2790">
        <f t="shared" si="11"/>
        <v>10000000</v>
      </c>
      <c r="L64" s="2514">
        <v>1</v>
      </c>
      <c r="M64" s="2515" t="s">
        <v>147</v>
      </c>
      <c r="N64" s="2516">
        <f>10000000-1430000</f>
        <v>8570000</v>
      </c>
      <c r="O64" s="2790">
        <f t="shared" si="12"/>
        <v>8570000</v>
      </c>
      <c r="P64" s="2787">
        <f t="shared" si="0"/>
        <v>-1430000</v>
      </c>
      <c r="Q64" s="2560"/>
      <c r="R64" s="842"/>
      <c r="S64" s="377">
        <f t="shared" si="10"/>
        <v>8570000</v>
      </c>
      <c r="T64" s="837"/>
      <c r="U64" s="837"/>
      <c r="V64" s="837"/>
      <c r="W64" s="846"/>
      <c r="X64" s="846"/>
    </row>
    <row r="65" spans="2:24">
      <c r="B65" s="368"/>
      <c r="C65" s="368"/>
      <c r="D65" s="368"/>
      <c r="E65" s="428"/>
      <c r="F65" s="428"/>
      <c r="G65" s="558"/>
      <c r="H65" s="933"/>
      <c r="I65" s="375"/>
      <c r="J65" s="456"/>
      <c r="K65" s="2793"/>
      <c r="L65" s="933"/>
      <c r="M65" s="375"/>
      <c r="N65" s="456"/>
      <c r="O65" s="2793"/>
      <c r="P65" s="2779">
        <f t="shared" si="0"/>
        <v>0</v>
      </c>
      <c r="Q65" s="474"/>
      <c r="R65" s="842"/>
      <c r="S65" s="837"/>
      <c r="T65" s="837"/>
      <c r="U65" s="837"/>
      <c r="V65" s="837"/>
      <c r="W65" s="846"/>
      <c r="X65" s="846"/>
    </row>
    <row r="66" spans="2:24">
      <c r="B66" s="368">
        <v>5</v>
      </c>
      <c r="C66" s="368">
        <v>2</v>
      </c>
      <c r="D66" s="368">
        <v>2</v>
      </c>
      <c r="E66" s="428" t="s">
        <v>66</v>
      </c>
      <c r="F66" s="368"/>
      <c r="G66" s="366" t="s">
        <v>101</v>
      </c>
      <c r="H66" s="956"/>
      <c r="I66" s="368"/>
      <c r="J66" s="369"/>
      <c r="K66" s="2779">
        <f>K67+K70</f>
        <v>17000000</v>
      </c>
      <c r="L66" s="956"/>
      <c r="M66" s="368"/>
      <c r="N66" s="369"/>
      <c r="O66" s="2779">
        <f>O67+O70</f>
        <v>17000000</v>
      </c>
      <c r="P66" s="2779">
        <f t="shared" si="0"/>
        <v>0</v>
      </c>
      <c r="Q66" s="474"/>
      <c r="R66" s="2798"/>
      <c r="S66" s="385"/>
      <c r="T66" s="385"/>
      <c r="U66" s="385"/>
      <c r="V66" s="385"/>
      <c r="W66" s="385"/>
      <c r="X66" s="385"/>
    </row>
    <row r="67" spans="2:24">
      <c r="B67" s="424">
        <v>5</v>
      </c>
      <c r="C67" s="424">
        <v>2</v>
      </c>
      <c r="D67" s="424">
        <v>2</v>
      </c>
      <c r="E67" s="430" t="s">
        <v>66</v>
      </c>
      <c r="F67" s="430" t="s">
        <v>24</v>
      </c>
      <c r="G67" s="381" t="s">
        <v>102</v>
      </c>
      <c r="H67" s="593"/>
      <c r="I67" s="650"/>
      <c r="J67" s="2799"/>
      <c r="K67" s="2804">
        <f>SUM(K68:K69)</f>
        <v>5000000</v>
      </c>
      <c r="L67" s="593"/>
      <c r="M67" s="650"/>
      <c r="N67" s="2799"/>
      <c r="O67" s="2804">
        <f>SUM(O68:O69)</f>
        <v>5000000</v>
      </c>
      <c r="P67" s="2779">
        <f t="shared" si="0"/>
        <v>0</v>
      </c>
      <c r="Q67" s="2805"/>
      <c r="R67" s="377"/>
      <c r="S67" s="377"/>
      <c r="T67" s="377"/>
      <c r="U67" s="377"/>
      <c r="V67" s="377"/>
      <c r="W67" s="385"/>
      <c r="X67" s="385"/>
    </row>
    <row r="68" spans="2:24">
      <c r="B68" s="380"/>
      <c r="C68" s="380"/>
      <c r="D68" s="380"/>
      <c r="E68" s="459"/>
      <c r="F68" s="459"/>
      <c r="G68" s="469" t="s">
        <v>1951</v>
      </c>
      <c r="H68" s="594">
        <v>1</v>
      </c>
      <c r="I68" s="932" t="s">
        <v>147</v>
      </c>
      <c r="J68" s="1103">
        <v>5000000</v>
      </c>
      <c r="K68" s="2793">
        <f t="shared" ref="K68" si="13">H68*J68</f>
        <v>5000000</v>
      </c>
      <c r="L68" s="594">
        <v>1</v>
      </c>
      <c r="M68" s="932" t="s">
        <v>147</v>
      </c>
      <c r="N68" s="1103">
        <v>5000000</v>
      </c>
      <c r="O68" s="2793">
        <f t="shared" ref="O68" si="14">L68*N68</f>
        <v>5000000</v>
      </c>
      <c r="P68" s="2779">
        <f t="shared" si="0"/>
        <v>0</v>
      </c>
      <c r="Q68" s="474"/>
      <c r="R68" s="377"/>
      <c r="S68" s="377">
        <f t="shared" ref="S68" si="15">O68</f>
        <v>5000000</v>
      </c>
      <c r="T68" s="377"/>
      <c r="U68" s="377"/>
      <c r="V68" s="377"/>
      <c r="W68" s="385"/>
      <c r="X68" s="385"/>
    </row>
    <row r="69" spans="2:24">
      <c r="B69" s="380"/>
      <c r="C69" s="380"/>
      <c r="D69" s="380"/>
      <c r="E69" s="459"/>
      <c r="F69" s="459"/>
      <c r="G69" s="373"/>
      <c r="H69" s="594"/>
      <c r="I69" s="932"/>
      <c r="J69" s="1103"/>
      <c r="K69" s="2793"/>
      <c r="L69" s="594"/>
      <c r="M69" s="932"/>
      <c r="N69" s="1103"/>
      <c r="O69" s="2793"/>
      <c r="P69" s="2779">
        <f t="shared" si="0"/>
        <v>0</v>
      </c>
      <c r="Q69" s="474"/>
      <c r="R69" s="377"/>
      <c r="S69" s="377"/>
      <c r="T69" s="377"/>
      <c r="U69" s="377"/>
      <c r="V69" s="377"/>
      <c r="W69" s="385"/>
      <c r="X69" s="385"/>
    </row>
    <row r="70" spans="2:24">
      <c r="B70" s="424">
        <v>5</v>
      </c>
      <c r="C70" s="620">
        <v>2</v>
      </c>
      <c r="D70" s="620">
        <v>2</v>
      </c>
      <c r="E70" s="428" t="s">
        <v>66</v>
      </c>
      <c r="F70" s="2806" t="s">
        <v>25</v>
      </c>
      <c r="G70" s="396" t="s">
        <v>104</v>
      </c>
      <c r="H70" s="956"/>
      <c r="I70" s="368"/>
      <c r="J70" s="622"/>
      <c r="K70" s="621">
        <f>SUM(K71:K71)</f>
        <v>12000000</v>
      </c>
      <c r="L70" s="956"/>
      <c r="M70" s="368"/>
      <c r="N70" s="622"/>
      <c r="O70" s="621">
        <f>SUM(O71:O71)</f>
        <v>12000000</v>
      </c>
      <c r="P70" s="2779">
        <f t="shared" si="0"/>
        <v>0</v>
      </c>
      <c r="Q70" s="474"/>
      <c r="R70" s="377"/>
      <c r="S70" s="377"/>
      <c r="T70" s="377"/>
      <c r="U70" s="377"/>
      <c r="V70" s="377"/>
      <c r="W70" s="385"/>
      <c r="X70" s="385"/>
    </row>
    <row r="71" spans="2:24">
      <c r="B71" s="380"/>
      <c r="C71" s="474"/>
      <c r="D71" s="474"/>
      <c r="E71" s="574"/>
      <c r="F71" s="574"/>
      <c r="G71" s="2807" t="s">
        <v>1950</v>
      </c>
      <c r="H71" s="645">
        <v>1</v>
      </c>
      <c r="I71" s="380" t="s">
        <v>147</v>
      </c>
      <c r="J71" s="382">
        <v>12000000</v>
      </c>
      <c r="K71" s="2808">
        <f>H71*J71</f>
        <v>12000000</v>
      </c>
      <c r="L71" s="645">
        <v>1</v>
      </c>
      <c r="M71" s="380" t="s">
        <v>147</v>
      </c>
      <c r="N71" s="382">
        <v>12000000</v>
      </c>
      <c r="O71" s="2808">
        <f>L71*N71</f>
        <v>12000000</v>
      </c>
      <c r="P71" s="2779">
        <f t="shared" si="0"/>
        <v>0</v>
      </c>
      <c r="Q71" s="474"/>
      <c r="R71" s="377"/>
      <c r="S71" s="377">
        <f t="shared" ref="S71" si="16">O71</f>
        <v>12000000</v>
      </c>
      <c r="T71" s="377"/>
      <c r="U71" s="377"/>
      <c r="V71" s="377"/>
      <c r="W71" s="385"/>
      <c r="X71" s="385"/>
    </row>
    <row r="72" spans="2:24">
      <c r="B72" s="380"/>
      <c r="C72" s="380"/>
      <c r="D72" s="380"/>
      <c r="E72" s="459"/>
      <c r="F72" s="459"/>
      <c r="G72" s="373"/>
      <c r="H72" s="594"/>
      <c r="I72" s="932"/>
      <c r="J72" s="1103"/>
      <c r="K72" s="2793"/>
      <c r="L72" s="594"/>
      <c r="M72" s="932"/>
      <c r="N72" s="1103"/>
      <c r="O72" s="2793"/>
      <c r="P72" s="2780">
        <f t="shared" si="0"/>
        <v>0</v>
      </c>
      <c r="Q72" s="474"/>
      <c r="R72" s="377"/>
      <c r="S72" s="377"/>
      <c r="T72" s="377"/>
      <c r="U72" s="377"/>
      <c r="V72" s="377"/>
      <c r="W72" s="385"/>
      <c r="X72" s="385"/>
    </row>
    <row r="73" spans="2:24">
      <c r="B73" s="368">
        <v>5</v>
      </c>
      <c r="C73" s="368">
        <v>2</v>
      </c>
      <c r="D73" s="368">
        <v>2</v>
      </c>
      <c r="E73" s="428">
        <v>11</v>
      </c>
      <c r="F73" s="368"/>
      <c r="G73" s="366" t="s">
        <v>182</v>
      </c>
      <c r="H73" s="956"/>
      <c r="I73" s="368"/>
      <c r="J73" s="369"/>
      <c r="K73" s="2779">
        <f>K74</f>
        <v>102540000</v>
      </c>
      <c r="L73" s="956"/>
      <c r="M73" s="368"/>
      <c r="N73" s="369"/>
      <c r="O73" s="2779">
        <f>O74</f>
        <v>78917000</v>
      </c>
      <c r="P73" s="2780">
        <f t="shared" si="0"/>
        <v>-23623000</v>
      </c>
      <c r="Q73" s="474"/>
      <c r="R73" s="2798"/>
      <c r="S73" s="385"/>
      <c r="T73" s="385"/>
      <c r="U73" s="385"/>
      <c r="V73" s="385"/>
      <c r="W73" s="385"/>
      <c r="X73" s="385"/>
    </row>
    <row r="74" spans="2:24" s="2033" customFormat="1">
      <c r="B74" s="2547">
        <v>5</v>
      </c>
      <c r="C74" s="2547">
        <v>2</v>
      </c>
      <c r="D74" s="2547">
        <v>2</v>
      </c>
      <c r="E74" s="2561">
        <v>11</v>
      </c>
      <c r="F74" s="2561" t="s">
        <v>65</v>
      </c>
      <c r="G74" s="2809" t="s">
        <v>648</v>
      </c>
      <c r="H74" s="2632"/>
      <c r="I74" s="2547"/>
      <c r="J74" s="2785"/>
      <c r="K74" s="2786">
        <f>SUM(K75:K95)</f>
        <v>102540000</v>
      </c>
      <c r="L74" s="2632"/>
      <c r="M74" s="2547"/>
      <c r="N74" s="2785"/>
      <c r="O74" s="2786">
        <f>SUM(O75:O95)</f>
        <v>78917000</v>
      </c>
      <c r="P74" s="2787">
        <f t="shared" si="0"/>
        <v>-23623000</v>
      </c>
      <c r="Q74" s="2560"/>
      <c r="R74" s="377"/>
      <c r="S74" s="377"/>
      <c r="T74" s="377"/>
      <c r="U74" s="377"/>
      <c r="V74" s="377"/>
      <c r="W74" s="385"/>
      <c r="X74" s="385"/>
    </row>
    <row r="75" spans="2:24" s="2033" customFormat="1">
      <c r="B75" s="2515"/>
      <c r="C75" s="2515"/>
      <c r="D75" s="2515"/>
      <c r="E75" s="2810"/>
      <c r="F75" s="2810"/>
      <c r="G75" s="2548" t="s">
        <v>1947</v>
      </c>
      <c r="H75" s="2563">
        <f>54*5*1</f>
        <v>270</v>
      </c>
      <c r="I75" s="2734" t="s">
        <v>278</v>
      </c>
      <c r="J75" s="2811">
        <v>30000</v>
      </c>
      <c r="K75" s="2812">
        <f t="shared" ref="K75:K94" si="17">H75*J75</f>
        <v>8100000</v>
      </c>
      <c r="L75" s="2563">
        <f>54*5*1</f>
        <v>270</v>
      </c>
      <c r="M75" s="2734" t="s">
        <v>278</v>
      </c>
      <c r="N75" s="2813">
        <v>28000</v>
      </c>
      <c r="O75" s="2812">
        <f t="shared" ref="O75:O94" si="18">L75*N75</f>
        <v>7560000</v>
      </c>
      <c r="P75" s="2787">
        <f t="shared" si="0"/>
        <v>-540000</v>
      </c>
      <c r="Q75" s="2560"/>
      <c r="R75" s="564"/>
      <c r="S75" s="377">
        <f t="shared" ref="S75:S94" si="19">O75</f>
        <v>7560000</v>
      </c>
      <c r="T75" s="377"/>
      <c r="U75" s="377"/>
      <c r="V75" s="377"/>
      <c r="W75" s="385"/>
      <c r="X75" s="385"/>
    </row>
    <row r="76" spans="2:24" s="2033" customFormat="1">
      <c r="B76" s="2515"/>
      <c r="C76" s="2515"/>
      <c r="D76" s="2515"/>
      <c r="E76" s="2810"/>
      <c r="F76" s="2810"/>
      <c r="G76" s="2814" t="s">
        <v>1948</v>
      </c>
      <c r="H76" s="2514">
        <f>54*5*2</f>
        <v>540</v>
      </c>
      <c r="I76" s="2734" t="s">
        <v>278</v>
      </c>
      <c r="J76" s="2811">
        <v>15000</v>
      </c>
      <c r="K76" s="2812">
        <f t="shared" si="17"/>
        <v>8100000</v>
      </c>
      <c r="L76" s="2514">
        <f>54*5*2</f>
        <v>540</v>
      </c>
      <c r="M76" s="2734" t="s">
        <v>278</v>
      </c>
      <c r="N76" s="2813">
        <v>12500</v>
      </c>
      <c r="O76" s="2812">
        <f t="shared" si="18"/>
        <v>6750000</v>
      </c>
      <c r="P76" s="2787">
        <f t="shared" si="0"/>
        <v>-1350000</v>
      </c>
      <c r="Q76" s="2560"/>
      <c r="R76" s="564"/>
      <c r="S76" s="377">
        <f t="shared" si="19"/>
        <v>6750000</v>
      </c>
      <c r="T76" s="377"/>
      <c r="U76" s="377"/>
      <c r="V76" s="377"/>
      <c r="W76" s="385"/>
      <c r="X76" s="385"/>
    </row>
    <row r="77" spans="2:24" s="2033" customFormat="1" ht="25.5">
      <c r="B77" s="2515"/>
      <c r="C77" s="2515"/>
      <c r="D77" s="2515"/>
      <c r="E77" s="2810"/>
      <c r="F77" s="2810"/>
      <c r="G77" s="2548" t="s">
        <v>1952</v>
      </c>
      <c r="H77" s="2563">
        <f>41*3*1</f>
        <v>123</v>
      </c>
      <c r="I77" s="2734" t="s">
        <v>278</v>
      </c>
      <c r="J77" s="2811">
        <v>30000</v>
      </c>
      <c r="K77" s="2812">
        <f t="shared" si="17"/>
        <v>3690000</v>
      </c>
      <c r="L77" s="2563">
        <f>41*3*1</f>
        <v>123</v>
      </c>
      <c r="M77" s="2734" t="s">
        <v>278</v>
      </c>
      <c r="N77" s="2813">
        <v>28000</v>
      </c>
      <c r="O77" s="2812">
        <f t="shared" si="18"/>
        <v>3444000</v>
      </c>
      <c r="P77" s="2787">
        <f t="shared" si="0"/>
        <v>-246000</v>
      </c>
      <c r="Q77" s="2560"/>
      <c r="R77" s="564"/>
      <c r="S77" s="377">
        <f t="shared" si="19"/>
        <v>3444000</v>
      </c>
      <c r="T77" s="377"/>
      <c r="U77" s="377"/>
      <c r="V77" s="377"/>
      <c r="W77" s="385"/>
      <c r="X77" s="385"/>
    </row>
    <row r="78" spans="2:24" s="2033" customFormat="1">
      <c r="B78" s="2515"/>
      <c r="C78" s="2515"/>
      <c r="D78" s="2515"/>
      <c r="E78" s="2810"/>
      <c r="F78" s="2810"/>
      <c r="G78" s="2814" t="s">
        <v>1953</v>
      </c>
      <c r="H78" s="2514">
        <f>41*3*2</f>
        <v>246</v>
      </c>
      <c r="I78" s="2734" t="s">
        <v>278</v>
      </c>
      <c r="J78" s="2811">
        <v>15000</v>
      </c>
      <c r="K78" s="2812">
        <f t="shared" si="17"/>
        <v>3690000</v>
      </c>
      <c r="L78" s="2514">
        <f>41*3*2</f>
        <v>246</v>
      </c>
      <c r="M78" s="2734" t="s">
        <v>278</v>
      </c>
      <c r="N78" s="2813">
        <v>12500</v>
      </c>
      <c r="O78" s="2812">
        <f t="shared" si="18"/>
        <v>3075000</v>
      </c>
      <c r="P78" s="2787">
        <f t="shared" si="0"/>
        <v>-615000</v>
      </c>
      <c r="Q78" s="2560"/>
      <c r="R78" s="564"/>
      <c r="S78" s="377">
        <f t="shared" si="19"/>
        <v>3075000</v>
      </c>
      <c r="T78" s="377"/>
      <c r="U78" s="377"/>
      <c r="V78" s="377"/>
      <c r="W78" s="385"/>
      <c r="X78" s="385"/>
    </row>
    <row r="79" spans="2:24" s="2033" customFormat="1" ht="25.5">
      <c r="B79" s="2515"/>
      <c r="C79" s="2515"/>
      <c r="D79" s="2515"/>
      <c r="E79" s="2810"/>
      <c r="F79" s="2810"/>
      <c r="G79" s="2548" t="s">
        <v>1955</v>
      </c>
      <c r="H79" s="2514">
        <f>45*1*4</f>
        <v>180</v>
      </c>
      <c r="I79" s="2515" t="s">
        <v>278</v>
      </c>
      <c r="J79" s="2516">
        <v>30000</v>
      </c>
      <c r="K79" s="2790">
        <f t="shared" si="17"/>
        <v>5400000</v>
      </c>
      <c r="L79" s="2514">
        <f>45*1*2</f>
        <v>90</v>
      </c>
      <c r="M79" s="2515" t="s">
        <v>278</v>
      </c>
      <c r="N79" s="2813">
        <v>28000</v>
      </c>
      <c r="O79" s="2790">
        <f t="shared" si="18"/>
        <v>2520000</v>
      </c>
      <c r="P79" s="2787">
        <f t="shared" si="0"/>
        <v>-2880000</v>
      </c>
      <c r="Q79" s="2560"/>
      <c r="R79" s="564"/>
      <c r="S79" s="377">
        <f t="shared" si="19"/>
        <v>2520000</v>
      </c>
      <c r="T79" s="377"/>
      <c r="U79" s="377"/>
      <c r="V79" s="377"/>
      <c r="W79" s="385"/>
      <c r="X79" s="385"/>
    </row>
    <row r="80" spans="2:24" s="2033" customFormat="1">
      <c r="B80" s="2515"/>
      <c r="C80" s="2515"/>
      <c r="D80" s="2515"/>
      <c r="E80" s="2810"/>
      <c r="F80" s="2810"/>
      <c r="G80" s="2548" t="s">
        <v>1956</v>
      </c>
      <c r="H80" s="2514">
        <f>45*1*2*4</f>
        <v>360</v>
      </c>
      <c r="I80" s="2515" t="s">
        <v>278</v>
      </c>
      <c r="J80" s="2516">
        <v>15000</v>
      </c>
      <c r="K80" s="2790">
        <f t="shared" si="17"/>
        <v>5400000</v>
      </c>
      <c r="L80" s="2514">
        <f>45*1*2*2</f>
        <v>180</v>
      </c>
      <c r="M80" s="2515" t="s">
        <v>278</v>
      </c>
      <c r="N80" s="2813">
        <v>12500</v>
      </c>
      <c r="O80" s="2790">
        <f t="shared" si="18"/>
        <v>2250000</v>
      </c>
      <c r="P80" s="2787">
        <f t="shared" si="0"/>
        <v>-3150000</v>
      </c>
      <c r="Q80" s="2560"/>
      <c r="R80" s="564"/>
      <c r="S80" s="377">
        <f t="shared" si="19"/>
        <v>2250000</v>
      </c>
      <c r="T80" s="377"/>
      <c r="U80" s="377"/>
      <c r="V80" s="377"/>
      <c r="W80" s="385"/>
      <c r="X80" s="385"/>
    </row>
    <row r="81" spans="2:24" s="2033" customFormat="1" ht="25.5">
      <c r="B81" s="2515"/>
      <c r="C81" s="2515"/>
      <c r="D81" s="2515"/>
      <c r="E81" s="2810"/>
      <c r="F81" s="2810"/>
      <c r="G81" s="2548" t="s">
        <v>1957</v>
      </c>
      <c r="H81" s="2514">
        <f>59*2</f>
        <v>118</v>
      </c>
      <c r="I81" s="2515" t="s">
        <v>278</v>
      </c>
      <c r="J81" s="2516">
        <v>30000</v>
      </c>
      <c r="K81" s="2790">
        <f t="shared" si="17"/>
        <v>3540000</v>
      </c>
      <c r="L81" s="2514">
        <f>59*2</f>
        <v>118</v>
      </c>
      <c r="M81" s="2515" t="s">
        <v>278</v>
      </c>
      <c r="N81" s="2813">
        <v>28000</v>
      </c>
      <c r="O81" s="2790">
        <f t="shared" si="18"/>
        <v>3304000</v>
      </c>
      <c r="P81" s="2787">
        <f t="shared" si="0"/>
        <v>-236000</v>
      </c>
      <c r="Q81" s="2815"/>
      <c r="R81" s="564"/>
      <c r="S81" s="377">
        <f t="shared" si="19"/>
        <v>3304000</v>
      </c>
      <c r="T81" s="377"/>
      <c r="U81" s="377"/>
      <c r="V81" s="377"/>
      <c r="W81" s="385"/>
      <c r="X81" s="385"/>
    </row>
    <row r="82" spans="2:24" s="2033" customFormat="1">
      <c r="B82" s="2515"/>
      <c r="C82" s="2515"/>
      <c r="D82" s="2515"/>
      <c r="E82" s="2810"/>
      <c r="F82" s="2810"/>
      <c r="G82" s="2548" t="s">
        <v>1958</v>
      </c>
      <c r="H82" s="2514">
        <f>59*2*2</f>
        <v>236</v>
      </c>
      <c r="I82" s="2515" t="s">
        <v>278</v>
      </c>
      <c r="J82" s="2516">
        <v>15000</v>
      </c>
      <c r="K82" s="2790">
        <f t="shared" si="17"/>
        <v>3540000</v>
      </c>
      <c r="L82" s="2514">
        <f>59*2*2</f>
        <v>236</v>
      </c>
      <c r="M82" s="2515" t="s">
        <v>278</v>
      </c>
      <c r="N82" s="2813">
        <v>12500</v>
      </c>
      <c r="O82" s="2790">
        <f t="shared" si="18"/>
        <v>2950000</v>
      </c>
      <c r="P82" s="2787">
        <f t="shared" si="0"/>
        <v>-590000</v>
      </c>
      <c r="Q82" s="2560"/>
      <c r="R82" s="564"/>
      <c r="S82" s="377">
        <f t="shared" si="19"/>
        <v>2950000</v>
      </c>
      <c r="T82" s="377"/>
      <c r="U82" s="377"/>
      <c r="V82" s="377"/>
      <c r="W82" s="385"/>
      <c r="X82" s="385"/>
    </row>
    <row r="83" spans="2:24" s="2033" customFormat="1" ht="25.5">
      <c r="B83" s="2515"/>
      <c r="C83" s="2515"/>
      <c r="D83" s="2515"/>
      <c r="E83" s="2810"/>
      <c r="F83" s="2810"/>
      <c r="G83" s="2548" t="s">
        <v>1968</v>
      </c>
      <c r="H83" s="2514">
        <f>45*4</f>
        <v>180</v>
      </c>
      <c r="I83" s="2515" t="s">
        <v>278</v>
      </c>
      <c r="J83" s="2516">
        <v>30000</v>
      </c>
      <c r="K83" s="2790">
        <f t="shared" si="17"/>
        <v>5400000</v>
      </c>
      <c r="L83" s="2514">
        <f>45*4</f>
        <v>180</v>
      </c>
      <c r="M83" s="2515" t="s">
        <v>278</v>
      </c>
      <c r="N83" s="2813">
        <v>28000</v>
      </c>
      <c r="O83" s="2790">
        <f t="shared" si="18"/>
        <v>5040000</v>
      </c>
      <c r="P83" s="2787">
        <f t="shared" si="0"/>
        <v>-360000</v>
      </c>
      <c r="Q83" s="2560"/>
      <c r="R83" s="564"/>
      <c r="S83" s="377">
        <f t="shared" si="19"/>
        <v>5040000</v>
      </c>
      <c r="T83" s="377"/>
      <c r="U83" s="377"/>
      <c r="V83" s="377"/>
      <c r="W83" s="385"/>
      <c r="X83" s="385"/>
    </row>
    <row r="84" spans="2:24" s="2033" customFormat="1">
      <c r="B84" s="2515"/>
      <c r="C84" s="2515"/>
      <c r="D84" s="2515"/>
      <c r="E84" s="2810"/>
      <c r="F84" s="2810"/>
      <c r="G84" s="2548" t="s">
        <v>1969</v>
      </c>
      <c r="H84" s="2514">
        <f>45*4*2</f>
        <v>360</v>
      </c>
      <c r="I84" s="2515" t="s">
        <v>278</v>
      </c>
      <c r="J84" s="2516">
        <v>15000</v>
      </c>
      <c r="K84" s="2790">
        <f t="shared" si="17"/>
        <v>5400000</v>
      </c>
      <c r="L84" s="2514">
        <f>45*4*2</f>
        <v>360</v>
      </c>
      <c r="M84" s="2515" t="s">
        <v>278</v>
      </c>
      <c r="N84" s="2813">
        <v>12500</v>
      </c>
      <c r="O84" s="2790">
        <f t="shared" si="18"/>
        <v>4500000</v>
      </c>
      <c r="P84" s="2787">
        <f t="shared" si="0"/>
        <v>-900000</v>
      </c>
      <c r="Q84" s="2560"/>
      <c r="R84" s="564"/>
      <c r="S84" s="377">
        <f t="shared" si="19"/>
        <v>4500000</v>
      </c>
      <c r="T84" s="377"/>
      <c r="U84" s="377"/>
      <c r="V84" s="377"/>
      <c r="W84" s="385"/>
      <c r="X84" s="385"/>
    </row>
    <row r="85" spans="2:24" s="2033" customFormat="1" ht="25.5">
      <c r="B85" s="2515"/>
      <c r="C85" s="2515"/>
      <c r="D85" s="2515"/>
      <c r="E85" s="2810"/>
      <c r="F85" s="2810"/>
      <c r="G85" s="2548" t="s">
        <v>1545</v>
      </c>
      <c r="H85" s="2514">
        <f>64*1*2</f>
        <v>128</v>
      </c>
      <c r="I85" s="2515" t="s">
        <v>278</v>
      </c>
      <c r="J85" s="2516">
        <v>30000</v>
      </c>
      <c r="K85" s="2790">
        <f t="shared" si="17"/>
        <v>3840000</v>
      </c>
      <c r="L85" s="2514">
        <f>64*1*2</f>
        <v>128</v>
      </c>
      <c r="M85" s="2515" t="s">
        <v>278</v>
      </c>
      <c r="N85" s="2813">
        <v>28000</v>
      </c>
      <c r="O85" s="2790">
        <f t="shared" si="18"/>
        <v>3584000</v>
      </c>
      <c r="P85" s="2787">
        <f t="shared" si="0"/>
        <v>-256000</v>
      </c>
      <c r="Q85" s="2560"/>
      <c r="R85" s="564"/>
      <c r="S85" s="377">
        <f t="shared" si="19"/>
        <v>3584000</v>
      </c>
      <c r="T85" s="377"/>
      <c r="U85" s="377"/>
      <c r="V85" s="377"/>
      <c r="W85" s="385"/>
      <c r="X85" s="385"/>
    </row>
    <row r="86" spans="2:24" s="2033" customFormat="1">
      <c r="B86" s="2515"/>
      <c r="C86" s="2515"/>
      <c r="D86" s="2515"/>
      <c r="E86" s="2810"/>
      <c r="F86" s="2810"/>
      <c r="G86" s="2548" t="s">
        <v>1546</v>
      </c>
      <c r="H86" s="2514">
        <f>64*1*2*2</f>
        <v>256</v>
      </c>
      <c r="I86" s="2515" t="s">
        <v>278</v>
      </c>
      <c r="J86" s="2516">
        <v>15000</v>
      </c>
      <c r="K86" s="2790">
        <f t="shared" si="17"/>
        <v>3840000</v>
      </c>
      <c r="L86" s="2514">
        <f>64*1*2*2</f>
        <v>256</v>
      </c>
      <c r="M86" s="2515" t="s">
        <v>278</v>
      </c>
      <c r="N86" s="2813">
        <v>12500</v>
      </c>
      <c r="O86" s="2790">
        <f t="shared" si="18"/>
        <v>3200000</v>
      </c>
      <c r="P86" s="2787">
        <f t="shared" si="0"/>
        <v>-640000</v>
      </c>
      <c r="Q86" s="2560"/>
      <c r="R86" s="564"/>
      <c r="S86" s="377">
        <f t="shared" si="19"/>
        <v>3200000</v>
      </c>
      <c r="T86" s="377"/>
      <c r="U86" s="377"/>
      <c r="V86" s="377"/>
      <c r="W86" s="385"/>
      <c r="X86" s="385"/>
    </row>
    <row r="87" spans="2:24" s="2033" customFormat="1">
      <c r="B87" s="2515"/>
      <c r="C87" s="2515"/>
      <c r="D87" s="2515"/>
      <c r="E87" s="2810"/>
      <c r="F87" s="2810"/>
      <c r="G87" s="2548" t="s">
        <v>1965</v>
      </c>
      <c r="H87" s="2514">
        <f>65*2</f>
        <v>130</v>
      </c>
      <c r="I87" s="2515" t="s">
        <v>278</v>
      </c>
      <c r="J87" s="2516">
        <v>30000</v>
      </c>
      <c r="K87" s="2790">
        <f t="shared" si="17"/>
        <v>3900000</v>
      </c>
      <c r="L87" s="2514"/>
      <c r="M87" s="2515" t="s">
        <v>278</v>
      </c>
      <c r="N87" s="2813">
        <v>28000</v>
      </c>
      <c r="O87" s="2790">
        <f t="shared" si="18"/>
        <v>0</v>
      </c>
      <c r="P87" s="2787">
        <f t="shared" si="0"/>
        <v>-3900000</v>
      </c>
      <c r="Q87" s="2560"/>
      <c r="R87" s="564"/>
      <c r="S87" s="377">
        <f t="shared" si="19"/>
        <v>0</v>
      </c>
      <c r="T87" s="377"/>
      <c r="U87" s="377"/>
      <c r="V87" s="377"/>
      <c r="W87" s="385"/>
      <c r="X87" s="385"/>
    </row>
    <row r="88" spans="2:24" s="2033" customFormat="1">
      <c r="B88" s="2515"/>
      <c r="C88" s="2515"/>
      <c r="D88" s="2515"/>
      <c r="E88" s="2810"/>
      <c r="F88" s="2810"/>
      <c r="G88" s="2548" t="s">
        <v>1966</v>
      </c>
      <c r="H88" s="2514">
        <f>65*2*2</f>
        <v>260</v>
      </c>
      <c r="I88" s="2515" t="s">
        <v>278</v>
      </c>
      <c r="J88" s="2516">
        <v>15000</v>
      </c>
      <c r="K88" s="2790">
        <f t="shared" si="17"/>
        <v>3900000</v>
      </c>
      <c r="L88" s="2514"/>
      <c r="M88" s="2515" t="s">
        <v>278</v>
      </c>
      <c r="N88" s="2813">
        <v>12500</v>
      </c>
      <c r="O88" s="2790">
        <f t="shared" si="18"/>
        <v>0</v>
      </c>
      <c r="P88" s="2787">
        <f t="shared" si="0"/>
        <v>-3900000</v>
      </c>
      <c r="Q88" s="2560"/>
      <c r="R88" s="564"/>
      <c r="S88" s="377">
        <f t="shared" si="19"/>
        <v>0</v>
      </c>
      <c r="T88" s="377"/>
      <c r="U88" s="377"/>
      <c r="V88" s="377"/>
      <c r="W88" s="385"/>
      <c r="X88" s="385"/>
    </row>
    <row r="89" spans="2:24" s="2033" customFormat="1">
      <c r="B89" s="2515"/>
      <c r="C89" s="2515"/>
      <c r="D89" s="2515"/>
      <c r="E89" s="2810"/>
      <c r="F89" s="2810"/>
      <c r="G89" s="2548" t="s">
        <v>1959</v>
      </c>
      <c r="H89" s="2514">
        <f>60*4</f>
        <v>240</v>
      </c>
      <c r="I89" s="2515" t="s">
        <v>278</v>
      </c>
      <c r="J89" s="2516">
        <v>30000</v>
      </c>
      <c r="K89" s="2790">
        <f t="shared" si="17"/>
        <v>7200000</v>
      </c>
      <c r="L89" s="2514">
        <f>60*4</f>
        <v>240</v>
      </c>
      <c r="M89" s="2515" t="s">
        <v>278</v>
      </c>
      <c r="N89" s="2813">
        <v>28000</v>
      </c>
      <c r="O89" s="2790">
        <f t="shared" si="18"/>
        <v>6720000</v>
      </c>
      <c r="P89" s="2787">
        <f t="shared" si="0"/>
        <v>-480000</v>
      </c>
      <c r="Q89" s="2560"/>
      <c r="R89" s="564"/>
      <c r="S89" s="377">
        <f t="shared" si="19"/>
        <v>6720000</v>
      </c>
      <c r="T89" s="377"/>
      <c r="U89" s="377"/>
      <c r="V89" s="377"/>
      <c r="W89" s="385"/>
      <c r="X89" s="385"/>
    </row>
    <row r="90" spans="2:24" s="2033" customFormat="1">
      <c r="B90" s="2515"/>
      <c r="C90" s="2515"/>
      <c r="D90" s="2515"/>
      <c r="E90" s="2810"/>
      <c r="F90" s="2810"/>
      <c r="G90" s="2548" t="s">
        <v>1960</v>
      </c>
      <c r="H90" s="2514">
        <f>60*4*2</f>
        <v>480</v>
      </c>
      <c r="I90" s="2515" t="s">
        <v>278</v>
      </c>
      <c r="J90" s="2516">
        <v>15000</v>
      </c>
      <c r="K90" s="2790">
        <f t="shared" si="17"/>
        <v>7200000</v>
      </c>
      <c r="L90" s="2514">
        <f>60*4*2</f>
        <v>480</v>
      </c>
      <c r="M90" s="2515" t="s">
        <v>278</v>
      </c>
      <c r="N90" s="2813">
        <v>12500</v>
      </c>
      <c r="O90" s="2790">
        <f t="shared" si="18"/>
        <v>6000000</v>
      </c>
      <c r="P90" s="2787">
        <f t="shared" si="0"/>
        <v>-1200000</v>
      </c>
      <c r="Q90" s="2560"/>
      <c r="R90" s="564"/>
      <c r="S90" s="377">
        <f t="shared" si="19"/>
        <v>6000000</v>
      </c>
      <c r="T90" s="377"/>
      <c r="U90" s="377"/>
      <c r="V90" s="377"/>
      <c r="W90" s="385"/>
      <c r="X90" s="385"/>
    </row>
    <row r="91" spans="2:24" s="2033" customFormat="1" ht="25.5">
      <c r="B91" s="2515"/>
      <c r="C91" s="2515"/>
      <c r="D91" s="2515"/>
      <c r="E91" s="2810"/>
      <c r="F91" s="2810"/>
      <c r="G91" s="2548" t="s">
        <v>1961</v>
      </c>
      <c r="H91" s="2514">
        <f>38*5</f>
        <v>190</v>
      </c>
      <c r="I91" s="2515" t="s">
        <v>278</v>
      </c>
      <c r="J91" s="2516">
        <v>30000</v>
      </c>
      <c r="K91" s="2790">
        <f t="shared" si="17"/>
        <v>5700000</v>
      </c>
      <c r="L91" s="2514">
        <f>38*5</f>
        <v>190</v>
      </c>
      <c r="M91" s="2515" t="s">
        <v>278</v>
      </c>
      <c r="N91" s="2813">
        <v>28000</v>
      </c>
      <c r="O91" s="2790">
        <f t="shared" si="18"/>
        <v>5320000</v>
      </c>
      <c r="P91" s="2787">
        <f t="shared" ref="P91:P142" si="20">O91-K91</f>
        <v>-380000</v>
      </c>
      <c r="Q91" s="2560"/>
      <c r="R91" s="564"/>
      <c r="S91" s="377">
        <f t="shared" si="19"/>
        <v>5320000</v>
      </c>
      <c r="T91" s="377"/>
      <c r="U91" s="377"/>
      <c r="V91" s="377"/>
      <c r="W91" s="385"/>
      <c r="X91" s="385"/>
    </row>
    <row r="92" spans="2:24" s="2033" customFormat="1" ht="25.5">
      <c r="B92" s="2515"/>
      <c r="C92" s="2515"/>
      <c r="D92" s="2515"/>
      <c r="E92" s="2810"/>
      <c r="F92" s="2810"/>
      <c r="G92" s="2548" t="s">
        <v>1962</v>
      </c>
      <c r="H92" s="2514">
        <f>38*5*2</f>
        <v>380</v>
      </c>
      <c r="I92" s="2515" t="s">
        <v>278</v>
      </c>
      <c r="J92" s="2516">
        <v>15000</v>
      </c>
      <c r="K92" s="2790">
        <f t="shared" si="17"/>
        <v>5700000</v>
      </c>
      <c r="L92" s="2514">
        <f>38*5*2</f>
        <v>380</v>
      </c>
      <c r="M92" s="2515" t="s">
        <v>278</v>
      </c>
      <c r="N92" s="2813">
        <v>12500</v>
      </c>
      <c r="O92" s="2790">
        <f t="shared" si="18"/>
        <v>4750000</v>
      </c>
      <c r="P92" s="2787">
        <f t="shared" si="20"/>
        <v>-950000</v>
      </c>
      <c r="Q92" s="2560"/>
      <c r="R92" s="564"/>
      <c r="S92" s="377">
        <f t="shared" si="19"/>
        <v>4750000</v>
      </c>
      <c r="T92" s="377"/>
      <c r="U92" s="377"/>
      <c r="V92" s="377"/>
      <c r="W92" s="385"/>
      <c r="X92" s="385"/>
    </row>
    <row r="93" spans="2:24" s="2033" customFormat="1" ht="25.5">
      <c r="B93" s="2515"/>
      <c r="C93" s="2515"/>
      <c r="D93" s="2515"/>
      <c r="E93" s="2810"/>
      <c r="F93" s="2810"/>
      <c r="G93" s="2548" t="s">
        <v>1963</v>
      </c>
      <c r="H93" s="2514">
        <f>50*3</f>
        <v>150</v>
      </c>
      <c r="I93" s="2515" t="s">
        <v>278</v>
      </c>
      <c r="J93" s="2516">
        <v>30000</v>
      </c>
      <c r="K93" s="2790">
        <f t="shared" si="17"/>
        <v>4500000</v>
      </c>
      <c r="L93" s="2514">
        <f>50*3</f>
        <v>150</v>
      </c>
      <c r="M93" s="2515" t="s">
        <v>278</v>
      </c>
      <c r="N93" s="2813">
        <v>28000</v>
      </c>
      <c r="O93" s="2790">
        <f t="shared" si="18"/>
        <v>4200000</v>
      </c>
      <c r="P93" s="2787">
        <f t="shared" si="20"/>
        <v>-300000</v>
      </c>
      <c r="Q93" s="2560"/>
      <c r="R93" s="564"/>
      <c r="S93" s="377">
        <f t="shared" si="19"/>
        <v>4200000</v>
      </c>
      <c r="T93" s="377"/>
      <c r="U93" s="377"/>
      <c r="V93" s="377"/>
      <c r="W93" s="385"/>
      <c r="X93" s="385"/>
    </row>
    <row r="94" spans="2:24" s="2033" customFormat="1">
      <c r="B94" s="2515"/>
      <c r="C94" s="2515"/>
      <c r="D94" s="2515"/>
      <c r="E94" s="2810"/>
      <c r="F94" s="2810"/>
      <c r="G94" s="2548" t="s">
        <v>1964</v>
      </c>
      <c r="H94" s="2514">
        <f>50*3*2</f>
        <v>300</v>
      </c>
      <c r="I94" s="2515" t="s">
        <v>278</v>
      </c>
      <c r="J94" s="2516">
        <v>15000</v>
      </c>
      <c r="K94" s="2790">
        <f t="shared" si="17"/>
        <v>4500000</v>
      </c>
      <c r="L94" s="2514">
        <f>50*3*2</f>
        <v>300</v>
      </c>
      <c r="M94" s="2515" t="s">
        <v>278</v>
      </c>
      <c r="N94" s="2813">
        <v>12500</v>
      </c>
      <c r="O94" s="2790">
        <f t="shared" si="18"/>
        <v>3750000</v>
      </c>
      <c r="P94" s="2787">
        <f t="shared" si="20"/>
        <v>-750000</v>
      </c>
      <c r="Q94" s="2560"/>
      <c r="R94" s="564"/>
      <c r="S94" s="377">
        <f t="shared" si="19"/>
        <v>3750000</v>
      </c>
      <c r="T94" s="377"/>
      <c r="U94" s="377"/>
      <c r="V94" s="377"/>
      <c r="W94" s="385"/>
      <c r="X94" s="385"/>
    </row>
    <row r="95" spans="2:24">
      <c r="B95" s="375"/>
      <c r="C95" s="375"/>
      <c r="D95" s="375"/>
      <c r="E95" s="855"/>
      <c r="F95" s="855"/>
      <c r="G95" s="558"/>
      <c r="H95" s="933"/>
      <c r="I95" s="375"/>
      <c r="J95" s="456"/>
      <c r="K95" s="2793"/>
      <c r="L95" s="933"/>
      <c r="M95" s="375"/>
      <c r="N95" s="456"/>
      <c r="O95" s="2793"/>
      <c r="P95" s="2780">
        <f t="shared" si="20"/>
        <v>0</v>
      </c>
      <c r="Q95" s="474"/>
      <c r="R95" s="564"/>
      <c r="S95" s="564"/>
      <c r="T95" s="377"/>
      <c r="U95" s="377"/>
      <c r="V95" s="377"/>
      <c r="W95" s="385"/>
      <c r="X95" s="385"/>
    </row>
    <row r="96" spans="2:24">
      <c r="B96" s="371">
        <v>5</v>
      </c>
      <c r="C96" s="371">
        <v>2</v>
      </c>
      <c r="D96" s="371">
        <v>2</v>
      </c>
      <c r="E96" s="372">
        <v>15</v>
      </c>
      <c r="F96" s="368"/>
      <c r="G96" s="381" t="s">
        <v>134</v>
      </c>
      <c r="H96" s="956"/>
      <c r="I96" s="368"/>
      <c r="J96" s="369"/>
      <c r="K96" s="2797">
        <f>K97+K103</f>
        <v>835850000</v>
      </c>
      <c r="L96" s="956"/>
      <c r="M96" s="368"/>
      <c r="N96" s="369"/>
      <c r="O96" s="2797">
        <f>O97+O103</f>
        <v>672070000</v>
      </c>
      <c r="P96" s="2780">
        <f t="shared" si="20"/>
        <v>-163780000</v>
      </c>
      <c r="Q96" s="474"/>
      <c r="R96" s="564"/>
      <c r="S96" s="564"/>
      <c r="T96" s="377"/>
      <c r="U96" s="377"/>
      <c r="V96" s="377"/>
      <c r="W96" s="385"/>
      <c r="X96" s="385"/>
    </row>
    <row r="97" spans="2:24" s="2033" customFormat="1">
      <c r="B97" s="2504">
        <v>5</v>
      </c>
      <c r="C97" s="2504">
        <v>2</v>
      </c>
      <c r="D97" s="2504">
        <v>2</v>
      </c>
      <c r="E97" s="2614">
        <v>15</v>
      </c>
      <c r="F97" s="2614" t="s">
        <v>24</v>
      </c>
      <c r="G97" s="2816" t="s">
        <v>73</v>
      </c>
      <c r="H97" s="2632"/>
      <c r="I97" s="2547"/>
      <c r="J97" s="2785"/>
      <c r="K97" s="2796">
        <f>SUM(K98:K102)</f>
        <v>58600000</v>
      </c>
      <c r="L97" s="2632"/>
      <c r="M97" s="2547"/>
      <c r="N97" s="2785"/>
      <c r="O97" s="2796">
        <f>SUM(O98:O102)</f>
        <v>46880000</v>
      </c>
      <c r="P97" s="2787">
        <f t="shared" si="20"/>
        <v>-11720000</v>
      </c>
      <c r="Q97" s="2560"/>
      <c r="R97" s="1064"/>
      <c r="S97" s="1065"/>
      <c r="T97" s="1065"/>
      <c r="U97" s="1065"/>
      <c r="V97" s="1065"/>
      <c r="W97" s="1065"/>
      <c r="X97" s="1065"/>
    </row>
    <row r="98" spans="2:24" s="2033" customFormat="1">
      <c r="B98" s="2504"/>
      <c r="C98" s="2504"/>
      <c r="D98" s="2504"/>
      <c r="E98" s="2614"/>
      <c r="F98" s="2614"/>
      <c r="G98" s="2619" t="s">
        <v>364</v>
      </c>
      <c r="H98" s="2608">
        <v>10</v>
      </c>
      <c r="I98" s="2609" t="s">
        <v>26</v>
      </c>
      <c r="J98" s="2615">
        <v>500000</v>
      </c>
      <c r="K98" s="2790">
        <f>H98*J98</f>
        <v>5000000</v>
      </c>
      <c r="L98" s="2608">
        <v>8</v>
      </c>
      <c r="M98" s="2609" t="s">
        <v>26</v>
      </c>
      <c r="N98" s="2615">
        <v>500000</v>
      </c>
      <c r="O98" s="2790">
        <f>L98*N98</f>
        <v>4000000</v>
      </c>
      <c r="P98" s="2787">
        <f t="shared" si="20"/>
        <v>-1000000</v>
      </c>
      <c r="Q98" s="2560"/>
      <c r="R98" s="893"/>
      <c r="S98" s="377">
        <f t="shared" ref="S98:S101" si="21">O98</f>
        <v>4000000</v>
      </c>
      <c r="T98" s="893"/>
      <c r="U98" s="893"/>
      <c r="V98" s="893"/>
      <c r="W98" s="1065"/>
      <c r="X98" s="1065"/>
    </row>
    <row r="99" spans="2:24" s="2033" customFormat="1">
      <c r="B99" s="2504"/>
      <c r="C99" s="2504"/>
      <c r="D99" s="2504"/>
      <c r="E99" s="2614"/>
      <c r="F99" s="2614"/>
      <c r="G99" s="2607" t="s">
        <v>376</v>
      </c>
      <c r="H99" s="2608"/>
      <c r="I99" s="2609"/>
      <c r="J99" s="2615"/>
      <c r="K99" s="2790">
        <f>H99*J99</f>
        <v>0</v>
      </c>
      <c r="L99" s="2608"/>
      <c r="M99" s="2609"/>
      <c r="N99" s="2615"/>
      <c r="O99" s="2790">
        <f>L99*N99</f>
        <v>0</v>
      </c>
      <c r="P99" s="2787">
        <f t="shared" si="20"/>
        <v>0</v>
      </c>
      <c r="Q99" s="2560"/>
      <c r="R99" s="893"/>
      <c r="S99" s="377">
        <f t="shared" si="21"/>
        <v>0</v>
      </c>
      <c r="T99" s="884"/>
      <c r="U99" s="1065"/>
      <c r="V99" s="1065"/>
      <c r="W99" s="1065"/>
      <c r="X99" s="1065"/>
    </row>
    <row r="100" spans="2:24" s="2033" customFormat="1">
      <c r="B100" s="2504"/>
      <c r="C100" s="2504"/>
      <c r="D100" s="2504"/>
      <c r="E100" s="2614"/>
      <c r="F100" s="2614"/>
      <c r="G100" s="2619" t="s">
        <v>2085</v>
      </c>
      <c r="H100" s="2608">
        <f>10*4</f>
        <v>40</v>
      </c>
      <c r="I100" s="2609" t="s">
        <v>28</v>
      </c>
      <c r="J100" s="2817">
        <v>530000</v>
      </c>
      <c r="K100" s="2790">
        <f>H100*J100</f>
        <v>21200000</v>
      </c>
      <c r="L100" s="2608">
        <f>8*4</f>
        <v>32</v>
      </c>
      <c r="M100" s="2609" t="s">
        <v>28</v>
      </c>
      <c r="N100" s="2817">
        <v>530000</v>
      </c>
      <c r="O100" s="2790">
        <f>L100*N100</f>
        <v>16960000</v>
      </c>
      <c r="P100" s="2787">
        <f t="shared" si="20"/>
        <v>-4240000</v>
      </c>
      <c r="Q100" s="2560"/>
      <c r="R100" s="893"/>
      <c r="S100" s="377">
        <f t="shared" si="21"/>
        <v>16960000</v>
      </c>
      <c r="T100" s="884"/>
      <c r="U100" s="893"/>
      <c r="V100" s="893"/>
      <c r="W100" s="1065"/>
      <c r="X100" s="1065"/>
    </row>
    <row r="101" spans="2:24" s="2033" customFormat="1">
      <c r="B101" s="2504"/>
      <c r="C101" s="2504"/>
      <c r="D101" s="2504"/>
      <c r="E101" s="2614"/>
      <c r="F101" s="2614"/>
      <c r="G101" s="2619" t="s">
        <v>2086</v>
      </c>
      <c r="H101" s="2608">
        <f>10*3</f>
        <v>30</v>
      </c>
      <c r="I101" s="2609" t="s">
        <v>27</v>
      </c>
      <c r="J101" s="2817">
        <v>1080000</v>
      </c>
      <c r="K101" s="2790">
        <f>H101*J101</f>
        <v>32400000</v>
      </c>
      <c r="L101" s="2608">
        <f>8*3</f>
        <v>24</v>
      </c>
      <c r="M101" s="2609" t="s">
        <v>27</v>
      </c>
      <c r="N101" s="2817">
        <v>1080000</v>
      </c>
      <c r="O101" s="2790">
        <f>L101*N101</f>
        <v>25920000</v>
      </c>
      <c r="P101" s="2787">
        <f t="shared" si="20"/>
        <v>-6480000</v>
      </c>
      <c r="Q101" s="2560"/>
      <c r="R101" s="893"/>
      <c r="S101" s="377">
        <f t="shared" si="21"/>
        <v>25920000</v>
      </c>
      <c r="T101" s="884"/>
      <c r="U101" s="1065"/>
      <c r="V101" s="1065"/>
      <c r="W101" s="1065"/>
      <c r="X101" s="1065"/>
    </row>
    <row r="102" spans="2:24">
      <c r="B102" s="371"/>
      <c r="C102" s="371"/>
      <c r="D102" s="371"/>
      <c r="E102" s="372"/>
      <c r="F102" s="368"/>
      <c r="G102" s="373"/>
      <c r="H102" s="956"/>
      <c r="I102" s="368"/>
      <c r="J102" s="369"/>
      <c r="K102" s="2797"/>
      <c r="L102" s="956"/>
      <c r="M102" s="368"/>
      <c r="N102" s="369"/>
      <c r="O102" s="2797"/>
      <c r="P102" s="2780">
        <f t="shared" si="20"/>
        <v>0</v>
      </c>
      <c r="Q102" s="474"/>
      <c r="R102" s="893"/>
      <c r="S102" s="377"/>
      <c r="T102" s="884"/>
      <c r="U102" s="893"/>
      <c r="V102" s="893"/>
      <c r="W102" s="1065"/>
      <c r="X102" s="1065"/>
    </row>
    <row r="103" spans="2:24" s="2033" customFormat="1" ht="14.25">
      <c r="B103" s="2485">
        <v>5</v>
      </c>
      <c r="C103" s="2485">
        <v>2</v>
      </c>
      <c r="D103" s="2485">
        <v>2</v>
      </c>
      <c r="E103" s="2486">
        <v>15</v>
      </c>
      <c r="F103" s="2486" t="s">
        <v>25</v>
      </c>
      <c r="G103" s="2818" t="s">
        <v>133</v>
      </c>
      <c r="H103" s="2632"/>
      <c r="I103" s="2547"/>
      <c r="J103" s="2785"/>
      <c r="K103" s="2803">
        <f>SUM(K105:K143)</f>
        <v>777250000</v>
      </c>
      <c r="L103" s="2632"/>
      <c r="M103" s="2547"/>
      <c r="N103" s="2785"/>
      <c r="O103" s="2803">
        <f>SUM(O105:O143)</f>
        <v>625190000</v>
      </c>
      <c r="P103" s="2787">
        <f t="shared" si="20"/>
        <v>-152060000</v>
      </c>
      <c r="Q103" s="2560"/>
      <c r="R103" s="893"/>
      <c r="S103" s="893"/>
      <c r="T103" s="884"/>
      <c r="U103" s="893"/>
      <c r="V103" s="893"/>
      <c r="W103" s="886"/>
      <c r="X103" s="886"/>
    </row>
    <row r="104" spans="2:24" s="2033" customFormat="1" ht="14.25">
      <c r="B104" s="2485"/>
      <c r="C104" s="2485"/>
      <c r="D104" s="2485"/>
      <c r="E104" s="2486"/>
      <c r="F104" s="2486"/>
      <c r="G104" s="2818" t="s">
        <v>1358</v>
      </c>
      <c r="H104" s="2632"/>
      <c r="I104" s="2547"/>
      <c r="J104" s="2785"/>
      <c r="K104" s="2803"/>
      <c r="L104" s="2632"/>
      <c r="M104" s="2547"/>
      <c r="N104" s="2785"/>
      <c r="O104" s="2803"/>
      <c r="P104" s="2787">
        <f t="shared" si="20"/>
        <v>0</v>
      </c>
      <c r="Q104" s="2560"/>
      <c r="R104" s="893"/>
      <c r="S104" s="881"/>
      <c r="T104" s="882"/>
      <c r="U104" s="882"/>
      <c r="V104" s="882"/>
      <c r="W104" s="883"/>
      <c r="X104" s="883"/>
    </row>
    <row r="105" spans="2:24" s="2819" customFormat="1" ht="14.25">
      <c r="B105" s="2504"/>
      <c r="C105" s="2504"/>
      <c r="D105" s="2504"/>
      <c r="E105" s="2614"/>
      <c r="F105" s="2614"/>
      <c r="G105" s="2607" t="s">
        <v>1537</v>
      </c>
      <c r="H105" s="2608">
        <v>4</v>
      </c>
      <c r="I105" s="2609" t="s">
        <v>26</v>
      </c>
      <c r="J105" s="2615">
        <v>5500000</v>
      </c>
      <c r="K105" s="2790">
        <f t="shared" ref="K105:K119" si="22">H105*J105</f>
        <v>22000000</v>
      </c>
      <c r="L105" s="2608">
        <v>4</v>
      </c>
      <c r="M105" s="2609" t="s">
        <v>26</v>
      </c>
      <c r="N105" s="2615">
        <v>5500000</v>
      </c>
      <c r="O105" s="2790">
        <f t="shared" ref="O105:O119" si="23">L105*N105</f>
        <v>22000000</v>
      </c>
      <c r="P105" s="2791">
        <f t="shared" si="20"/>
        <v>0</v>
      </c>
      <c r="Q105" s="2505"/>
      <c r="R105" s="893"/>
      <c r="S105" s="377">
        <f t="shared" ref="S105:S142" si="24">O105</f>
        <v>22000000</v>
      </c>
      <c r="T105" s="882"/>
      <c r="U105" s="882"/>
      <c r="V105" s="882"/>
      <c r="W105" s="883"/>
      <c r="X105" s="883"/>
    </row>
    <row r="106" spans="2:24" s="2819" customFormat="1" ht="14.25">
      <c r="B106" s="2504"/>
      <c r="C106" s="2504"/>
      <c r="D106" s="2504"/>
      <c r="E106" s="2614"/>
      <c r="F106" s="2614"/>
      <c r="G106" s="2619" t="s">
        <v>1759</v>
      </c>
      <c r="H106" s="2608">
        <f>4*6</f>
        <v>24</v>
      </c>
      <c r="I106" s="2609" t="s">
        <v>28</v>
      </c>
      <c r="J106" s="2817">
        <v>700000</v>
      </c>
      <c r="K106" s="2790">
        <f t="shared" si="22"/>
        <v>16800000</v>
      </c>
      <c r="L106" s="2608">
        <f>4*6</f>
        <v>24</v>
      </c>
      <c r="M106" s="2609" t="s">
        <v>28</v>
      </c>
      <c r="N106" s="2817">
        <v>700000</v>
      </c>
      <c r="O106" s="2790">
        <f t="shared" si="23"/>
        <v>16800000</v>
      </c>
      <c r="P106" s="2791">
        <f t="shared" si="20"/>
        <v>0</v>
      </c>
      <c r="Q106" s="2505"/>
      <c r="R106" s="893"/>
      <c r="S106" s="377">
        <f t="shared" si="24"/>
        <v>16800000</v>
      </c>
      <c r="T106" s="1067"/>
      <c r="U106" s="886"/>
      <c r="V106" s="886"/>
      <c r="W106" s="894"/>
      <c r="X106" s="886"/>
    </row>
    <row r="107" spans="2:24" s="2819" customFormat="1" ht="14.25">
      <c r="B107" s="2504"/>
      <c r="C107" s="2504"/>
      <c r="D107" s="2504"/>
      <c r="E107" s="2614"/>
      <c r="F107" s="2614"/>
      <c r="G107" s="2619" t="s">
        <v>1760</v>
      </c>
      <c r="H107" s="2608">
        <f>4*5</f>
        <v>20</v>
      </c>
      <c r="I107" s="2609" t="s">
        <v>27</v>
      </c>
      <c r="J107" s="2817">
        <v>850000</v>
      </c>
      <c r="K107" s="2790">
        <f t="shared" si="22"/>
        <v>17000000</v>
      </c>
      <c r="L107" s="2608">
        <f>4*5</f>
        <v>20</v>
      </c>
      <c r="M107" s="2609" t="s">
        <v>27</v>
      </c>
      <c r="N107" s="2817">
        <v>850000</v>
      </c>
      <c r="O107" s="2790">
        <f t="shared" si="23"/>
        <v>17000000</v>
      </c>
      <c r="P107" s="2791">
        <f t="shared" si="20"/>
        <v>0</v>
      </c>
      <c r="Q107" s="2505"/>
      <c r="R107" s="893"/>
      <c r="S107" s="377">
        <f t="shared" si="24"/>
        <v>17000000</v>
      </c>
      <c r="T107" s="1067"/>
      <c r="U107" s="894"/>
      <c r="V107" s="894"/>
      <c r="W107" s="886"/>
      <c r="X107" s="886"/>
    </row>
    <row r="108" spans="2:24" s="2819" customFormat="1" ht="14.25">
      <c r="B108" s="2504"/>
      <c r="C108" s="2504"/>
      <c r="D108" s="2504"/>
      <c r="E108" s="2614"/>
      <c r="F108" s="2614"/>
      <c r="G108" s="2607" t="s">
        <v>1538</v>
      </c>
      <c r="H108" s="2608">
        <v>6</v>
      </c>
      <c r="I108" s="2609" t="s">
        <v>26</v>
      </c>
      <c r="J108" s="2615">
        <v>5500000</v>
      </c>
      <c r="K108" s="2790">
        <f t="shared" si="22"/>
        <v>33000000</v>
      </c>
      <c r="L108" s="2608">
        <v>6</v>
      </c>
      <c r="M108" s="2609" t="s">
        <v>26</v>
      </c>
      <c r="N108" s="2615">
        <v>5500000</v>
      </c>
      <c r="O108" s="2790">
        <f t="shared" si="23"/>
        <v>33000000</v>
      </c>
      <c r="P108" s="2791">
        <f t="shared" si="20"/>
        <v>0</v>
      </c>
      <c r="Q108" s="2505"/>
      <c r="R108" s="893"/>
      <c r="S108" s="377">
        <f t="shared" si="24"/>
        <v>33000000</v>
      </c>
      <c r="T108" s="1067"/>
      <c r="U108" s="885"/>
      <c r="V108" s="885"/>
      <c r="W108" s="886"/>
      <c r="X108" s="886"/>
    </row>
    <row r="109" spans="2:24" s="2819" customFormat="1" ht="14.25">
      <c r="B109" s="2504"/>
      <c r="C109" s="2504"/>
      <c r="D109" s="2504"/>
      <c r="E109" s="2614"/>
      <c r="F109" s="2614"/>
      <c r="G109" s="2619" t="s">
        <v>1761</v>
      </c>
      <c r="H109" s="2608">
        <f>6*5</f>
        <v>30</v>
      </c>
      <c r="I109" s="2609" t="s">
        <v>28</v>
      </c>
      <c r="J109" s="2817">
        <v>700000</v>
      </c>
      <c r="K109" s="2790">
        <f t="shared" si="22"/>
        <v>21000000</v>
      </c>
      <c r="L109" s="2608">
        <f>6*5</f>
        <v>30</v>
      </c>
      <c r="M109" s="2609" t="s">
        <v>28</v>
      </c>
      <c r="N109" s="2817">
        <v>700000</v>
      </c>
      <c r="O109" s="2790">
        <f t="shared" si="23"/>
        <v>21000000</v>
      </c>
      <c r="P109" s="2791">
        <f t="shared" si="20"/>
        <v>0</v>
      </c>
      <c r="Q109" s="2505"/>
      <c r="R109" s="893"/>
      <c r="S109" s="377">
        <f t="shared" si="24"/>
        <v>21000000</v>
      </c>
      <c r="T109" s="1067"/>
      <c r="U109" s="886"/>
      <c r="V109" s="886"/>
      <c r="W109" s="894"/>
      <c r="X109" s="886"/>
    </row>
    <row r="110" spans="2:24" s="2819" customFormat="1" ht="14.25">
      <c r="B110" s="2504"/>
      <c r="C110" s="2504"/>
      <c r="D110" s="2504"/>
      <c r="E110" s="2614"/>
      <c r="F110" s="2614"/>
      <c r="G110" s="2619" t="s">
        <v>1762</v>
      </c>
      <c r="H110" s="2608">
        <f>6*4</f>
        <v>24</v>
      </c>
      <c r="I110" s="2609" t="s">
        <v>27</v>
      </c>
      <c r="J110" s="2817">
        <v>850000</v>
      </c>
      <c r="K110" s="2790">
        <f t="shared" si="22"/>
        <v>20400000</v>
      </c>
      <c r="L110" s="2608">
        <f>6*4</f>
        <v>24</v>
      </c>
      <c r="M110" s="2609" t="s">
        <v>27</v>
      </c>
      <c r="N110" s="2817">
        <v>850000</v>
      </c>
      <c r="O110" s="2790">
        <f t="shared" si="23"/>
        <v>20400000</v>
      </c>
      <c r="P110" s="2791">
        <f t="shared" si="20"/>
        <v>0</v>
      </c>
      <c r="Q110" s="2505"/>
      <c r="R110" s="893"/>
      <c r="S110" s="377">
        <f t="shared" si="24"/>
        <v>20400000</v>
      </c>
      <c r="T110" s="1067"/>
      <c r="U110" s="894"/>
      <c r="V110" s="894"/>
      <c r="W110" s="886"/>
      <c r="X110" s="886"/>
    </row>
    <row r="111" spans="2:24" s="2819" customFormat="1" ht="14.25">
      <c r="B111" s="2504"/>
      <c r="C111" s="2504"/>
      <c r="D111" s="2504"/>
      <c r="E111" s="2614"/>
      <c r="F111" s="2614"/>
      <c r="G111" s="2607" t="s">
        <v>1549</v>
      </c>
      <c r="H111" s="2608">
        <v>2</v>
      </c>
      <c r="I111" s="2609" t="s">
        <v>26</v>
      </c>
      <c r="J111" s="2615">
        <v>5500000</v>
      </c>
      <c r="K111" s="2790">
        <f t="shared" si="22"/>
        <v>11000000</v>
      </c>
      <c r="L111" s="2608"/>
      <c r="M111" s="2609" t="s">
        <v>26</v>
      </c>
      <c r="N111" s="2615">
        <v>5500000</v>
      </c>
      <c r="O111" s="2790">
        <f t="shared" si="23"/>
        <v>0</v>
      </c>
      <c r="P111" s="2791">
        <f t="shared" si="20"/>
        <v>-11000000</v>
      </c>
      <c r="Q111" s="2505"/>
      <c r="R111" s="893"/>
      <c r="S111" s="377">
        <f t="shared" si="24"/>
        <v>0</v>
      </c>
      <c r="T111" s="1067"/>
      <c r="U111" s="885"/>
      <c r="V111" s="885"/>
      <c r="W111" s="886"/>
      <c r="X111" s="886"/>
    </row>
    <row r="112" spans="2:24" s="2819" customFormat="1" ht="14.25">
      <c r="B112" s="2504"/>
      <c r="C112" s="2504"/>
      <c r="D112" s="2504"/>
      <c r="E112" s="2614"/>
      <c r="F112" s="2614"/>
      <c r="G112" s="2619" t="s">
        <v>1977</v>
      </c>
      <c r="H112" s="2608">
        <f>2*4</f>
        <v>8</v>
      </c>
      <c r="I112" s="2609" t="s">
        <v>28</v>
      </c>
      <c r="J112" s="2817">
        <v>700000</v>
      </c>
      <c r="K112" s="2790">
        <f t="shared" si="22"/>
        <v>5600000</v>
      </c>
      <c r="L112" s="2608"/>
      <c r="M112" s="2609" t="s">
        <v>28</v>
      </c>
      <c r="N112" s="2817">
        <v>700000</v>
      </c>
      <c r="O112" s="2790">
        <f t="shared" si="23"/>
        <v>0</v>
      </c>
      <c r="P112" s="2791">
        <f t="shared" si="20"/>
        <v>-5600000</v>
      </c>
      <c r="Q112" s="2505"/>
      <c r="R112" s="893"/>
      <c r="S112" s="377">
        <f t="shared" si="24"/>
        <v>0</v>
      </c>
      <c r="T112" s="1067"/>
      <c r="U112" s="886"/>
      <c r="V112" s="886"/>
      <c r="W112" s="894"/>
      <c r="X112" s="886"/>
    </row>
    <row r="113" spans="2:24" s="2819" customFormat="1" ht="14.25">
      <c r="B113" s="2504"/>
      <c r="C113" s="2504"/>
      <c r="D113" s="2504"/>
      <c r="E113" s="2614"/>
      <c r="F113" s="2614"/>
      <c r="G113" s="2619" t="s">
        <v>1976</v>
      </c>
      <c r="H113" s="2608">
        <f>2*3</f>
        <v>6</v>
      </c>
      <c r="I113" s="2609" t="s">
        <v>27</v>
      </c>
      <c r="J113" s="2817">
        <v>850000</v>
      </c>
      <c r="K113" s="2790">
        <f t="shared" si="22"/>
        <v>5100000</v>
      </c>
      <c r="L113" s="2608"/>
      <c r="M113" s="2609" t="s">
        <v>27</v>
      </c>
      <c r="N113" s="2817">
        <v>850000</v>
      </c>
      <c r="O113" s="2790">
        <f t="shared" si="23"/>
        <v>0</v>
      </c>
      <c r="P113" s="2791">
        <f t="shared" si="20"/>
        <v>-5100000</v>
      </c>
      <c r="Q113" s="2505"/>
      <c r="R113" s="893"/>
      <c r="S113" s="377">
        <f t="shared" si="24"/>
        <v>0</v>
      </c>
      <c r="T113" s="1067"/>
      <c r="U113" s="894"/>
      <c r="V113" s="894"/>
      <c r="W113" s="886"/>
      <c r="X113" s="886"/>
    </row>
    <row r="114" spans="2:24" s="2819" customFormat="1" ht="14.25">
      <c r="B114" s="2504"/>
      <c r="C114" s="2504"/>
      <c r="D114" s="2504"/>
      <c r="E114" s="2614"/>
      <c r="F114" s="2614"/>
      <c r="G114" s="2607" t="s">
        <v>1763</v>
      </c>
      <c r="H114" s="2608">
        <v>3</v>
      </c>
      <c r="I114" s="2609" t="s">
        <v>26</v>
      </c>
      <c r="J114" s="2615">
        <v>5500000</v>
      </c>
      <c r="K114" s="2790">
        <f t="shared" si="22"/>
        <v>16500000</v>
      </c>
      <c r="L114" s="2608">
        <v>3</v>
      </c>
      <c r="M114" s="2609" t="s">
        <v>26</v>
      </c>
      <c r="N114" s="2615">
        <v>5500000</v>
      </c>
      <c r="O114" s="2790">
        <f t="shared" si="23"/>
        <v>16500000</v>
      </c>
      <c r="P114" s="2791">
        <f t="shared" si="20"/>
        <v>0</v>
      </c>
      <c r="Q114" s="2505"/>
      <c r="R114" s="893"/>
      <c r="S114" s="377">
        <f t="shared" si="24"/>
        <v>16500000</v>
      </c>
      <c r="T114" s="1067"/>
      <c r="U114" s="885"/>
      <c r="V114" s="885"/>
      <c r="W114" s="886"/>
      <c r="X114" s="886"/>
    </row>
    <row r="115" spans="2:24" s="2819" customFormat="1" ht="14.25">
      <c r="B115" s="2504"/>
      <c r="C115" s="2504"/>
      <c r="D115" s="2504"/>
      <c r="E115" s="2614"/>
      <c r="F115" s="2614"/>
      <c r="G115" s="2619" t="s">
        <v>1972</v>
      </c>
      <c r="H115" s="2608">
        <f>3*6</f>
        <v>18</v>
      </c>
      <c r="I115" s="2609" t="s">
        <v>28</v>
      </c>
      <c r="J115" s="2817">
        <v>700000</v>
      </c>
      <c r="K115" s="2790">
        <f t="shared" si="22"/>
        <v>12600000</v>
      </c>
      <c r="L115" s="2608">
        <f>3*6</f>
        <v>18</v>
      </c>
      <c r="M115" s="2609" t="s">
        <v>28</v>
      </c>
      <c r="N115" s="2817">
        <v>700000</v>
      </c>
      <c r="O115" s="2790">
        <f t="shared" si="23"/>
        <v>12600000</v>
      </c>
      <c r="P115" s="2791">
        <f t="shared" si="20"/>
        <v>0</v>
      </c>
      <c r="Q115" s="2505"/>
      <c r="R115" s="1035"/>
      <c r="S115" s="377">
        <f t="shared" si="24"/>
        <v>12600000</v>
      </c>
      <c r="T115" s="1067"/>
      <c r="U115" s="885"/>
      <c r="V115" s="885"/>
      <c r="W115" s="886"/>
      <c r="X115" s="886"/>
    </row>
    <row r="116" spans="2:24" s="2819" customFormat="1" ht="14.25">
      <c r="B116" s="2504"/>
      <c r="C116" s="2504"/>
      <c r="D116" s="2504"/>
      <c r="E116" s="2614"/>
      <c r="F116" s="2614"/>
      <c r="G116" s="2619" t="s">
        <v>1973</v>
      </c>
      <c r="H116" s="2608">
        <f>3*5</f>
        <v>15</v>
      </c>
      <c r="I116" s="2609" t="s">
        <v>27</v>
      </c>
      <c r="J116" s="2817">
        <v>850000</v>
      </c>
      <c r="K116" s="2790">
        <f t="shared" si="22"/>
        <v>12750000</v>
      </c>
      <c r="L116" s="2608">
        <f>3*5</f>
        <v>15</v>
      </c>
      <c r="M116" s="2609" t="s">
        <v>27</v>
      </c>
      <c r="N116" s="2817">
        <v>850000</v>
      </c>
      <c r="O116" s="2790">
        <f t="shared" si="23"/>
        <v>12750000</v>
      </c>
      <c r="P116" s="2791">
        <f t="shared" si="20"/>
        <v>0</v>
      </c>
      <c r="Q116" s="2505"/>
      <c r="R116" s="1035"/>
      <c r="S116" s="377">
        <f t="shared" si="24"/>
        <v>12750000</v>
      </c>
      <c r="T116" s="1067"/>
      <c r="U116" s="885"/>
      <c r="V116" s="885"/>
      <c r="W116" s="886"/>
      <c r="X116" s="886"/>
    </row>
    <row r="117" spans="2:24" s="2819" customFormat="1" ht="14.25">
      <c r="B117" s="2504"/>
      <c r="C117" s="2504"/>
      <c r="D117" s="2504"/>
      <c r="E117" s="2614"/>
      <c r="F117" s="2614"/>
      <c r="G117" s="2607" t="s">
        <v>1764</v>
      </c>
      <c r="H117" s="2608">
        <v>3</v>
      </c>
      <c r="I117" s="2609" t="s">
        <v>26</v>
      </c>
      <c r="J117" s="2615">
        <v>5500000</v>
      </c>
      <c r="K117" s="2790">
        <f t="shared" si="22"/>
        <v>16500000</v>
      </c>
      <c r="L117" s="2608">
        <v>3</v>
      </c>
      <c r="M117" s="2609" t="s">
        <v>26</v>
      </c>
      <c r="N117" s="2615">
        <v>5500000</v>
      </c>
      <c r="O117" s="2790">
        <f t="shared" si="23"/>
        <v>16500000</v>
      </c>
      <c r="P117" s="2791">
        <f t="shared" si="20"/>
        <v>0</v>
      </c>
      <c r="Q117" s="2505"/>
      <c r="R117" s="1035"/>
      <c r="S117" s="377">
        <f t="shared" si="24"/>
        <v>16500000</v>
      </c>
      <c r="T117" s="1067"/>
      <c r="U117" s="885"/>
      <c r="V117" s="885"/>
      <c r="W117" s="886"/>
      <c r="X117" s="886"/>
    </row>
    <row r="118" spans="2:24" s="2819" customFormat="1" ht="14.25">
      <c r="B118" s="2504"/>
      <c r="C118" s="2504"/>
      <c r="D118" s="2504"/>
      <c r="E118" s="2614"/>
      <c r="F118" s="2614"/>
      <c r="G118" s="2619" t="s">
        <v>1974</v>
      </c>
      <c r="H118" s="2608">
        <f>3*4</f>
        <v>12</v>
      </c>
      <c r="I118" s="2609" t="s">
        <v>28</v>
      </c>
      <c r="J118" s="2817">
        <v>700000</v>
      </c>
      <c r="K118" s="2790">
        <f t="shared" si="22"/>
        <v>8400000</v>
      </c>
      <c r="L118" s="2608">
        <f>3*4</f>
        <v>12</v>
      </c>
      <c r="M118" s="2609" t="s">
        <v>28</v>
      </c>
      <c r="N118" s="2817">
        <v>700000</v>
      </c>
      <c r="O118" s="2790">
        <f t="shared" si="23"/>
        <v>8400000</v>
      </c>
      <c r="P118" s="2791">
        <f t="shared" si="20"/>
        <v>0</v>
      </c>
      <c r="Q118" s="2505"/>
      <c r="R118" s="1035"/>
      <c r="S118" s="377">
        <f t="shared" si="24"/>
        <v>8400000</v>
      </c>
      <c r="T118" s="1067"/>
      <c r="U118" s="885"/>
      <c r="V118" s="885"/>
      <c r="W118" s="886"/>
      <c r="X118" s="886"/>
    </row>
    <row r="119" spans="2:24" s="2819" customFormat="1" ht="14.25">
      <c r="B119" s="2504"/>
      <c r="C119" s="2504"/>
      <c r="D119" s="2504"/>
      <c r="E119" s="2614"/>
      <c r="F119" s="2614"/>
      <c r="G119" s="2619" t="s">
        <v>1975</v>
      </c>
      <c r="H119" s="2608">
        <f>3*3</f>
        <v>9</v>
      </c>
      <c r="I119" s="2609" t="s">
        <v>27</v>
      </c>
      <c r="J119" s="2817">
        <v>850000</v>
      </c>
      <c r="K119" s="2790">
        <f t="shared" si="22"/>
        <v>7650000</v>
      </c>
      <c r="L119" s="2608">
        <f>3*3</f>
        <v>9</v>
      </c>
      <c r="M119" s="2609" t="s">
        <v>27</v>
      </c>
      <c r="N119" s="2817">
        <v>850000</v>
      </c>
      <c r="O119" s="2790">
        <f t="shared" si="23"/>
        <v>7650000</v>
      </c>
      <c r="P119" s="2791">
        <f t="shared" si="20"/>
        <v>0</v>
      </c>
      <c r="Q119" s="2505"/>
      <c r="R119" s="1035"/>
      <c r="S119" s="377">
        <f t="shared" si="24"/>
        <v>7650000</v>
      </c>
      <c r="T119" s="1067"/>
      <c r="U119" s="885"/>
      <c r="V119" s="885"/>
      <c r="W119" s="886"/>
      <c r="X119" s="886"/>
    </row>
    <row r="120" spans="2:24" s="2819" customFormat="1" ht="14.25">
      <c r="B120" s="2504"/>
      <c r="C120" s="2504"/>
      <c r="D120" s="2504"/>
      <c r="E120" s="2614"/>
      <c r="F120" s="2614"/>
      <c r="G120" s="2607" t="s">
        <v>1555</v>
      </c>
      <c r="H120" s="2608"/>
      <c r="I120" s="2609"/>
      <c r="J120" s="2817"/>
      <c r="K120" s="2790"/>
      <c r="L120" s="2608"/>
      <c r="M120" s="2609"/>
      <c r="N120" s="2817"/>
      <c r="O120" s="2790"/>
      <c r="P120" s="2791">
        <f t="shared" si="20"/>
        <v>0</v>
      </c>
      <c r="Q120" s="2505"/>
      <c r="R120" s="1035"/>
      <c r="S120" s="377">
        <f t="shared" si="24"/>
        <v>0</v>
      </c>
      <c r="T120" s="1067"/>
      <c r="U120" s="885"/>
      <c r="V120" s="885"/>
      <c r="W120" s="886"/>
      <c r="X120" s="886"/>
    </row>
    <row r="121" spans="2:24" s="2819" customFormat="1" ht="14.25">
      <c r="B121" s="2504"/>
      <c r="C121" s="2504"/>
      <c r="D121" s="2504"/>
      <c r="E121" s="2614"/>
      <c r="F121" s="2614"/>
      <c r="G121" s="2619" t="s">
        <v>364</v>
      </c>
      <c r="H121" s="2608">
        <v>3</v>
      </c>
      <c r="I121" s="2609" t="s">
        <v>26</v>
      </c>
      <c r="J121" s="2615">
        <v>5500000</v>
      </c>
      <c r="K121" s="2791">
        <f t="shared" ref="K121:K123" si="25">H121*J121</f>
        <v>16500000</v>
      </c>
      <c r="L121" s="2608">
        <v>3</v>
      </c>
      <c r="M121" s="2609" t="s">
        <v>26</v>
      </c>
      <c r="N121" s="2615">
        <v>5500000</v>
      </c>
      <c r="O121" s="2791">
        <f t="shared" ref="O121:O123" si="26">L121*N121</f>
        <v>16500000</v>
      </c>
      <c r="P121" s="2791">
        <f t="shared" si="20"/>
        <v>0</v>
      </c>
      <c r="Q121" s="2505"/>
      <c r="R121" s="1035"/>
      <c r="S121" s="377">
        <f t="shared" si="24"/>
        <v>16500000</v>
      </c>
      <c r="T121" s="1067"/>
      <c r="U121" s="885"/>
      <c r="V121" s="885"/>
      <c r="W121" s="886"/>
      <c r="X121" s="886"/>
    </row>
    <row r="122" spans="2:24" s="2819" customFormat="1" ht="14.25">
      <c r="B122" s="2504"/>
      <c r="C122" s="2504"/>
      <c r="D122" s="2504"/>
      <c r="E122" s="2614"/>
      <c r="F122" s="2614"/>
      <c r="G122" s="2619" t="s">
        <v>1556</v>
      </c>
      <c r="H122" s="2608">
        <f>3*10</f>
        <v>30</v>
      </c>
      <c r="I122" s="2609" t="s">
        <v>28</v>
      </c>
      <c r="J122" s="2817">
        <v>600000</v>
      </c>
      <c r="K122" s="2791">
        <f t="shared" si="25"/>
        <v>18000000</v>
      </c>
      <c r="L122" s="2608">
        <f>3*10</f>
        <v>30</v>
      </c>
      <c r="M122" s="2609" t="s">
        <v>28</v>
      </c>
      <c r="N122" s="2817">
        <v>600000</v>
      </c>
      <c r="O122" s="2791">
        <f t="shared" si="26"/>
        <v>18000000</v>
      </c>
      <c r="P122" s="2791">
        <f t="shared" si="20"/>
        <v>0</v>
      </c>
      <c r="Q122" s="2505"/>
      <c r="R122" s="1035"/>
      <c r="S122" s="377">
        <f t="shared" si="24"/>
        <v>18000000</v>
      </c>
      <c r="T122" s="1067"/>
      <c r="U122" s="885"/>
      <c r="V122" s="885"/>
      <c r="W122" s="886"/>
      <c r="X122" s="886"/>
    </row>
    <row r="123" spans="2:24" s="2819" customFormat="1" ht="14.25">
      <c r="B123" s="2504"/>
      <c r="C123" s="2504"/>
      <c r="D123" s="2504"/>
      <c r="E123" s="2614"/>
      <c r="F123" s="2614"/>
      <c r="G123" s="2619" t="s">
        <v>1557</v>
      </c>
      <c r="H123" s="2608">
        <f>3*9</f>
        <v>27</v>
      </c>
      <c r="I123" s="2609" t="s">
        <v>27</v>
      </c>
      <c r="J123" s="2817">
        <v>750000</v>
      </c>
      <c r="K123" s="2791">
        <f t="shared" si="25"/>
        <v>20250000</v>
      </c>
      <c r="L123" s="2608">
        <f>3*9</f>
        <v>27</v>
      </c>
      <c r="M123" s="2609" t="s">
        <v>27</v>
      </c>
      <c r="N123" s="2817">
        <v>750000</v>
      </c>
      <c r="O123" s="2791">
        <f t="shared" si="26"/>
        <v>20250000</v>
      </c>
      <c r="P123" s="2791">
        <f t="shared" si="20"/>
        <v>0</v>
      </c>
      <c r="Q123" s="2505"/>
      <c r="R123" s="1035"/>
      <c r="S123" s="377">
        <f t="shared" si="24"/>
        <v>20250000</v>
      </c>
      <c r="T123" s="1067"/>
      <c r="U123" s="885"/>
      <c r="V123" s="885"/>
      <c r="W123" s="886"/>
      <c r="X123" s="886"/>
    </row>
    <row r="124" spans="2:24" s="2819" customFormat="1" ht="14.25">
      <c r="B124" s="2504"/>
      <c r="C124" s="2504"/>
      <c r="D124" s="2504"/>
      <c r="E124" s="2614"/>
      <c r="F124" s="2614"/>
      <c r="G124" s="2607" t="s">
        <v>1781</v>
      </c>
      <c r="H124" s="2608"/>
      <c r="I124" s="2609"/>
      <c r="J124" s="2817"/>
      <c r="K124" s="2790"/>
      <c r="L124" s="2608"/>
      <c r="M124" s="2609"/>
      <c r="N124" s="2817"/>
      <c r="O124" s="2790"/>
      <c r="P124" s="2791">
        <f t="shared" si="20"/>
        <v>0</v>
      </c>
      <c r="Q124" s="2505"/>
      <c r="R124" s="1035"/>
      <c r="S124" s="377">
        <f t="shared" si="24"/>
        <v>0</v>
      </c>
      <c r="T124" s="1067"/>
      <c r="U124" s="885"/>
      <c r="V124" s="885"/>
      <c r="W124" s="886"/>
      <c r="X124" s="886"/>
    </row>
    <row r="125" spans="2:24" s="2819" customFormat="1" ht="14.25">
      <c r="B125" s="2504"/>
      <c r="C125" s="2504"/>
      <c r="D125" s="2504"/>
      <c r="E125" s="2614"/>
      <c r="F125" s="2614"/>
      <c r="G125" s="2619" t="s">
        <v>364</v>
      </c>
      <c r="H125" s="2608">
        <v>2</v>
      </c>
      <c r="I125" s="2609" t="s">
        <v>26</v>
      </c>
      <c r="J125" s="2615">
        <v>5500000</v>
      </c>
      <c r="K125" s="2791">
        <f t="shared" ref="K125:K129" si="27">H125*J125</f>
        <v>11000000</v>
      </c>
      <c r="L125" s="2608">
        <v>2</v>
      </c>
      <c r="M125" s="2609" t="s">
        <v>26</v>
      </c>
      <c r="N125" s="2615">
        <v>5500000</v>
      </c>
      <c r="O125" s="2791">
        <f t="shared" ref="O125:O129" si="28">L125*N125</f>
        <v>11000000</v>
      </c>
      <c r="P125" s="2791">
        <f t="shared" si="20"/>
        <v>0</v>
      </c>
      <c r="Q125" s="2505"/>
      <c r="R125" s="1035"/>
      <c r="S125" s="377">
        <f t="shared" si="24"/>
        <v>11000000</v>
      </c>
      <c r="T125" s="1067"/>
      <c r="U125" s="885"/>
      <c r="V125" s="885"/>
      <c r="W125" s="886"/>
      <c r="X125" s="886"/>
    </row>
    <row r="126" spans="2:24" s="2819" customFormat="1" ht="14.25">
      <c r="B126" s="2504"/>
      <c r="C126" s="2504"/>
      <c r="D126" s="2504"/>
      <c r="E126" s="2614"/>
      <c r="F126" s="2614"/>
      <c r="G126" s="2619" t="s">
        <v>2087</v>
      </c>
      <c r="H126" s="2608"/>
      <c r="I126" s="2609"/>
      <c r="J126" s="2817"/>
      <c r="K126" s="2791">
        <f t="shared" si="27"/>
        <v>0</v>
      </c>
      <c r="L126" s="2608">
        <f>2*2</f>
        <v>4</v>
      </c>
      <c r="M126" s="2609" t="s">
        <v>28</v>
      </c>
      <c r="N126" s="2817">
        <v>600000</v>
      </c>
      <c r="O126" s="2791">
        <f t="shared" si="28"/>
        <v>2400000</v>
      </c>
      <c r="P126" s="2791">
        <f t="shared" si="20"/>
        <v>2400000</v>
      </c>
      <c r="Q126" s="2505"/>
      <c r="R126" s="1035"/>
      <c r="S126" s="377">
        <f t="shared" si="24"/>
        <v>2400000</v>
      </c>
      <c r="T126" s="1067"/>
      <c r="U126" s="885"/>
      <c r="V126" s="885"/>
      <c r="W126" s="886"/>
      <c r="X126" s="886"/>
    </row>
    <row r="127" spans="2:24" s="2819" customFormat="1" ht="14.25">
      <c r="B127" s="2504"/>
      <c r="C127" s="2504"/>
      <c r="D127" s="2504"/>
      <c r="E127" s="2614"/>
      <c r="F127" s="2614"/>
      <c r="G127" s="2619" t="s">
        <v>2088</v>
      </c>
      <c r="H127" s="2608">
        <f>2*100</f>
        <v>200</v>
      </c>
      <c r="I127" s="2609" t="s">
        <v>28</v>
      </c>
      <c r="J127" s="2817">
        <v>200000</v>
      </c>
      <c r="K127" s="2791">
        <f t="shared" si="27"/>
        <v>40000000</v>
      </c>
      <c r="L127" s="2608">
        <f>2*93</f>
        <v>186</v>
      </c>
      <c r="M127" s="2609" t="s">
        <v>28</v>
      </c>
      <c r="N127" s="2817">
        <v>200000</v>
      </c>
      <c r="O127" s="2791">
        <f t="shared" si="28"/>
        <v>37200000</v>
      </c>
      <c r="P127" s="2791">
        <f t="shared" si="20"/>
        <v>-2800000</v>
      </c>
      <c r="Q127" s="2505"/>
      <c r="R127" s="1035"/>
      <c r="S127" s="377">
        <f t="shared" si="24"/>
        <v>37200000</v>
      </c>
      <c r="T127" s="1067"/>
      <c r="U127" s="885"/>
      <c r="V127" s="885"/>
      <c r="W127" s="886"/>
      <c r="X127" s="886"/>
    </row>
    <row r="128" spans="2:24" s="2819" customFormat="1" ht="14.25">
      <c r="B128" s="2504"/>
      <c r="C128" s="2504"/>
      <c r="D128" s="2504"/>
      <c r="E128" s="2614"/>
      <c r="F128" s="2614"/>
      <c r="G128" s="2619" t="s">
        <v>2089</v>
      </c>
      <c r="H128" s="2608"/>
      <c r="I128" s="2609"/>
      <c r="J128" s="2817"/>
      <c r="K128" s="2791">
        <f t="shared" si="27"/>
        <v>0</v>
      </c>
      <c r="L128" s="2608">
        <f>2*2</f>
        <v>4</v>
      </c>
      <c r="M128" s="2609" t="s">
        <v>27</v>
      </c>
      <c r="N128" s="2817">
        <v>750000</v>
      </c>
      <c r="O128" s="2791">
        <f t="shared" si="28"/>
        <v>3000000</v>
      </c>
      <c r="P128" s="2791">
        <f t="shared" si="20"/>
        <v>3000000</v>
      </c>
      <c r="Q128" s="2505"/>
      <c r="R128" s="1035"/>
      <c r="S128" s="377">
        <f t="shared" si="24"/>
        <v>3000000</v>
      </c>
      <c r="T128" s="1067"/>
      <c r="U128" s="885"/>
      <c r="V128" s="885"/>
      <c r="W128" s="886"/>
      <c r="X128" s="886"/>
    </row>
    <row r="129" spans="2:24" s="2819" customFormat="1" ht="14.25">
      <c r="B129" s="2504"/>
      <c r="C129" s="2504"/>
      <c r="D129" s="2504"/>
      <c r="E129" s="2614"/>
      <c r="F129" s="2614"/>
      <c r="G129" s="2619" t="s">
        <v>2090</v>
      </c>
      <c r="H129" s="2608">
        <f>2*100</f>
        <v>200</v>
      </c>
      <c r="I129" s="2609" t="s">
        <v>27</v>
      </c>
      <c r="J129" s="2817">
        <v>150000</v>
      </c>
      <c r="K129" s="2791">
        <f t="shared" si="27"/>
        <v>30000000</v>
      </c>
      <c r="L129" s="2608">
        <f>2*3</f>
        <v>6</v>
      </c>
      <c r="M129" s="2609" t="s">
        <v>27</v>
      </c>
      <c r="N129" s="2817">
        <v>3000000</v>
      </c>
      <c r="O129" s="2791">
        <f t="shared" si="28"/>
        <v>18000000</v>
      </c>
      <c r="P129" s="2791">
        <f t="shared" si="20"/>
        <v>-12000000</v>
      </c>
      <c r="Q129" s="2505"/>
      <c r="R129" s="1035"/>
      <c r="S129" s="377">
        <f t="shared" si="24"/>
        <v>18000000</v>
      </c>
      <c r="T129" s="1067"/>
      <c r="U129" s="885"/>
      <c r="V129" s="885"/>
      <c r="W129" s="886"/>
      <c r="X129" s="886"/>
    </row>
    <row r="130" spans="2:24" s="2819" customFormat="1" ht="14.25">
      <c r="B130" s="2504"/>
      <c r="C130" s="2504"/>
      <c r="D130" s="2504"/>
      <c r="E130" s="2614"/>
      <c r="F130" s="2614"/>
      <c r="G130" s="2607" t="s">
        <v>1357</v>
      </c>
      <c r="H130" s="2608"/>
      <c r="I130" s="2609"/>
      <c r="J130" s="2817"/>
      <c r="K130" s="2790"/>
      <c r="L130" s="2608"/>
      <c r="M130" s="2609"/>
      <c r="N130" s="2817"/>
      <c r="O130" s="2790"/>
      <c r="P130" s="2791">
        <f t="shared" si="20"/>
        <v>0</v>
      </c>
      <c r="Q130" s="2505"/>
      <c r="R130" s="1035"/>
      <c r="S130" s="377">
        <f t="shared" si="24"/>
        <v>0</v>
      </c>
      <c r="T130" s="1067"/>
      <c r="U130" s="885"/>
      <c r="V130" s="885"/>
      <c r="W130" s="886"/>
      <c r="X130" s="886"/>
    </row>
    <row r="131" spans="2:24" s="2819" customFormat="1" ht="14.25">
      <c r="B131" s="2504"/>
      <c r="C131" s="2504"/>
      <c r="D131" s="2504"/>
      <c r="E131" s="2614"/>
      <c r="F131" s="2614"/>
      <c r="G131" s="2619" t="s">
        <v>364</v>
      </c>
      <c r="H131" s="2608">
        <v>39</v>
      </c>
      <c r="I131" s="2609" t="s">
        <v>26</v>
      </c>
      <c r="J131" s="2615">
        <v>5500000</v>
      </c>
      <c r="K131" s="2791">
        <f t="shared" ref="K131:K136" si="29">H131*J131</f>
        <v>214500000</v>
      </c>
      <c r="L131" s="2608">
        <v>26</v>
      </c>
      <c r="M131" s="2609" t="s">
        <v>26</v>
      </c>
      <c r="N131" s="2615">
        <f>5440000</f>
        <v>5440000</v>
      </c>
      <c r="O131" s="2791">
        <f t="shared" ref="O131:O136" si="30">L131*N131</f>
        <v>141440000</v>
      </c>
      <c r="P131" s="2791">
        <f t="shared" si="20"/>
        <v>-73060000</v>
      </c>
      <c r="Q131" s="2505"/>
      <c r="R131" s="1035"/>
      <c r="S131" s="377">
        <f t="shared" si="24"/>
        <v>141440000</v>
      </c>
      <c r="T131" s="1067"/>
      <c r="U131" s="885"/>
      <c r="V131" s="885"/>
      <c r="W131" s="886"/>
      <c r="X131" s="886"/>
    </row>
    <row r="132" spans="2:24" s="2819" customFormat="1" ht="14.25">
      <c r="B132" s="2504"/>
      <c r="C132" s="2504"/>
      <c r="D132" s="2504"/>
      <c r="E132" s="2614"/>
      <c r="F132" s="2614"/>
      <c r="G132" s="2619" t="s">
        <v>2109</v>
      </c>
      <c r="H132" s="2608">
        <f>24*4</f>
        <v>96</v>
      </c>
      <c r="I132" s="2609" t="s">
        <v>28</v>
      </c>
      <c r="J132" s="2817">
        <v>600000</v>
      </c>
      <c r="K132" s="2791">
        <f t="shared" si="29"/>
        <v>57600000</v>
      </c>
      <c r="L132" s="2608">
        <f>13*4</f>
        <v>52</v>
      </c>
      <c r="M132" s="2609" t="s">
        <v>28</v>
      </c>
      <c r="N132" s="2817">
        <v>600000</v>
      </c>
      <c r="O132" s="2791">
        <f t="shared" si="30"/>
        <v>31200000</v>
      </c>
      <c r="P132" s="2791">
        <f t="shared" si="20"/>
        <v>-26400000</v>
      </c>
      <c r="Q132" s="2505"/>
      <c r="R132" s="1035"/>
      <c r="S132" s="377">
        <f t="shared" si="24"/>
        <v>31200000</v>
      </c>
      <c r="T132" s="1067"/>
      <c r="U132" s="885"/>
      <c r="V132" s="885"/>
      <c r="W132" s="886"/>
      <c r="X132" s="886"/>
    </row>
    <row r="133" spans="2:24" s="2819" customFormat="1" ht="14.25">
      <c r="B133" s="2504"/>
      <c r="C133" s="2504"/>
      <c r="D133" s="2504"/>
      <c r="E133" s="2614"/>
      <c r="F133" s="2614"/>
      <c r="G133" s="2619" t="s">
        <v>2110</v>
      </c>
      <c r="H133" s="2608">
        <f>24*3</f>
        <v>72</v>
      </c>
      <c r="I133" s="2609" t="s">
        <v>27</v>
      </c>
      <c r="J133" s="2817">
        <v>750000</v>
      </c>
      <c r="K133" s="2791">
        <f t="shared" si="29"/>
        <v>54000000</v>
      </c>
      <c r="L133" s="2608">
        <f>13*3</f>
        <v>39</v>
      </c>
      <c r="M133" s="2609" t="s">
        <v>27</v>
      </c>
      <c r="N133" s="2817">
        <v>750000</v>
      </c>
      <c r="O133" s="2791">
        <f t="shared" si="30"/>
        <v>29250000</v>
      </c>
      <c r="P133" s="2791">
        <f t="shared" si="20"/>
        <v>-24750000</v>
      </c>
      <c r="Q133" s="2505"/>
      <c r="R133" s="1035"/>
      <c r="S133" s="377">
        <f t="shared" si="24"/>
        <v>29250000</v>
      </c>
      <c r="T133" s="1067"/>
      <c r="U133" s="885"/>
      <c r="V133" s="885"/>
      <c r="W133" s="886"/>
      <c r="X133" s="886"/>
    </row>
    <row r="134" spans="2:24" s="2819" customFormat="1" ht="14.25">
      <c r="B134" s="2504"/>
      <c r="C134" s="2504"/>
      <c r="D134" s="2504"/>
      <c r="E134" s="2614"/>
      <c r="F134" s="2614"/>
      <c r="G134" s="2619" t="s">
        <v>2111</v>
      </c>
      <c r="H134" s="2608">
        <f>12*4</f>
        <v>48</v>
      </c>
      <c r="I134" s="2609" t="s">
        <v>28</v>
      </c>
      <c r="J134" s="2817">
        <v>700000</v>
      </c>
      <c r="K134" s="2791">
        <f t="shared" si="29"/>
        <v>33600000</v>
      </c>
      <c r="L134" s="2608">
        <f>10*4</f>
        <v>40</v>
      </c>
      <c r="M134" s="2609" t="s">
        <v>28</v>
      </c>
      <c r="N134" s="2817">
        <v>700000</v>
      </c>
      <c r="O134" s="2791">
        <f t="shared" si="30"/>
        <v>28000000</v>
      </c>
      <c r="P134" s="2791">
        <f t="shared" si="20"/>
        <v>-5600000</v>
      </c>
      <c r="Q134" s="2505"/>
      <c r="R134" s="1035"/>
      <c r="S134" s="377">
        <f t="shared" si="24"/>
        <v>28000000</v>
      </c>
      <c r="T134" s="1067"/>
      <c r="U134" s="885"/>
      <c r="V134" s="885"/>
      <c r="W134" s="886"/>
      <c r="X134" s="886"/>
    </row>
    <row r="135" spans="2:24" s="2819" customFormat="1" ht="14.25">
      <c r="B135" s="2504"/>
      <c r="C135" s="2504"/>
      <c r="D135" s="2504"/>
      <c r="E135" s="2614"/>
      <c r="F135" s="2614"/>
      <c r="G135" s="2619" t="s">
        <v>2112</v>
      </c>
      <c r="H135" s="2608">
        <f>12*3</f>
        <v>36</v>
      </c>
      <c r="I135" s="2609" t="s">
        <v>27</v>
      </c>
      <c r="J135" s="2817">
        <v>850000</v>
      </c>
      <c r="K135" s="2791">
        <f t="shared" si="29"/>
        <v>30600000</v>
      </c>
      <c r="L135" s="2608">
        <f>10*3</f>
        <v>30</v>
      </c>
      <c r="M135" s="2609" t="s">
        <v>27</v>
      </c>
      <c r="N135" s="2817">
        <v>850000</v>
      </c>
      <c r="O135" s="2791">
        <f t="shared" si="30"/>
        <v>25500000</v>
      </c>
      <c r="P135" s="2791">
        <f t="shared" si="20"/>
        <v>-5100000</v>
      </c>
      <c r="Q135" s="2505"/>
      <c r="R135" s="1035"/>
      <c r="S135" s="377">
        <f t="shared" si="24"/>
        <v>25500000</v>
      </c>
      <c r="T135" s="1067"/>
      <c r="U135" s="885"/>
      <c r="V135" s="885"/>
      <c r="W135" s="886"/>
      <c r="X135" s="886"/>
    </row>
    <row r="136" spans="2:24" s="2819" customFormat="1" ht="14.25">
      <c r="B136" s="2504"/>
      <c r="C136" s="2504"/>
      <c r="D136" s="2504"/>
      <c r="E136" s="2614"/>
      <c r="F136" s="2614"/>
      <c r="G136" s="2619" t="s">
        <v>1817</v>
      </c>
      <c r="H136" s="2608">
        <f>1*4*3</f>
        <v>12</v>
      </c>
      <c r="I136" s="2609" t="s">
        <v>28</v>
      </c>
      <c r="J136" s="2817">
        <v>800000</v>
      </c>
      <c r="K136" s="2791">
        <f t="shared" si="29"/>
        <v>9600000</v>
      </c>
      <c r="L136" s="2608">
        <f>1*4*3</f>
        <v>12</v>
      </c>
      <c r="M136" s="2609" t="s">
        <v>28</v>
      </c>
      <c r="N136" s="2817">
        <v>800000</v>
      </c>
      <c r="O136" s="2791">
        <f t="shared" si="30"/>
        <v>9600000</v>
      </c>
      <c r="P136" s="2791">
        <f t="shared" si="20"/>
        <v>0</v>
      </c>
      <c r="Q136" s="2505"/>
      <c r="R136" s="1035"/>
      <c r="S136" s="377">
        <f t="shared" si="24"/>
        <v>9600000</v>
      </c>
      <c r="T136" s="1067"/>
      <c r="U136" s="885"/>
      <c r="V136" s="885"/>
      <c r="W136" s="886"/>
      <c r="X136" s="886"/>
    </row>
    <row r="137" spans="2:24" s="2819" customFormat="1" ht="14.25">
      <c r="B137" s="2504"/>
      <c r="C137" s="2504"/>
      <c r="D137" s="2504"/>
      <c r="E137" s="2614"/>
      <c r="F137" s="2614"/>
      <c r="G137" s="2619" t="s">
        <v>1818</v>
      </c>
      <c r="H137" s="2608">
        <f>1*3*3</f>
        <v>9</v>
      </c>
      <c r="I137" s="2609" t="s">
        <v>27</v>
      </c>
      <c r="J137" s="2817">
        <v>1300000</v>
      </c>
      <c r="K137" s="2791">
        <f>H137*J137</f>
        <v>11700000</v>
      </c>
      <c r="L137" s="2608">
        <f>1*3*3</f>
        <v>9</v>
      </c>
      <c r="M137" s="2609" t="s">
        <v>27</v>
      </c>
      <c r="N137" s="2817">
        <v>1300000</v>
      </c>
      <c r="O137" s="2791">
        <f>L137*N137</f>
        <v>11700000</v>
      </c>
      <c r="P137" s="2791">
        <f t="shared" si="20"/>
        <v>0</v>
      </c>
      <c r="Q137" s="2505"/>
      <c r="R137" s="1035"/>
      <c r="S137" s="377">
        <f t="shared" si="24"/>
        <v>11700000</v>
      </c>
      <c r="T137" s="1067"/>
      <c r="U137" s="885"/>
      <c r="V137" s="885"/>
      <c r="W137" s="886"/>
      <c r="X137" s="886"/>
    </row>
    <row r="138" spans="2:24" s="2819" customFormat="1" ht="14.25">
      <c r="B138" s="2504"/>
      <c r="C138" s="2504"/>
      <c r="D138" s="2504"/>
      <c r="E138" s="2614"/>
      <c r="F138" s="2614"/>
      <c r="G138" s="2619" t="s">
        <v>1819</v>
      </c>
      <c r="H138" s="2608">
        <f>1*4*3</f>
        <v>12</v>
      </c>
      <c r="I138" s="2609" t="s">
        <v>27</v>
      </c>
      <c r="J138" s="2817">
        <v>300000</v>
      </c>
      <c r="K138" s="2791">
        <f>H138*J138</f>
        <v>3600000</v>
      </c>
      <c r="L138" s="2608">
        <f>1*4*3</f>
        <v>12</v>
      </c>
      <c r="M138" s="2609" t="s">
        <v>27</v>
      </c>
      <c r="N138" s="2817">
        <v>300000</v>
      </c>
      <c r="O138" s="2791">
        <f>L138*N138</f>
        <v>3600000</v>
      </c>
      <c r="P138" s="2791">
        <f t="shared" si="20"/>
        <v>0</v>
      </c>
      <c r="Q138" s="2505"/>
      <c r="R138" s="1035"/>
      <c r="S138" s="377">
        <f t="shared" si="24"/>
        <v>3600000</v>
      </c>
      <c r="T138" s="1067"/>
      <c r="U138" s="885"/>
      <c r="V138" s="885"/>
      <c r="W138" s="886"/>
      <c r="X138" s="886"/>
    </row>
    <row r="139" spans="2:24" s="2819" customFormat="1">
      <c r="B139" s="2504"/>
      <c r="C139" s="2504"/>
      <c r="D139" s="2504"/>
      <c r="E139" s="2614"/>
      <c r="F139" s="2614"/>
      <c r="G139" s="2607" t="s">
        <v>2091</v>
      </c>
      <c r="H139" s="2608"/>
      <c r="I139" s="2609"/>
      <c r="J139" s="2817"/>
      <c r="K139" s="2790"/>
      <c r="L139" s="2608"/>
      <c r="M139" s="2609"/>
      <c r="N139" s="2817"/>
      <c r="O139" s="2790"/>
      <c r="P139" s="2791">
        <f t="shared" si="20"/>
        <v>0</v>
      </c>
      <c r="Q139" s="2505"/>
      <c r="R139" s="2492"/>
      <c r="S139" s="2492">
        <f t="shared" si="24"/>
        <v>0</v>
      </c>
      <c r="T139" s="2635"/>
      <c r="U139" s="2492"/>
      <c r="V139" s="2492"/>
      <c r="W139" s="2493"/>
      <c r="X139" s="2493"/>
    </row>
    <row r="140" spans="2:24" s="2819" customFormat="1" ht="15">
      <c r="B140" s="2504"/>
      <c r="C140" s="2504"/>
      <c r="D140" s="2504"/>
      <c r="E140" s="2614"/>
      <c r="F140" s="2614"/>
      <c r="G140" s="2619" t="s">
        <v>364</v>
      </c>
      <c r="H140" s="2608"/>
      <c r="I140" s="2609"/>
      <c r="J140" s="2615"/>
      <c r="K140" s="2791"/>
      <c r="L140" s="2608">
        <v>1</v>
      </c>
      <c r="M140" s="2609" t="s">
        <v>26</v>
      </c>
      <c r="N140" s="2615">
        <v>5500000</v>
      </c>
      <c r="O140" s="2791">
        <f t="shared" ref="O140:O142" si="31">L140*N140</f>
        <v>5500000</v>
      </c>
      <c r="P140" s="2791">
        <f t="shared" si="20"/>
        <v>5500000</v>
      </c>
      <c r="Q140" s="2505"/>
      <c r="R140" s="2492"/>
      <c r="S140" s="2492">
        <f t="shared" si="24"/>
        <v>5500000</v>
      </c>
      <c r="T140" s="2635"/>
      <c r="U140" s="2492"/>
      <c r="V140" s="2492"/>
      <c r="W140" s="2580"/>
      <c r="X140" s="2580"/>
    </row>
    <row r="141" spans="2:24" s="2819" customFormat="1" ht="15">
      <c r="B141" s="2504"/>
      <c r="C141" s="2504"/>
      <c r="D141" s="2504"/>
      <c r="E141" s="2614"/>
      <c r="F141" s="2614"/>
      <c r="G141" s="2619" t="s">
        <v>2092</v>
      </c>
      <c r="H141" s="2608"/>
      <c r="I141" s="2609"/>
      <c r="J141" s="2817"/>
      <c r="K141" s="2791"/>
      <c r="L141" s="2608">
        <f>1*6</f>
        <v>6</v>
      </c>
      <c r="M141" s="2609" t="s">
        <v>28</v>
      </c>
      <c r="N141" s="2817">
        <v>700000</v>
      </c>
      <c r="O141" s="2791">
        <f t="shared" si="31"/>
        <v>4200000</v>
      </c>
      <c r="P141" s="2791">
        <f t="shared" si="20"/>
        <v>4200000</v>
      </c>
      <c r="Q141" s="2505"/>
      <c r="R141" s="2492"/>
      <c r="S141" s="2492">
        <f t="shared" si="24"/>
        <v>4200000</v>
      </c>
      <c r="T141" s="2635"/>
      <c r="U141" s="2492"/>
      <c r="V141" s="2492"/>
      <c r="W141" s="2820"/>
      <c r="X141" s="2820"/>
    </row>
    <row r="142" spans="2:24" s="2819" customFormat="1" ht="15">
      <c r="B142" s="2504"/>
      <c r="C142" s="2504"/>
      <c r="D142" s="2504"/>
      <c r="E142" s="2614"/>
      <c r="F142" s="2614"/>
      <c r="G142" s="2619" t="s">
        <v>2093</v>
      </c>
      <c r="H142" s="2608"/>
      <c r="I142" s="2609"/>
      <c r="J142" s="2817"/>
      <c r="K142" s="2791"/>
      <c r="L142" s="2608">
        <f>1*5</f>
        <v>5</v>
      </c>
      <c r="M142" s="2609" t="s">
        <v>27</v>
      </c>
      <c r="N142" s="2817">
        <v>850000</v>
      </c>
      <c r="O142" s="2791">
        <f t="shared" si="31"/>
        <v>4250000</v>
      </c>
      <c r="P142" s="2791">
        <f t="shared" si="20"/>
        <v>4250000</v>
      </c>
      <c r="Q142" s="2505"/>
      <c r="R142" s="2492"/>
      <c r="S142" s="2492">
        <f t="shared" si="24"/>
        <v>4250000</v>
      </c>
      <c r="T142" s="2635"/>
      <c r="U142" s="2492"/>
      <c r="V142" s="2492"/>
      <c r="W142" s="2820"/>
      <c r="X142" s="2820"/>
    </row>
    <row r="143" spans="2:24" s="179" customFormat="1" ht="15">
      <c r="B143" s="424"/>
      <c r="C143" s="424"/>
      <c r="D143" s="424"/>
      <c r="E143" s="430"/>
      <c r="F143" s="430"/>
      <c r="G143" s="462"/>
      <c r="H143" s="646"/>
      <c r="I143" s="463"/>
      <c r="J143" s="2821"/>
      <c r="K143" s="2793"/>
      <c r="L143" s="646"/>
      <c r="M143" s="463"/>
      <c r="N143" s="2821"/>
      <c r="O143" s="2793"/>
      <c r="P143" s="2822"/>
      <c r="Q143" s="572"/>
      <c r="R143" s="377"/>
      <c r="S143" s="377"/>
      <c r="T143" s="473"/>
      <c r="U143" s="377"/>
      <c r="V143" s="377"/>
      <c r="W143" s="969"/>
      <c r="X143" s="969"/>
    </row>
    <row r="144" spans="2:24" s="179" customFormat="1" ht="25.5">
      <c r="B144" s="424">
        <v>5</v>
      </c>
      <c r="C144" s="424">
        <v>2</v>
      </c>
      <c r="D144" s="424">
        <v>2</v>
      </c>
      <c r="E144" s="430">
        <v>24</v>
      </c>
      <c r="F144" s="424"/>
      <c r="G144" s="588" t="s">
        <v>518</v>
      </c>
      <c r="H144" s="956"/>
      <c r="I144" s="368"/>
      <c r="J144" s="589"/>
      <c r="K144" s="2804">
        <f>K145</f>
        <v>849052266</v>
      </c>
      <c r="L144" s="956"/>
      <c r="M144" s="368"/>
      <c r="N144" s="589"/>
      <c r="O144" s="2804">
        <f>O145</f>
        <v>764052266</v>
      </c>
      <c r="P144" s="2822"/>
      <c r="Q144" s="572"/>
      <c r="R144" s="377"/>
      <c r="S144" s="377"/>
      <c r="T144" s="473"/>
      <c r="U144" s="377"/>
      <c r="V144" s="377"/>
      <c r="W144" s="969"/>
      <c r="X144" s="969"/>
    </row>
    <row r="145" spans="2:24" s="2819" customFormat="1" ht="15">
      <c r="B145" s="2504">
        <v>5</v>
      </c>
      <c r="C145" s="2504">
        <v>2</v>
      </c>
      <c r="D145" s="2504">
        <v>2</v>
      </c>
      <c r="E145" s="2614">
        <v>24</v>
      </c>
      <c r="F145" s="2614" t="s">
        <v>24</v>
      </c>
      <c r="G145" s="2631" t="s">
        <v>519</v>
      </c>
      <c r="H145" s="2632"/>
      <c r="I145" s="2547"/>
      <c r="J145" s="2633"/>
      <c r="K145" s="2823">
        <f>SUM(K146:K160)</f>
        <v>849052266</v>
      </c>
      <c r="L145" s="2632"/>
      <c r="M145" s="2547"/>
      <c r="N145" s="2633"/>
      <c r="O145" s="2823">
        <f>SUM(O146:O160)</f>
        <v>764052266</v>
      </c>
      <c r="P145" s="2791">
        <f t="shared" ref="P145:P160" si="32">O145-K145</f>
        <v>-85000000</v>
      </c>
      <c r="Q145" s="2505"/>
      <c r="R145" s="377"/>
      <c r="S145" s="377"/>
      <c r="T145" s="473"/>
      <c r="U145" s="377"/>
      <c r="V145" s="377"/>
      <c r="W145" s="969"/>
      <c r="X145" s="969"/>
    </row>
    <row r="146" spans="2:24" s="2819" customFormat="1" ht="15">
      <c r="B146" s="2497"/>
      <c r="C146" s="2497"/>
      <c r="D146" s="2497"/>
      <c r="E146" s="2571"/>
      <c r="F146" s="2571"/>
      <c r="G146" s="2824" t="s">
        <v>1362</v>
      </c>
      <c r="H146" s="2514">
        <v>1</v>
      </c>
      <c r="I146" s="2515" t="s">
        <v>29</v>
      </c>
      <c r="J146" s="2825">
        <f>202152266-10000000</f>
        <v>192152266</v>
      </c>
      <c r="K146" s="2791">
        <f>H146*J146</f>
        <v>192152266</v>
      </c>
      <c r="L146" s="2514">
        <v>1</v>
      </c>
      <c r="M146" s="2515" t="s">
        <v>29</v>
      </c>
      <c r="N146" s="2825">
        <f>202152266-10000000-25000000</f>
        <v>167152266</v>
      </c>
      <c r="O146" s="2791">
        <f>L146*N146</f>
        <v>167152266</v>
      </c>
      <c r="P146" s="2791">
        <f t="shared" si="32"/>
        <v>-25000000</v>
      </c>
      <c r="Q146" s="2505"/>
      <c r="R146" s="377"/>
      <c r="S146" s="377">
        <f t="shared" ref="S146:S160" si="33">O146</f>
        <v>167152266</v>
      </c>
      <c r="T146" s="473"/>
      <c r="U146" s="377"/>
      <c r="V146" s="377"/>
      <c r="W146" s="969"/>
      <c r="X146" s="969"/>
    </row>
    <row r="147" spans="2:24" s="2819" customFormat="1" ht="15">
      <c r="B147" s="2497"/>
      <c r="C147" s="2497"/>
      <c r="D147" s="2497"/>
      <c r="E147" s="2571"/>
      <c r="F147" s="2571"/>
      <c r="G147" s="2824" t="s">
        <v>1551</v>
      </c>
      <c r="H147" s="2514">
        <v>1</v>
      </c>
      <c r="I147" s="2515" t="s">
        <v>29</v>
      </c>
      <c r="J147" s="2825">
        <f>18000000+4500000+3000000+1500000+9000000</f>
        <v>36000000</v>
      </c>
      <c r="K147" s="2791">
        <f t="shared" ref="K147:K153" si="34">H147*J147</f>
        <v>36000000</v>
      </c>
      <c r="L147" s="2514">
        <v>1</v>
      </c>
      <c r="M147" s="2515" t="s">
        <v>29</v>
      </c>
      <c r="N147" s="2825">
        <f>18000000+4500000+3000000+1500000+9000000</f>
        <v>36000000</v>
      </c>
      <c r="O147" s="2791">
        <f t="shared" ref="O147:O153" si="35">L147*N147</f>
        <v>36000000</v>
      </c>
      <c r="P147" s="2791">
        <f t="shared" si="32"/>
        <v>0</v>
      </c>
      <c r="Q147" s="2505"/>
      <c r="R147" s="377"/>
      <c r="S147" s="377">
        <f t="shared" si="33"/>
        <v>36000000</v>
      </c>
      <c r="T147" s="473"/>
      <c r="U147" s="377"/>
      <c r="V147" s="377"/>
      <c r="W147" s="969"/>
      <c r="X147" s="969"/>
    </row>
    <row r="148" spans="2:24" s="2819" customFormat="1" ht="15">
      <c r="B148" s="2497"/>
      <c r="C148" s="2497"/>
      <c r="D148" s="2497"/>
      <c r="E148" s="2571"/>
      <c r="F148" s="2571"/>
      <c r="G148" s="2824" t="s">
        <v>1754</v>
      </c>
      <c r="H148" s="2514">
        <v>1</v>
      </c>
      <c r="I148" s="2515" t="s">
        <v>147</v>
      </c>
      <c r="J148" s="2825">
        <f>66000000+16000000</f>
        <v>82000000</v>
      </c>
      <c r="K148" s="2791">
        <f t="shared" si="34"/>
        <v>82000000</v>
      </c>
      <c r="L148" s="2514">
        <v>1</v>
      </c>
      <c r="M148" s="2515" t="s">
        <v>147</v>
      </c>
      <c r="N148" s="2825">
        <f>66000000+16000000</f>
        <v>82000000</v>
      </c>
      <c r="O148" s="2791">
        <f t="shared" si="35"/>
        <v>82000000</v>
      </c>
      <c r="P148" s="2791">
        <f t="shared" si="32"/>
        <v>0</v>
      </c>
      <c r="Q148" s="2505"/>
      <c r="R148" s="377"/>
      <c r="S148" s="377">
        <f t="shared" si="33"/>
        <v>82000000</v>
      </c>
      <c r="T148" s="473"/>
      <c r="U148" s="377"/>
      <c r="V148" s="377"/>
      <c r="W148" s="969"/>
      <c r="X148" s="969"/>
    </row>
    <row r="149" spans="2:24" s="2819" customFormat="1" ht="15">
      <c r="B149" s="2497"/>
      <c r="C149" s="2497"/>
      <c r="D149" s="2497"/>
      <c r="E149" s="2571"/>
      <c r="F149" s="2571"/>
      <c r="G149" s="2824" t="s">
        <v>1755</v>
      </c>
      <c r="H149" s="2514">
        <v>25</v>
      </c>
      <c r="I149" s="2515" t="s">
        <v>28</v>
      </c>
      <c r="J149" s="2825">
        <v>2800000</v>
      </c>
      <c r="K149" s="2791">
        <f t="shared" si="34"/>
        <v>70000000</v>
      </c>
      <c r="L149" s="2514">
        <v>25</v>
      </c>
      <c r="M149" s="2515" t="s">
        <v>28</v>
      </c>
      <c r="N149" s="2825">
        <v>2800000</v>
      </c>
      <c r="O149" s="2791">
        <f t="shared" si="35"/>
        <v>70000000</v>
      </c>
      <c r="P149" s="2791">
        <f t="shared" si="32"/>
        <v>0</v>
      </c>
      <c r="Q149" s="2505"/>
      <c r="R149" s="377"/>
      <c r="S149" s="377">
        <f t="shared" si="33"/>
        <v>70000000</v>
      </c>
      <c r="T149" s="473"/>
      <c r="U149" s="377"/>
      <c r="V149" s="377"/>
      <c r="W149" s="969"/>
      <c r="X149" s="969"/>
    </row>
    <row r="150" spans="2:24" s="2819" customFormat="1" ht="25.5">
      <c r="B150" s="2497"/>
      <c r="C150" s="2497"/>
      <c r="D150" s="2497"/>
      <c r="E150" s="2571"/>
      <c r="F150" s="2571"/>
      <c r="G150" s="2824" t="s">
        <v>1540</v>
      </c>
      <c r="H150" s="2826">
        <f>4*2</f>
        <v>8</v>
      </c>
      <c r="I150" s="2497" t="s">
        <v>27</v>
      </c>
      <c r="J150" s="2825">
        <v>500000</v>
      </c>
      <c r="K150" s="2791">
        <f t="shared" si="34"/>
        <v>4000000</v>
      </c>
      <c r="L150" s="2826">
        <f>4*2</f>
        <v>8</v>
      </c>
      <c r="M150" s="2497" t="s">
        <v>27</v>
      </c>
      <c r="N150" s="2825">
        <v>500000</v>
      </c>
      <c r="O150" s="2791">
        <f t="shared" si="35"/>
        <v>4000000</v>
      </c>
      <c r="P150" s="2791">
        <f t="shared" si="32"/>
        <v>0</v>
      </c>
      <c r="Q150" s="2505"/>
      <c r="R150" s="377"/>
      <c r="S150" s="377">
        <f t="shared" si="33"/>
        <v>4000000</v>
      </c>
      <c r="T150" s="473"/>
      <c r="U150" s="377"/>
      <c r="V150" s="377"/>
      <c r="W150" s="969"/>
      <c r="X150" s="969"/>
    </row>
    <row r="151" spans="2:24" s="2819" customFormat="1" ht="25.5">
      <c r="B151" s="2497"/>
      <c r="C151" s="2497"/>
      <c r="D151" s="2497"/>
      <c r="E151" s="2571"/>
      <c r="F151" s="2571"/>
      <c r="G151" s="2824" t="s">
        <v>1967</v>
      </c>
      <c r="H151" s="2826">
        <v>30</v>
      </c>
      <c r="I151" s="2497" t="s">
        <v>28</v>
      </c>
      <c r="J151" s="2825">
        <v>2300000</v>
      </c>
      <c r="K151" s="2791">
        <f t="shared" si="34"/>
        <v>69000000</v>
      </c>
      <c r="L151" s="2826">
        <v>30</v>
      </c>
      <c r="M151" s="2497" t="s">
        <v>28</v>
      </c>
      <c r="N151" s="2825">
        <v>2300000</v>
      </c>
      <c r="O151" s="2791">
        <f t="shared" si="35"/>
        <v>69000000</v>
      </c>
      <c r="P151" s="2791">
        <f t="shared" si="32"/>
        <v>0</v>
      </c>
      <c r="Q151" s="2505"/>
      <c r="R151" s="377"/>
      <c r="S151" s="377">
        <f t="shared" si="33"/>
        <v>69000000</v>
      </c>
      <c r="T151" s="473"/>
      <c r="U151" s="377"/>
      <c r="V151" s="377"/>
      <c r="W151" s="969"/>
      <c r="X151" s="969"/>
    </row>
    <row r="152" spans="2:24" s="2819" customFormat="1" ht="25.5">
      <c r="B152" s="2497"/>
      <c r="C152" s="2497"/>
      <c r="D152" s="2497"/>
      <c r="E152" s="2571"/>
      <c r="F152" s="2571"/>
      <c r="G152" s="2824" t="s">
        <v>1544</v>
      </c>
      <c r="H152" s="2826">
        <f>4*1*2</f>
        <v>8</v>
      </c>
      <c r="I152" s="2497" t="s">
        <v>27</v>
      </c>
      <c r="J152" s="2825">
        <v>500000</v>
      </c>
      <c r="K152" s="2791">
        <f t="shared" si="34"/>
        <v>4000000</v>
      </c>
      <c r="L152" s="2826">
        <f>4*1*2</f>
        <v>8</v>
      </c>
      <c r="M152" s="2497" t="s">
        <v>27</v>
      </c>
      <c r="N152" s="2825">
        <v>500000</v>
      </c>
      <c r="O152" s="2791">
        <f t="shared" si="35"/>
        <v>4000000</v>
      </c>
      <c r="P152" s="2791">
        <f t="shared" si="32"/>
        <v>0</v>
      </c>
      <c r="Q152" s="2505"/>
      <c r="R152" s="377"/>
      <c r="S152" s="377">
        <f t="shared" si="33"/>
        <v>4000000</v>
      </c>
      <c r="T152" s="473"/>
      <c r="U152" s="377"/>
      <c r="V152" s="377"/>
      <c r="W152" s="969"/>
      <c r="X152" s="969"/>
    </row>
    <row r="153" spans="2:24" s="2819" customFormat="1" ht="15">
      <c r="B153" s="2497"/>
      <c r="C153" s="2497"/>
      <c r="D153" s="2497"/>
      <c r="E153" s="2571"/>
      <c r="F153" s="2571"/>
      <c r="G153" s="2824" t="s">
        <v>1548</v>
      </c>
      <c r="H153" s="2514">
        <v>1</v>
      </c>
      <c r="I153" s="2515" t="s">
        <v>147</v>
      </c>
      <c r="J153" s="2825">
        <v>60000000</v>
      </c>
      <c r="K153" s="2791">
        <f t="shared" si="34"/>
        <v>60000000</v>
      </c>
      <c r="L153" s="2514"/>
      <c r="M153" s="2515" t="s">
        <v>147</v>
      </c>
      <c r="N153" s="2825">
        <v>60000000</v>
      </c>
      <c r="O153" s="2791">
        <f t="shared" si="35"/>
        <v>0</v>
      </c>
      <c r="P153" s="2791">
        <f t="shared" si="32"/>
        <v>-60000000</v>
      </c>
      <c r="Q153" s="2505"/>
      <c r="R153" s="377"/>
      <c r="S153" s="377">
        <f t="shared" si="33"/>
        <v>0</v>
      </c>
      <c r="T153" s="473"/>
      <c r="U153" s="377"/>
      <c r="V153" s="377"/>
      <c r="W153" s="969"/>
      <c r="X153" s="969"/>
    </row>
    <row r="154" spans="2:24" s="2819" customFormat="1" ht="15">
      <c r="B154" s="2497"/>
      <c r="C154" s="2497"/>
      <c r="D154" s="2497"/>
      <c r="E154" s="2571"/>
      <c r="F154" s="2571"/>
      <c r="G154" s="2824" t="s">
        <v>1756</v>
      </c>
      <c r="H154" s="2514">
        <v>1</v>
      </c>
      <c r="I154" s="2515" t="s">
        <v>147</v>
      </c>
      <c r="J154" s="2825">
        <f>25*1500000</f>
        <v>37500000</v>
      </c>
      <c r="K154" s="2791">
        <f>H154*J154</f>
        <v>37500000</v>
      </c>
      <c r="L154" s="2514">
        <v>1</v>
      </c>
      <c r="M154" s="2515" t="s">
        <v>147</v>
      </c>
      <c r="N154" s="2825">
        <f>25*1500000</f>
        <v>37500000</v>
      </c>
      <c r="O154" s="2791">
        <f>L154*N154</f>
        <v>37500000</v>
      </c>
      <c r="P154" s="2791">
        <f t="shared" si="32"/>
        <v>0</v>
      </c>
      <c r="Q154" s="2505"/>
      <c r="R154" s="377"/>
      <c r="S154" s="377">
        <f t="shared" si="33"/>
        <v>37500000</v>
      </c>
      <c r="T154" s="473"/>
      <c r="U154" s="377"/>
      <c r="V154" s="377"/>
      <c r="W154" s="969"/>
      <c r="X154" s="969"/>
    </row>
    <row r="155" spans="2:24" s="2819" customFormat="1" ht="15">
      <c r="B155" s="2497"/>
      <c r="C155" s="2497"/>
      <c r="D155" s="2497"/>
      <c r="E155" s="2571"/>
      <c r="F155" s="2571"/>
      <c r="G155" s="2824" t="s">
        <v>1757</v>
      </c>
      <c r="H155" s="2514">
        <v>1</v>
      </c>
      <c r="I155" s="2515" t="s">
        <v>147</v>
      </c>
      <c r="J155" s="2825">
        <v>35000000</v>
      </c>
      <c r="K155" s="2791">
        <f>H155*J155</f>
        <v>35000000</v>
      </c>
      <c r="L155" s="2514">
        <v>1</v>
      </c>
      <c r="M155" s="2515" t="s">
        <v>147</v>
      </c>
      <c r="N155" s="2825">
        <v>35000000</v>
      </c>
      <c r="O155" s="2791">
        <f>L155*N155</f>
        <v>35000000</v>
      </c>
      <c r="P155" s="2791">
        <f t="shared" si="32"/>
        <v>0</v>
      </c>
      <c r="Q155" s="2505"/>
      <c r="R155" s="377"/>
      <c r="S155" s="377">
        <f t="shared" si="33"/>
        <v>35000000</v>
      </c>
      <c r="T155" s="473"/>
      <c r="U155" s="377"/>
      <c r="V155" s="377"/>
      <c r="W155" s="969"/>
      <c r="X155" s="969"/>
    </row>
    <row r="156" spans="2:24" s="2819" customFormat="1" ht="15">
      <c r="B156" s="2497"/>
      <c r="C156" s="2497"/>
      <c r="D156" s="2497"/>
      <c r="E156" s="2571"/>
      <c r="F156" s="2571"/>
      <c r="G156" s="2824" t="s">
        <v>1780</v>
      </c>
      <c r="H156" s="2514">
        <v>2</v>
      </c>
      <c r="I156" s="2515" t="s">
        <v>28</v>
      </c>
      <c r="J156" s="2825">
        <v>12000000</v>
      </c>
      <c r="K156" s="2791">
        <f t="shared" ref="K156:K160" si="36">H156*J156</f>
        <v>24000000</v>
      </c>
      <c r="L156" s="2514">
        <v>2</v>
      </c>
      <c r="M156" s="2515" t="s">
        <v>28</v>
      </c>
      <c r="N156" s="2825">
        <v>12000000</v>
      </c>
      <c r="O156" s="2791">
        <f t="shared" ref="O156:O160" si="37">L156*N156</f>
        <v>24000000</v>
      </c>
      <c r="P156" s="2791">
        <f t="shared" si="32"/>
        <v>0</v>
      </c>
      <c r="Q156" s="2505"/>
      <c r="R156" s="377"/>
      <c r="S156" s="377">
        <f t="shared" si="33"/>
        <v>24000000</v>
      </c>
      <c r="T156" s="473"/>
      <c r="U156" s="377"/>
      <c r="V156" s="377"/>
      <c r="W156" s="969"/>
      <c r="X156" s="969"/>
    </row>
    <row r="157" spans="2:24" s="2819" customFormat="1">
      <c r="B157" s="2497"/>
      <c r="C157" s="2497"/>
      <c r="D157" s="2497"/>
      <c r="E157" s="2571"/>
      <c r="F157" s="2571"/>
      <c r="G157" s="2824" t="s">
        <v>1389</v>
      </c>
      <c r="H157" s="2514">
        <v>12</v>
      </c>
      <c r="I157" s="2515" t="s">
        <v>28</v>
      </c>
      <c r="J157" s="2825">
        <v>4500000</v>
      </c>
      <c r="K157" s="2791">
        <f t="shared" si="36"/>
        <v>54000000</v>
      </c>
      <c r="L157" s="2514">
        <v>12</v>
      </c>
      <c r="M157" s="2515" t="s">
        <v>28</v>
      </c>
      <c r="N157" s="2825">
        <v>4500000</v>
      </c>
      <c r="O157" s="2791">
        <f t="shared" si="37"/>
        <v>54000000</v>
      </c>
      <c r="P157" s="2791">
        <f t="shared" si="32"/>
        <v>0</v>
      </c>
      <c r="Q157" s="2505"/>
      <c r="R157" s="377"/>
      <c r="S157" s="377">
        <f t="shared" si="33"/>
        <v>54000000</v>
      </c>
      <c r="T157" s="473"/>
      <c r="U157" s="377"/>
      <c r="V157" s="377"/>
      <c r="W157" s="385"/>
      <c r="X157" s="385"/>
    </row>
    <row r="158" spans="2:24" s="2819" customFormat="1" ht="15">
      <c r="B158" s="2497"/>
      <c r="C158" s="2497"/>
      <c r="D158" s="2497"/>
      <c r="E158" s="2571"/>
      <c r="F158" s="2571"/>
      <c r="G158" s="2824" t="s">
        <v>1758</v>
      </c>
      <c r="H158" s="2514">
        <v>7</v>
      </c>
      <c r="I158" s="2515" t="s">
        <v>28</v>
      </c>
      <c r="J158" s="2825">
        <v>9000000</v>
      </c>
      <c r="K158" s="2791">
        <f t="shared" si="36"/>
        <v>63000000</v>
      </c>
      <c r="L158" s="2514">
        <v>7</v>
      </c>
      <c r="M158" s="2515" t="s">
        <v>28</v>
      </c>
      <c r="N158" s="2825">
        <v>9000000</v>
      </c>
      <c r="O158" s="2791">
        <f t="shared" si="37"/>
        <v>63000000</v>
      </c>
      <c r="P158" s="2791">
        <f t="shared" si="32"/>
        <v>0</v>
      </c>
      <c r="Q158" s="2505"/>
      <c r="R158" s="377"/>
      <c r="S158" s="377">
        <f t="shared" si="33"/>
        <v>63000000</v>
      </c>
      <c r="T158" s="473"/>
      <c r="U158" s="377"/>
      <c r="V158" s="377"/>
      <c r="W158" s="378"/>
      <c r="X158" s="378"/>
    </row>
    <row r="159" spans="2:24" s="2819" customFormat="1">
      <c r="B159" s="2497"/>
      <c r="C159" s="2497"/>
      <c r="D159" s="2497"/>
      <c r="E159" s="2571"/>
      <c r="F159" s="2571"/>
      <c r="G159" s="2824" t="s">
        <v>1390</v>
      </c>
      <c r="H159" s="2514">
        <v>8</v>
      </c>
      <c r="I159" s="2515" t="s">
        <v>28</v>
      </c>
      <c r="J159" s="2825">
        <v>9800000</v>
      </c>
      <c r="K159" s="2791">
        <f t="shared" si="36"/>
        <v>78400000</v>
      </c>
      <c r="L159" s="2514">
        <v>8</v>
      </c>
      <c r="M159" s="2515" t="s">
        <v>28</v>
      </c>
      <c r="N159" s="2825">
        <v>9800000</v>
      </c>
      <c r="O159" s="2791">
        <f t="shared" si="37"/>
        <v>78400000</v>
      </c>
      <c r="P159" s="2791">
        <f t="shared" si="32"/>
        <v>0</v>
      </c>
      <c r="Q159" s="2505"/>
      <c r="R159" s="377"/>
      <c r="S159" s="377">
        <f t="shared" si="33"/>
        <v>78400000</v>
      </c>
      <c r="T159" s="377"/>
      <c r="U159" s="377"/>
      <c r="V159" s="377"/>
      <c r="W159" s="385"/>
      <c r="X159" s="385"/>
    </row>
    <row r="160" spans="2:24" s="2819" customFormat="1">
      <c r="B160" s="2497"/>
      <c r="C160" s="2497"/>
      <c r="D160" s="2497"/>
      <c r="E160" s="2571"/>
      <c r="F160" s="2571"/>
      <c r="G160" s="2824" t="s">
        <v>1403</v>
      </c>
      <c r="H160" s="2514">
        <v>10</v>
      </c>
      <c r="I160" s="2515" t="s">
        <v>28</v>
      </c>
      <c r="J160" s="2825">
        <v>4000000</v>
      </c>
      <c r="K160" s="2791">
        <f t="shared" si="36"/>
        <v>40000000</v>
      </c>
      <c r="L160" s="2514">
        <v>10</v>
      </c>
      <c r="M160" s="2515" t="s">
        <v>28</v>
      </c>
      <c r="N160" s="2825">
        <v>4000000</v>
      </c>
      <c r="O160" s="2791">
        <f t="shared" si="37"/>
        <v>40000000</v>
      </c>
      <c r="P160" s="2791">
        <f t="shared" si="32"/>
        <v>0</v>
      </c>
      <c r="Q160" s="2505"/>
      <c r="R160" s="377"/>
      <c r="S160" s="377">
        <f t="shared" si="33"/>
        <v>40000000</v>
      </c>
      <c r="T160" s="377"/>
      <c r="U160" s="377"/>
      <c r="V160" s="377"/>
      <c r="W160" s="385"/>
      <c r="X160" s="385"/>
    </row>
    <row r="161" spans="2:24" s="179" customFormat="1">
      <c r="B161" s="380"/>
      <c r="C161" s="380"/>
      <c r="D161" s="380"/>
      <c r="E161" s="459"/>
      <c r="F161" s="459"/>
      <c r="G161" s="1415"/>
      <c r="H161" s="933"/>
      <c r="I161" s="375"/>
      <c r="J161" s="470"/>
      <c r="K161" s="2822"/>
      <c r="L161" s="933"/>
      <c r="M161" s="375"/>
      <c r="N161" s="470"/>
      <c r="O161" s="2822"/>
      <c r="P161" s="2822"/>
      <c r="Q161" s="572"/>
      <c r="R161" s="377"/>
      <c r="S161" s="377"/>
      <c r="T161" s="377"/>
      <c r="U161" s="377"/>
      <c r="V161" s="377"/>
      <c r="W161" s="385"/>
      <c r="X161" s="385"/>
    </row>
    <row r="162" spans="2:24" s="179" customFormat="1">
      <c r="B162" s="424">
        <v>5</v>
      </c>
      <c r="C162" s="424">
        <v>2</v>
      </c>
      <c r="D162" s="424">
        <v>2</v>
      </c>
      <c r="E162" s="430">
        <v>28</v>
      </c>
      <c r="F162" s="424"/>
      <c r="G162" s="588" t="s">
        <v>1889</v>
      </c>
      <c r="H162" s="956"/>
      <c r="I162" s="368"/>
      <c r="J162" s="589"/>
      <c r="K162" s="2804">
        <f>K163</f>
        <v>140400000</v>
      </c>
      <c r="L162" s="956"/>
      <c r="M162" s="368"/>
      <c r="N162" s="589"/>
      <c r="O162" s="2804">
        <f>O163</f>
        <v>109800000</v>
      </c>
      <c r="P162" s="2822"/>
      <c r="Q162" s="572"/>
      <c r="R162" s="377"/>
      <c r="S162" s="377"/>
      <c r="T162" s="377"/>
      <c r="U162" s="377"/>
      <c r="V162" s="377"/>
      <c r="W162" s="385"/>
      <c r="X162" s="385"/>
    </row>
    <row r="163" spans="2:24" s="2819" customFormat="1">
      <c r="B163" s="2504">
        <v>5</v>
      </c>
      <c r="C163" s="2504">
        <v>2</v>
      </c>
      <c r="D163" s="2504">
        <v>2</v>
      </c>
      <c r="E163" s="2614">
        <v>28</v>
      </c>
      <c r="F163" s="2614" t="s">
        <v>24</v>
      </c>
      <c r="G163" s="2631" t="s">
        <v>1890</v>
      </c>
      <c r="H163" s="2632"/>
      <c r="I163" s="2547"/>
      <c r="J163" s="2633"/>
      <c r="K163" s="2823">
        <f>SUM(K164:K168)</f>
        <v>140400000</v>
      </c>
      <c r="L163" s="2632"/>
      <c r="M163" s="2547"/>
      <c r="N163" s="2633"/>
      <c r="O163" s="2823">
        <f>SUM(O164:O168)</f>
        <v>109800000</v>
      </c>
      <c r="P163" s="2791">
        <f t="shared" ref="P163:P168" si="38">O163-K163</f>
        <v>-30600000</v>
      </c>
      <c r="Q163" s="2505"/>
      <c r="R163" s="377"/>
      <c r="S163" s="377"/>
      <c r="T163" s="377"/>
      <c r="U163" s="377"/>
      <c r="V163" s="377"/>
      <c r="W163" s="385"/>
      <c r="X163" s="385"/>
    </row>
    <row r="164" spans="2:24" s="2819" customFormat="1" ht="26.25">
      <c r="B164" s="2515"/>
      <c r="C164" s="2515"/>
      <c r="D164" s="2515"/>
      <c r="E164" s="2515"/>
      <c r="F164" s="2515"/>
      <c r="G164" s="2548" t="s">
        <v>1767</v>
      </c>
      <c r="H164" s="2789">
        <f>1*9*1*4</f>
        <v>36</v>
      </c>
      <c r="I164" s="2515" t="s">
        <v>908</v>
      </c>
      <c r="J164" s="2516">
        <v>900000</v>
      </c>
      <c r="K164" s="2790">
        <f t="shared" ref="K164:K168" si="39">H164*J164</f>
        <v>32400000</v>
      </c>
      <c r="L164" s="2789">
        <f>1*9*1*2</f>
        <v>18</v>
      </c>
      <c r="M164" s="2515" t="s">
        <v>908</v>
      </c>
      <c r="N164" s="2516">
        <v>900000</v>
      </c>
      <c r="O164" s="2790">
        <f t="shared" ref="O164:O168" si="40">L164*N164</f>
        <v>16200000</v>
      </c>
      <c r="P164" s="2791">
        <f t="shared" si="38"/>
        <v>-16200000</v>
      </c>
      <c r="Q164" s="2505"/>
      <c r="R164" s="377"/>
      <c r="S164" s="377">
        <f t="shared" ref="S164:S168" si="41">O164</f>
        <v>16200000</v>
      </c>
      <c r="T164" s="473"/>
      <c r="U164" s="377"/>
      <c r="V164" s="377"/>
      <c r="W164" s="969"/>
      <c r="X164" s="969"/>
    </row>
    <row r="165" spans="2:24" s="179" customFormat="1" ht="26.25">
      <c r="B165" s="375"/>
      <c r="C165" s="375"/>
      <c r="D165" s="375"/>
      <c r="E165" s="375"/>
      <c r="F165" s="375"/>
      <c r="G165" s="558" t="s">
        <v>1542</v>
      </c>
      <c r="H165" s="374">
        <f>1*9*2</f>
        <v>18</v>
      </c>
      <c r="I165" s="375" t="s">
        <v>908</v>
      </c>
      <c r="J165" s="456">
        <v>900000</v>
      </c>
      <c r="K165" s="2793">
        <f t="shared" si="39"/>
        <v>16200000</v>
      </c>
      <c r="L165" s="374">
        <f>1*9*2</f>
        <v>18</v>
      </c>
      <c r="M165" s="375" t="s">
        <v>908</v>
      </c>
      <c r="N165" s="456">
        <v>900000</v>
      </c>
      <c r="O165" s="2793">
        <f t="shared" si="40"/>
        <v>16200000</v>
      </c>
      <c r="P165" s="2822">
        <f t="shared" si="38"/>
        <v>0</v>
      </c>
      <c r="Q165" s="572"/>
      <c r="R165" s="814"/>
      <c r="S165" s="377">
        <f t="shared" si="41"/>
        <v>16200000</v>
      </c>
      <c r="T165" s="473"/>
      <c r="U165" s="378"/>
      <c r="V165" s="378"/>
      <c r="W165" s="378"/>
      <c r="X165" s="378"/>
    </row>
    <row r="166" spans="2:24" s="179" customFormat="1" ht="26.25">
      <c r="B166" s="375"/>
      <c r="C166" s="375"/>
      <c r="D166" s="375"/>
      <c r="E166" s="375"/>
      <c r="F166" s="375"/>
      <c r="G166" s="558" t="s">
        <v>1768</v>
      </c>
      <c r="H166" s="374">
        <f>1*9*1*2</f>
        <v>18</v>
      </c>
      <c r="I166" s="375" t="s">
        <v>908</v>
      </c>
      <c r="J166" s="456">
        <v>900000</v>
      </c>
      <c r="K166" s="2793">
        <f t="shared" si="39"/>
        <v>16200000</v>
      </c>
      <c r="L166" s="374">
        <f>1*9*1*2</f>
        <v>18</v>
      </c>
      <c r="M166" s="375" t="s">
        <v>908</v>
      </c>
      <c r="N166" s="456">
        <v>900000</v>
      </c>
      <c r="O166" s="2793">
        <f t="shared" si="40"/>
        <v>16200000</v>
      </c>
      <c r="P166" s="2822">
        <f t="shared" si="38"/>
        <v>0</v>
      </c>
      <c r="Q166" s="572"/>
      <c r="R166" s="814"/>
      <c r="S166" s="377">
        <f t="shared" si="41"/>
        <v>16200000</v>
      </c>
      <c r="T166" s="473"/>
      <c r="U166" s="378"/>
      <c r="V166" s="378"/>
      <c r="W166" s="378"/>
      <c r="X166" s="378"/>
    </row>
    <row r="167" spans="2:24" s="179" customFormat="1" ht="15">
      <c r="B167" s="375"/>
      <c r="C167" s="375"/>
      <c r="D167" s="375"/>
      <c r="E167" s="375"/>
      <c r="F167" s="375"/>
      <c r="G167" s="558" t="s">
        <v>1971</v>
      </c>
      <c r="H167" s="374">
        <f>1*9*4</f>
        <v>36</v>
      </c>
      <c r="I167" s="375" t="s">
        <v>908</v>
      </c>
      <c r="J167" s="456">
        <v>900000</v>
      </c>
      <c r="K167" s="2793">
        <f t="shared" si="39"/>
        <v>32400000</v>
      </c>
      <c r="L167" s="374">
        <f>1*9*4</f>
        <v>36</v>
      </c>
      <c r="M167" s="375" t="s">
        <v>908</v>
      </c>
      <c r="N167" s="456">
        <v>900000</v>
      </c>
      <c r="O167" s="2793">
        <f t="shared" si="40"/>
        <v>32400000</v>
      </c>
      <c r="P167" s="2822">
        <f t="shared" si="38"/>
        <v>0</v>
      </c>
      <c r="Q167" s="572"/>
      <c r="R167" s="814"/>
      <c r="S167" s="377">
        <f t="shared" si="41"/>
        <v>32400000</v>
      </c>
      <c r="T167" s="473"/>
      <c r="U167" s="378"/>
      <c r="V167" s="378"/>
      <c r="W167" s="378"/>
      <c r="X167" s="378"/>
    </row>
    <row r="168" spans="2:24" s="2819" customFormat="1" ht="26.25">
      <c r="B168" s="2515"/>
      <c r="C168" s="2515"/>
      <c r="D168" s="2515"/>
      <c r="E168" s="2515"/>
      <c r="F168" s="2515"/>
      <c r="G168" s="2548" t="s">
        <v>2094</v>
      </c>
      <c r="H168" s="2827">
        <f>2*3*3*4*3</f>
        <v>216</v>
      </c>
      <c r="I168" s="2515" t="s">
        <v>908</v>
      </c>
      <c r="J168" s="2516">
        <v>200000</v>
      </c>
      <c r="K168" s="2790">
        <f t="shared" si="39"/>
        <v>43200000</v>
      </c>
      <c r="L168" s="2827">
        <f>2*3*3*4*2</f>
        <v>144</v>
      </c>
      <c r="M168" s="2515" t="s">
        <v>908</v>
      </c>
      <c r="N168" s="2516">
        <v>200000</v>
      </c>
      <c r="O168" s="2790">
        <f t="shared" si="40"/>
        <v>28800000</v>
      </c>
      <c r="P168" s="2791">
        <f t="shared" si="38"/>
        <v>-14400000</v>
      </c>
      <c r="Q168" s="2505"/>
      <c r="R168" s="814"/>
      <c r="S168" s="377">
        <f t="shared" si="41"/>
        <v>28800000</v>
      </c>
      <c r="T168" s="473"/>
      <c r="U168" s="378"/>
      <c r="V168" s="378"/>
      <c r="W168" s="378"/>
      <c r="X168" s="378"/>
    </row>
    <row r="169" spans="2:24" ht="15">
      <c r="B169" s="424"/>
      <c r="C169" s="424"/>
      <c r="D169" s="424"/>
      <c r="E169" s="430"/>
      <c r="F169" s="459"/>
      <c r="G169" s="462"/>
      <c r="H169" s="646"/>
      <c r="I169" s="463"/>
      <c r="J169" s="647"/>
      <c r="K169" s="2822"/>
      <c r="L169" s="646"/>
      <c r="M169" s="463"/>
      <c r="N169" s="647"/>
      <c r="O169" s="2822"/>
      <c r="P169" s="2779"/>
      <c r="Q169" s="474"/>
      <c r="R169" s="814"/>
      <c r="S169" s="569"/>
      <c r="T169" s="473"/>
      <c r="U169" s="378"/>
      <c r="V169" s="378"/>
      <c r="W169" s="378"/>
      <c r="X169" s="378"/>
    </row>
    <row r="170" spans="2:24" ht="15">
      <c r="B170" s="3678" t="s">
        <v>30</v>
      </c>
      <c r="C170" s="3678"/>
      <c r="D170" s="3678"/>
      <c r="E170" s="3678"/>
      <c r="F170" s="3678"/>
      <c r="G170" s="3678"/>
      <c r="H170" s="3678"/>
      <c r="I170" s="3678"/>
      <c r="J170" s="3678"/>
      <c r="K170" s="2828">
        <f>K24</f>
        <v>2112642266</v>
      </c>
      <c r="L170" s="3691"/>
      <c r="M170" s="3691"/>
      <c r="N170" s="3691"/>
      <c r="O170" s="2828">
        <f>O24</f>
        <v>1789409266</v>
      </c>
      <c r="P170" s="2829">
        <f>P24</f>
        <v>-323233000</v>
      </c>
      <c r="Q170" s="474"/>
      <c r="R170" s="559">
        <f>SUM(R28:R169)</f>
        <v>0</v>
      </c>
      <c r="S170" s="559">
        <f>SUM(S28:S169)</f>
        <v>1789409266</v>
      </c>
      <c r="T170" s="559">
        <f t="shared" ref="T170:W170" si="42">SUM(T28:T169)</f>
        <v>0</v>
      </c>
      <c r="U170" s="559">
        <f t="shared" si="42"/>
        <v>0</v>
      </c>
      <c r="V170" s="559">
        <f t="shared" si="42"/>
        <v>0</v>
      </c>
      <c r="W170" s="559">
        <f t="shared" si="42"/>
        <v>0</v>
      </c>
      <c r="X170" s="561">
        <f>SUM(R170:W170)</f>
        <v>1789409266</v>
      </c>
    </row>
    <row r="171" spans="2:24">
      <c r="B171" s="2830"/>
      <c r="C171" s="2830"/>
      <c r="D171" s="2830"/>
      <c r="E171" s="2830"/>
      <c r="F171" s="2830"/>
      <c r="G171" s="2830"/>
      <c r="H171" s="2830"/>
      <c r="I171" s="2830"/>
      <c r="J171" s="2830"/>
      <c r="K171" s="2831"/>
      <c r="L171" s="2830"/>
      <c r="M171" s="2830"/>
      <c r="N171" s="2830"/>
      <c r="O171" s="2830"/>
      <c r="P171" s="2830"/>
      <c r="Q171" s="2830"/>
      <c r="R171" s="2832"/>
      <c r="S171" s="2832"/>
      <c r="T171" s="2832"/>
      <c r="U171" s="2833"/>
      <c r="W171" s="9"/>
    </row>
    <row r="172" spans="2:24">
      <c r="B172" s="8"/>
      <c r="C172" s="8"/>
      <c r="D172" s="7"/>
      <c r="E172" s="7"/>
      <c r="F172" s="7"/>
      <c r="G172" s="7"/>
      <c r="H172" s="8"/>
      <c r="I172" s="8"/>
      <c r="J172" s="8"/>
      <c r="K172" s="936"/>
      <c r="L172" s="8"/>
      <c r="M172" s="8"/>
      <c r="N172" s="2834"/>
      <c r="O172" s="7"/>
      <c r="P172" s="7"/>
      <c r="Q172" s="7"/>
      <c r="R172" s="7"/>
      <c r="S172" s="7"/>
      <c r="T172" s="7"/>
      <c r="U172" s="8"/>
      <c r="W172" s="9"/>
    </row>
    <row r="173" spans="2:24">
      <c r="B173" s="8"/>
      <c r="C173" s="8"/>
      <c r="D173" s="2835"/>
      <c r="E173" s="2835"/>
      <c r="F173" s="2835"/>
      <c r="G173" s="2835"/>
      <c r="H173" s="8"/>
      <c r="I173" s="8"/>
      <c r="J173" s="8"/>
      <c r="K173" s="936"/>
      <c r="L173" s="8"/>
      <c r="M173" s="8"/>
      <c r="N173" s="2834"/>
      <c r="O173" s="3336" t="s">
        <v>2095</v>
      </c>
      <c r="P173" s="3336"/>
      <c r="Q173" s="3336"/>
      <c r="R173" s="7"/>
      <c r="S173" s="7"/>
      <c r="T173" s="7"/>
      <c r="U173" s="8"/>
      <c r="W173" s="9"/>
    </row>
    <row r="174" spans="2:24">
      <c r="B174" s="8"/>
      <c r="C174" s="8"/>
      <c r="D174" s="8"/>
      <c r="E174" s="8"/>
      <c r="F174" s="8"/>
      <c r="G174" s="8"/>
      <c r="H174" s="8"/>
      <c r="I174" s="8"/>
      <c r="J174" s="8"/>
      <c r="K174" s="936"/>
      <c r="L174" s="8"/>
      <c r="M174" s="8"/>
      <c r="N174" s="146"/>
      <c r="O174" s="3336" t="s">
        <v>2096</v>
      </c>
      <c r="P174" s="3336"/>
      <c r="Q174" s="3336"/>
      <c r="R174" s="8"/>
      <c r="S174" s="8"/>
      <c r="T174" s="8"/>
      <c r="U174" s="8"/>
      <c r="W174" s="9"/>
    </row>
    <row r="175" spans="2:24">
      <c r="B175" s="8"/>
      <c r="C175" s="8"/>
      <c r="D175" s="8"/>
      <c r="E175" s="8"/>
      <c r="F175" s="8"/>
      <c r="G175" s="8"/>
      <c r="H175" s="8"/>
      <c r="I175" s="8"/>
      <c r="J175" s="8"/>
      <c r="K175" s="146"/>
      <c r="L175" s="8"/>
      <c r="M175" s="8"/>
      <c r="N175" s="2834"/>
      <c r="O175" s="8"/>
      <c r="P175" s="8"/>
      <c r="Q175" s="8"/>
      <c r="R175" s="8"/>
      <c r="S175" s="8"/>
      <c r="T175" s="8"/>
      <c r="U175" s="8"/>
      <c r="W175" s="9"/>
    </row>
    <row r="176" spans="2:24">
      <c r="B176" s="8"/>
      <c r="C176" s="8"/>
      <c r="D176" s="2836"/>
      <c r="E176" s="2836"/>
      <c r="F176" s="2836"/>
      <c r="G176" s="2836"/>
      <c r="H176" s="8"/>
      <c r="I176" s="8"/>
      <c r="J176" s="8"/>
      <c r="K176" s="115"/>
      <c r="L176" s="8"/>
      <c r="M176" s="8"/>
      <c r="N176" s="2834"/>
      <c r="O176" s="8"/>
      <c r="P176" s="8"/>
      <c r="Q176" s="8"/>
      <c r="R176" s="2836"/>
      <c r="S176" s="2836"/>
      <c r="T176" s="2836"/>
      <c r="U176" s="8"/>
      <c r="W176" s="9"/>
    </row>
    <row r="177" spans="2:23">
      <c r="B177" s="8"/>
      <c r="C177" s="8"/>
      <c r="D177" s="7"/>
      <c r="E177" s="7"/>
      <c r="F177" s="7"/>
      <c r="G177" s="7"/>
      <c r="H177" s="8"/>
      <c r="I177" s="8"/>
      <c r="J177" s="8"/>
      <c r="K177" s="146"/>
      <c r="L177" s="8"/>
      <c r="M177" s="8"/>
      <c r="N177" s="146"/>
      <c r="O177" s="3692" t="s">
        <v>2015</v>
      </c>
      <c r="P177" s="3692"/>
      <c r="Q177" s="3692"/>
      <c r="R177" s="7"/>
      <c r="S177" s="7"/>
      <c r="T177" s="7"/>
      <c r="U177" s="8"/>
      <c r="W177" s="9"/>
    </row>
    <row r="178" spans="2:23">
      <c r="B178" s="7"/>
      <c r="C178" s="7"/>
      <c r="D178" s="7"/>
      <c r="E178" s="7"/>
      <c r="F178" s="7"/>
      <c r="G178" s="7"/>
      <c r="H178" s="2837"/>
      <c r="I178" s="2837"/>
      <c r="J178" s="2837"/>
      <c r="K178" s="2838"/>
      <c r="L178" s="7"/>
      <c r="M178" s="7"/>
      <c r="N178" s="2839"/>
      <c r="O178" s="3336" t="s">
        <v>906</v>
      </c>
      <c r="P178" s="3336"/>
      <c r="Q178" s="3336"/>
      <c r="R178" s="2837"/>
      <c r="S178" s="2837"/>
      <c r="T178" s="2837"/>
      <c r="U178" s="2837"/>
      <c r="W178" s="9"/>
    </row>
    <row r="179" spans="2:23">
      <c r="B179" s="7"/>
      <c r="C179" s="7"/>
      <c r="D179" s="7"/>
      <c r="E179" s="7"/>
      <c r="F179" s="2840"/>
      <c r="G179" s="2841"/>
      <c r="H179" s="2842"/>
      <c r="I179" s="2840"/>
      <c r="J179" s="2840"/>
      <c r="K179" s="2843"/>
      <c r="L179" s="7"/>
      <c r="M179" s="2840"/>
      <c r="N179" s="2841"/>
      <c r="O179" s="2456"/>
      <c r="P179" s="2840"/>
      <c r="Q179" s="2841"/>
      <c r="R179" s="2840"/>
      <c r="S179" s="2840"/>
      <c r="T179" s="2840"/>
      <c r="U179" s="2840"/>
    </row>
    <row r="180" spans="2:23">
      <c r="B180" s="2840"/>
      <c r="C180" s="2840"/>
      <c r="D180" s="2840"/>
      <c r="E180" s="2840"/>
      <c r="F180" s="2840"/>
      <c r="G180" s="2841"/>
      <c r="H180" s="2842"/>
      <c r="I180" s="2840"/>
      <c r="J180" s="2840"/>
      <c r="K180" s="2843"/>
      <c r="L180" s="2840"/>
      <c r="M180" s="2840"/>
      <c r="N180" s="2841"/>
      <c r="O180" s="2844"/>
      <c r="P180" s="2840"/>
      <c r="Q180" s="2841"/>
      <c r="R180" s="2845"/>
      <c r="S180" s="2845"/>
      <c r="T180" s="2840"/>
      <c r="U180" s="2840"/>
    </row>
    <row r="181" spans="2:23">
      <c r="B181" s="7"/>
      <c r="C181" s="7"/>
      <c r="D181" s="7"/>
      <c r="E181" s="7"/>
      <c r="F181" s="2840"/>
      <c r="G181" s="2841"/>
      <c r="H181" s="2842"/>
      <c r="I181" s="2840"/>
      <c r="J181" s="2840"/>
      <c r="K181" s="2841"/>
      <c r="L181" s="7"/>
      <c r="M181" s="2840"/>
      <c r="N181" s="2841"/>
      <c r="O181" s="7"/>
      <c r="P181" s="2840"/>
      <c r="Q181" s="2841"/>
      <c r="R181" s="2840"/>
      <c r="S181" s="2840"/>
      <c r="T181" s="2840"/>
      <c r="U181" s="2840"/>
    </row>
    <row r="182" spans="2:23">
      <c r="B182" s="7"/>
      <c r="C182" s="7"/>
      <c r="D182" s="7"/>
      <c r="E182" s="7"/>
      <c r="F182" s="2840"/>
      <c r="G182" s="2841"/>
      <c r="H182" s="2842"/>
      <c r="I182" s="2840"/>
      <c r="J182" s="2840"/>
      <c r="K182" s="2840"/>
      <c r="L182" s="7"/>
      <c r="M182" s="2840"/>
      <c r="N182" s="2841"/>
      <c r="O182" s="7"/>
      <c r="P182" s="2840"/>
      <c r="Q182" s="2841"/>
      <c r="R182" s="2840"/>
      <c r="S182" s="2840"/>
      <c r="T182" s="2840"/>
      <c r="U182" s="2840"/>
    </row>
    <row r="183" spans="2:23">
      <c r="B183" s="8"/>
      <c r="C183" s="2840"/>
      <c r="D183" s="2840"/>
      <c r="E183" s="2840"/>
      <c r="F183" s="2840"/>
      <c r="G183" s="2846"/>
      <c r="H183" s="2842"/>
      <c r="I183" s="2840"/>
      <c r="J183" s="2840"/>
      <c r="K183" s="2840"/>
      <c r="L183" s="8"/>
      <c r="M183" s="2840"/>
      <c r="N183" s="2846"/>
      <c r="O183" s="2840"/>
      <c r="P183" s="2840"/>
      <c r="Q183" s="2846"/>
      <c r="R183" s="2840"/>
      <c r="S183" s="2840"/>
      <c r="T183" s="2840"/>
      <c r="U183" s="2840"/>
    </row>
    <row r="187" spans="2:23">
      <c r="K187" s="41"/>
      <c r="N187" s="157"/>
      <c r="T187" s="9"/>
      <c r="U187" s="9"/>
      <c r="W187" s="9"/>
    </row>
    <row r="188" spans="2:23">
      <c r="K188" s="41"/>
      <c r="N188" s="157"/>
      <c r="T188" s="9"/>
      <c r="U188" s="9"/>
      <c r="W188" s="9"/>
    </row>
    <row r="189" spans="2:23">
      <c r="N189" s="142"/>
      <c r="T189" s="9"/>
      <c r="U189" s="9"/>
      <c r="W189" s="9"/>
    </row>
    <row r="192" spans="2:23">
      <c r="K192" s="41"/>
    </row>
    <row r="193" spans="11:23">
      <c r="K193" s="41"/>
    </row>
    <row r="194" spans="11:23">
      <c r="P194" s="2847"/>
      <c r="T194" s="9"/>
      <c r="U194" s="9"/>
      <c r="W194" s="9"/>
    </row>
    <row r="195" spans="11:23" ht="15">
      <c r="N195" s="2848"/>
      <c r="T195" s="9"/>
      <c r="U195" s="9"/>
      <c r="W195" s="9"/>
    </row>
    <row r="196" spans="11:23">
      <c r="T196" s="9"/>
      <c r="U196" s="9"/>
      <c r="W196" s="9"/>
    </row>
  </sheetData>
  <mergeCells count="60">
    <mergeCell ref="O173:Q173"/>
    <mergeCell ref="O174:Q174"/>
    <mergeCell ref="O177:Q177"/>
    <mergeCell ref="O178:Q178"/>
    <mergeCell ref="R20:W20"/>
    <mergeCell ref="X20:X22"/>
    <mergeCell ref="H21:J21"/>
    <mergeCell ref="L21:N21"/>
    <mergeCell ref="B23:F23"/>
    <mergeCell ref="B170:J170"/>
    <mergeCell ref="L170:N170"/>
    <mergeCell ref="B18:Q18"/>
    <mergeCell ref="B19:Q19"/>
    <mergeCell ref="B20:F22"/>
    <mergeCell ref="G20:G22"/>
    <mergeCell ref="H20:K20"/>
    <mergeCell ref="L20:O20"/>
    <mergeCell ref="P20:Q21"/>
    <mergeCell ref="B16:F16"/>
    <mergeCell ref="H16:K16"/>
    <mergeCell ref="L16:N16"/>
    <mergeCell ref="O16:Q16"/>
    <mergeCell ref="B17:F17"/>
    <mergeCell ref="H17:K17"/>
    <mergeCell ref="L17:N17"/>
    <mergeCell ref="O17:Q17"/>
    <mergeCell ref="B14:F14"/>
    <mergeCell ref="H14:K14"/>
    <mergeCell ref="L14:N14"/>
    <mergeCell ref="O14:Q14"/>
    <mergeCell ref="B15:F15"/>
    <mergeCell ref="H15:K15"/>
    <mergeCell ref="L15:N15"/>
    <mergeCell ref="O15:Q15"/>
    <mergeCell ref="B11:Q11"/>
    <mergeCell ref="B12:F13"/>
    <mergeCell ref="G12:K12"/>
    <mergeCell ref="L12:Q12"/>
    <mergeCell ref="H13:K13"/>
    <mergeCell ref="L13:N13"/>
    <mergeCell ref="O13:Q13"/>
    <mergeCell ref="B10:F10"/>
    <mergeCell ref="G10:Q10"/>
    <mergeCell ref="B4:F4"/>
    <mergeCell ref="G4:Q4"/>
    <mergeCell ref="B5:F5"/>
    <mergeCell ref="G5:Q5"/>
    <mergeCell ref="B6:F6"/>
    <mergeCell ref="G6:Q6"/>
    <mergeCell ref="B7:F7"/>
    <mergeCell ref="G7:Q7"/>
    <mergeCell ref="G8:Q8"/>
    <mergeCell ref="B9:F9"/>
    <mergeCell ref="G9:Q9"/>
    <mergeCell ref="B1:D3"/>
    <mergeCell ref="E1:N1"/>
    <mergeCell ref="O1:P1"/>
    <mergeCell ref="E2:N2"/>
    <mergeCell ref="O2:P2"/>
    <mergeCell ref="E3:Q3"/>
  </mergeCells>
  <pageMargins left="0.11811023622047245" right="0.23622047244094491" top="0.35" bottom="0.31496062992125984" header="0.15748031496062992" footer="0.11811023622047245"/>
  <pageSetup paperSize="5" scale="80" orientation="landscape" horizontalDpi="4294967293" verticalDpi="4294967293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50"/>
  </sheetPr>
  <dimension ref="A1:WVU283"/>
  <sheetViews>
    <sheetView view="pageBreakPreview" topLeftCell="B101" zoomScaleNormal="120" zoomScaleSheetLayoutView="100" workbookViewId="0">
      <selection activeCell="I126" sqref="I126"/>
    </sheetView>
  </sheetViews>
  <sheetFormatPr defaultColWidth="8.85546875" defaultRowHeight="12.75"/>
  <cols>
    <col min="1" max="1" width="1.140625" style="9" customWidth="1"/>
    <col min="2" max="6" width="3.7109375" style="9" customWidth="1"/>
    <col min="7" max="7" width="56" style="9" customWidth="1"/>
    <col min="8" max="8" width="10.28515625" style="9" bestFit="1" customWidth="1"/>
    <col min="9" max="9" width="11.140625" style="584" bestFit="1" customWidth="1"/>
    <col min="10" max="10" width="15.42578125" style="9" customWidth="1"/>
    <col min="11" max="11" width="17.7109375" style="154" bestFit="1" customWidth="1"/>
    <col min="12" max="12" width="4.28515625" style="41" bestFit="1" customWidth="1"/>
    <col min="13" max="13" width="5.85546875" style="41" bestFit="1" customWidth="1"/>
    <col min="14" max="14" width="3.85546875" style="41" bestFit="1" customWidth="1"/>
    <col min="15" max="15" width="4.140625" style="9" bestFit="1" customWidth="1"/>
    <col min="16" max="16" width="5.85546875" style="9" bestFit="1" customWidth="1"/>
    <col min="17" max="17" width="17.7109375" style="9" bestFit="1" customWidth="1"/>
    <col min="18" max="18" width="17" style="9" bestFit="1" customWidth="1"/>
    <col min="19" max="19" width="17.7109375" style="41" bestFit="1" customWidth="1"/>
    <col min="20" max="20" width="18.28515625" style="41" bestFit="1" customWidth="1"/>
    <col min="21" max="21" width="16.5703125" style="9" bestFit="1" customWidth="1"/>
    <col min="22" max="245" width="8.85546875" style="9"/>
    <col min="246" max="246" width="1.140625" style="9" customWidth="1"/>
    <col min="247" max="247" width="3.28515625" style="9" customWidth="1"/>
    <col min="248" max="248" width="2.42578125" style="9" customWidth="1"/>
    <col min="249" max="249" width="2.5703125" style="9" customWidth="1"/>
    <col min="250" max="250" width="2.85546875" style="9" customWidth="1"/>
    <col min="251" max="251" width="3" style="9" customWidth="1"/>
    <col min="252" max="252" width="24.7109375" style="9" customWidth="1"/>
    <col min="253" max="253" width="7.85546875" style="9" customWidth="1"/>
    <col min="254" max="254" width="7.42578125" style="9" customWidth="1"/>
    <col min="255" max="255" width="11.140625" style="9" customWidth="1"/>
    <col min="256" max="256" width="14.42578125" style="9" customWidth="1"/>
    <col min="257" max="257" width="3.42578125" style="9" customWidth="1"/>
    <col min="258" max="258" width="3" style="9" customWidth="1"/>
    <col min="259" max="259" width="3.28515625" style="9" customWidth="1"/>
    <col min="260" max="260" width="3.140625" style="9" customWidth="1"/>
    <col min="261" max="261" width="3.42578125" style="9" customWidth="1"/>
    <col min="262" max="262" width="24.7109375" style="9" customWidth="1"/>
    <col min="263" max="263" width="7.85546875" style="9" customWidth="1"/>
    <col min="264" max="264" width="7.28515625" style="9" customWidth="1"/>
    <col min="265" max="265" width="11.7109375" style="9" customWidth="1"/>
    <col min="266" max="266" width="14.42578125" style="9" customWidth="1"/>
    <col min="267" max="267" width="8.85546875" style="9"/>
    <col min="268" max="268" width="14.28515625" style="9" customWidth="1"/>
    <col min="269" max="269" width="10" style="9" customWidth="1"/>
    <col min="270" max="501" width="8.85546875" style="9"/>
    <col min="502" max="502" width="1.140625" style="9" customWidth="1"/>
    <col min="503" max="503" width="3.28515625" style="9" customWidth="1"/>
    <col min="504" max="504" width="2.42578125" style="9" customWidth="1"/>
    <col min="505" max="505" width="2.5703125" style="9" customWidth="1"/>
    <col min="506" max="506" width="2.85546875" style="9" customWidth="1"/>
    <col min="507" max="507" width="3" style="9" customWidth="1"/>
    <col min="508" max="508" width="24.7109375" style="9" customWidth="1"/>
    <col min="509" max="509" width="7.85546875" style="9" customWidth="1"/>
    <col min="510" max="510" width="7.42578125" style="9" customWidth="1"/>
    <col min="511" max="511" width="11.140625" style="9" customWidth="1"/>
    <col min="512" max="512" width="14.42578125" style="9" customWidth="1"/>
    <col min="513" max="513" width="3.42578125" style="9" customWidth="1"/>
    <col min="514" max="514" width="3" style="9" customWidth="1"/>
    <col min="515" max="515" width="3.28515625" style="9" customWidth="1"/>
    <col min="516" max="516" width="3.140625" style="9" customWidth="1"/>
    <col min="517" max="517" width="3.42578125" style="9" customWidth="1"/>
    <col min="518" max="518" width="24.7109375" style="9" customWidth="1"/>
    <col min="519" max="519" width="7.85546875" style="9" customWidth="1"/>
    <col min="520" max="520" width="7.28515625" style="9" customWidth="1"/>
    <col min="521" max="521" width="11.7109375" style="9" customWidth="1"/>
    <col min="522" max="522" width="14.42578125" style="9" customWidth="1"/>
    <col min="523" max="523" width="8.85546875" style="9"/>
    <col min="524" max="524" width="14.28515625" style="9" customWidth="1"/>
    <col min="525" max="525" width="10" style="9" customWidth="1"/>
    <col min="526" max="757" width="8.85546875" style="9"/>
    <col min="758" max="758" width="1.140625" style="9" customWidth="1"/>
    <col min="759" max="759" width="3.28515625" style="9" customWidth="1"/>
    <col min="760" max="760" width="2.42578125" style="9" customWidth="1"/>
    <col min="761" max="761" width="2.5703125" style="9" customWidth="1"/>
    <col min="762" max="762" width="2.85546875" style="9" customWidth="1"/>
    <col min="763" max="763" width="3" style="9" customWidth="1"/>
    <col min="764" max="764" width="24.7109375" style="9" customWidth="1"/>
    <col min="765" max="765" width="7.85546875" style="9" customWidth="1"/>
    <col min="766" max="766" width="7.42578125" style="9" customWidth="1"/>
    <col min="767" max="767" width="11.140625" style="9" customWidth="1"/>
    <col min="768" max="768" width="14.42578125" style="9" customWidth="1"/>
    <col min="769" max="769" width="3.42578125" style="9" customWidth="1"/>
    <col min="770" max="770" width="3" style="9" customWidth="1"/>
    <col min="771" max="771" width="3.28515625" style="9" customWidth="1"/>
    <col min="772" max="772" width="3.140625" style="9" customWidth="1"/>
    <col min="773" max="773" width="3.42578125" style="9" customWidth="1"/>
    <col min="774" max="774" width="24.7109375" style="9" customWidth="1"/>
    <col min="775" max="775" width="7.85546875" style="9" customWidth="1"/>
    <col min="776" max="776" width="7.28515625" style="9" customWidth="1"/>
    <col min="777" max="777" width="11.7109375" style="9" customWidth="1"/>
    <col min="778" max="778" width="14.42578125" style="9" customWidth="1"/>
    <col min="779" max="779" width="8.85546875" style="9"/>
    <col min="780" max="780" width="14.28515625" style="9" customWidth="1"/>
    <col min="781" max="781" width="10" style="9" customWidth="1"/>
    <col min="782" max="1013" width="8.85546875" style="9"/>
    <col min="1014" max="1014" width="1.140625" style="9" customWidth="1"/>
    <col min="1015" max="1015" width="3.28515625" style="9" customWidth="1"/>
    <col min="1016" max="1016" width="2.42578125" style="9" customWidth="1"/>
    <col min="1017" max="1017" width="2.5703125" style="9" customWidth="1"/>
    <col min="1018" max="1018" width="2.85546875" style="9" customWidth="1"/>
    <col min="1019" max="1019" width="3" style="9" customWidth="1"/>
    <col min="1020" max="1020" width="24.7109375" style="9" customWidth="1"/>
    <col min="1021" max="1021" width="7.85546875" style="9" customWidth="1"/>
    <col min="1022" max="1022" width="7.42578125" style="9" customWidth="1"/>
    <col min="1023" max="1023" width="11.140625" style="9" customWidth="1"/>
    <col min="1024" max="1024" width="14.42578125" style="9" customWidth="1"/>
    <col min="1025" max="1025" width="3.42578125" style="9" customWidth="1"/>
    <col min="1026" max="1026" width="3" style="9" customWidth="1"/>
    <col min="1027" max="1027" width="3.28515625" style="9" customWidth="1"/>
    <col min="1028" max="1028" width="3.140625" style="9" customWidth="1"/>
    <col min="1029" max="1029" width="3.42578125" style="9" customWidth="1"/>
    <col min="1030" max="1030" width="24.7109375" style="9" customWidth="1"/>
    <col min="1031" max="1031" width="7.85546875" style="9" customWidth="1"/>
    <col min="1032" max="1032" width="7.28515625" style="9" customWidth="1"/>
    <col min="1033" max="1033" width="11.7109375" style="9" customWidth="1"/>
    <col min="1034" max="1034" width="14.42578125" style="9" customWidth="1"/>
    <col min="1035" max="1035" width="8.85546875" style="9"/>
    <col min="1036" max="1036" width="14.28515625" style="9" customWidth="1"/>
    <col min="1037" max="1037" width="10" style="9" customWidth="1"/>
    <col min="1038" max="1269" width="8.85546875" style="9"/>
    <col min="1270" max="1270" width="1.140625" style="9" customWidth="1"/>
    <col min="1271" max="1271" width="3.28515625" style="9" customWidth="1"/>
    <col min="1272" max="1272" width="2.42578125" style="9" customWidth="1"/>
    <col min="1273" max="1273" width="2.5703125" style="9" customWidth="1"/>
    <col min="1274" max="1274" width="2.85546875" style="9" customWidth="1"/>
    <col min="1275" max="1275" width="3" style="9" customWidth="1"/>
    <col min="1276" max="1276" width="24.7109375" style="9" customWidth="1"/>
    <col min="1277" max="1277" width="7.85546875" style="9" customWidth="1"/>
    <col min="1278" max="1278" width="7.42578125" style="9" customWidth="1"/>
    <col min="1279" max="1279" width="11.140625" style="9" customWidth="1"/>
    <col min="1280" max="1280" width="14.42578125" style="9" customWidth="1"/>
    <col min="1281" max="1281" width="3.42578125" style="9" customWidth="1"/>
    <col min="1282" max="1282" width="3" style="9" customWidth="1"/>
    <col min="1283" max="1283" width="3.28515625" style="9" customWidth="1"/>
    <col min="1284" max="1284" width="3.140625" style="9" customWidth="1"/>
    <col min="1285" max="1285" width="3.42578125" style="9" customWidth="1"/>
    <col min="1286" max="1286" width="24.7109375" style="9" customWidth="1"/>
    <col min="1287" max="1287" width="7.85546875" style="9" customWidth="1"/>
    <col min="1288" max="1288" width="7.28515625" style="9" customWidth="1"/>
    <col min="1289" max="1289" width="11.7109375" style="9" customWidth="1"/>
    <col min="1290" max="1290" width="14.42578125" style="9" customWidth="1"/>
    <col min="1291" max="1291" width="8.85546875" style="9"/>
    <col min="1292" max="1292" width="14.28515625" style="9" customWidth="1"/>
    <col min="1293" max="1293" width="10" style="9" customWidth="1"/>
    <col min="1294" max="1525" width="8.85546875" style="9"/>
    <col min="1526" max="1526" width="1.140625" style="9" customWidth="1"/>
    <col min="1527" max="1527" width="3.28515625" style="9" customWidth="1"/>
    <col min="1528" max="1528" width="2.42578125" style="9" customWidth="1"/>
    <col min="1529" max="1529" width="2.5703125" style="9" customWidth="1"/>
    <col min="1530" max="1530" width="2.85546875" style="9" customWidth="1"/>
    <col min="1531" max="1531" width="3" style="9" customWidth="1"/>
    <col min="1532" max="1532" width="24.7109375" style="9" customWidth="1"/>
    <col min="1533" max="1533" width="7.85546875" style="9" customWidth="1"/>
    <col min="1534" max="1534" width="7.42578125" style="9" customWidth="1"/>
    <col min="1535" max="1535" width="11.140625" style="9" customWidth="1"/>
    <col min="1536" max="1536" width="14.42578125" style="9" customWidth="1"/>
    <col min="1537" max="1537" width="3.42578125" style="9" customWidth="1"/>
    <col min="1538" max="1538" width="3" style="9" customWidth="1"/>
    <col min="1539" max="1539" width="3.28515625" style="9" customWidth="1"/>
    <col min="1540" max="1540" width="3.140625" style="9" customWidth="1"/>
    <col min="1541" max="1541" width="3.42578125" style="9" customWidth="1"/>
    <col min="1542" max="1542" width="24.7109375" style="9" customWidth="1"/>
    <col min="1543" max="1543" width="7.85546875" style="9" customWidth="1"/>
    <col min="1544" max="1544" width="7.28515625" style="9" customWidth="1"/>
    <col min="1545" max="1545" width="11.7109375" style="9" customWidth="1"/>
    <col min="1546" max="1546" width="14.42578125" style="9" customWidth="1"/>
    <col min="1547" max="1547" width="8.85546875" style="9"/>
    <col min="1548" max="1548" width="14.28515625" style="9" customWidth="1"/>
    <col min="1549" max="1549" width="10" style="9" customWidth="1"/>
    <col min="1550" max="1781" width="8.85546875" style="9"/>
    <col min="1782" max="1782" width="1.140625" style="9" customWidth="1"/>
    <col min="1783" max="1783" width="3.28515625" style="9" customWidth="1"/>
    <col min="1784" max="1784" width="2.42578125" style="9" customWidth="1"/>
    <col min="1785" max="1785" width="2.5703125" style="9" customWidth="1"/>
    <col min="1786" max="1786" width="2.85546875" style="9" customWidth="1"/>
    <col min="1787" max="1787" width="3" style="9" customWidth="1"/>
    <col min="1788" max="1788" width="24.7109375" style="9" customWidth="1"/>
    <col min="1789" max="1789" width="7.85546875" style="9" customWidth="1"/>
    <col min="1790" max="1790" width="7.42578125" style="9" customWidth="1"/>
    <col min="1791" max="1791" width="11.140625" style="9" customWidth="1"/>
    <col min="1792" max="1792" width="14.42578125" style="9" customWidth="1"/>
    <col min="1793" max="1793" width="3.42578125" style="9" customWidth="1"/>
    <col min="1794" max="1794" width="3" style="9" customWidth="1"/>
    <col min="1795" max="1795" width="3.28515625" style="9" customWidth="1"/>
    <col min="1796" max="1796" width="3.140625" style="9" customWidth="1"/>
    <col min="1797" max="1797" width="3.42578125" style="9" customWidth="1"/>
    <col min="1798" max="1798" width="24.7109375" style="9" customWidth="1"/>
    <col min="1799" max="1799" width="7.85546875" style="9" customWidth="1"/>
    <col min="1800" max="1800" width="7.28515625" style="9" customWidth="1"/>
    <col min="1801" max="1801" width="11.7109375" style="9" customWidth="1"/>
    <col min="1802" max="1802" width="14.42578125" style="9" customWidth="1"/>
    <col min="1803" max="1803" width="8.85546875" style="9"/>
    <col min="1804" max="1804" width="14.28515625" style="9" customWidth="1"/>
    <col min="1805" max="1805" width="10" style="9" customWidth="1"/>
    <col min="1806" max="2037" width="8.85546875" style="9"/>
    <col min="2038" max="2038" width="1.140625" style="9" customWidth="1"/>
    <col min="2039" max="2039" width="3.28515625" style="9" customWidth="1"/>
    <col min="2040" max="2040" width="2.42578125" style="9" customWidth="1"/>
    <col min="2041" max="2041" width="2.5703125" style="9" customWidth="1"/>
    <col min="2042" max="2042" width="2.85546875" style="9" customWidth="1"/>
    <col min="2043" max="2043" width="3" style="9" customWidth="1"/>
    <col min="2044" max="2044" width="24.7109375" style="9" customWidth="1"/>
    <col min="2045" max="2045" width="7.85546875" style="9" customWidth="1"/>
    <col min="2046" max="2046" width="7.42578125" style="9" customWidth="1"/>
    <col min="2047" max="2047" width="11.140625" style="9" customWidth="1"/>
    <col min="2048" max="2048" width="14.42578125" style="9" customWidth="1"/>
    <col min="2049" max="2049" width="3.42578125" style="9" customWidth="1"/>
    <col min="2050" max="2050" width="3" style="9" customWidth="1"/>
    <col min="2051" max="2051" width="3.28515625" style="9" customWidth="1"/>
    <col min="2052" max="2052" width="3.140625" style="9" customWidth="1"/>
    <col min="2053" max="2053" width="3.42578125" style="9" customWidth="1"/>
    <col min="2054" max="2054" width="24.7109375" style="9" customWidth="1"/>
    <col min="2055" max="2055" width="7.85546875" style="9" customWidth="1"/>
    <col min="2056" max="2056" width="7.28515625" style="9" customWidth="1"/>
    <col min="2057" max="2057" width="11.7109375" style="9" customWidth="1"/>
    <col min="2058" max="2058" width="14.42578125" style="9" customWidth="1"/>
    <col min="2059" max="2059" width="8.85546875" style="9"/>
    <col min="2060" max="2060" width="14.28515625" style="9" customWidth="1"/>
    <col min="2061" max="2061" width="10" style="9" customWidth="1"/>
    <col min="2062" max="2293" width="8.85546875" style="9"/>
    <col min="2294" max="2294" width="1.140625" style="9" customWidth="1"/>
    <col min="2295" max="2295" width="3.28515625" style="9" customWidth="1"/>
    <col min="2296" max="2296" width="2.42578125" style="9" customWidth="1"/>
    <col min="2297" max="2297" width="2.5703125" style="9" customWidth="1"/>
    <col min="2298" max="2298" width="2.85546875" style="9" customWidth="1"/>
    <col min="2299" max="2299" width="3" style="9" customWidth="1"/>
    <col min="2300" max="2300" width="24.7109375" style="9" customWidth="1"/>
    <col min="2301" max="2301" width="7.85546875" style="9" customWidth="1"/>
    <col min="2302" max="2302" width="7.42578125" style="9" customWidth="1"/>
    <col min="2303" max="2303" width="11.140625" style="9" customWidth="1"/>
    <col min="2304" max="2304" width="14.42578125" style="9" customWidth="1"/>
    <col min="2305" max="2305" width="3.42578125" style="9" customWidth="1"/>
    <col min="2306" max="2306" width="3" style="9" customWidth="1"/>
    <col min="2307" max="2307" width="3.28515625" style="9" customWidth="1"/>
    <col min="2308" max="2308" width="3.140625" style="9" customWidth="1"/>
    <col min="2309" max="2309" width="3.42578125" style="9" customWidth="1"/>
    <col min="2310" max="2310" width="24.7109375" style="9" customWidth="1"/>
    <col min="2311" max="2311" width="7.85546875" style="9" customWidth="1"/>
    <col min="2312" max="2312" width="7.28515625" style="9" customWidth="1"/>
    <col min="2313" max="2313" width="11.7109375" style="9" customWidth="1"/>
    <col min="2314" max="2314" width="14.42578125" style="9" customWidth="1"/>
    <col min="2315" max="2315" width="8.85546875" style="9"/>
    <col min="2316" max="2316" width="14.28515625" style="9" customWidth="1"/>
    <col min="2317" max="2317" width="10" style="9" customWidth="1"/>
    <col min="2318" max="2549" width="8.85546875" style="9"/>
    <col min="2550" max="2550" width="1.140625" style="9" customWidth="1"/>
    <col min="2551" max="2551" width="3.28515625" style="9" customWidth="1"/>
    <col min="2552" max="2552" width="2.42578125" style="9" customWidth="1"/>
    <col min="2553" max="2553" width="2.5703125" style="9" customWidth="1"/>
    <col min="2554" max="2554" width="2.85546875" style="9" customWidth="1"/>
    <col min="2555" max="2555" width="3" style="9" customWidth="1"/>
    <col min="2556" max="2556" width="24.7109375" style="9" customWidth="1"/>
    <col min="2557" max="2557" width="7.85546875" style="9" customWidth="1"/>
    <col min="2558" max="2558" width="7.42578125" style="9" customWidth="1"/>
    <col min="2559" max="2559" width="11.140625" style="9" customWidth="1"/>
    <col min="2560" max="2560" width="14.42578125" style="9" customWidth="1"/>
    <col min="2561" max="2561" width="3.42578125" style="9" customWidth="1"/>
    <col min="2562" max="2562" width="3" style="9" customWidth="1"/>
    <col min="2563" max="2563" width="3.28515625" style="9" customWidth="1"/>
    <col min="2564" max="2564" width="3.140625" style="9" customWidth="1"/>
    <col min="2565" max="2565" width="3.42578125" style="9" customWidth="1"/>
    <col min="2566" max="2566" width="24.7109375" style="9" customWidth="1"/>
    <col min="2567" max="2567" width="7.85546875" style="9" customWidth="1"/>
    <col min="2568" max="2568" width="7.28515625" style="9" customWidth="1"/>
    <col min="2569" max="2569" width="11.7109375" style="9" customWidth="1"/>
    <col min="2570" max="2570" width="14.42578125" style="9" customWidth="1"/>
    <col min="2571" max="2571" width="8.85546875" style="9"/>
    <col min="2572" max="2572" width="14.28515625" style="9" customWidth="1"/>
    <col min="2573" max="2573" width="10" style="9" customWidth="1"/>
    <col min="2574" max="2805" width="8.85546875" style="9"/>
    <col min="2806" max="2806" width="1.140625" style="9" customWidth="1"/>
    <col min="2807" max="2807" width="3.28515625" style="9" customWidth="1"/>
    <col min="2808" max="2808" width="2.42578125" style="9" customWidth="1"/>
    <col min="2809" max="2809" width="2.5703125" style="9" customWidth="1"/>
    <col min="2810" max="2810" width="2.85546875" style="9" customWidth="1"/>
    <col min="2811" max="2811" width="3" style="9" customWidth="1"/>
    <col min="2812" max="2812" width="24.7109375" style="9" customWidth="1"/>
    <col min="2813" max="2813" width="7.85546875" style="9" customWidth="1"/>
    <col min="2814" max="2814" width="7.42578125" style="9" customWidth="1"/>
    <col min="2815" max="2815" width="11.140625" style="9" customWidth="1"/>
    <col min="2816" max="2816" width="14.42578125" style="9" customWidth="1"/>
    <col min="2817" max="2817" width="3.42578125" style="9" customWidth="1"/>
    <col min="2818" max="2818" width="3" style="9" customWidth="1"/>
    <col min="2819" max="2819" width="3.28515625" style="9" customWidth="1"/>
    <col min="2820" max="2820" width="3.140625" style="9" customWidth="1"/>
    <col min="2821" max="2821" width="3.42578125" style="9" customWidth="1"/>
    <col min="2822" max="2822" width="24.7109375" style="9" customWidth="1"/>
    <col min="2823" max="2823" width="7.85546875" style="9" customWidth="1"/>
    <col min="2824" max="2824" width="7.28515625" style="9" customWidth="1"/>
    <col min="2825" max="2825" width="11.7109375" style="9" customWidth="1"/>
    <col min="2826" max="2826" width="14.42578125" style="9" customWidth="1"/>
    <col min="2827" max="2827" width="8.85546875" style="9"/>
    <col min="2828" max="2828" width="14.28515625" style="9" customWidth="1"/>
    <col min="2829" max="2829" width="10" style="9" customWidth="1"/>
    <col min="2830" max="3061" width="8.85546875" style="9"/>
    <col min="3062" max="3062" width="1.140625" style="9" customWidth="1"/>
    <col min="3063" max="3063" width="3.28515625" style="9" customWidth="1"/>
    <col min="3064" max="3064" width="2.42578125" style="9" customWidth="1"/>
    <col min="3065" max="3065" width="2.5703125" style="9" customWidth="1"/>
    <col min="3066" max="3066" width="2.85546875" style="9" customWidth="1"/>
    <col min="3067" max="3067" width="3" style="9" customWidth="1"/>
    <col min="3068" max="3068" width="24.7109375" style="9" customWidth="1"/>
    <col min="3069" max="3069" width="7.85546875" style="9" customWidth="1"/>
    <col min="3070" max="3070" width="7.42578125" style="9" customWidth="1"/>
    <col min="3071" max="3071" width="11.140625" style="9" customWidth="1"/>
    <col min="3072" max="3072" width="14.42578125" style="9" customWidth="1"/>
    <col min="3073" max="3073" width="3.42578125" style="9" customWidth="1"/>
    <col min="3074" max="3074" width="3" style="9" customWidth="1"/>
    <col min="3075" max="3075" width="3.28515625" style="9" customWidth="1"/>
    <col min="3076" max="3076" width="3.140625" style="9" customWidth="1"/>
    <col min="3077" max="3077" width="3.42578125" style="9" customWidth="1"/>
    <col min="3078" max="3078" width="24.7109375" style="9" customWidth="1"/>
    <col min="3079" max="3079" width="7.85546875" style="9" customWidth="1"/>
    <col min="3080" max="3080" width="7.28515625" style="9" customWidth="1"/>
    <col min="3081" max="3081" width="11.7109375" style="9" customWidth="1"/>
    <col min="3082" max="3082" width="14.42578125" style="9" customWidth="1"/>
    <col min="3083" max="3083" width="8.85546875" style="9"/>
    <col min="3084" max="3084" width="14.28515625" style="9" customWidth="1"/>
    <col min="3085" max="3085" width="10" style="9" customWidth="1"/>
    <col min="3086" max="3317" width="8.85546875" style="9"/>
    <col min="3318" max="3318" width="1.140625" style="9" customWidth="1"/>
    <col min="3319" max="3319" width="3.28515625" style="9" customWidth="1"/>
    <col min="3320" max="3320" width="2.42578125" style="9" customWidth="1"/>
    <col min="3321" max="3321" width="2.5703125" style="9" customWidth="1"/>
    <col min="3322" max="3322" width="2.85546875" style="9" customWidth="1"/>
    <col min="3323" max="3323" width="3" style="9" customWidth="1"/>
    <col min="3324" max="3324" width="24.7109375" style="9" customWidth="1"/>
    <col min="3325" max="3325" width="7.85546875" style="9" customWidth="1"/>
    <col min="3326" max="3326" width="7.42578125" style="9" customWidth="1"/>
    <col min="3327" max="3327" width="11.140625" style="9" customWidth="1"/>
    <col min="3328" max="3328" width="14.42578125" style="9" customWidth="1"/>
    <col min="3329" max="3329" width="3.42578125" style="9" customWidth="1"/>
    <col min="3330" max="3330" width="3" style="9" customWidth="1"/>
    <col min="3331" max="3331" width="3.28515625" style="9" customWidth="1"/>
    <col min="3332" max="3332" width="3.140625" style="9" customWidth="1"/>
    <col min="3333" max="3333" width="3.42578125" style="9" customWidth="1"/>
    <col min="3334" max="3334" width="24.7109375" style="9" customWidth="1"/>
    <col min="3335" max="3335" width="7.85546875" style="9" customWidth="1"/>
    <col min="3336" max="3336" width="7.28515625" style="9" customWidth="1"/>
    <col min="3337" max="3337" width="11.7109375" style="9" customWidth="1"/>
    <col min="3338" max="3338" width="14.42578125" style="9" customWidth="1"/>
    <col min="3339" max="3339" width="8.85546875" style="9"/>
    <col min="3340" max="3340" width="14.28515625" style="9" customWidth="1"/>
    <col min="3341" max="3341" width="10" style="9" customWidth="1"/>
    <col min="3342" max="3573" width="8.85546875" style="9"/>
    <col min="3574" max="3574" width="1.140625" style="9" customWidth="1"/>
    <col min="3575" max="3575" width="3.28515625" style="9" customWidth="1"/>
    <col min="3576" max="3576" width="2.42578125" style="9" customWidth="1"/>
    <col min="3577" max="3577" width="2.5703125" style="9" customWidth="1"/>
    <col min="3578" max="3578" width="2.85546875" style="9" customWidth="1"/>
    <col min="3579" max="3579" width="3" style="9" customWidth="1"/>
    <col min="3580" max="3580" width="24.7109375" style="9" customWidth="1"/>
    <col min="3581" max="3581" width="7.85546875" style="9" customWidth="1"/>
    <col min="3582" max="3582" width="7.42578125" style="9" customWidth="1"/>
    <col min="3583" max="3583" width="11.140625" style="9" customWidth="1"/>
    <col min="3584" max="3584" width="14.42578125" style="9" customWidth="1"/>
    <col min="3585" max="3585" width="3.42578125" style="9" customWidth="1"/>
    <col min="3586" max="3586" width="3" style="9" customWidth="1"/>
    <col min="3587" max="3587" width="3.28515625" style="9" customWidth="1"/>
    <col min="3588" max="3588" width="3.140625" style="9" customWidth="1"/>
    <col min="3589" max="3589" width="3.42578125" style="9" customWidth="1"/>
    <col min="3590" max="3590" width="24.7109375" style="9" customWidth="1"/>
    <col min="3591" max="3591" width="7.85546875" style="9" customWidth="1"/>
    <col min="3592" max="3592" width="7.28515625" style="9" customWidth="1"/>
    <col min="3593" max="3593" width="11.7109375" style="9" customWidth="1"/>
    <col min="3594" max="3594" width="14.42578125" style="9" customWidth="1"/>
    <col min="3595" max="3595" width="8.85546875" style="9"/>
    <col min="3596" max="3596" width="14.28515625" style="9" customWidth="1"/>
    <col min="3597" max="3597" width="10" style="9" customWidth="1"/>
    <col min="3598" max="3829" width="8.85546875" style="9"/>
    <col min="3830" max="3830" width="1.140625" style="9" customWidth="1"/>
    <col min="3831" max="3831" width="3.28515625" style="9" customWidth="1"/>
    <col min="3832" max="3832" width="2.42578125" style="9" customWidth="1"/>
    <col min="3833" max="3833" width="2.5703125" style="9" customWidth="1"/>
    <col min="3834" max="3834" width="2.85546875" style="9" customWidth="1"/>
    <col min="3835" max="3835" width="3" style="9" customWidth="1"/>
    <col min="3836" max="3836" width="24.7109375" style="9" customWidth="1"/>
    <col min="3837" max="3837" width="7.85546875" style="9" customWidth="1"/>
    <col min="3838" max="3838" width="7.42578125" style="9" customWidth="1"/>
    <col min="3839" max="3839" width="11.140625" style="9" customWidth="1"/>
    <col min="3840" max="3840" width="14.42578125" style="9" customWidth="1"/>
    <col min="3841" max="3841" width="3.42578125" style="9" customWidth="1"/>
    <col min="3842" max="3842" width="3" style="9" customWidth="1"/>
    <col min="3843" max="3843" width="3.28515625" style="9" customWidth="1"/>
    <col min="3844" max="3844" width="3.140625" style="9" customWidth="1"/>
    <col min="3845" max="3845" width="3.42578125" style="9" customWidth="1"/>
    <col min="3846" max="3846" width="24.7109375" style="9" customWidth="1"/>
    <col min="3847" max="3847" width="7.85546875" style="9" customWidth="1"/>
    <col min="3848" max="3848" width="7.28515625" style="9" customWidth="1"/>
    <col min="3849" max="3849" width="11.7109375" style="9" customWidth="1"/>
    <col min="3850" max="3850" width="14.42578125" style="9" customWidth="1"/>
    <col min="3851" max="3851" width="8.85546875" style="9"/>
    <col min="3852" max="3852" width="14.28515625" style="9" customWidth="1"/>
    <col min="3853" max="3853" width="10" style="9" customWidth="1"/>
    <col min="3854" max="4085" width="8.85546875" style="9"/>
    <col min="4086" max="4086" width="1.140625" style="9" customWidth="1"/>
    <col min="4087" max="4087" width="3.28515625" style="9" customWidth="1"/>
    <col min="4088" max="4088" width="2.42578125" style="9" customWidth="1"/>
    <col min="4089" max="4089" width="2.5703125" style="9" customWidth="1"/>
    <col min="4090" max="4090" width="2.85546875" style="9" customWidth="1"/>
    <col min="4091" max="4091" width="3" style="9" customWidth="1"/>
    <col min="4092" max="4092" width="24.7109375" style="9" customWidth="1"/>
    <col min="4093" max="4093" width="7.85546875" style="9" customWidth="1"/>
    <col min="4094" max="4094" width="7.42578125" style="9" customWidth="1"/>
    <col min="4095" max="4095" width="11.140625" style="9" customWidth="1"/>
    <col min="4096" max="4096" width="14.42578125" style="9" customWidth="1"/>
    <col min="4097" max="4097" width="3.42578125" style="9" customWidth="1"/>
    <col min="4098" max="4098" width="3" style="9" customWidth="1"/>
    <col min="4099" max="4099" width="3.28515625" style="9" customWidth="1"/>
    <col min="4100" max="4100" width="3.140625" style="9" customWidth="1"/>
    <col min="4101" max="4101" width="3.42578125" style="9" customWidth="1"/>
    <col min="4102" max="4102" width="24.7109375" style="9" customWidth="1"/>
    <col min="4103" max="4103" width="7.85546875" style="9" customWidth="1"/>
    <col min="4104" max="4104" width="7.28515625" style="9" customWidth="1"/>
    <col min="4105" max="4105" width="11.7109375" style="9" customWidth="1"/>
    <col min="4106" max="4106" width="14.42578125" style="9" customWidth="1"/>
    <col min="4107" max="4107" width="8.85546875" style="9"/>
    <col min="4108" max="4108" width="14.28515625" style="9" customWidth="1"/>
    <col min="4109" max="4109" width="10" style="9" customWidth="1"/>
    <col min="4110" max="4341" width="8.85546875" style="9"/>
    <col min="4342" max="4342" width="1.140625" style="9" customWidth="1"/>
    <col min="4343" max="4343" width="3.28515625" style="9" customWidth="1"/>
    <col min="4344" max="4344" width="2.42578125" style="9" customWidth="1"/>
    <col min="4345" max="4345" width="2.5703125" style="9" customWidth="1"/>
    <col min="4346" max="4346" width="2.85546875" style="9" customWidth="1"/>
    <col min="4347" max="4347" width="3" style="9" customWidth="1"/>
    <col min="4348" max="4348" width="24.7109375" style="9" customWidth="1"/>
    <col min="4349" max="4349" width="7.85546875" style="9" customWidth="1"/>
    <col min="4350" max="4350" width="7.42578125" style="9" customWidth="1"/>
    <col min="4351" max="4351" width="11.140625" style="9" customWidth="1"/>
    <col min="4352" max="4352" width="14.42578125" style="9" customWidth="1"/>
    <col min="4353" max="4353" width="3.42578125" style="9" customWidth="1"/>
    <col min="4354" max="4354" width="3" style="9" customWidth="1"/>
    <col min="4355" max="4355" width="3.28515625" style="9" customWidth="1"/>
    <col min="4356" max="4356" width="3.140625" style="9" customWidth="1"/>
    <col min="4357" max="4357" width="3.42578125" style="9" customWidth="1"/>
    <col min="4358" max="4358" width="24.7109375" style="9" customWidth="1"/>
    <col min="4359" max="4359" width="7.85546875" style="9" customWidth="1"/>
    <col min="4360" max="4360" width="7.28515625" style="9" customWidth="1"/>
    <col min="4361" max="4361" width="11.7109375" style="9" customWidth="1"/>
    <col min="4362" max="4362" width="14.42578125" style="9" customWidth="1"/>
    <col min="4363" max="4363" width="8.85546875" style="9"/>
    <col min="4364" max="4364" width="14.28515625" style="9" customWidth="1"/>
    <col min="4365" max="4365" width="10" style="9" customWidth="1"/>
    <col min="4366" max="4597" width="8.85546875" style="9"/>
    <col min="4598" max="4598" width="1.140625" style="9" customWidth="1"/>
    <col min="4599" max="4599" width="3.28515625" style="9" customWidth="1"/>
    <col min="4600" max="4600" width="2.42578125" style="9" customWidth="1"/>
    <col min="4601" max="4601" width="2.5703125" style="9" customWidth="1"/>
    <col min="4602" max="4602" width="2.85546875" style="9" customWidth="1"/>
    <col min="4603" max="4603" width="3" style="9" customWidth="1"/>
    <col min="4604" max="4604" width="24.7109375" style="9" customWidth="1"/>
    <col min="4605" max="4605" width="7.85546875" style="9" customWidth="1"/>
    <col min="4606" max="4606" width="7.42578125" style="9" customWidth="1"/>
    <col min="4607" max="4607" width="11.140625" style="9" customWidth="1"/>
    <col min="4608" max="4608" width="14.42578125" style="9" customWidth="1"/>
    <col min="4609" max="4609" width="3.42578125" style="9" customWidth="1"/>
    <col min="4610" max="4610" width="3" style="9" customWidth="1"/>
    <col min="4611" max="4611" width="3.28515625" style="9" customWidth="1"/>
    <col min="4612" max="4612" width="3.140625" style="9" customWidth="1"/>
    <col min="4613" max="4613" width="3.42578125" style="9" customWidth="1"/>
    <col min="4614" max="4614" width="24.7109375" style="9" customWidth="1"/>
    <col min="4615" max="4615" width="7.85546875" style="9" customWidth="1"/>
    <col min="4616" max="4616" width="7.28515625" style="9" customWidth="1"/>
    <col min="4617" max="4617" width="11.7109375" style="9" customWidth="1"/>
    <col min="4618" max="4618" width="14.42578125" style="9" customWidth="1"/>
    <col min="4619" max="4619" width="8.85546875" style="9"/>
    <col min="4620" max="4620" width="14.28515625" style="9" customWidth="1"/>
    <col min="4621" max="4621" width="10" style="9" customWidth="1"/>
    <col min="4622" max="4853" width="8.85546875" style="9"/>
    <col min="4854" max="4854" width="1.140625" style="9" customWidth="1"/>
    <col min="4855" max="4855" width="3.28515625" style="9" customWidth="1"/>
    <col min="4856" max="4856" width="2.42578125" style="9" customWidth="1"/>
    <col min="4857" max="4857" width="2.5703125" style="9" customWidth="1"/>
    <col min="4858" max="4858" width="2.85546875" style="9" customWidth="1"/>
    <col min="4859" max="4859" width="3" style="9" customWidth="1"/>
    <col min="4860" max="4860" width="24.7109375" style="9" customWidth="1"/>
    <col min="4861" max="4861" width="7.85546875" style="9" customWidth="1"/>
    <col min="4862" max="4862" width="7.42578125" style="9" customWidth="1"/>
    <col min="4863" max="4863" width="11.140625" style="9" customWidth="1"/>
    <col min="4864" max="4864" width="14.42578125" style="9" customWidth="1"/>
    <col min="4865" max="4865" width="3.42578125" style="9" customWidth="1"/>
    <col min="4866" max="4866" width="3" style="9" customWidth="1"/>
    <col min="4867" max="4867" width="3.28515625" style="9" customWidth="1"/>
    <col min="4868" max="4868" width="3.140625" style="9" customWidth="1"/>
    <col min="4869" max="4869" width="3.42578125" style="9" customWidth="1"/>
    <col min="4870" max="4870" width="24.7109375" style="9" customWidth="1"/>
    <col min="4871" max="4871" width="7.85546875" style="9" customWidth="1"/>
    <col min="4872" max="4872" width="7.28515625" style="9" customWidth="1"/>
    <col min="4873" max="4873" width="11.7109375" style="9" customWidth="1"/>
    <col min="4874" max="4874" width="14.42578125" style="9" customWidth="1"/>
    <col min="4875" max="4875" width="8.85546875" style="9"/>
    <col min="4876" max="4876" width="14.28515625" style="9" customWidth="1"/>
    <col min="4877" max="4877" width="10" style="9" customWidth="1"/>
    <col min="4878" max="5109" width="8.85546875" style="9"/>
    <col min="5110" max="5110" width="1.140625" style="9" customWidth="1"/>
    <col min="5111" max="5111" width="3.28515625" style="9" customWidth="1"/>
    <col min="5112" max="5112" width="2.42578125" style="9" customWidth="1"/>
    <col min="5113" max="5113" width="2.5703125" style="9" customWidth="1"/>
    <col min="5114" max="5114" width="2.85546875" style="9" customWidth="1"/>
    <col min="5115" max="5115" width="3" style="9" customWidth="1"/>
    <col min="5116" max="5116" width="24.7109375" style="9" customWidth="1"/>
    <col min="5117" max="5117" width="7.85546875" style="9" customWidth="1"/>
    <col min="5118" max="5118" width="7.42578125" style="9" customWidth="1"/>
    <col min="5119" max="5119" width="11.140625" style="9" customWidth="1"/>
    <col min="5120" max="5120" width="14.42578125" style="9" customWidth="1"/>
    <col min="5121" max="5121" width="3.42578125" style="9" customWidth="1"/>
    <col min="5122" max="5122" width="3" style="9" customWidth="1"/>
    <col min="5123" max="5123" width="3.28515625" style="9" customWidth="1"/>
    <col min="5124" max="5124" width="3.140625" style="9" customWidth="1"/>
    <col min="5125" max="5125" width="3.42578125" style="9" customWidth="1"/>
    <col min="5126" max="5126" width="24.7109375" style="9" customWidth="1"/>
    <col min="5127" max="5127" width="7.85546875" style="9" customWidth="1"/>
    <col min="5128" max="5128" width="7.28515625" style="9" customWidth="1"/>
    <col min="5129" max="5129" width="11.7109375" style="9" customWidth="1"/>
    <col min="5130" max="5130" width="14.42578125" style="9" customWidth="1"/>
    <col min="5131" max="5131" width="8.85546875" style="9"/>
    <col min="5132" max="5132" width="14.28515625" style="9" customWidth="1"/>
    <col min="5133" max="5133" width="10" style="9" customWidth="1"/>
    <col min="5134" max="5365" width="8.85546875" style="9"/>
    <col min="5366" max="5366" width="1.140625" style="9" customWidth="1"/>
    <col min="5367" max="5367" width="3.28515625" style="9" customWidth="1"/>
    <col min="5368" max="5368" width="2.42578125" style="9" customWidth="1"/>
    <col min="5369" max="5369" width="2.5703125" style="9" customWidth="1"/>
    <col min="5370" max="5370" width="2.85546875" style="9" customWidth="1"/>
    <col min="5371" max="5371" width="3" style="9" customWidth="1"/>
    <col min="5372" max="5372" width="24.7109375" style="9" customWidth="1"/>
    <col min="5373" max="5373" width="7.85546875" style="9" customWidth="1"/>
    <col min="5374" max="5374" width="7.42578125" style="9" customWidth="1"/>
    <col min="5375" max="5375" width="11.140625" style="9" customWidth="1"/>
    <col min="5376" max="5376" width="14.42578125" style="9" customWidth="1"/>
    <col min="5377" max="5377" width="3.42578125" style="9" customWidth="1"/>
    <col min="5378" max="5378" width="3" style="9" customWidth="1"/>
    <col min="5379" max="5379" width="3.28515625" style="9" customWidth="1"/>
    <col min="5380" max="5380" width="3.140625" style="9" customWidth="1"/>
    <col min="5381" max="5381" width="3.42578125" style="9" customWidth="1"/>
    <col min="5382" max="5382" width="24.7109375" style="9" customWidth="1"/>
    <col min="5383" max="5383" width="7.85546875" style="9" customWidth="1"/>
    <col min="5384" max="5384" width="7.28515625" style="9" customWidth="1"/>
    <col min="5385" max="5385" width="11.7109375" style="9" customWidth="1"/>
    <col min="5386" max="5386" width="14.42578125" style="9" customWidth="1"/>
    <col min="5387" max="5387" width="8.85546875" style="9"/>
    <col min="5388" max="5388" width="14.28515625" style="9" customWidth="1"/>
    <col min="5389" max="5389" width="10" style="9" customWidth="1"/>
    <col min="5390" max="5621" width="8.85546875" style="9"/>
    <col min="5622" max="5622" width="1.140625" style="9" customWidth="1"/>
    <col min="5623" max="5623" width="3.28515625" style="9" customWidth="1"/>
    <col min="5624" max="5624" width="2.42578125" style="9" customWidth="1"/>
    <col min="5625" max="5625" width="2.5703125" style="9" customWidth="1"/>
    <col min="5626" max="5626" width="2.85546875" style="9" customWidth="1"/>
    <col min="5627" max="5627" width="3" style="9" customWidth="1"/>
    <col min="5628" max="5628" width="24.7109375" style="9" customWidth="1"/>
    <col min="5629" max="5629" width="7.85546875" style="9" customWidth="1"/>
    <col min="5630" max="5630" width="7.42578125" style="9" customWidth="1"/>
    <col min="5631" max="5631" width="11.140625" style="9" customWidth="1"/>
    <col min="5632" max="5632" width="14.42578125" style="9" customWidth="1"/>
    <col min="5633" max="5633" width="3.42578125" style="9" customWidth="1"/>
    <col min="5634" max="5634" width="3" style="9" customWidth="1"/>
    <col min="5635" max="5635" width="3.28515625" style="9" customWidth="1"/>
    <col min="5636" max="5636" width="3.140625" style="9" customWidth="1"/>
    <col min="5637" max="5637" width="3.42578125" style="9" customWidth="1"/>
    <col min="5638" max="5638" width="24.7109375" style="9" customWidth="1"/>
    <col min="5639" max="5639" width="7.85546875" style="9" customWidth="1"/>
    <col min="5640" max="5640" width="7.28515625" style="9" customWidth="1"/>
    <col min="5641" max="5641" width="11.7109375" style="9" customWidth="1"/>
    <col min="5642" max="5642" width="14.42578125" style="9" customWidth="1"/>
    <col min="5643" max="5643" width="8.85546875" style="9"/>
    <col min="5644" max="5644" width="14.28515625" style="9" customWidth="1"/>
    <col min="5645" max="5645" width="10" style="9" customWidth="1"/>
    <col min="5646" max="5877" width="8.85546875" style="9"/>
    <col min="5878" max="5878" width="1.140625" style="9" customWidth="1"/>
    <col min="5879" max="5879" width="3.28515625" style="9" customWidth="1"/>
    <col min="5880" max="5880" width="2.42578125" style="9" customWidth="1"/>
    <col min="5881" max="5881" width="2.5703125" style="9" customWidth="1"/>
    <col min="5882" max="5882" width="2.85546875" style="9" customWidth="1"/>
    <col min="5883" max="5883" width="3" style="9" customWidth="1"/>
    <col min="5884" max="5884" width="24.7109375" style="9" customWidth="1"/>
    <col min="5885" max="5885" width="7.85546875" style="9" customWidth="1"/>
    <col min="5886" max="5886" width="7.42578125" style="9" customWidth="1"/>
    <col min="5887" max="5887" width="11.140625" style="9" customWidth="1"/>
    <col min="5888" max="5888" width="14.42578125" style="9" customWidth="1"/>
    <col min="5889" max="5889" width="3.42578125" style="9" customWidth="1"/>
    <col min="5890" max="5890" width="3" style="9" customWidth="1"/>
    <col min="5891" max="5891" width="3.28515625" style="9" customWidth="1"/>
    <col min="5892" max="5892" width="3.140625" style="9" customWidth="1"/>
    <col min="5893" max="5893" width="3.42578125" style="9" customWidth="1"/>
    <col min="5894" max="5894" width="24.7109375" style="9" customWidth="1"/>
    <col min="5895" max="5895" width="7.85546875" style="9" customWidth="1"/>
    <col min="5896" max="5896" width="7.28515625" style="9" customWidth="1"/>
    <col min="5897" max="5897" width="11.7109375" style="9" customWidth="1"/>
    <col min="5898" max="5898" width="14.42578125" style="9" customWidth="1"/>
    <col min="5899" max="5899" width="8.85546875" style="9"/>
    <col min="5900" max="5900" width="14.28515625" style="9" customWidth="1"/>
    <col min="5901" max="5901" width="10" style="9" customWidth="1"/>
    <col min="5902" max="6133" width="8.85546875" style="9"/>
    <col min="6134" max="6134" width="1.140625" style="9" customWidth="1"/>
    <col min="6135" max="6135" width="3.28515625" style="9" customWidth="1"/>
    <col min="6136" max="6136" width="2.42578125" style="9" customWidth="1"/>
    <col min="6137" max="6137" width="2.5703125" style="9" customWidth="1"/>
    <col min="6138" max="6138" width="2.85546875" style="9" customWidth="1"/>
    <col min="6139" max="6139" width="3" style="9" customWidth="1"/>
    <col min="6140" max="6140" width="24.7109375" style="9" customWidth="1"/>
    <col min="6141" max="6141" width="7.85546875" style="9" customWidth="1"/>
    <col min="6142" max="6142" width="7.42578125" style="9" customWidth="1"/>
    <col min="6143" max="6143" width="11.140625" style="9" customWidth="1"/>
    <col min="6144" max="6144" width="14.42578125" style="9" customWidth="1"/>
    <col min="6145" max="6145" width="3.42578125" style="9" customWidth="1"/>
    <col min="6146" max="6146" width="3" style="9" customWidth="1"/>
    <col min="6147" max="6147" width="3.28515625" style="9" customWidth="1"/>
    <col min="6148" max="6148" width="3.140625" style="9" customWidth="1"/>
    <col min="6149" max="6149" width="3.42578125" style="9" customWidth="1"/>
    <col min="6150" max="6150" width="24.7109375" style="9" customWidth="1"/>
    <col min="6151" max="6151" width="7.85546875" style="9" customWidth="1"/>
    <col min="6152" max="6152" width="7.28515625" style="9" customWidth="1"/>
    <col min="6153" max="6153" width="11.7109375" style="9" customWidth="1"/>
    <col min="6154" max="6154" width="14.42578125" style="9" customWidth="1"/>
    <col min="6155" max="6155" width="8.85546875" style="9"/>
    <col min="6156" max="6156" width="14.28515625" style="9" customWidth="1"/>
    <col min="6157" max="6157" width="10" style="9" customWidth="1"/>
    <col min="6158" max="6389" width="8.85546875" style="9"/>
    <col min="6390" max="6390" width="1.140625" style="9" customWidth="1"/>
    <col min="6391" max="6391" width="3.28515625" style="9" customWidth="1"/>
    <col min="6392" max="6392" width="2.42578125" style="9" customWidth="1"/>
    <col min="6393" max="6393" width="2.5703125" style="9" customWidth="1"/>
    <col min="6394" max="6394" width="2.85546875" style="9" customWidth="1"/>
    <col min="6395" max="6395" width="3" style="9" customWidth="1"/>
    <col min="6396" max="6396" width="24.7109375" style="9" customWidth="1"/>
    <col min="6397" max="6397" width="7.85546875" style="9" customWidth="1"/>
    <col min="6398" max="6398" width="7.42578125" style="9" customWidth="1"/>
    <col min="6399" max="6399" width="11.140625" style="9" customWidth="1"/>
    <col min="6400" max="6400" width="14.42578125" style="9" customWidth="1"/>
    <col min="6401" max="6401" width="3.42578125" style="9" customWidth="1"/>
    <col min="6402" max="6402" width="3" style="9" customWidth="1"/>
    <col min="6403" max="6403" width="3.28515625" style="9" customWidth="1"/>
    <col min="6404" max="6404" width="3.140625" style="9" customWidth="1"/>
    <col min="6405" max="6405" width="3.42578125" style="9" customWidth="1"/>
    <col min="6406" max="6406" width="24.7109375" style="9" customWidth="1"/>
    <col min="6407" max="6407" width="7.85546875" style="9" customWidth="1"/>
    <col min="6408" max="6408" width="7.28515625" style="9" customWidth="1"/>
    <col min="6409" max="6409" width="11.7109375" style="9" customWidth="1"/>
    <col min="6410" max="6410" width="14.42578125" style="9" customWidth="1"/>
    <col min="6411" max="6411" width="8.85546875" style="9"/>
    <col min="6412" max="6412" width="14.28515625" style="9" customWidth="1"/>
    <col min="6413" max="6413" width="10" style="9" customWidth="1"/>
    <col min="6414" max="6645" width="8.85546875" style="9"/>
    <col min="6646" max="6646" width="1.140625" style="9" customWidth="1"/>
    <col min="6647" max="6647" width="3.28515625" style="9" customWidth="1"/>
    <col min="6648" max="6648" width="2.42578125" style="9" customWidth="1"/>
    <col min="6649" max="6649" width="2.5703125" style="9" customWidth="1"/>
    <col min="6650" max="6650" width="2.85546875" style="9" customWidth="1"/>
    <col min="6651" max="6651" width="3" style="9" customWidth="1"/>
    <col min="6652" max="6652" width="24.7109375" style="9" customWidth="1"/>
    <col min="6653" max="6653" width="7.85546875" style="9" customWidth="1"/>
    <col min="6654" max="6654" width="7.42578125" style="9" customWidth="1"/>
    <col min="6655" max="6655" width="11.140625" style="9" customWidth="1"/>
    <col min="6656" max="6656" width="14.42578125" style="9" customWidth="1"/>
    <col min="6657" max="6657" width="3.42578125" style="9" customWidth="1"/>
    <col min="6658" max="6658" width="3" style="9" customWidth="1"/>
    <col min="6659" max="6659" width="3.28515625" style="9" customWidth="1"/>
    <col min="6660" max="6660" width="3.140625" style="9" customWidth="1"/>
    <col min="6661" max="6661" width="3.42578125" style="9" customWidth="1"/>
    <col min="6662" max="6662" width="24.7109375" style="9" customWidth="1"/>
    <col min="6663" max="6663" width="7.85546875" style="9" customWidth="1"/>
    <col min="6664" max="6664" width="7.28515625" style="9" customWidth="1"/>
    <col min="6665" max="6665" width="11.7109375" style="9" customWidth="1"/>
    <col min="6666" max="6666" width="14.42578125" style="9" customWidth="1"/>
    <col min="6667" max="6667" width="8.85546875" style="9"/>
    <col min="6668" max="6668" width="14.28515625" style="9" customWidth="1"/>
    <col min="6669" max="6669" width="10" style="9" customWidth="1"/>
    <col min="6670" max="6901" width="8.85546875" style="9"/>
    <col min="6902" max="6902" width="1.140625" style="9" customWidth="1"/>
    <col min="6903" max="6903" width="3.28515625" style="9" customWidth="1"/>
    <col min="6904" max="6904" width="2.42578125" style="9" customWidth="1"/>
    <col min="6905" max="6905" width="2.5703125" style="9" customWidth="1"/>
    <col min="6906" max="6906" width="2.85546875" style="9" customWidth="1"/>
    <col min="6907" max="6907" width="3" style="9" customWidth="1"/>
    <col min="6908" max="6908" width="24.7109375" style="9" customWidth="1"/>
    <col min="6909" max="6909" width="7.85546875" style="9" customWidth="1"/>
    <col min="6910" max="6910" width="7.42578125" style="9" customWidth="1"/>
    <col min="6911" max="6911" width="11.140625" style="9" customWidth="1"/>
    <col min="6912" max="6912" width="14.42578125" style="9" customWidth="1"/>
    <col min="6913" max="6913" width="3.42578125" style="9" customWidth="1"/>
    <col min="6914" max="6914" width="3" style="9" customWidth="1"/>
    <col min="6915" max="6915" width="3.28515625" style="9" customWidth="1"/>
    <col min="6916" max="6916" width="3.140625" style="9" customWidth="1"/>
    <col min="6917" max="6917" width="3.42578125" style="9" customWidth="1"/>
    <col min="6918" max="6918" width="24.7109375" style="9" customWidth="1"/>
    <col min="6919" max="6919" width="7.85546875" style="9" customWidth="1"/>
    <col min="6920" max="6920" width="7.28515625" style="9" customWidth="1"/>
    <col min="6921" max="6921" width="11.7109375" style="9" customWidth="1"/>
    <col min="6922" max="6922" width="14.42578125" style="9" customWidth="1"/>
    <col min="6923" max="6923" width="8.85546875" style="9"/>
    <col min="6924" max="6924" width="14.28515625" style="9" customWidth="1"/>
    <col min="6925" max="6925" width="10" style="9" customWidth="1"/>
    <col min="6926" max="7157" width="8.85546875" style="9"/>
    <col min="7158" max="7158" width="1.140625" style="9" customWidth="1"/>
    <col min="7159" max="7159" width="3.28515625" style="9" customWidth="1"/>
    <col min="7160" max="7160" width="2.42578125" style="9" customWidth="1"/>
    <col min="7161" max="7161" width="2.5703125" style="9" customWidth="1"/>
    <col min="7162" max="7162" width="2.85546875" style="9" customWidth="1"/>
    <col min="7163" max="7163" width="3" style="9" customWidth="1"/>
    <col min="7164" max="7164" width="24.7109375" style="9" customWidth="1"/>
    <col min="7165" max="7165" width="7.85546875" style="9" customWidth="1"/>
    <col min="7166" max="7166" width="7.42578125" style="9" customWidth="1"/>
    <col min="7167" max="7167" width="11.140625" style="9" customWidth="1"/>
    <col min="7168" max="7168" width="14.42578125" style="9" customWidth="1"/>
    <col min="7169" max="7169" width="3.42578125" style="9" customWidth="1"/>
    <col min="7170" max="7170" width="3" style="9" customWidth="1"/>
    <col min="7171" max="7171" width="3.28515625" style="9" customWidth="1"/>
    <col min="7172" max="7172" width="3.140625" style="9" customWidth="1"/>
    <col min="7173" max="7173" width="3.42578125" style="9" customWidth="1"/>
    <col min="7174" max="7174" width="24.7109375" style="9" customWidth="1"/>
    <col min="7175" max="7175" width="7.85546875" style="9" customWidth="1"/>
    <col min="7176" max="7176" width="7.28515625" style="9" customWidth="1"/>
    <col min="7177" max="7177" width="11.7109375" style="9" customWidth="1"/>
    <col min="7178" max="7178" width="14.42578125" style="9" customWidth="1"/>
    <col min="7179" max="7179" width="8.85546875" style="9"/>
    <col min="7180" max="7180" width="14.28515625" style="9" customWidth="1"/>
    <col min="7181" max="7181" width="10" style="9" customWidth="1"/>
    <col min="7182" max="7413" width="8.85546875" style="9"/>
    <col min="7414" max="7414" width="1.140625" style="9" customWidth="1"/>
    <col min="7415" max="7415" width="3.28515625" style="9" customWidth="1"/>
    <col min="7416" max="7416" width="2.42578125" style="9" customWidth="1"/>
    <col min="7417" max="7417" width="2.5703125" style="9" customWidth="1"/>
    <col min="7418" max="7418" width="2.85546875" style="9" customWidth="1"/>
    <col min="7419" max="7419" width="3" style="9" customWidth="1"/>
    <col min="7420" max="7420" width="24.7109375" style="9" customWidth="1"/>
    <col min="7421" max="7421" width="7.85546875" style="9" customWidth="1"/>
    <col min="7422" max="7422" width="7.42578125" style="9" customWidth="1"/>
    <col min="7423" max="7423" width="11.140625" style="9" customWidth="1"/>
    <col min="7424" max="7424" width="14.42578125" style="9" customWidth="1"/>
    <col min="7425" max="7425" width="3.42578125" style="9" customWidth="1"/>
    <col min="7426" max="7426" width="3" style="9" customWidth="1"/>
    <col min="7427" max="7427" width="3.28515625" style="9" customWidth="1"/>
    <col min="7428" max="7428" width="3.140625" style="9" customWidth="1"/>
    <col min="7429" max="7429" width="3.42578125" style="9" customWidth="1"/>
    <col min="7430" max="7430" width="24.7109375" style="9" customWidth="1"/>
    <col min="7431" max="7431" width="7.85546875" style="9" customWidth="1"/>
    <col min="7432" max="7432" width="7.28515625" style="9" customWidth="1"/>
    <col min="7433" max="7433" width="11.7109375" style="9" customWidth="1"/>
    <col min="7434" max="7434" width="14.42578125" style="9" customWidth="1"/>
    <col min="7435" max="7435" width="8.85546875" style="9"/>
    <col min="7436" max="7436" width="14.28515625" style="9" customWidth="1"/>
    <col min="7437" max="7437" width="10" style="9" customWidth="1"/>
    <col min="7438" max="7669" width="8.85546875" style="9"/>
    <col min="7670" max="7670" width="1.140625" style="9" customWidth="1"/>
    <col min="7671" max="7671" width="3.28515625" style="9" customWidth="1"/>
    <col min="7672" max="7672" width="2.42578125" style="9" customWidth="1"/>
    <col min="7673" max="7673" width="2.5703125" style="9" customWidth="1"/>
    <col min="7674" max="7674" width="2.85546875" style="9" customWidth="1"/>
    <col min="7675" max="7675" width="3" style="9" customWidth="1"/>
    <col min="7676" max="7676" width="24.7109375" style="9" customWidth="1"/>
    <col min="7677" max="7677" width="7.85546875" style="9" customWidth="1"/>
    <col min="7678" max="7678" width="7.42578125" style="9" customWidth="1"/>
    <col min="7679" max="7679" width="11.140625" style="9" customWidth="1"/>
    <col min="7680" max="7680" width="14.42578125" style="9" customWidth="1"/>
    <col min="7681" max="7681" width="3.42578125" style="9" customWidth="1"/>
    <col min="7682" max="7682" width="3" style="9" customWidth="1"/>
    <col min="7683" max="7683" width="3.28515625" style="9" customWidth="1"/>
    <col min="7684" max="7684" width="3.140625" style="9" customWidth="1"/>
    <col min="7685" max="7685" width="3.42578125" style="9" customWidth="1"/>
    <col min="7686" max="7686" width="24.7109375" style="9" customWidth="1"/>
    <col min="7687" max="7687" width="7.85546875" style="9" customWidth="1"/>
    <col min="7688" max="7688" width="7.28515625" style="9" customWidth="1"/>
    <col min="7689" max="7689" width="11.7109375" style="9" customWidth="1"/>
    <col min="7690" max="7690" width="14.42578125" style="9" customWidth="1"/>
    <col min="7691" max="7691" width="8.85546875" style="9"/>
    <col min="7692" max="7692" width="14.28515625" style="9" customWidth="1"/>
    <col min="7693" max="7693" width="10" style="9" customWidth="1"/>
    <col min="7694" max="7925" width="8.85546875" style="9"/>
    <col min="7926" max="7926" width="1.140625" style="9" customWidth="1"/>
    <col min="7927" max="7927" width="3.28515625" style="9" customWidth="1"/>
    <col min="7928" max="7928" width="2.42578125" style="9" customWidth="1"/>
    <col min="7929" max="7929" width="2.5703125" style="9" customWidth="1"/>
    <col min="7930" max="7930" width="2.85546875" style="9" customWidth="1"/>
    <col min="7931" max="7931" width="3" style="9" customWidth="1"/>
    <col min="7932" max="7932" width="24.7109375" style="9" customWidth="1"/>
    <col min="7933" max="7933" width="7.85546875" style="9" customWidth="1"/>
    <col min="7934" max="7934" width="7.42578125" style="9" customWidth="1"/>
    <col min="7935" max="7935" width="11.140625" style="9" customWidth="1"/>
    <col min="7936" max="7936" width="14.42578125" style="9" customWidth="1"/>
    <col min="7937" max="7937" width="3.42578125" style="9" customWidth="1"/>
    <col min="7938" max="7938" width="3" style="9" customWidth="1"/>
    <col min="7939" max="7939" width="3.28515625" style="9" customWidth="1"/>
    <col min="7940" max="7940" width="3.140625" style="9" customWidth="1"/>
    <col min="7941" max="7941" width="3.42578125" style="9" customWidth="1"/>
    <col min="7942" max="7942" width="24.7109375" style="9" customWidth="1"/>
    <col min="7943" max="7943" width="7.85546875" style="9" customWidth="1"/>
    <col min="7944" max="7944" width="7.28515625" style="9" customWidth="1"/>
    <col min="7945" max="7945" width="11.7109375" style="9" customWidth="1"/>
    <col min="7946" max="7946" width="14.42578125" style="9" customWidth="1"/>
    <col min="7947" max="7947" width="8.85546875" style="9"/>
    <col min="7948" max="7948" width="14.28515625" style="9" customWidth="1"/>
    <col min="7949" max="7949" width="10" style="9" customWidth="1"/>
    <col min="7950" max="8181" width="8.85546875" style="9"/>
    <col min="8182" max="8182" width="1.140625" style="9" customWidth="1"/>
    <col min="8183" max="8183" width="3.28515625" style="9" customWidth="1"/>
    <col min="8184" max="8184" width="2.42578125" style="9" customWidth="1"/>
    <col min="8185" max="8185" width="2.5703125" style="9" customWidth="1"/>
    <col min="8186" max="8186" width="2.85546875" style="9" customWidth="1"/>
    <col min="8187" max="8187" width="3" style="9" customWidth="1"/>
    <col min="8188" max="8188" width="24.7109375" style="9" customWidth="1"/>
    <col min="8189" max="8189" width="7.85546875" style="9" customWidth="1"/>
    <col min="8190" max="8190" width="7.42578125" style="9" customWidth="1"/>
    <col min="8191" max="8191" width="11.140625" style="9" customWidth="1"/>
    <col min="8192" max="8192" width="14.42578125" style="9" customWidth="1"/>
    <col min="8193" max="8193" width="3.42578125" style="9" customWidth="1"/>
    <col min="8194" max="8194" width="3" style="9" customWidth="1"/>
    <col min="8195" max="8195" width="3.28515625" style="9" customWidth="1"/>
    <col min="8196" max="8196" width="3.140625" style="9" customWidth="1"/>
    <col min="8197" max="8197" width="3.42578125" style="9" customWidth="1"/>
    <col min="8198" max="8198" width="24.7109375" style="9" customWidth="1"/>
    <col min="8199" max="8199" width="7.85546875" style="9" customWidth="1"/>
    <col min="8200" max="8200" width="7.28515625" style="9" customWidth="1"/>
    <col min="8201" max="8201" width="11.7109375" style="9" customWidth="1"/>
    <col min="8202" max="8202" width="14.42578125" style="9" customWidth="1"/>
    <col min="8203" max="8203" width="8.85546875" style="9"/>
    <col min="8204" max="8204" width="14.28515625" style="9" customWidth="1"/>
    <col min="8205" max="8205" width="10" style="9" customWidth="1"/>
    <col min="8206" max="8437" width="8.85546875" style="9"/>
    <col min="8438" max="8438" width="1.140625" style="9" customWidth="1"/>
    <col min="8439" max="8439" width="3.28515625" style="9" customWidth="1"/>
    <col min="8440" max="8440" width="2.42578125" style="9" customWidth="1"/>
    <col min="8441" max="8441" width="2.5703125" style="9" customWidth="1"/>
    <col min="8442" max="8442" width="2.85546875" style="9" customWidth="1"/>
    <col min="8443" max="8443" width="3" style="9" customWidth="1"/>
    <col min="8444" max="8444" width="24.7109375" style="9" customWidth="1"/>
    <col min="8445" max="8445" width="7.85546875" style="9" customWidth="1"/>
    <col min="8446" max="8446" width="7.42578125" style="9" customWidth="1"/>
    <col min="8447" max="8447" width="11.140625" style="9" customWidth="1"/>
    <col min="8448" max="8448" width="14.42578125" style="9" customWidth="1"/>
    <col min="8449" max="8449" width="3.42578125" style="9" customWidth="1"/>
    <col min="8450" max="8450" width="3" style="9" customWidth="1"/>
    <col min="8451" max="8451" width="3.28515625" style="9" customWidth="1"/>
    <col min="8452" max="8452" width="3.140625" style="9" customWidth="1"/>
    <col min="8453" max="8453" width="3.42578125" style="9" customWidth="1"/>
    <col min="8454" max="8454" width="24.7109375" style="9" customWidth="1"/>
    <col min="8455" max="8455" width="7.85546875" style="9" customWidth="1"/>
    <col min="8456" max="8456" width="7.28515625" style="9" customWidth="1"/>
    <col min="8457" max="8457" width="11.7109375" style="9" customWidth="1"/>
    <col min="8458" max="8458" width="14.42578125" style="9" customWidth="1"/>
    <col min="8459" max="8459" width="8.85546875" style="9"/>
    <col min="8460" max="8460" width="14.28515625" style="9" customWidth="1"/>
    <col min="8461" max="8461" width="10" style="9" customWidth="1"/>
    <col min="8462" max="8693" width="8.85546875" style="9"/>
    <col min="8694" max="8694" width="1.140625" style="9" customWidth="1"/>
    <col min="8695" max="8695" width="3.28515625" style="9" customWidth="1"/>
    <col min="8696" max="8696" width="2.42578125" style="9" customWidth="1"/>
    <col min="8697" max="8697" width="2.5703125" style="9" customWidth="1"/>
    <col min="8698" max="8698" width="2.85546875" style="9" customWidth="1"/>
    <col min="8699" max="8699" width="3" style="9" customWidth="1"/>
    <col min="8700" max="8700" width="24.7109375" style="9" customWidth="1"/>
    <col min="8701" max="8701" width="7.85546875" style="9" customWidth="1"/>
    <col min="8702" max="8702" width="7.42578125" style="9" customWidth="1"/>
    <col min="8703" max="8703" width="11.140625" style="9" customWidth="1"/>
    <col min="8704" max="8704" width="14.42578125" style="9" customWidth="1"/>
    <col min="8705" max="8705" width="3.42578125" style="9" customWidth="1"/>
    <col min="8706" max="8706" width="3" style="9" customWidth="1"/>
    <col min="8707" max="8707" width="3.28515625" style="9" customWidth="1"/>
    <col min="8708" max="8708" width="3.140625" style="9" customWidth="1"/>
    <col min="8709" max="8709" width="3.42578125" style="9" customWidth="1"/>
    <col min="8710" max="8710" width="24.7109375" style="9" customWidth="1"/>
    <col min="8711" max="8711" width="7.85546875" style="9" customWidth="1"/>
    <col min="8712" max="8712" width="7.28515625" style="9" customWidth="1"/>
    <col min="8713" max="8713" width="11.7109375" style="9" customWidth="1"/>
    <col min="8714" max="8714" width="14.42578125" style="9" customWidth="1"/>
    <col min="8715" max="8715" width="8.85546875" style="9"/>
    <col min="8716" max="8716" width="14.28515625" style="9" customWidth="1"/>
    <col min="8717" max="8717" width="10" style="9" customWidth="1"/>
    <col min="8718" max="8949" width="8.85546875" style="9"/>
    <col min="8950" max="8950" width="1.140625" style="9" customWidth="1"/>
    <col min="8951" max="8951" width="3.28515625" style="9" customWidth="1"/>
    <col min="8952" max="8952" width="2.42578125" style="9" customWidth="1"/>
    <col min="8953" max="8953" width="2.5703125" style="9" customWidth="1"/>
    <col min="8954" max="8954" width="2.85546875" style="9" customWidth="1"/>
    <col min="8955" max="8955" width="3" style="9" customWidth="1"/>
    <col min="8956" max="8956" width="24.7109375" style="9" customWidth="1"/>
    <col min="8957" max="8957" width="7.85546875" style="9" customWidth="1"/>
    <col min="8958" max="8958" width="7.42578125" style="9" customWidth="1"/>
    <col min="8959" max="8959" width="11.140625" style="9" customWidth="1"/>
    <col min="8960" max="8960" width="14.42578125" style="9" customWidth="1"/>
    <col min="8961" max="8961" width="3.42578125" style="9" customWidth="1"/>
    <col min="8962" max="8962" width="3" style="9" customWidth="1"/>
    <col min="8963" max="8963" width="3.28515625" style="9" customWidth="1"/>
    <col min="8964" max="8964" width="3.140625" style="9" customWidth="1"/>
    <col min="8965" max="8965" width="3.42578125" style="9" customWidth="1"/>
    <col min="8966" max="8966" width="24.7109375" style="9" customWidth="1"/>
    <col min="8967" max="8967" width="7.85546875" style="9" customWidth="1"/>
    <col min="8968" max="8968" width="7.28515625" style="9" customWidth="1"/>
    <col min="8969" max="8969" width="11.7109375" style="9" customWidth="1"/>
    <col min="8970" max="8970" width="14.42578125" style="9" customWidth="1"/>
    <col min="8971" max="8971" width="8.85546875" style="9"/>
    <col min="8972" max="8972" width="14.28515625" style="9" customWidth="1"/>
    <col min="8973" max="8973" width="10" style="9" customWidth="1"/>
    <col min="8974" max="9205" width="8.85546875" style="9"/>
    <col min="9206" max="9206" width="1.140625" style="9" customWidth="1"/>
    <col min="9207" max="9207" width="3.28515625" style="9" customWidth="1"/>
    <col min="9208" max="9208" width="2.42578125" style="9" customWidth="1"/>
    <col min="9209" max="9209" width="2.5703125" style="9" customWidth="1"/>
    <col min="9210" max="9210" width="2.85546875" style="9" customWidth="1"/>
    <col min="9211" max="9211" width="3" style="9" customWidth="1"/>
    <col min="9212" max="9212" width="24.7109375" style="9" customWidth="1"/>
    <col min="9213" max="9213" width="7.85546875" style="9" customWidth="1"/>
    <col min="9214" max="9214" width="7.42578125" style="9" customWidth="1"/>
    <col min="9215" max="9215" width="11.140625" style="9" customWidth="1"/>
    <col min="9216" max="9216" width="14.42578125" style="9" customWidth="1"/>
    <col min="9217" max="9217" width="3.42578125" style="9" customWidth="1"/>
    <col min="9218" max="9218" width="3" style="9" customWidth="1"/>
    <col min="9219" max="9219" width="3.28515625" style="9" customWidth="1"/>
    <col min="9220" max="9220" width="3.140625" style="9" customWidth="1"/>
    <col min="9221" max="9221" width="3.42578125" style="9" customWidth="1"/>
    <col min="9222" max="9222" width="24.7109375" style="9" customWidth="1"/>
    <col min="9223" max="9223" width="7.85546875" style="9" customWidth="1"/>
    <col min="9224" max="9224" width="7.28515625" style="9" customWidth="1"/>
    <col min="9225" max="9225" width="11.7109375" style="9" customWidth="1"/>
    <col min="9226" max="9226" width="14.42578125" style="9" customWidth="1"/>
    <col min="9227" max="9227" width="8.85546875" style="9"/>
    <col min="9228" max="9228" width="14.28515625" style="9" customWidth="1"/>
    <col min="9229" max="9229" width="10" style="9" customWidth="1"/>
    <col min="9230" max="9461" width="8.85546875" style="9"/>
    <col min="9462" max="9462" width="1.140625" style="9" customWidth="1"/>
    <col min="9463" max="9463" width="3.28515625" style="9" customWidth="1"/>
    <col min="9464" max="9464" width="2.42578125" style="9" customWidth="1"/>
    <col min="9465" max="9465" width="2.5703125" style="9" customWidth="1"/>
    <col min="9466" max="9466" width="2.85546875" style="9" customWidth="1"/>
    <col min="9467" max="9467" width="3" style="9" customWidth="1"/>
    <col min="9468" max="9468" width="24.7109375" style="9" customWidth="1"/>
    <col min="9469" max="9469" width="7.85546875" style="9" customWidth="1"/>
    <col min="9470" max="9470" width="7.42578125" style="9" customWidth="1"/>
    <col min="9471" max="9471" width="11.140625" style="9" customWidth="1"/>
    <col min="9472" max="9472" width="14.42578125" style="9" customWidth="1"/>
    <col min="9473" max="9473" width="3.42578125" style="9" customWidth="1"/>
    <col min="9474" max="9474" width="3" style="9" customWidth="1"/>
    <col min="9475" max="9475" width="3.28515625" style="9" customWidth="1"/>
    <col min="9476" max="9476" width="3.140625" style="9" customWidth="1"/>
    <col min="9477" max="9477" width="3.42578125" style="9" customWidth="1"/>
    <col min="9478" max="9478" width="24.7109375" style="9" customWidth="1"/>
    <col min="9479" max="9479" width="7.85546875" style="9" customWidth="1"/>
    <col min="9480" max="9480" width="7.28515625" style="9" customWidth="1"/>
    <col min="9481" max="9481" width="11.7109375" style="9" customWidth="1"/>
    <col min="9482" max="9482" width="14.42578125" style="9" customWidth="1"/>
    <col min="9483" max="9483" width="8.85546875" style="9"/>
    <col min="9484" max="9484" width="14.28515625" style="9" customWidth="1"/>
    <col min="9485" max="9485" width="10" style="9" customWidth="1"/>
    <col min="9486" max="9717" width="8.85546875" style="9"/>
    <col min="9718" max="9718" width="1.140625" style="9" customWidth="1"/>
    <col min="9719" max="9719" width="3.28515625" style="9" customWidth="1"/>
    <col min="9720" max="9720" width="2.42578125" style="9" customWidth="1"/>
    <col min="9721" max="9721" width="2.5703125" style="9" customWidth="1"/>
    <col min="9722" max="9722" width="2.85546875" style="9" customWidth="1"/>
    <col min="9723" max="9723" width="3" style="9" customWidth="1"/>
    <col min="9724" max="9724" width="24.7109375" style="9" customWidth="1"/>
    <col min="9725" max="9725" width="7.85546875" style="9" customWidth="1"/>
    <col min="9726" max="9726" width="7.42578125" style="9" customWidth="1"/>
    <col min="9727" max="9727" width="11.140625" style="9" customWidth="1"/>
    <col min="9728" max="9728" width="14.42578125" style="9" customWidth="1"/>
    <col min="9729" max="9729" width="3.42578125" style="9" customWidth="1"/>
    <col min="9730" max="9730" width="3" style="9" customWidth="1"/>
    <col min="9731" max="9731" width="3.28515625" style="9" customWidth="1"/>
    <col min="9732" max="9732" width="3.140625" style="9" customWidth="1"/>
    <col min="9733" max="9733" width="3.42578125" style="9" customWidth="1"/>
    <col min="9734" max="9734" width="24.7109375" style="9" customWidth="1"/>
    <col min="9735" max="9735" width="7.85546875" style="9" customWidth="1"/>
    <col min="9736" max="9736" width="7.28515625" style="9" customWidth="1"/>
    <col min="9737" max="9737" width="11.7109375" style="9" customWidth="1"/>
    <col min="9738" max="9738" width="14.42578125" style="9" customWidth="1"/>
    <col min="9739" max="9739" width="8.85546875" style="9"/>
    <col min="9740" max="9740" width="14.28515625" style="9" customWidth="1"/>
    <col min="9741" max="9741" width="10" style="9" customWidth="1"/>
    <col min="9742" max="9973" width="8.85546875" style="9"/>
    <col min="9974" max="9974" width="1.140625" style="9" customWidth="1"/>
    <col min="9975" max="9975" width="3.28515625" style="9" customWidth="1"/>
    <col min="9976" max="9976" width="2.42578125" style="9" customWidth="1"/>
    <col min="9977" max="9977" width="2.5703125" style="9" customWidth="1"/>
    <col min="9978" max="9978" width="2.85546875" style="9" customWidth="1"/>
    <col min="9979" max="9979" width="3" style="9" customWidth="1"/>
    <col min="9980" max="9980" width="24.7109375" style="9" customWidth="1"/>
    <col min="9981" max="9981" width="7.85546875" style="9" customWidth="1"/>
    <col min="9982" max="9982" width="7.42578125" style="9" customWidth="1"/>
    <col min="9983" max="9983" width="11.140625" style="9" customWidth="1"/>
    <col min="9984" max="9984" width="14.42578125" style="9" customWidth="1"/>
    <col min="9985" max="9985" width="3.42578125" style="9" customWidth="1"/>
    <col min="9986" max="9986" width="3" style="9" customWidth="1"/>
    <col min="9987" max="9987" width="3.28515625" style="9" customWidth="1"/>
    <col min="9988" max="9988" width="3.140625" style="9" customWidth="1"/>
    <col min="9989" max="9989" width="3.42578125" style="9" customWidth="1"/>
    <col min="9990" max="9990" width="24.7109375" style="9" customWidth="1"/>
    <col min="9991" max="9991" width="7.85546875" style="9" customWidth="1"/>
    <col min="9992" max="9992" width="7.28515625" style="9" customWidth="1"/>
    <col min="9993" max="9993" width="11.7109375" style="9" customWidth="1"/>
    <col min="9994" max="9994" width="14.42578125" style="9" customWidth="1"/>
    <col min="9995" max="9995" width="8.85546875" style="9"/>
    <col min="9996" max="9996" width="14.28515625" style="9" customWidth="1"/>
    <col min="9997" max="9997" width="10" style="9" customWidth="1"/>
    <col min="9998" max="10229" width="8.85546875" style="9"/>
    <col min="10230" max="10230" width="1.140625" style="9" customWidth="1"/>
    <col min="10231" max="10231" width="3.28515625" style="9" customWidth="1"/>
    <col min="10232" max="10232" width="2.42578125" style="9" customWidth="1"/>
    <col min="10233" max="10233" width="2.5703125" style="9" customWidth="1"/>
    <col min="10234" max="10234" width="2.85546875" style="9" customWidth="1"/>
    <col min="10235" max="10235" width="3" style="9" customWidth="1"/>
    <col min="10236" max="10236" width="24.7109375" style="9" customWidth="1"/>
    <col min="10237" max="10237" width="7.85546875" style="9" customWidth="1"/>
    <col min="10238" max="10238" width="7.42578125" style="9" customWidth="1"/>
    <col min="10239" max="10239" width="11.140625" style="9" customWidth="1"/>
    <col min="10240" max="10240" width="14.42578125" style="9" customWidth="1"/>
    <col min="10241" max="10241" width="3.42578125" style="9" customWidth="1"/>
    <col min="10242" max="10242" width="3" style="9" customWidth="1"/>
    <col min="10243" max="10243" width="3.28515625" style="9" customWidth="1"/>
    <col min="10244" max="10244" width="3.140625" style="9" customWidth="1"/>
    <col min="10245" max="10245" width="3.42578125" style="9" customWidth="1"/>
    <col min="10246" max="10246" width="24.7109375" style="9" customWidth="1"/>
    <col min="10247" max="10247" width="7.85546875" style="9" customWidth="1"/>
    <col min="10248" max="10248" width="7.28515625" style="9" customWidth="1"/>
    <col min="10249" max="10249" width="11.7109375" style="9" customWidth="1"/>
    <col min="10250" max="10250" width="14.42578125" style="9" customWidth="1"/>
    <col min="10251" max="10251" width="8.85546875" style="9"/>
    <col min="10252" max="10252" width="14.28515625" style="9" customWidth="1"/>
    <col min="10253" max="10253" width="10" style="9" customWidth="1"/>
    <col min="10254" max="10485" width="8.85546875" style="9"/>
    <col min="10486" max="10486" width="1.140625" style="9" customWidth="1"/>
    <col min="10487" max="10487" width="3.28515625" style="9" customWidth="1"/>
    <col min="10488" max="10488" width="2.42578125" style="9" customWidth="1"/>
    <col min="10489" max="10489" width="2.5703125" style="9" customWidth="1"/>
    <col min="10490" max="10490" width="2.85546875" style="9" customWidth="1"/>
    <col min="10491" max="10491" width="3" style="9" customWidth="1"/>
    <col min="10492" max="10492" width="24.7109375" style="9" customWidth="1"/>
    <col min="10493" max="10493" width="7.85546875" style="9" customWidth="1"/>
    <col min="10494" max="10494" width="7.42578125" style="9" customWidth="1"/>
    <col min="10495" max="10495" width="11.140625" style="9" customWidth="1"/>
    <col min="10496" max="10496" width="14.42578125" style="9" customWidth="1"/>
    <col min="10497" max="10497" width="3.42578125" style="9" customWidth="1"/>
    <col min="10498" max="10498" width="3" style="9" customWidth="1"/>
    <col min="10499" max="10499" width="3.28515625" style="9" customWidth="1"/>
    <col min="10500" max="10500" width="3.140625" style="9" customWidth="1"/>
    <col min="10501" max="10501" width="3.42578125" style="9" customWidth="1"/>
    <col min="10502" max="10502" width="24.7109375" style="9" customWidth="1"/>
    <col min="10503" max="10503" width="7.85546875" style="9" customWidth="1"/>
    <col min="10504" max="10504" width="7.28515625" style="9" customWidth="1"/>
    <col min="10505" max="10505" width="11.7109375" style="9" customWidth="1"/>
    <col min="10506" max="10506" width="14.42578125" style="9" customWidth="1"/>
    <col min="10507" max="10507" width="8.85546875" style="9"/>
    <col min="10508" max="10508" width="14.28515625" style="9" customWidth="1"/>
    <col min="10509" max="10509" width="10" style="9" customWidth="1"/>
    <col min="10510" max="10741" width="8.85546875" style="9"/>
    <col min="10742" max="10742" width="1.140625" style="9" customWidth="1"/>
    <col min="10743" max="10743" width="3.28515625" style="9" customWidth="1"/>
    <col min="10744" max="10744" width="2.42578125" style="9" customWidth="1"/>
    <col min="10745" max="10745" width="2.5703125" style="9" customWidth="1"/>
    <col min="10746" max="10746" width="2.85546875" style="9" customWidth="1"/>
    <col min="10747" max="10747" width="3" style="9" customWidth="1"/>
    <col min="10748" max="10748" width="24.7109375" style="9" customWidth="1"/>
    <col min="10749" max="10749" width="7.85546875" style="9" customWidth="1"/>
    <col min="10750" max="10750" width="7.42578125" style="9" customWidth="1"/>
    <col min="10751" max="10751" width="11.140625" style="9" customWidth="1"/>
    <col min="10752" max="10752" width="14.42578125" style="9" customWidth="1"/>
    <col min="10753" max="10753" width="3.42578125" style="9" customWidth="1"/>
    <col min="10754" max="10754" width="3" style="9" customWidth="1"/>
    <col min="10755" max="10755" width="3.28515625" style="9" customWidth="1"/>
    <col min="10756" max="10756" width="3.140625" style="9" customWidth="1"/>
    <col min="10757" max="10757" width="3.42578125" style="9" customWidth="1"/>
    <col min="10758" max="10758" width="24.7109375" style="9" customWidth="1"/>
    <col min="10759" max="10759" width="7.85546875" style="9" customWidth="1"/>
    <col min="10760" max="10760" width="7.28515625" style="9" customWidth="1"/>
    <col min="10761" max="10761" width="11.7109375" style="9" customWidth="1"/>
    <col min="10762" max="10762" width="14.42578125" style="9" customWidth="1"/>
    <col min="10763" max="10763" width="8.85546875" style="9"/>
    <col min="10764" max="10764" width="14.28515625" style="9" customWidth="1"/>
    <col min="10765" max="10765" width="10" style="9" customWidth="1"/>
    <col min="10766" max="10997" width="8.85546875" style="9"/>
    <col min="10998" max="10998" width="1.140625" style="9" customWidth="1"/>
    <col min="10999" max="10999" width="3.28515625" style="9" customWidth="1"/>
    <col min="11000" max="11000" width="2.42578125" style="9" customWidth="1"/>
    <col min="11001" max="11001" width="2.5703125" style="9" customWidth="1"/>
    <col min="11002" max="11002" width="2.85546875" style="9" customWidth="1"/>
    <col min="11003" max="11003" width="3" style="9" customWidth="1"/>
    <col min="11004" max="11004" width="24.7109375" style="9" customWidth="1"/>
    <col min="11005" max="11005" width="7.85546875" style="9" customWidth="1"/>
    <col min="11006" max="11006" width="7.42578125" style="9" customWidth="1"/>
    <col min="11007" max="11007" width="11.140625" style="9" customWidth="1"/>
    <col min="11008" max="11008" width="14.42578125" style="9" customWidth="1"/>
    <col min="11009" max="11009" width="3.42578125" style="9" customWidth="1"/>
    <col min="11010" max="11010" width="3" style="9" customWidth="1"/>
    <col min="11011" max="11011" width="3.28515625" style="9" customWidth="1"/>
    <col min="11012" max="11012" width="3.140625" style="9" customWidth="1"/>
    <col min="11013" max="11013" width="3.42578125" style="9" customWidth="1"/>
    <col min="11014" max="11014" width="24.7109375" style="9" customWidth="1"/>
    <col min="11015" max="11015" width="7.85546875" style="9" customWidth="1"/>
    <col min="11016" max="11016" width="7.28515625" style="9" customWidth="1"/>
    <col min="11017" max="11017" width="11.7109375" style="9" customWidth="1"/>
    <col min="11018" max="11018" width="14.42578125" style="9" customWidth="1"/>
    <col min="11019" max="11019" width="8.85546875" style="9"/>
    <col min="11020" max="11020" width="14.28515625" style="9" customWidth="1"/>
    <col min="11021" max="11021" width="10" style="9" customWidth="1"/>
    <col min="11022" max="11253" width="8.85546875" style="9"/>
    <col min="11254" max="11254" width="1.140625" style="9" customWidth="1"/>
    <col min="11255" max="11255" width="3.28515625" style="9" customWidth="1"/>
    <col min="11256" max="11256" width="2.42578125" style="9" customWidth="1"/>
    <col min="11257" max="11257" width="2.5703125" style="9" customWidth="1"/>
    <col min="11258" max="11258" width="2.85546875" style="9" customWidth="1"/>
    <col min="11259" max="11259" width="3" style="9" customWidth="1"/>
    <col min="11260" max="11260" width="24.7109375" style="9" customWidth="1"/>
    <col min="11261" max="11261" width="7.85546875" style="9" customWidth="1"/>
    <col min="11262" max="11262" width="7.42578125" style="9" customWidth="1"/>
    <col min="11263" max="11263" width="11.140625" style="9" customWidth="1"/>
    <col min="11264" max="11264" width="14.42578125" style="9" customWidth="1"/>
    <col min="11265" max="11265" width="3.42578125" style="9" customWidth="1"/>
    <col min="11266" max="11266" width="3" style="9" customWidth="1"/>
    <col min="11267" max="11267" width="3.28515625" style="9" customWidth="1"/>
    <col min="11268" max="11268" width="3.140625" style="9" customWidth="1"/>
    <col min="11269" max="11269" width="3.42578125" style="9" customWidth="1"/>
    <col min="11270" max="11270" width="24.7109375" style="9" customWidth="1"/>
    <col min="11271" max="11271" width="7.85546875" style="9" customWidth="1"/>
    <col min="11272" max="11272" width="7.28515625" style="9" customWidth="1"/>
    <col min="11273" max="11273" width="11.7109375" style="9" customWidth="1"/>
    <col min="11274" max="11274" width="14.42578125" style="9" customWidth="1"/>
    <col min="11275" max="11275" width="8.85546875" style="9"/>
    <col min="11276" max="11276" width="14.28515625" style="9" customWidth="1"/>
    <col min="11277" max="11277" width="10" style="9" customWidth="1"/>
    <col min="11278" max="11509" width="8.85546875" style="9"/>
    <col min="11510" max="11510" width="1.140625" style="9" customWidth="1"/>
    <col min="11511" max="11511" width="3.28515625" style="9" customWidth="1"/>
    <col min="11512" max="11512" width="2.42578125" style="9" customWidth="1"/>
    <col min="11513" max="11513" width="2.5703125" style="9" customWidth="1"/>
    <col min="11514" max="11514" width="2.85546875" style="9" customWidth="1"/>
    <col min="11515" max="11515" width="3" style="9" customWidth="1"/>
    <col min="11516" max="11516" width="24.7109375" style="9" customWidth="1"/>
    <col min="11517" max="11517" width="7.85546875" style="9" customWidth="1"/>
    <col min="11518" max="11518" width="7.42578125" style="9" customWidth="1"/>
    <col min="11519" max="11519" width="11.140625" style="9" customWidth="1"/>
    <col min="11520" max="11520" width="14.42578125" style="9" customWidth="1"/>
    <col min="11521" max="11521" width="3.42578125" style="9" customWidth="1"/>
    <col min="11522" max="11522" width="3" style="9" customWidth="1"/>
    <col min="11523" max="11523" width="3.28515625" style="9" customWidth="1"/>
    <col min="11524" max="11524" width="3.140625" style="9" customWidth="1"/>
    <col min="11525" max="11525" width="3.42578125" style="9" customWidth="1"/>
    <col min="11526" max="11526" width="24.7109375" style="9" customWidth="1"/>
    <col min="11527" max="11527" width="7.85546875" style="9" customWidth="1"/>
    <col min="11528" max="11528" width="7.28515625" style="9" customWidth="1"/>
    <col min="11529" max="11529" width="11.7109375" style="9" customWidth="1"/>
    <col min="11530" max="11530" width="14.42578125" style="9" customWidth="1"/>
    <col min="11531" max="11531" width="8.85546875" style="9"/>
    <col min="11532" max="11532" width="14.28515625" style="9" customWidth="1"/>
    <col min="11533" max="11533" width="10" style="9" customWidth="1"/>
    <col min="11534" max="11765" width="8.85546875" style="9"/>
    <col min="11766" max="11766" width="1.140625" style="9" customWidth="1"/>
    <col min="11767" max="11767" width="3.28515625" style="9" customWidth="1"/>
    <col min="11768" max="11768" width="2.42578125" style="9" customWidth="1"/>
    <col min="11769" max="11769" width="2.5703125" style="9" customWidth="1"/>
    <col min="11770" max="11770" width="2.85546875" style="9" customWidth="1"/>
    <col min="11771" max="11771" width="3" style="9" customWidth="1"/>
    <col min="11772" max="11772" width="24.7109375" style="9" customWidth="1"/>
    <col min="11773" max="11773" width="7.85546875" style="9" customWidth="1"/>
    <col min="11774" max="11774" width="7.42578125" style="9" customWidth="1"/>
    <col min="11775" max="11775" width="11.140625" style="9" customWidth="1"/>
    <col min="11776" max="11776" width="14.42578125" style="9" customWidth="1"/>
    <col min="11777" max="11777" width="3.42578125" style="9" customWidth="1"/>
    <col min="11778" max="11778" width="3" style="9" customWidth="1"/>
    <col min="11779" max="11779" width="3.28515625" style="9" customWidth="1"/>
    <col min="11780" max="11780" width="3.140625" style="9" customWidth="1"/>
    <col min="11781" max="11781" width="3.42578125" style="9" customWidth="1"/>
    <col min="11782" max="11782" width="24.7109375" style="9" customWidth="1"/>
    <col min="11783" max="11783" width="7.85546875" style="9" customWidth="1"/>
    <col min="11784" max="11784" width="7.28515625" style="9" customWidth="1"/>
    <col min="11785" max="11785" width="11.7109375" style="9" customWidth="1"/>
    <col min="11786" max="11786" width="14.42578125" style="9" customWidth="1"/>
    <col min="11787" max="11787" width="8.85546875" style="9"/>
    <col min="11788" max="11788" width="14.28515625" style="9" customWidth="1"/>
    <col min="11789" max="11789" width="10" style="9" customWidth="1"/>
    <col min="11790" max="12021" width="8.85546875" style="9"/>
    <col min="12022" max="12022" width="1.140625" style="9" customWidth="1"/>
    <col min="12023" max="12023" width="3.28515625" style="9" customWidth="1"/>
    <col min="12024" max="12024" width="2.42578125" style="9" customWidth="1"/>
    <col min="12025" max="12025" width="2.5703125" style="9" customWidth="1"/>
    <col min="12026" max="12026" width="2.85546875" style="9" customWidth="1"/>
    <col min="12027" max="12027" width="3" style="9" customWidth="1"/>
    <col min="12028" max="12028" width="24.7109375" style="9" customWidth="1"/>
    <col min="12029" max="12029" width="7.85546875" style="9" customWidth="1"/>
    <col min="12030" max="12030" width="7.42578125" style="9" customWidth="1"/>
    <col min="12031" max="12031" width="11.140625" style="9" customWidth="1"/>
    <col min="12032" max="12032" width="14.42578125" style="9" customWidth="1"/>
    <col min="12033" max="12033" width="3.42578125" style="9" customWidth="1"/>
    <col min="12034" max="12034" width="3" style="9" customWidth="1"/>
    <col min="12035" max="12035" width="3.28515625" style="9" customWidth="1"/>
    <col min="12036" max="12036" width="3.140625" style="9" customWidth="1"/>
    <col min="12037" max="12037" width="3.42578125" style="9" customWidth="1"/>
    <col min="12038" max="12038" width="24.7109375" style="9" customWidth="1"/>
    <col min="12039" max="12039" width="7.85546875" style="9" customWidth="1"/>
    <col min="12040" max="12040" width="7.28515625" style="9" customWidth="1"/>
    <col min="12041" max="12041" width="11.7109375" style="9" customWidth="1"/>
    <col min="12042" max="12042" width="14.42578125" style="9" customWidth="1"/>
    <col min="12043" max="12043" width="8.85546875" style="9"/>
    <col min="12044" max="12044" width="14.28515625" style="9" customWidth="1"/>
    <col min="12045" max="12045" width="10" style="9" customWidth="1"/>
    <col min="12046" max="12277" width="8.85546875" style="9"/>
    <col min="12278" max="12278" width="1.140625" style="9" customWidth="1"/>
    <col min="12279" max="12279" width="3.28515625" style="9" customWidth="1"/>
    <col min="12280" max="12280" width="2.42578125" style="9" customWidth="1"/>
    <col min="12281" max="12281" width="2.5703125" style="9" customWidth="1"/>
    <col min="12282" max="12282" width="2.85546875" style="9" customWidth="1"/>
    <col min="12283" max="12283" width="3" style="9" customWidth="1"/>
    <col min="12284" max="12284" width="24.7109375" style="9" customWidth="1"/>
    <col min="12285" max="12285" width="7.85546875" style="9" customWidth="1"/>
    <col min="12286" max="12286" width="7.42578125" style="9" customWidth="1"/>
    <col min="12287" max="12287" width="11.140625" style="9" customWidth="1"/>
    <col min="12288" max="12288" width="14.42578125" style="9" customWidth="1"/>
    <col min="12289" max="12289" width="3.42578125" style="9" customWidth="1"/>
    <col min="12290" max="12290" width="3" style="9" customWidth="1"/>
    <col min="12291" max="12291" width="3.28515625" style="9" customWidth="1"/>
    <col min="12292" max="12292" width="3.140625" style="9" customWidth="1"/>
    <col min="12293" max="12293" width="3.42578125" style="9" customWidth="1"/>
    <col min="12294" max="12294" width="24.7109375" style="9" customWidth="1"/>
    <col min="12295" max="12295" width="7.85546875" style="9" customWidth="1"/>
    <col min="12296" max="12296" width="7.28515625" style="9" customWidth="1"/>
    <col min="12297" max="12297" width="11.7109375" style="9" customWidth="1"/>
    <col min="12298" max="12298" width="14.42578125" style="9" customWidth="1"/>
    <col min="12299" max="12299" width="8.85546875" style="9"/>
    <col min="12300" max="12300" width="14.28515625" style="9" customWidth="1"/>
    <col min="12301" max="12301" width="10" style="9" customWidth="1"/>
    <col min="12302" max="12533" width="8.85546875" style="9"/>
    <col min="12534" max="12534" width="1.140625" style="9" customWidth="1"/>
    <col min="12535" max="12535" width="3.28515625" style="9" customWidth="1"/>
    <col min="12536" max="12536" width="2.42578125" style="9" customWidth="1"/>
    <col min="12537" max="12537" width="2.5703125" style="9" customWidth="1"/>
    <col min="12538" max="12538" width="2.85546875" style="9" customWidth="1"/>
    <col min="12539" max="12539" width="3" style="9" customWidth="1"/>
    <col min="12540" max="12540" width="24.7109375" style="9" customWidth="1"/>
    <col min="12541" max="12541" width="7.85546875" style="9" customWidth="1"/>
    <col min="12542" max="12542" width="7.42578125" style="9" customWidth="1"/>
    <col min="12543" max="12543" width="11.140625" style="9" customWidth="1"/>
    <col min="12544" max="12544" width="14.42578125" style="9" customWidth="1"/>
    <col min="12545" max="12545" width="3.42578125" style="9" customWidth="1"/>
    <col min="12546" max="12546" width="3" style="9" customWidth="1"/>
    <col min="12547" max="12547" width="3.28515625" style="9" customWidth="1"/>
    <col min="12548" max="12548" width="3.140625" style="9" customWidth="1"/>
    <col min="12549" max="12549" width="3.42578125" style="9" customWidth="1"/>
    <col min="12550" max="12550" width="24.7109375" style="9" customWidth="1"/>
    <col min="12551" max="12551" width="7.85546875" style="9" customWidth="1"/>
    <col min="12552" max="12552" width="7.28515625" style="9" customWidth="1"/>
    <col min="12553" max="12553" width="11.7109375" style="9" customWidth="1"/>
    <col min="12554" max="12554" width="14.42578125" style="9" customWidth="1"/>
    <col min="12555" max="12555" width="8.85546875" style="9"/>
    <col min="12556" max="12556" width="14.28515625" style="9" customWidth="1"/>
    <col min="12557" max="12557" width="10" style="9" customWidth="1"/>
    <col min="12558" max="12789" width="8.85546875" style="9"/>
    <col min="12790" max="12790" width="1.140625" style="9" customWidth="1"/>
    <col min="12791" max="12791" width="3.28515625" style="9" customWidth="1"/>
    <col min="12792" max="12792" width="2.42578125" style="9" customWidth="1"/>
    <col min="12793" max="12793" width="2.5703125" style="9" customWidth="1"/>
    <col min="12794" max="12794" width="2.85546875" style="9" customWidth="1"/>
    <col min="12795" max="12795" width="3" style="9" customWidth="1"/>
    <col min="12796" max="12796" width="24.7109375" style="9" customWidth="1"/>
    <col min="12797" max="12797" width="7.85546875" style="9" customWidth="1"/>
    <col min="12798" max="12798" width="7.42578125" style="9" customWidth="1"/>
    <col min="12799" max="12799" width="11.140625" style="9" customWidth="1"/>
    <col min="12800" max="12800" width="14.42578125" style="9" customWidth="1"/>
    <col min="12801" max="12801" width="3.42578125" style="9" customWidth="1"/>
    <col min="12802" max="12802" width="3" style="9" customWidth="1"/>
    <col min="12803" max="12803" width="3.28515625" style="9" customWidth="1"/>
    <col min="12804" max="12804" width="3.140625" style="9" customWidth="1"/>
    <col min="12805" max="12805" width="3.42578125" style="9" customWidth="1"/>
    <col min="12806" max="12806" width="24.7109375" style="9" customWidth="1"/>
    <col min="12807" max="12807" width="7.85546875" style="9" customWidth="1"/>
    <col min="12808" max="12808" width="7.28515625" style="9" customWidth="1"/>
    <col min="12809" max="12809" width="11.7109375" style="9" customWidth="1"/>
    <col min="12810" max="12810" width="14.42578125" style="9" customWidth="1"/>
    <col min="12811" max="12811" width="8.85546875" style="9"/>
    <col min="12812" max="12812" width="14.28515625" style="9" customWidth="1"/>
    <col min="12813" max="12813" width="10" style="9" customWidth="1"/>
    <col min="12814" max="13045" width="8.85546875" style="9"/>
    <col min="13046" max="13046" width="1.140625" style="9" customWidth="1"/>
    <col min="13047" max="13047" width="3.28515625" style="9" customWidth="1"/>
    <col min="13048" max="13048" width="2.42578125" style="9" customWidth="1"/>
    <col min="13049" max="13049" width="2.5703125" style="9" customWidth="1"/>
    <col min="13050" max="13050" width="2.85546875" style="9" customWidth="1"/>
    <col min="13051" max="13051" width="3" style="9" customWidth="1"/>
    <col min="13052" max="13052" width="24.7109375" style="9" customWidth="1"/>
    <col min="13053" max="13053" width="7.85546875" style="9" customWidth="1"/>
    <col min="13054" max="13054" width="7.42578125" style="9" customWidth="1"/>
    <col min="13055" max="13055" width="11.140625" style="9" customWidth="1"/>
    <col min="13056" max="13056" width="14.42578125" style="9" customWidth="1"/>
    <col min="13057" max="13057" width="3.42578125" style="9" customWidth="1"/>
    <col min="13058" max="13058" width="3" style="9" customWidth="1"/>
    <col min="13059" max="13059" width="3.28515625" style="9" customWidth="1"/>
    <col min="13060" max="13060" width="3.140625" style="9" customWidth="1"/>
    <col min="13061" max="13061" width="3.42578125" style="9" customWidth="1"/>
    <col min="13062" max="13062" width="24.7109375" style="9" customWidth="1"/>
    <col min="13063" max="13063" width="7.85546875" style="9" customWidth="1"/>
    <col min="13064" max="13064" width="7.28515625" style="9" customWidth="1"/>
    <col min="13065" max="13065" width="11.7109375" style="9" customWidth="1"/>
    <col min="13066" max="13066" width="14.42578125" style="9" customWidth="1"/>
    <col min="13067" max="13067" width="8.85546875" style="9"/>
    <col min="13068" max="13068" width="14.28515625" style="9" customWidth="1"/>
    <col min="13069" max="13069" width="10" style="9" customWidth="1"/>
    <col min="13070" max="13301" width="8.85546875" style="9"/>
    <col min="13302" max="13302" width="1.140625" style="9" customWidth="1"/>
    <col min="13303" max="13303" width="3.28515625" style="9" customWidth="1"/>
    <col min="13304" max="13304" width="2.42578125" style="9" customWidth="1"/>
    <col min="13305" max="13305" width="2.5703125" style="9" customWidth="1"/>
    <col min="13306" max="13306" width="2.85546875" style="9" customWidth="1"/>
    <col min="13307" max="13307" width="3" style="9" customWidth="1"/>
    <col min="13308" max="13308" width="24.7109375" style="9" customWidth="1"/>
    <col min="13309" max="13309" width="7.85546875" style="9" customWidth="1"/>
    <col min="13310" max="13310" width="7.42578125" style="9" customWidth="1"/>
    <col min="13311" max="13311" width="11.140625" style="9" customWidth="1"/>
    <col min="13312" max="13312" width="14.42578125" style="9" customWidth="1"/>
    <col min="13313" max="13313" width="3.42578125" style="9" customWidth="1"/>
    <col min="13314" max="13314" width="3" style="9" customWidth="1"/>
    <col min="13315" max="13315" width="3.28515625" style="9" customWidth="1"/>
    <col min="13316" max="13316" width="3.140625" style="9" customWidth="1"/>
    <col min="13317" max="13317" width="3.42578125" style="9" customWidth="1"/>
    <col min="13318" max="13318" width="24.7109375" style="9" customWidth="1"/>
    <col min="13319" max="13319" width="7.85546875" style="9" customWidth="1"/>
    <col min="13320" max="13320" width="7.28515625" style="9" customWidth="1"/>
    <col min="13321" max="13321" width="11.7109375" style="9" customWidth="1"/>
    <col min="13322" max="13322" width="14.42578125" style="9" customWidth="1"/>
    <col min="13323" max="13323" width="8.85546875" style="9"/>
    <col min="13324" max="13324" width="14.28515625" style="9" customWidth="1"/>
    <col min="13325" max="13325" width="10" style="9" customWidth="1"/>
    <col min="13326" max="13557" width="8.85546875" style="9"/>
    <col min="13558" max="13558" width="1.140625" style="9" customWidth="1"/>
    <col min="13559" max="13559" width="3.28515625" style="9" customWidth="1"/>
    <col min="13560" max="13560" width="2.42578125" style="9" customWidth="1"/>
    <col min="13561" max="13561" width="2.5703125" style="9" customWidth="1"/>
    <col min="13562" max="13562" width="2.85546875" style="9" customWidth="1"/>
    <col min="13563" max="13563" width="3" style="9" customWidth="1"/>
    <col min="13564" max="13564" width="24.7109375" style="9" customWidth="1"/>
    <col min="13565" max="13565" width="7.85546875" style="9" customWidth="1"/>
    <col min="13566" max="13566" width="7.42578125" style="9" customWidth="1"/>
    <col min="13567" max="13567" width="11.140625" style="9" customWidth="1"/>
    <col min="13568" max="13568" width="14.42578125" style="9" customWidth="1"/>
    <col min="13569" max="13569" width="3.42578125" style="9" customWidth="1"/>
    <col min="13570" max="13570" width="3" style="9" customWidth="1"/>
    <col min="13571" max="13571" width="3.28515625" style="9" customWidth="1"/>
    <col min="13572" max="13572" width="3.140625" style="9" customWidth="1"/>
    <col min="13573" max="13573" width="3.42578125" style="9" customWidth="1"/>
    <col min="13574" max="13574" width="24.7109375" style="9" customWidth="1"/>
    <col min="13575" max="13575" width="7.85546875" style="9" customWidth="1"/>
    <col min="13576" max="13576" width="7.28515625" style="9" customWidth="1"/>
    <col min="13577" max="13577" width="11.7109375" style="9" customWidth="1"/>
    <col min="13578" max="13578" width="14.42578125" style="9" customWidth="1"/>
    <col min="13579" max="13579" width="8.85546875" style="9"/>
    <col min="13580" max="13580" width="14.28515625" style="9" customWidth="1"/>
    <col min="13581" max="13581" width="10" style="9" customWidth="1"/>
    <col min="13582" max="13813" width="8.85546875" style="9"/>
    <col min="13814" max="13814" width="1.140625" style="9" customWidth="1"/>
    <col min="13815" max="13815" width="3.28515625" style="9" customWidth="1"/>
    <col min="13816" max="13816" width="2.42578125" style="9" customWidth="1"/>
    <col min="13817" max="13817" width="2.5703125" style="9" customWidth="1"/>
    <col min="13818" max="13818" width="2.85546875" style="9" customWidth="1"/>
    <col min="13819" max="13819" width="3" style="9" customWidth="1"/>
    <col min="13820" max="13820" width="24.7109375" style="9" customWidth="1"/>
    <col min="13821" max="13821" width="7.85546875" style="9" customWidth="1"/>
    <col min="13822" max="13822" width="7.42578125" style="9" customWidth="1"/>
    <col min="13823" max="13823" width="11.140625" style="9" customWidth="1"/>
    <col min="13824" max="13824" width="14.42578125" style="9" customWidth="1"/>
    <col min="13825" max="13825" width="3.42578125" style="9" customWidth="1"/>
    <col min="13826" max="13826" width="3" style="9" customWidth="1"/>
    <col min="13827" max="13827" width="3.28515625" style="9" customWidth="1"/>
    <col min="13828" max="13828" width="3.140625" style="9" customWidth="1"/>
    <col min="13829" max="13829" width="3.42578125" style="9" customWidth="1"/>
    <col min="13830" max="13830" width="24.7109375" style="9" customWidth="1"/>
    <col min="13831" max="13831" width="7.85546875" style="9" customWidth="1"/>
    <col min="13832" max="13832" width="7.28515625" style="9" customWidth="1"/>
    <col min="13833" max="13833" width="11.7109375" style="9" customWidth="1"/>
    <col min="13834" max="13834" width="14.42578125" style="9" customWidth="1"/>
    <col min="13835" max="13835" width="8.85546875" style="9"/>
    <col min="13836" max="13836" width="14.28515625" style="9" customWidth="1"/>
    <col min="13837" max="13837" width="10" style="9" customWidth="1"/>
    <col min="13838" max="14069" width="8.85546875" style="9"/>
    <col min="14070" max="14070" width="1.140625" style="9" customWidth="1"/>
    <col min="14071" max="14071" width="3.28515625" style="9" customWidth="1"/>
    <col min="14072" max="14072" width="2.42578125" style="9" customWidth="1"/>
    <col min="14073" max="14073" width="2.5703125" style="9" customWidth="1"/>
    <col min="14074" max="14074" width="2.85546875" style="9" customWidth="1"/>
    <col min="14075" max="14075" width="3" style="9" customWidth="1"/>
    <col min="14076" max="14076" width="24.7109375" style="9" customWidth="1"/>
    <col min="14077" max="14077" width="7.85546875" style="9" customWidth="1"/>
    <col min="14078" max="14078" width="7.42578125" style="9" customWidth="1"/>
    <col min="14079" max="14079" width="11.140625" style="9" customWidth="1"/>
    <col min="14080" max="14080" width="14.42578125" style="9" customWidth="1"/>
    <col min="14081" max="14081" width="3.42578125" style="9" customWidth="1"/>
    <col min="14082" max="14082" width="3" style="9" customWidth="1"/>
    <col min="14083" max="14083" width="3.28515625" style="9" customWidth="1"/>
    <col min="14084" max="14084" width="3.140625" style="9" customWidth="1"/>
    <col min="14085" max="14085" width="3.42578125" style="9" customWidth="1"/>
    <col min="14086" max="14086" width="24.7109375" style="9" customWidth="1"/>
    <col min="14087" max="14087" width="7.85546875" style="9" customWidth="1"/>
    <col min="14088" max="14088" width="7.28515625" style="9" customWidth="1"/>
    <col min="14089" max="14089" width="11.7109375" style="9" customWidth="1"/>
    <col min="14090" max="14090" width="14.42578125" style="9" customWidth="1"/>
    <col min="14091" max="14091" width="8.85546875" style="9"/>
    <col min="14092" max="14092" width="14.28515625" style="9" customWidth="1"/>
    <col min="14093" max="14093" width="10" style="9" customWidth="1"/>
    <col min="14094" max="14325" width="8.85546875" style="9"/>
    <col min="14326" max="14326" width="1.140625" style="9" customWidth="1"/>
    <col min="14327" max="14327" width="3.28515625" style="9" customWidth="1"/>
    <col min="14328" max="14328" width="2.42578125" style="9" customWidth="1"/>
    <col min="14329" max="14329" width="2.5703125" style="9" customWidth="1"/>
    <col min="14330" max="14330" width="2.85546875" style="9" customWidth="1"/>
    <col min="14331" max="14331" width="3" style="9" customWidth="1"/>
    <col min="14332" max="14332" width="24.7109375" style="9" customWidth="1"/>
    <col min="14333" max="14333" width="7.85546875" style="9" customWidth="1"/>
    <col min="14334" max="14334" width="7.42578125" style="9" customWidth="1"/>
    <col min="14335" max="14335" width="11.140625" style="9" customWidth="1"/>
    <col min="14336" max="14336" width="14.42578125" style="9" customWidth="1"/>
    <col min="14337" max="14337" width="3.42578125" style="9" customWidth="1"/>
    <col min="14338" max="14338" width="3" style="9" customWidth="1"/>
    <col min="14339" max="14339" width="3.28515625" style="9" customWidth="1"/>
    <col min="14340" max="14340" width="3.140625" style="9" customWidth="1"/>
    <col min="14341" max="14341" width="3.42578125" style="9" customWidth="1"/>
    <col min="14342" max="14342" width="24.7109375" style="9" customWidth="1"/>
    <col min="14343" max="14343" width="7.85546875" style="9" customWidth="1"/>
    <col min="14344" max="14344" width="7.28515625" style="9" customWidth="1"/>
    <col min="14345" max="14345" width="11.7109375" style="9" customWidth="1"/>
    <col min="14346" max="14346" width="14.42578125" style="9" customWidth="1"/>
    <col min="14347" max="14347" width="8.85546875" style="9"/>
    <col min="14348" max="14348" width="14.28515625" style="9" customWidth="1"/>
    <col min="14349" max="14349" width="10" style="9" customWidth="1"/>
    <col min="14350" max="14581" width="8.85546875" style="9"/>
    <col min="14582" max="14582" width="1.140625" style="9" customWidth="1"/>
    <col min="14583" max="14583" width="3.28515625" style="9" customWidth="1"/>
    <col min="14584" max="14584" width="2.42578125" style="9" customWidth="1"/>
    <col min="14585" max="14585" width="2.5703125" style="9" customWidth="1"/>
    <col min="14586" max="14586" width="2.85546875" style="9" customWidth="1"/>
    <col min="14587" max="14587" width="3" style="9" customWidth="1"/>
    <col min="14588" max="14588" width="24.7109375" style="9" customWidth="1"/>
    <col min="14589" max="14589" width="7.85546875" style="9" customWidth="1"/>
    <col min="14590" max="14590" width="7.42578125" style="9" customWidth="1"/>
    <col min="14591" max="14591" width="11.140625" style="9" customWidth="1"/>
    <col min="14592" max="14592" width="14.42578125" style="9" customWidth="1"/>
    <col min="14593" max="14593" width="3.42578125" style="9" customWidth="1"/>
    <col min="14594" max="14594" width="3" style="9" customWidth="1"/>
    <col min="14595" max="14595" width="3.28515625" style="9" customWidth="1"/>
    <col min="14596" max="14596" width="3.140625" style="9" customWidth="1"/>
    <col min="14597" max="14597" width="3.42578125" style="9" customWidth="1"/>
    <col min="14598" max="14598" width="24.7109375" style="9" customWidth="1"/>
    <col min="14599" max="14599" width="7.85546875" style="9" customWidth="1"/>
    <col min="14600" max="14600" width="7.28515625" style="9" customWidth="1"/>
    <col min="14601" max="14601" width="11.7109375" style="9" customWidth="1"/>
    <col min="14602" max="14602" width="14.42578125" style="9" customWidth="1"/>
    <col min="14603" max="14603" width="8.85546875" style="9"/>
    <col min="14604" max="14604" width="14.28515625" style="9" customWidth="1"/>
    <col min="14605" max="14605" width="10" style="9" customWidth="1"/>
    <col min="14606" max="14837" width="8.85546875" style="9"/>
    <col min="14838" max="14838" width="1.140625" style="9" customWidth="1"/>
    <col min="14839" max="14839" width="3.28515625" style="9" customWidth="1"/>
    <col min="14840" max="14840" width="2.42578125" style="9" customWidth="1"/>
    <col min="14841" max="14841" width="2.5703125" style="9" customWidth="1"/>
    <col min="14842" max="14842" width="2.85546875" style="9" customWidth="1"/>
    <col min="14843" max="14843" width="3" style="9" customWidth="1"/>
    <col min="14844" max="14844" width="24.7109375" style="9" customWidth="1"/>
    <col min="14845" max="14845" width="7.85546875" style="9" customWidth="1"/>
    <col min="14846" max="14846" width="7.42578125" style="9" customWidth="1"/>
    <col min="14847" max="14847" width="11.140625" style="9" customWidth="1"/>
    <col min="14848" max="14848" width="14.42578125" style="9" customWidth="1"/>
    <col min="14849" max="14849" width="3.42578125" style="9" customWidth="1"/>
    <col min="14850" max="14850" width="3" style="9" customWidth="1"/>
    <col min="14851" max="14851" width="3.28515625" style="9" customWidth="1"/>
    <col min="14852" max="14852" width="3.140625" style="9" customWidth="1"/>
    <col min="14853" max="14853" width="3.42578125" style="9" customWidth="1"/>
    <col min="14854" max="14854" width="24.7109375" style="9" customWidth="1"/>
    <col min="14855" max="14855" width="7.85546875" style="9" customWidth="1"/>
    <col min="14856" max="14856" width="7.28515625" style="9" customWidth="1"/>
    <col min="14857" max="14857" width="11.7109375" style="9" customWidth="1"/>
    <col min="14858" max="14858" width="14.42578125" style="9" customWidth="1"/>
    <col min="14859" max="14859" width="8.85546875" style="9"/>
    <col min="14860" max="14860" width="14.28515625" style="9" customWidth="1"/>
    <col min="14861" max="14861" width="10" style="9" customWidth="1"/>
    <col min="14862" max="15093" width="8.85546875" style="9"/>
    <col min="15094" max="15094" width="1.140625" style="9" customWidth="1"/>
    <col min="15095" max="15095" width="3.28515625" style="9" customWidth="1"/>
    <col min="15096" max="15096" width="2.42578125" style="9" customWidth="1"/>
    <col min="15097" max="15097" width="2.5703125" style="9" customWidth="1"/>
    <col min="15098" max="15098" width="2.85546875" style="9" customWidth="1"/>
    <col min="15099" max="15099" width="3" style="9" customWidth="1"/>
    <col min="15100" max="15100" width="24.7109375" style="9" customWidth="1"/>
    <col min="15101" max="15101" width="7.85546875" style="9" customWidth="1"/>
    <col min="15102" max="15102" width="7.42578125" style="9" customWidth="1"/>
    <col min="15103" max="15103" width="11.140625" style="9" customWidth="1"/>
    <col min="15104" max="15104" width="14.42578125" style="9" customWidth="1"/>
    <col min="15105" max="15105" width="3.42578125" style="9" customWidth="1"/>
    <col min="15106" max="15106" width="3" style="9" customWidth="1"/>
    <col min="15107" max="15107" width="3.28515625" style="9" customWidth="1"/>
    <col min="15108" max="15108" width="3.140625" style="9" customWidth="1"/>
    <col min="15109" max="15109" width="3.42578125" style="9" customWidth="1"/>
    <col min="15110" max="15110" width="24.7109375" style="9" customWidth="1"/>
    <col min="15111" max="15111" width="7.85546875" style="9" customWidth="1"/>
    <col min="15112" max="15112" width="7.28515625" style="9" customWidth="1"/>
    <col min="15113" max="15113" width="11.7109375" style="9" customWidth="1"/>
    <col min="15114" max="15114" width="14.42578125" style="9" customWidth="1"/>
    <col min="15115" max="15115" width="8.85546875" style="9"/>
    <col min="15116" max="15116" width="14.28515625" style="9" customWidth="1"/>
    <col min="15117" max="15117" width="10" style="9" customWidth="1"/>
    <col min="15118" max="15349" width="8.85546875" style="9"/>
    <col min="15350" max="15350" width="1.140625" style="9" customWidth="1"/>
    <col min="15351" max="15351" width="3.28515625" style="9" customWidth="1"/>
    <col min="15352" max="15352" width="2.42578125" style="9" customWidth="1"/>
    <col min="15353" max="15353" width="2.5703125" style="9" customWidth="1"/>
    <col min="15354" max="15354" width="2.85546875" style="9" customWidth="1"/>
    <col min="15355" max="15355" width="3" style="9" customWidth="1"/>
    <col min="15356" max="15356" width="24.7109375" style="9" customWidth="1"/>
    <col min="15357" max="15357" width="7.85546875" style="9" customWidth="1"/>
    <col min="15358" max="15358" width="7.42578125" style="9" customWidth="1"/>
    <col min="15359" max="15359" width="11.140625" style="9" customWidth="1"/>
    <col min="15360" max="15360" width="14.42578125" style="9" customWidth="1"/>
    <col min="15361" max="15361" width="3.42578125" style="9" customWidth="1"/>
    <col min="15362" max="15362" width="3" style="9" customWidth="1"/>
    <col min="15363" max="15363" width="3.28515625" style="9" customWidth="1"/>
    <col min="15364" max="15364" width="3.140625" style="9" customWidth="1"/>
    <col min="15365" max="15365" width="3.42578125" style="9" customWidth="1"/>
    <col min="15366" max="15366" width="24.7109375" style="9" customWidth="1"/>
    <col min="15367" max="15367" width="7.85546875" style="9" customWidth="1"/>
    <col min="15368" max="15368" width="7.28515625" style="9" customWidth="1"/>
    <col min="15369" max="15369" width="11.7109375" style="9" customWidth="1"/>
    <col min="15370" max="15370" width="14.42578125" style="9" customWidth="1"/>
    <col min="15371" max="15371" width="8.85546875" style="9"/>
    <col min="15372" max="15372" width="14.28515625" style="9" customWidth="1"/>
    <col min="15373" max="15373" width="10" style="9" customWidth="1"/>
    <col min="15374" max="15605" width="8.85546875" style="9"/>
    <col min="15606" max="15606" width="1.140625" style="9" customWidth="1"/>
    <col min="15607" max="15607" width="3.28515625" style="9" customWidth="1"/>
    <col min="15608" max="15608" width="2.42578125" style="9" customWidth="1"/>
    <col min="15609" max="15609" width="2.5703125" style="9" customWidth="1"/>
    <col min="15610" max="15610" width="2.85546875" style="9" customWidth="1"/>
    <col min="15611" max="15611" width="3" style="9" customWidth="1"/>
    <col min="15612" max="15612" width="24.7109375" style="9" customWidth="1"/>
    <col min="15613" max="15613" width="7.85546875" style="9" customWidth="1"/>
    <col min="15614" max="15614" width="7.42578125" style="9" customWidth="1"/>
    <col min="15615" max="15615" width="11.140625" style="9" customWidth="1"/>
    <col min="15616" max="15616" width="14.42578125" style="9" customWidth="1"/>
    <col min="15617" max="15617" width="3.42578125" style="9" customWidth="1"/>
    <col min="15618" max="15618" width="3" style="9" customWidth="1"/>
    <col min="15619" max="15619" width="3.28515625" style="9" customWidth="1"/>
    <col min="15620" max="15620" width="3.140625" style="9" customWidth="1"/>
    <col min="15621" max="15621" width="3.42578125" style="9" customWidth="1"/>
    <col min="15622" max="15622" width="24.7109375" style="9" customWidth="1"/>
    <col min="15623" max="15623" width="7.85546875" style="9" customWidth="1"/>
    <col min="15624" max="15624" width="7.28515625" style="9" customWidth="1"/>
    <col min="15625" max="15625" width="11.7109375" style="9" customWidth="1"/>
    <col min="15626" max="15626" width="14.42578125" style="9" customWidth="1"/>
    <col min="15627" max="15627" width="8.85546875" style="9"/>
    <col min="15628" max="15628" width="14.28515625" style="9" customWidth="1"/>
    <col min="15629" max="15629" width="10" style="9" customWidth="1"/>
    <col min="15630" max="15861" width="8.85546875" style="9"/>
    <col min="15862" max="15862" width="1.140625" style="9" customWidth="1"/>
    <col min="15863" max="15863" width="3.28515625" style="9" customWidth="1"/>
    <col min="15864" max="15864" width="2.42578125" style="9" customWidth="1"/>
    <col min="15865" max="15865" width="2.5703125" style="9" customWidth="1"/>
    <col min="15866" max="15866" width="2.85546875" style="9" customWidth="1"/>
    <col min="15867" max="15867" width="3" style="9" customWidth="1"/>
    <col min="15868" max="15868" width="24.7109375" style="9" customWidth="1"/>
    <col min="15869" max="15869" width="7.85546875" style="9" customWidth="1"/>
    <col min="15870" max="15870" width="7.42578125" style="9" customWidth="1"/>
    <col min="15871" max="15871" width="11.140625" style="9" customWidth="1"/>
    <col min="15872" max="15872" width="14.42578125" style="9" customWidth="1"/>
    <col min="15873" max="15873" width="3.42578125" style="9" customWidth="1"/>
    <col min="15874" max="15874" width="3" style="9" customWidth="1"/>
    <col min="15875" max="15875" width="3.28515625" style="9" customWidth="1"/>
    <col min="15876" max="15876" width="3.140625" style="9" customWidth="1"/>
    <col min="15877" max="15877" width="3.42578125" style="9" customWidth="1"/>
    <col min="15878" max="15878" width="24.7109375" style="9" customWidth="1"/>
    <col min="15879" max="15879" width="7.85546875" style="9" customWidth="1"/>
    <col min="15880" max="15880" width="7.28515625" style="9" customWidth="1"/>
    <col min="15881" max="15881" width="11.7109375" style="9" customWidth="1"/>
    <col min="15882" max="15882" width="14.42578125" style="9" customWidth="1"/>
    <col min="15883" max="15883" width="8.85546875" style="9"/>
    <col min="15884" max="15884" width="14.28515625" style="9" customWidth="1"/>
    <col min="15885" max="15885" width="10" style="9" customWidth="1"/>
    <col min="15886" max="16117" width="8.85546875" style="9"/>
    <col min="16118" max="16118" width="1.140625" style="9" customWidth="1"/>
    <col min="16119" max="16119" width="3.28515625" style="9" customWidth="1"/>
    <col min="16120" max="16120" width="2.42578125" style="9" customWidth="1"/>
    <col min="16121" max="16121" width="2.5703125" style="9" customWidth="1"/>
    <col min="16122" max="16122" width="2.85546875" style="9" customWidth="1"/>
    <col min="16123" max="16123" width="3" style="9" customWidth="1"/>
    <col min="16124" max="16124" width="24.7109375" style="9" customWidth="1"/>
    <col min="16125" max="16125" width="7.85546875" style="9" customWidth="1"/>
    <col min="16126" max="16126" width="7.42578125" style="9" customWidth="1"/>
    <col min="16127" max="16127" width="11.140625" style="9" customWidth="1"/>
    <col min="16128" max="16128" width="14.42578125" style="9" customWidth="1"/>
    <col min="16129" max="16129" width="3.42578125" style="9" customWidth="1"/>
    <col min="16130" max="16130" width="3" style="9" customWidth="1"/>
    <col min="16131" max="16131" width="3.28515625" style="9" customWidth="1"/>
    <col min="16132" max="16132" width="3.140625" style="9" customWidth="1"/>
    <col min="16133" max="16133" width="3.42578125" style="9" customWidth="1"/>
    <col min="16134" max="16134" width="24.7109375" style="9" customWidth="1"/>
    <col min="16135" max="16135" width="7.85546875" style="9" customWidth="1"/>
    <col min="16136" max="16136" width="7.28515625" style="9" customWidth="1"/>
    <col min="16137" max="16137" width="11.7109375" style="9" customWidth="1"/>
    <col min="16138" max="16138" width="14.42578125" style="9" customWidth="1"/>
    <col min="16139" max="16139" width="8.85546875" style="9"/>
    <col min="16140" max="16140" width="14.28515625" style="9" customWidth="1"/>
    <col min="16141" max="16141" width="10" style="9" customWidth="1"/>
    <col min="16142" max="16384" width="8.85546875" style="9"/>
  </cols>
  <sheetData>
    <row r="1" spans="2:20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20" ht="17.25" customHeight="1" thickTop="1">
      <c r="B2" s="3321"/>
      <c r="C2" s="3322"/>
      <c r="D2" s="3322"/>
      <c r="E2" s="3325" t="s">
        <v>597</v>
      </c>
      <c r="F2" s="3694"/>
      <c r="G2" s="3694"/>
      <c r="H2" s="3694"/>
      <c r="I2" s="3694"/>
      <c r="J2" s="3695"/>
      <c r="K2" s="180" t="s">
        <v>599</v>
      </c>
    </row>
    <row r="3" spans="2:20" ht="16.5" customHeight="1">
      <c r="B3" s="3323"/>
      <c r="C3" s="3324"/>
      <c r="D3" s="3324"/>
      <c r="E3" s="3330" t="s">
        <v>598</v>
      </c>
      <c r="F3" s="3296"/>
      <c r="G3" s="3296"/>
      <c r="H3" s="3296"/>
      <c r="I3" s="3296"/>
      <c r="J3" s="3299"/>
      <c r="K3" s="181"/>
    </row>
    <row r="4" spans="2:20" ht="1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20">
      <c r="B5" s="3490" t="s">
        <v>31</v>
      </c>
      <c r="C5" s="3362"/>
      <c r="D5" s="3362"/>
      <c r="E5" s="3362"/>
      <c r="F5" s="3362"/>
      <c r="G5" s="3362" t="s">
        <v>2028</v>
      </c>
      <c r="H5" s="3362"/>
      <c r="I5" s="3362"/>
      <c r="J5" s="3362"/>
      <c r="K5" s="3667"/>
    </row>
    <row r="6" spans="2:20">
      <c r="B6" s="3314" t="s">
        <v>32</v>
      </c>
      <c r="C6" s="3315"/>
      <c r="D6" s="3315"/>
      <c r="E6" s="3315"/>
      <c r="F6" s="3315"/>
      <c r="G6" s="3315" t="s">
        <v>2029</v>
      </c>
      <c r="H6" s="3315"/>
      <c r="I6" s="3315"/>
      <c r="J6" s="3315"/>
      <c r="K6" s="3316"/>
    </row>
    <row r="7" spans="2:20" s="13" customFormat="1">
      <c r="B7" s="3648" t="s">
        <v>33</v>
      </c>
      <c r="C7" s="3649"/>
      <c r="D7" s="3649"/>
      <c r="E7" s="3649"/>
      <c r="F7" s="3649"/>
      <c r="G7" s="3650" t="s">
        <v>2030</v>
      </c>
      <c r="H7" s="3650"/>
      <c r="I7" s="3650"/>
      <c r="J7" s="3650"/>
      <c r="K7" s="3651"/>
      <c r="L7" s="297"/>
      <c r="M7" s="297"/>
      <c r="N7" s="297"/>
      <c r="S7" s="297"/>
      <c r="T7" s="297"/>
    </row>
    <row r="8" spans="2:20" ht="15" customHeight="1">
      <c r="B8" s="3341" t="s">
        <v>34</v>
      </c>
      <c r="C8" s="3339"/>
      <c r="D8" s="3339"/>
      <c r="E8" s="3339"/>
      <c r="F8" s="3339"/>
      <c r="G8" s="3339" t="s">
        <v>2031</v>
      </c>
      <c r="H8" s="3339"/>
      <c r="I8" s="3339"/>
      <c r="J8" s="3339"/>
      <c r="K8" s="3340"/>
    </row>
    <row r="9" spans="2:20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</row>
    <row r="10" spans="2:20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</row>
    <row r="11" spans="2:20">
      <c r="B11" s="3314" t="s">
        <v>37</v>
      </c>
      <c r="C11" s="3315"/>
      <c r="D11" s="3315"/>
      <c r="E11" s="3315"/>
      <c r="F11" s="3315"/>
      <c r="G11" s="3315" t="s">
        <v>596</v>
      </c>
      <c r="H11" s="3315"/>
      <c r="I11" s="3315"/>
      <c r="J11" s="3315"/>
      <c r="K11" s="3316"/>
    </row>
    <row r="12" spans="2:20">
      <c r="B12" s="3634" t="s">
        <v>89</v>
      </c>
      <c r="C12" s="3635"/>
      <c r="D12" s="3635"/>
      <c r="E12" s="3635"/>
      <c r="F12" s="3635"/>
      <c r="G12" s="3635"/>
      <c r="H12" s="3635"/>
      <c r="I12" s="3635"/>
      <c r="J12" s="3635"/>
      <c r="K12" s="3636"/>
    </row>
    <row r="13" spans="2:20">
      <c r="B13" s="3634" t="s">
        <v>5</v>
      </c>
      <c r="C13" s="3635"/>
      <c r="D13" s="3635"/>
      <c r="E13" s="3635"/>
      <c r="F13" s="3637"/>
      <c r="G13" s="3638" t="s">
        <v>90</v>
      </c>
      <c r="H13" s="3639"/>
      <c r="I13" s="3638" t="s">
        <v>7</v>
      </c>
      <c r="J13" s="3640"/>
      <c r="K13" s="3641"/>
    </row>
    <row r="14" spans="2:20">
      <c r="B14" s="3387" t="s">
        <v>8</v>
      </c>
      <c r="C14" s="3388"/>
      <c r="D14" s="3388"/>
      <c r="E14" s="3388"/>
      <c r="F14" s="3389"/>
      <c r="G14" s="3350" t="s">
        <v>455</v>
      </c>
      <c r="H14" s="3351"/>
      <c r="I14" s="3390">
        <v>1</v>
      </c>
      <c r="J14" s="3348"/>
      <c r="K14" s="3391"/>
    </row>
    <row r="15" spans="2:20">
      <c r="B15" s="3397" t="s">
        <v>9</v>
      </c>
      <c r="C15" s="3348"/>
      <c r="D15" s="3348"/>
      <c r="E15" s="3348"/>
      <c r="F15" s="3349"/>
      <c r="G15" s="3398" t="s">
        <v>47</v>
      </c>
      <c r="H15" s="3353"/>
      <c r="I15" s="3344">
        <f>K24</f>
        <v>37400500000</v>
      </c>
      <c r="J15" s="3345"/>
      <c r="K15" s="3346"/>
    </row>
    <row r="16" spans="2:20">
      <c r="B16" s="3347" t="s">
        <v>10</v>
      </c>
      <c r="C16" s="3348"/>
      <c r="D16" s="3348"/>
      <c r="E16" s="3348"/>
      <c r="F16" s="3349"/>
      <c r="G16" s="3350" t="s">
        <v>456</v>
      </c>
      <c r="H16" s="3351"/>
      <c r="I16" s="3352">
        <v>1</v>
      </c>
      <c r="J16" s="3353"/>
      <c r="K16" s="3354"/>
    </row>
    <row r="17" spans="2:20">
      <c r="B17" s="3347" t="s">
        <v>11</v>
      </c>
      <c r="C17" s="3348"/>
      <c r="D17" s="3348"/>
      <c r="E17" s="3348"/>
      <c r="F17" s="3349"/>
      <c r="G17" s="3350" t="s">
        <v>1109</v>
      </c>
      <c r="H17" s="3351"/>
      <c r="I17" s="3352">
        <v>1</v>
      </c>
      <c r="J17" s="3353"/>
      <c r="K17" s="3354"/>
    </row>
    <row r="18" spans="2:20">
      <c r="B18" s="3486" t="s">
        <v>76</v>
      </c>
      <c r="C18" s="3487"/>
      <c r="D18" s="3487"/>
      <c r="E18" s="3487"/>
      <c r="F18" s="3487"/>
      <c r="G18" s="3487"/>
      <c r="H18" s="3487"/>
      <c r="I18" s="3487"/>
      <c r="J18" s="3487"/>
      <c r="K18" s="3488"/>
    </row>
    <row r="19" spans="2:20">
      <c r="B19" s="3645" t="s">
        <v>87</v>
      </c>
      <c r="C19" s="3646"/>
      <c r="D19" s="3646"/>
      <c r="E19" s="3646"/>
      <c r="F19" s="3646"/>
      <c r="G19" s="3646"/>
      <c r="H19" s="3646"/>
      <c r="I19" s="3646"/>
      <c r="J19" s="3646"/>
      <c r="K19" s="3693"/>
      <c r="L19" s="564"/>
      <c r="M19" s="305"/>
      <c r="N19" s="305"/>
      <c r="O19" s="305"/>
      <c r="P19" s="305"/>
      <c r="Q19" s="303"/>
      <c r="R19" s="303"/>
    </row>
    <row r="20" spans="2:20">
      <c r="B20" s="3537" t="s">
        <v>88</v>
      </c>
      <c r="C20" s="3538"/>
      <c r="D20" s="3538"/>
      <c r="E20" s="3538"/>
      <c r="F20" s="3538"/>
      <c r="G20" s="3538"/>
      <c r="H20" s="3538"/>
      <c r="I20" s="3538"/>
      <c r="J20" s="3538"/>
      <c r="K20" s="3539"/>
      <c r="L20" s="3399" t="s">
        <v>158</v>
      </c>
      <c r="M20" s="3378"/>
      <c r="N20" s="3378"/>
      <c r="O20" s="3378"/>
      <c r="P20" s="3378"/>
      <c r="Q20" s="3378"/>
      <c r="R20" s="3378" t="s">
        <v>17</v>
      </c>
    </row>
    <row r="21" spans="2:20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1040" t="s">
        <v>17</v>
      </c>
      <c r="L21" s="605"/>
      <c r="M21" s="2915"/>
      <c r="N21" s="2915"/>
      <c r="O21" s="2915"/>
      <c r="P21" s="2915"/>
      <c r="Q21" s="2915"/>
      <c r="R21" s="3378"/>
      <c r="S21" s="1689"/>
      <c r="T21" s="1689"/>
    </row>
    <row r="22" spans="2:20">
      <c r="B22" s="3295"/>
      <c r="C22" s="3296"/>
      <c r="D22" s="3296"/>
      <c r="E22" s="3296"/>
      <c r="F22" s="3299"/>
      <c r="G22" s="3301"/>
      <c r="H22" s="2920" t="s">
        <v>18</v>
      </c>
      <c r="I22" s="2920" t="s">
        <v>19</v>
      </c>
      <c r="J22" s="2920" t="s">
        <v>20</v>
      </c>
      <c r="K22" s="181" t="s">
        <v>21</v>
      </c>
      <c r="L22" s="2916" t="s">
        <v>177</v>
      </c>
      <c r="M22" s="2914" t="s">
        <v>594</v>
      </c>
      <c r="N22" s="2914" t="s">
        <v>651</v>
      </c>
      <c r="O22" s="2914" t="s">
        <v>595</v>
      </c>
      <c r="P22" s="2914" t="s">
        <v>652</v>
      </c>
      <c r="Q22" s="2914" t="s">
        <v>593</v>
      </c>
      <c r="R22" s="3379"/>
      <c r="S22" s="1689" t="s">
        <v>2125</v>
      </c>
      <c r="T22" s="1689" t="s">
        <v>2126</v>
      </c>
    </row>
    <row r="23" spans="2:20">
      <c r="B23" s="3364">
        <v>1</v>
      </c>
      <c r="C23" s="3358"/>
      <c r="D23" s="3358"/>
      <c r="E23" s="3358"/>
      <c r="F23" s="3365"/>
      <c r="G23" s="2921">
        <v>2</v>
      </c>
      <c r="H23" s="2918">
        <v>3</v>
      </c>
      <c r="I23" s="2918">
        <v>4</v>
      </c>
      <c r="J23" s="2918">
        <v>5</v>
      </c>
      <c r="K23" s="541" t="s">
        <v>22</v>
      </c>
      <c r="L23" s="605">
        <v>6</v>
      </c>
      <c r="M23" s="2915">
        <v>7</v>
      </c>
      <c r="N23" s="2915">
        <v>8</v>
      </c>
      <c r="O23" s="2915">
        <v>9</v>
      </c>
      <c r="P23" s="2915">
        <v>10</v>
      </c>
      <c r="Q23" s="2915">
        <v>11</v>
      </c>
      <c r="R23" s="2915">
        <v>12</v>
      </c>
      <c r="S23" s="1689"/>
      <c r="T23" s="1689"/>
    </row>
    <row r="24" spans="2:20">
      <c r="B24" s="429">
        <v>5</v>
      </c>
      <c r="C24" s="2920"/>
      <c r="D24" s="2920"/>
      <c r="E24" s="2920"/>
      <c r="F24" s="2920"/>
      <c r="G24" s="396" t="s">
        <v>334</v>
      </c>
      <c r="H24" s="956"/>
      <c r="I24" s="2920"/>
      <c r="J24" s="2918"/>
      <c r="K24" s="541">
        <f>K25</f>
        <v>37400500000</v>
      </c>
      <c r="L24" s="564"/>
      <c r="M24" s="305"/>
      <c r="N24" s="305"/>
      <c r="O24" s="305"/>
      <c r="P24" s="305"/>
      <c r="Q24" s="303"/>
      <c r="R24" s="303"/>
      <c r="S24" s="1689"/>
      <c r="T24" s="1689"/>
    </row>
    <row r="25" spans="2:20">
      <c r="B25" s="429">
        <v>5</v>
      </c>
      <c r="C25" s="2920">
        <v>2</v>
      </c>
      <c r="D25" s="2920"/>
      <c r="E25" s="2920"/>
      <c r="F25" s="2920"/>
      <c r="G25" s="396" t="s">
        <v>23</v>
      </c>
      <c r="H25" s="956"/>
      <c r="I25" s="2920"/>
      <c r="J25" s="2918"/>
      <c r="K25" s="541">
        <f>K26+K54+K187</f>
        <v>37400500000</v>
      </c>
      <c r="L25" s="564"/>
      <c r="M25" s="305"/>
      <c r="N25" s="305"/>
      <c r="O25" s="305"/>
      <c r="P25" s="305"/>
      <c r="Q25" s="303"/>
      <c r="R25" s="303"/>
      <c r="S25" s="1689"/>
      <c r="T25" s="1689"/>
    </row>
    <row r="26" spans="2:20">
      <c r="B26" s="429">
        <v>5</v>
      </c>
      <c r="C26" s="2920">
        <v>2</v>
      </c>
      <c r="D26" s="2920">
        <v>1</v>
      </c>
      <c r="E26" s="2920"/>
      <c r="F26" s="2920"/>
      <c r="G26" s="396" t="s">
        <v>59</v>
      </c>
      <c r="H26" s="956"/>
      <c r="I26" s="2920"/>
      <c r="J26" s="2918"/>
      <c r="K26" s="541">
        <f>K27+K46</f>
        <v>1149040000</v>
      </c>
      <c r="L26" s="607"/>
      <c r="M26" s="303"/>
      <c r="N26" s="303"/>
      <c r="O26" s="303"/>
      <c r="P26" s="303"/>
      <c r="Q26" s="303"/>
      <c r="R26" s="303"/>
      <c r="S26" s="1689"/>
      <c r="T26" s="1689"/>
    </row>
    <row r="27" spans="2:20">
      <c r="B27" s="436">
        <v>5</v>
      </c>
      <c r="C27" s="2919">
        <v>2</v>
      </c>
      <c r="D27" s="2919">
        <v>1</v>
      </c>
      <c r="E27" s="437" t="s">
        <v>24</v>
      </c>
      <c r="F27" s="437"/>
      <c r="G27" s="396" t="s">
        <v>60</v>
      </c>
      <c r="H27" s="956"/>
      <c r="I27" s="2920"/>
      <c r="J27" s="2918"/>
      <c r="K27" s="541">
        <f>K28</f>
        <v>280240000</v>
      </c>
      <c r="L27" s="564"/>
      <c r="M27" s="305"/>
      <c r="N27" s="305"/>
      <c r="O27" s="305"/>
      <c r="P27" s="305"/>
      <c r="Q27" s="303"/>
      <c r="R27" s="303"/>
      <c r="S27" s="1689"/>
      <c r="T27" s="1689"/>
    </row>
    <row r="28" spans="2:20">
      <c r="B28" s="429">
        <v>5</v>
      </c>
      <c r="C28" s="2920">
        <v>2</v>
      </c>
      <c r="D28" s="2920">
        <v>1</v>
      </c>
      <c r="E28" s="430" t="s">
        <v>24</v>
      </c>
      <c r="F28" s="430" t="s">
        <v>66</v>
      </c>
      <c r="G28" s="396" t="s">
        <v>335</v>
      </c>
      <c r="H28" s="956"/>
      <c r="I28" s="2920"/>
      <c r="J28" s="2918"/>
      <c r="K28" s="541">
        <f>SUM(K29:K44)</f>
        <v>280240000</v>
      </c>
      <c r="L28" s="564"/>
      <c r="M28" s="303"/>
      <c r="N28" s="303"/>
      <c r="O28" s="303"/>
      <c r="P28" s="303"/>
      <c r="Q28" s="303"/>
      <c r="R28" s="303"/>
      <c r="S28" s="1689"/>
      <c r="T28" s="1689"/>
    </row>
    <row r="29" spans="2:20">
      <c r="B29" s="346"/>
      <c r="C29" s="615"/>
      <c r="D29" s="615"/>
      <c r="E29" s="615"/>
      <c r="F29" s="615"/>
      <c r="G29" s="373" t="s">
        <v>338</v>
      </c>
      <c r="H29" s="616">
        <v>12</v>
      </c>
      <c r="I29" s="383" t="s">
        <v>62</v>
      </c>
      <c r="J29" s="1101">
        <v>1754000</v>
      </c>
      <c r="K29" s="543">
        <f t="shared" ref="K29:K39" si="0">H29*J29</f>
        <v>21048000</v>
      </c>
      <c r="L29" s="564"/>
      <c r="M29" s="305"/>
      <c r="N29" s="305"/>
      <c r="O29" s="305"/>
      <c r="P29" s="305"/>
      <c r="Q29" s="399">
        <f t="shared" ref="Q29:Q44" si="1">K29</f>
        <v>21048000</v>
      </c>
      <c r="R29" s="303"/>
      <c r="S29" s="1689"/>
      <c r="T29" s="1689">
        <f>Q29</f>
        <v>21048000</v>
      </c>
    </row>
    <row r="30" spans="2:20">
      <c r="B30" s="346"/>
      <c r="C30" s="615"/>
      <c r="D30" s="615"/>
      <c r="E30" s="615"/>
      <c r="F30" s="615"/>
      <c r="G30" s="373" t="s">
        <v>339</v>
      </c>
      <c r="H30" s="616">
        <v>24</v>
      </c>
      <c r="I30" s="383" t="s">
        <v>62</v>
      </c>
      <c r="J30" s="1101">
        <v>1579000</v>
      </c>
      <c r="K30" s="543">
        <f t="shared" si="0"/>
        <v>37896000</v>
      </c>
      <c r="L30" s="564"/>
      <c r="M30" s="303"/>
      <c r="N30" s="303"/>
      <c r="O30" s="303"/>
      <c r="P30" s="303"/>
      <c r="Q30" s="399">
        <f t="shared" si="1"/>
        <v>37896000</v>
      </c>
      <c r="R30" s="303"/>
      <c r="S30" s="1689"/>
      <c r="T30" s="1689">
        <f t="shared" ref="T30:T44" si="2">Q30</f>
        <v>37896000</v>
      </c>
    </row>
    <row r="31" spans="2:20">
      <c r="B31" s="346"/>
      <c r="C31" s="615"/>
      <c r="D31" s="615"/>
      <c r="E31" s="615"/>
      <c r="F31" s="615"/>
      <c r="G31" s="373" t="s">
        <v>340</v>
      </c>
      <c r="H31" s="616">
        <v>12</v>
      </c>
      <c r="I31" s="383" t="s">
        <v>62</v>
      </c>
      <c r="J31" s="1101">
        <v>658000</v>
      </c>
      <c r="K31" s="543">
        <f t="shared" si="0"/>
        <v>7896000</v>
      </c>
      <c r="L31" s="564"/>
      <c r="M31" s="305"/>
      <c r="N31" s="305"/>
      <c r="O31" s="305"/>
      <c r="P31" s="305"/>
      <c r="Q31" s="399">
        <f t="shared" si="1"/>
        <v>7896000</v>
      </c>
      <c r="R31" s="303"/>
      <c r="S31" s="1689"/>
      <c r="T31" s="1689">
        <f t="shared" si="2"/>
        <v>7896000</v>
      </c>
    </row>
    <row r="32" spans="2:20">
      <c r="B32" s="346"/>
      <c r="C32" s="615"/>
      <c r="D32" s="615"/>
      <c r="E32" s="615"/>
      <c r="F32" s="615"/>
      <c r="G32" s="373" t="s">
        <v>1093</v>
      </c>
      <c r="H32" s="616">
        <v>12</v>
      </c>
      <c r="I32" s="383" t="s">
        <v>62</v>
      </c>
      <c r="J32" s="1101">
        <v>1800000</v>
      </c>
      <c r="K32" s="543">
        <f>H32*J32</f>
        <v>21600000</v>
      </c>
      <c r="L32" s="564"/>
      <c r="M32" s="305"/>
      <c r="N32" s="305"/>
      <c r="O32" s="305"/>
      <c r="P32" s="305"/>
      <c r="Q32" s="399">
        <f t="shared" si="1"/>
        <v>21600000</v>
      </c>
      <c r="R32" s="385"/>
      <c r="S32" s="1689"/>
      <c r="T32" s="1689">
        <f t="shared" si="2"/>
        <v>21600000</v>
      </c>
    </row>
    <row r="33" spans="2:20">
      <c r="B33" s="346"/>
      <c r="C33" s="615"/>
      <c r="D33" s="615"/>
      <c r="E33" s="615"/>
      <c r="F33" s="615"/>
      <c r="G33" s="373" t="s">
        <v>1094</v>
      </c>
      <c r="H33" s="616">
        <v>12</v>
      </c>
      <c r="I33" s="383" t="s">
        <v>62</v>
      </c>
      <c r="J33" s="1101">
        <v>1750000</v>
      </c>
      <c r="K33" s="543">
        <f>H33*J33</f>
        <v>21000000</v>
      </c>
      <c r="L33" s="564"/>
      <c r="M33" s="377"/>
      <c r="N33" s="377"/>
      <c r="O33" s="377"/>
      <c r="P33" s="377"/>
      <c r="Q33" s="399">
        <f t="shared" si="1"/>
        <v>21000000</v>
      </c>
      <c r="R33" s="385"/>
      <c r="S33" s="1689"/>
      <c r="T33" s="1689">
        <f t="shared" si="2"/>
        <v>21000000</v>
      </c>
    </row>
    <row r="34" spans="2:20">
      <c r="B34" s="346"/>
      <c r="C34" s="615"/>
      <c r="D34" s="615"/>
      <c r="E34" s="615"/>
      <c r="F34" s="615"/>
      <c r="G34" s="373" t="s">
        <v>1095</v>
      </c>
      <c r="H34" s="616">
        <v>12</v>
      </c>
      <c r="I34" s="383" t="s">
        <v>62</v>
      </c>
      <c r="J34" s="1101">
        <v>900000</v>
      </c>
      <c r="K34" s="543">
        <f>H34*J34</f>
        <v>10800000</v>
      </c>
      <c r="L34" s="564"/>
      <c r="M34" s="377"/>
      <c r="N34" s="377"/>
      <c r="O34" s="377"/>
      <c r="P34" s="377"/>
      <c r="Q34" s="399">
        <f t="shared" si="1"/>
        <v>10800000</v>
      </c>
      <c r="R34" s="385"/>
      <c r="S34" s="1689"/>
      <c r="T34" s="1689">
        <f t="shared" si="2"/>
        <v>10800000</v>
      </c>
    </row>
    <row r="35" spans="2:20" ht="15">
      <c r="B35" s="346"/>
      <c r="C35" s="615"/>
      <c r="D35" s="615"/>
      <c r="E35" s="615"/>
      <c r="F35" s="615"/>
      <c r="G35" s="373" t="s">
        <v>341</v>
      </c>
      <c r="H35" s="616">
        <v>12</v>
      </c>
      <c r="I35" s="383" t="s">
        <v>62</v>
      </c>
      <c r="J35" s="1101">
        <v>1400000</v>
      </c>
      <c r="K35" s="543">
        <f t="shared" si="0"/>
        <v>16800000</v>
      </c>
      <c r="L35" s="564"/>
      <c r="M35" s="305"/>
      <c r="N35" s="305"/>
      <c r="O35" s="305"/>
      <c r="P35" s="305"/>
      <c r="Q35" s="399">
        <f t="shared" si="1"/>
        <v>16800000</v>
      </c>
      <c r="R35" s="306"/>
      <c r="S35" s="1689"/>
      <c r="T35" s="1689">
        <f t="shared" si="2"/>
        <v>16800000</v>
      </c>
    </row>
    <row r="36" spans="2:20" ht="15">
      <c r="B36" s="346"/>
      <c r="C36" s="615"/>
      <c r="D36" s="615"/>
      <c r="E36" s="615"/>
      <c r="F36" s="615"/>
      <c r="G36" s="373" t="s">
        <v>612</v>
      </c>
      <c r="H36" s="616">
        <v>12</v>
      </c>
      <c r="I36" s="383" t="s">
        <v>62</v>
      </c>
      <c r="J36" s="1101">
        <v>1000000</v>
      </c>
      <c r="K36" s="543">
        <f>H36*J36</f>
        <v>12000000</v>
      </c>
      <c r="L36" s="386"/>
      <c r="M36" s="329"/>
      <c r="N36" s="330"/>
      <c r="O36" s="330"/>
      <c r="P36" s="330"/>
      <c r="Q36" s="399">
        <f t="shared" si="1"/>
        <v>12000000</v>
      </c>
      <c r="R36" s="319"/>
      <c r="S36" s="1689"/>
      <c r="T36" s="1689">
        <f t="shared" si="2"/>
        <v>12000000</v>
      </c>
    </row>
    <row r="37" spans="2:20" ht="15">
      <c r="B37" s="346"/>
      <c r="C37" s="615"/>
      <c r="D37" s="615"/>
      <c r="E37" s="615"/>
      <c r="F37" s="615"/>
      <c r="G37" s="1095" t="s">
        <v>1085</v>
      </c>
      <c r="H37" s="616">
        <v>12</v>
      </c>
      <c r="I37" s="383" t="s">
        <v>62</v>
      </c>
      <c r="J37" s="1101">
        <v>1000000</v>
      </c>
      <c r="K37" s="543">
        <f>H37*J37</f>
        <v>12000000</v>
      </c>
      <c r="L37" s="386"/>
      <c r="M37" s="329"/>
      <c r="N37" s="330"/>
      <c r="O37" s="330"/>
      <c r="P37" s="330"/>
      <c r="Q37" s="473">
        <f t="shared" si="1"/>
        <v>12000000</v>
      </c>
      <c r="R37" s="319"/>
      <c r="S37" s="1689"/>
      <c r="T37" s="1689">
        <f t="shared" si="2"/>
        <v>12000000</v>
      </c>
    </row>
    <row r="38" spans="2:20">
      <c r="B38" s="346"/>
      <c r="C38" s="615"/>
      <c r="D38" s="615"/>
      <c r="E38" s="615"/>
      <c r="F38" s="615"/>
      <c r="G38" s="373" t="s">
        <v>497</v>
      </c>
      <c r="H38" s="616">
        <v>12</v>
      </c>
      <c r="I38" s="383" t="s">
        <v>62</v>
      </c>
      <c r="J38" s="1101">
        <v>1600000</v>
      </c>
      <c r="K38" s="543">
        <f t="shared" si="0"/>
        <v>19200000</v>
      </c>
      <c r="L38" s="564"/>
      <c r="M38" s="305"/>
      <c r="N38" s="305"/>
      <c r="O38" s="305"/>
      <c r="P38" s="305"/>
      <c r="Q38" s="399">
        <f t="shared" si="1"/>
        <v>19200000</v>
      </c>
      <c r="R38" s="316"/>
      <c r="S38" s="1689"/>
      <c r="T38" s="1689">
        <f t="shared" si="2"/>
        <v>19200000</v>
      </c>
    </row>
    <row r="39" spans="2:20" ht="15">
      <c r="B39" s="346"/>
      <c r="C39" s="615"/>
      <c r="D39" s="615"/>
      <c r="E39" s="615"/>
      <c r="F39" s="615"/>
      <c r="G39" s="469" t="s">
        <v>610</v>
      </c>
      <c r="H39" s="616">
        <f>2*12</f>
        <v>24</v>
      </c>
      <c r="I39" s="383" t="s">
        <v>62</v>
      </c>
      <c r="J39" s="1101">
        <v>1000000</v>
      </c>
      <c r="K39" s="543">
        <f t="shared" si="0"/>
        <v>24000000</v>
      </c>
      <c r="L39" s="564"/>
      <c r="M39" s="308"/>
      <c r="N39" s="309"/>
      <c r="O39" s="309"/>
      <c r="P39" s="309"/>
      <c r="Q39" s="399">
        <f t="shared" si="1"/>
        <v>24000000</v>
      </c>
      <c r="R39" s="306"/>
      <c r="S39" s="1689"/>
      <c r="T39" s="1689">
        <f t="shared" si="2"/>
        <v>24000000</v>
      </c>
    </row>
    <row r="40" spans="2:20" ht="15">
      <c r="B40" s="346"/>
      <c r="C40" s="615"/>
      <c r="D40" s="615"/>
      <c r="E40" s="615"/>
      <c r="F40" s="615"/>
      <c r="G40" s="373" t="s">
        <v>1075</v>
      </c>
      <c r="H40" s="616">
        <v>1</v>
      </c>
      <c r="I40" s="383" t="s">
        <v>29</v>
      </c>
      <c r="J40" s="1101">
        <v>10000000</v>
      </c>
      <c r="K40" s="543">
        <f>H40*J40</f>
        <v>10000000</v>
      </c>
      <c r="L40" s="564"/>
      <c r="M40" s="600"/>
      <c r="N40" s="466"/>
      <c r="O40" s="466"/>
      <c r="P40" s="466"/>
      <c r="Q40" s="399">
        <f t="shared" si="1"/>
        <v>10000000</v>
      </c>
      <c r="R40" s="378"/>
      <c r="S40" s="1689"/>
      <c r="T40" s="1689">
        <f t="shared" si="2"/>
        <v>10000000</v>
      </c>
    </row>
    <row r="41" spans="2:20" ht="15">
      <c r="B41" s="1679"/>
      <c r="C41" s="2452"/>
      <c r="D41" s="2452"/>
      <c r="E41" s="2452"/>
      <c r="F41" s="2452"/>
      <c r="G41" s="373" t="s">
        <v>2041</v>
      </c>
      <c r="H41" s="1696">
        <v>1</v>
      </c>
      <c r="I41" s="383" t="s">
        <v>29</v>
      </c>
      <c r="J41" s="2195">
        <v>10000000</v>
      </c>
      <c r="K41" s="543">
        <f>H41*J41</f>
        <v>10000000</v>
      </c>
      <c r="L41" s="564"/>
      <c r="M41" s="600"/>
      <c r="N41" s="1822"/>
      <c r="O41" s="1822"/>
      <c r="P41" s="1822"/>
      <c r="Q41" s="399">
        <f t="shared" si="1"/>
        <v>10000000</v>
      </c>
      <c r="R41" s="1668"/>
      <c r="S41" s="1689"/>
      <c r="T41" s="1689">
        <f t="shared" si="2"/>
        <v>10000000</v>
      </c>
    </row>
    <row r="42" spans="2:20" ht="15">
      <c r="B42" s="1679"/>
      <c r="C42" s="2452"/>
      <c r="D42" s="2452"/>
      <c r="E42" s="2452"/>
      <c r="F42" s="2452"/>
      <c r="G42" s="373" t="s">
        <v>2042</v>
      </c>
      <c r="H42" s="1696">
        <v>12</v>
      </c>
      <c r="I42" s="383" t="s">
        <v>62</v>
      </c>
      <c r="J42" s="2195">
        <v>500000</v>
      </c>
      <c r="K42" s="543">
        <f>H42*J42</f>
        <v>6000000</v>
      </c>
      <c r="L42" s="564"/>
      <c r="M42" s="600"/>
      <c r="N42" s="1822"/>
      <c r="O42" s="1822"/>
      <c r="P42" s="1822"/>
      <c r="Q42" s="399">
        <f t="shared" si="1"/>
        <v>6000000</v>
      </c>
      <c r="R42" s="1668"/>
      <c r="S42" s="1689"/>
      <c r="T42" s="1689">
        <f t="shared" si="2"/>
        <v>6000000</v>
      </c>
    </row>
    <row r="43" spans="2:20" ht="15">
      <c r="B43" s="1679"/>
      <c r="C43" s="2452"/>
      <c r="D43" s="2452"/>
      <c r="E43" s="2452"/>
      <c r="F43" s="2452"/>
      <c r="G43" s="1683" t="s">
        <v>2043</v>
      </c>
      <c r="H43" s="2454">
        <v>1</v>
      </c>
      <c r="I43" s="2061" t="s">
        <v>2044</v>
      </c>
      <c r="J43" s="2195">
        <v>25000000</v>
      </c>
      <c r="K43" s="2453">
        <f>H43*J43</f>
        <v>25000000</v>
      </c>
      <c r="L43" s="564"/>
      <c r="M43" s="600"/>
      <c r="N43" s="1822"/>
      <c r="O43" s="1822"/>
      <c r="P43" s="1822"/>
      <c r="Q43" s="399">
        <f t="shared" si="1"/>
        <v>25000000</v>
      </c>
      <c r="R43" s="1668"/>
      <c r="S43" s="1689"/>
      <c r="T43" s="1689">
        <f t="shared" si="2"/>
        <v>25000000</v>
      </c>
    </row>
    <row r="44" spans="2:20" ht="15">
      <c r="B44" s="1679"/>
      <c r="C44" s="2452"/>
      <c r="D44" s="2452"/>
      <c r="E44" s="2452"/>
      <c r="F44" s="2452"/>
      <c r="G44" s="1683" t="s">
        <v>2045</v>
      </c>
      <c r="H44" s="2454">
        <v>1</v>
      </c>
      <c r="I44" s="2061" t="s">
        <v>2044</v>
      </c>
      <c r="J44" s="2195">
        <v>25000000</v>
      </c>
      <c r="K44" s="2453">
        <f>H44*J44</f>
        <v>25000000</v>
      </c>
      <c r="L44" s="564"/>
      <c r="M44" s="600"/>
      <c r="N44" s="1822"/>
      <c r="O44" s="1822"/>
      <c r="P44" s="1822"/>
      <c r="Q44" s="399">
        <f t="shared" si="1"/>
        <v>25000000</v>
      </c>
      <c r="R44" s="1668"/>
      <c r="S44" s="1689"/>
      <c r="T44" s="1689">
        <f t="shared" si="2"/>
        <v>25000000</v>
      </c>
    </row>
    <row r="45" spans="2:20" ht="15">
      <c r="B45" s="346"/>
      <c r="C45" s="615"/>
      <c r="D45" s="615"/>
      <c r="E45" s="615"/>
      <c r="F45" s="615"/>
      <c r="G45" s="2455"/>
      <c r="H45" s="2454"/>
      <c r="I45" s="383"/>
      <c r="J45" s="1101"/>
      <c r="K45" s="543"/>
      <c r="L45" s="564"/>
      <c r="M45" s="600"/>
      <c r="N45" s="466"/>
      <c r="O45" s="466"/>
      <c r="P45" s="466"/>
      <c r="Q45" s="473"/>
      <c r="R45" s="378"/>
      <c r="S45" s="1689"/>
      <c r="T45" s="1689"/>
    </row>
    <row r="46" spans="2:20" ht="15">
      <c r="B46" s="346">
        <v>5</v>
      </c>
      <c r="C46" s="389">
        <v>2</v>
      </c>
      <c r="D46" s="389">
        <v>1</v>
      </c>
      <c r="E46" s="390" t="s">
        <v>25</v>
      </c>
      <c r="F46" s="390"/>
      <c r="G46" s="396" t="s">
        <v>185</v>
      </c>
      <c r="H46" s="599"/>
      <c r="I46" s="391"/>
      <c r="J46" s="579"/>
      <c r="K46" s="1041">
        <f>K47</f>
        <v>868800000</v>
      </c>
      <c r="L46" s="564"/>
      <c r="M46" s="600"/>
      <c r="N46" s="466"/>
      <c r="O46" s="466"/>
      <c r="P46" s="466"/>
      <c r="Q46" s="473"/>
      <c r="R46" s="378"/>
      <c r="S46" s="1689"/>
      <c r="T46" s="1689"/>
    </row>
    <row r="47" spans="2:20" ht="15">
      <c r="B47" s="346">
        <v>5</v>
      </c>
      <c r="C47" s="389">
        <v>2</v>
      </c>
      <c r="D47" s="389">
        <v>1</v>
      </c>
      <c r="E47" s="390" t="s">
        <v>25</v>
      </c>
      <c r="F47" s="390" t="s">
        <v>25</v>
      </c>
      <c r="G47" s="396" t="s">
        <v>186</v>
      </c>
      <c r="H47" s="599"/>
      <c r="I47" s="391"/>
      <c r="J47" s="579"/>
      <c r="K47" s="1041">
        <f>SUM(K48:K52)</f>
        <v>868800000</v>
      </c>
      <c r="L47" s="564"/>
      <c r="M47" s="600"/>
      <c r="N47" s="466"/>
      <c r="O47" s="466"/>
      <c r="P47" s="466"/>
      <c r="Q47" s="473"/>
      <c r="R47" s="378"/>
      <c r="S47" s="1689"/>
      <c r="T47" s="1689"/>
    </row>
    <row r="48" spans="2:20" ht="15">
      <c r="B48" s="346"/>
      <c r="C48" s="389"/>
      <c r="D48" s="389"/>
      <c r="E48" s="390"/>
      <c r="F48" s="390"/>
      <c r="G48" s="32" t="s">
        <v>1106</v>
      </c>
      <c r="H48" s="355">
        <v>12</v>
      </c>
      <c r="I48" s="58" t="s">
        <v>62</v>
      </c>
      <c r="J48" s="354">
        <v>2700000</v>
      </c>
      <c r="K48" s="1093">
        <f>J48*H48</f>
        <v>32400000</v>
      </c>
      <c r="L48" s="564"/>
      <c r="M48" s="600"/>
      <c r="N48" s="466"/>
      <c r="O48" s="466"/>
      <c r="P48" s="466"/>
      <c r="Q48" s="399">
        <f>K48</f>
        <v>32400000</v>
      </c>
      <c r="R48" s="378"/>
      <c r="S48" s="1689"/>
      <c r="T48" s="1689">
        <f t="shared" ref="T48:T52" si="3">Q48</f>
        <v>32400000</v>
      </c>
    </row>
    <row r="49" spans="2:20" ht="15">
      <c r="B49" s="346"/>
      <c r="C49" s="389"/>
      <c r="D49" s="389"/>
      <c r="E49" s="390"/>
      <c r="F49" s="390"/>
      <c r="G49" s="391" t="s">
        <v>1570</v>
      </c>
      <c r="H49" s="597">
        <v>72</v>
      </c>
      <c r="I49" s="393" t="s">
        <v>62</v>
      </c>
      <c r="J49" s="579">
        <v>2400000</v>
      </c>
      <c r="K49" s="1093">
        <f>J49*H49</f>
        <v>172800000</v>
      </c>
      <c r="L49" s="564"/>
      <c r="M49" s="600"/>
      <c r="N49" s="466"/>
      <c r="O49" s="466"/>
      <c r="P49" s="466"/>
      <c r="Q49" s="399">
        <f>K49</f>
        <v>172800000</v>
      </c>
      <c r="R49" s="378"/>
      <c r="S49" s="1689"/>
      <c r="T49" s="1689">
        <f t="shared" si="3"/>
        <v>172800000</v>
      </c>
    </row>
    <row r="50" spans="2:20" ht="15">
      <c r="B50" s="346"/>
      <c r="C50" s="389"/>
      <c r="D50" s="389"/>
      <c r="E50" s="390"/>
      <c r="F50" s="390"/>
      <c r="G50" s="391" t="s">
        <v>1571</v>
      </c>
      <c r="H50" s="597">
        <v>204</v>
      </c>
      <c r="I50" s="393" t="s">
        <v>62</v>
      </c>
      <c r="J50" s="579">
        <v>2300000</v>
      </c>
      <c r="K50" s="1093">
        <f>J50*H50</f>
        <v>469200000</v>
      </c>
      <c r="L50" s="564"/>
      <c r="M50" s="600"/>
      <c r="N50" s="466"/>
      <c r="O50" s="466"/>
      <c r="P50" s="466"/>
      <c r="Q50" s="399">
        <f>K50</f>
        <v>469200000</v>
      </c>
      <c r="R50" s="378"/>
      <c r="S50" s="1689"/>
      <c r="T50" s="1689">
        <f t="shared" si="3"/>
        <v>469200000</v>
      </c>
    </row>
    <row r="51" spans="2:20" ht="15">
      <c r="B51" s="346"/>
      <c r="C51" s="389"/>
      <c r="D51" s="389"/>
      <c r="E51" s="390"/>
      <c r="F51" s="390"/>
      <c r="G51" s="391" t="s">
        <v>1572</v>
      </c>
      <c r="H51" s="597">
        <v>72</v>
      </c>
      <c r="I51" s="393" t="s">
        <v>62</v>
      </c>
      <c r="J51" s="579">
        <v>2200000</v>
      </c>
      <c r="K51" s="1093">
        <f>J51*H51</f>
        <v>158400000</v>
      </c>
      <c r="L51" s="564"/>
      <c r="M51" s="600"/>
      <c r="N51" s="466"/>
      <c r="O51" s="466"/>
      <c r="P51" s="466"/>
      <c r="Q51" s="399">
        <f>K51</f>
        <v>158400000</v>
      </c>
      <c r="R51" s="378"/>
      <c r="S51" s="1689"/>
      <c r="T51" s="1689">
        <f t="shared" si="3"/>
        <v>158400000</v>
      </c>
    </row>
    <row r="52" spans="2:20" ht="15">
      <c r="B52" s="346"/>
      <c r="C52" s="389"/>
      <c r="D52" s="389"/>
      <c r="E52" s="390"/>
      <c r="F52" s="390"/>
      <c r="G52" s="391" t="s">
        <v>1573</v>
      </c>
      <c r="H52" s="597">
        <v>90</v>
      </c>
      <c r="I52" s="393" t="s">
        <v>28</v>
      </c>
      <c r="J52" s="579">
        <v>400000</v>
      </c>
      <c r="K52" s="1093">
        <f>J52*H52</f>
        <v>36000000</v>
      </c>
      <c r="L52" s="564"/>
      <c r="M52" s="600"/>
      <c r="N52" s="466"/>
      <c r="O52" s="466"/>
      <c r="P52" s="466"/>
      <c r="Q52" s="399">
        <f>K52</f>
        <v>36000000</v>
      </c>
      <c r="R52" s="378"/>
      <c r="S52" s="1689"/>
      <c r="T52" s="1689">
        <f t="shared" si="3"/>
        <v>36000000</v>
      </c>
    </row>
    <row r="53" spans="2:20" ht="15">
      <c r="B53" s="346"/>
      <c r="C53" s="389"/>
      <c r="D53" s="389"/>
      <c r="E53" s="390"/>
      <c r="F53" s="390"/>
      <c r="G53" s="391"/>
      <c r="H53" s="597"/>
      <c r="I53" s="393"/>
      <c r="J53" s="579"/>
      <c r="K53" s="1093"/>
      <c r="L53" s="564"/>
      <c r="M53" s="600"/>
      <c r="N53" s="466"/>
      <c r="O53" s="466"/>
      <c r="P53" s="466"/>
      <c r="Q53" s="473"/>
      <c r="R53" s="378"/>
      <c r="S53" s="1689"/>
      <c r="T53" s="1689"/>
    </row>
    <row r="54" spans="2:20" ht="15">
      <c r="B54" s="429">
        <v>5</v>
      </c>
      <c r="C54" s="2920">
        <v>2</v>
      </c>
      <c r="D54" s="2920">
        <v>2</v>
      </c>
      <c r="E54" s="2920"/>
      <c r="F54" s="2920"/>
      <c r="G54" s="396" t="s">
        <v>43</v>
      </c>
      <c r="H54" s="591"/>
      <c r="I54" s="2919"/>
      <c r="J54" s="1248"/>
      <c r="K54" s="544">
        <f>K55+K86+K110+K128+K132+K136+K149+K168+K172+K176+K182</f>
        <v>34829665500</v>
      </c>
      <c r="L54" s="564"/>
      <c r="M54" s="310"/>
      <c r="N54" s="306"/>
      <c r="O54" s="306"/>
      <c r="P54" s="306"/>
      <c r="Q54" s="399"/>
      <c r="R54" s="306"/>
      <c r="S54" s="1689"/>
      <c r="T54" s="1689"/>
    </row>
    <row r="55" spans="2:20" ht="15">
      <c r="B55" s="436">
        <v>5</v>
      </c>
      <c r="C55" s="2919">
        <v>2</v>
      </c>
      <c r="D55" s="2919">
        <v>2</v>
      </c>
      <c r="E55" s="437" t="s">
        <v>24</v>
      </c>
      <c r="F55" s="437"/>
      <c r="G55" s="396" t="s">
        <v>69</v>
      </c>
      <c r="H55" s="591"/>
      <c r="I55" s="2919"/>
      <c r="J55" s="1248"/>
      <c r="K55" s="544">
        <f>K56+K73+K80</f>
        <v>1621123600</v>
      </c>
      <c r="L55" s="564"/>
      <c r="M55" s="310"/>
      <c r="N55" s="306"/>
      <c r="O55" s="306"/>
      <c r="P55" s="306"/>
      <c r="Q55" s="399"/>
      <c r="R55" s="306"/>
      <c r="S55" s="1689"/>
      <c r="T55" s="1689"/>
    </row>
    <row r="56" spans="2:20">
      <c r="B56" s="19">
        <v>5</v>
      </c>
      <c r="C56" s="15">
        <v>2</v>
      </c>
      <c r="D56" s="15">
        <v>2</v>
      </c>
      <c r="E56" s="28" t="s">
        <v>24</v>
      </c>
      <c r="F56" s="28" t="s">
        <v>24</v>
      </c>
      <c r="G56" s="44" t="s">
        <v>100</v>
      </c>
      <c r="H56" s="45"/>
      <c r="I56" s="17"/>
      <c r="J56" s="46"/>
      <c r="K56" s="294">
        <f>SUM(K57:K72)</f>
        <v>48850000</v>
      </c>
      <c r="L56" s="2139"/>
      <c r="M56" s="2139"/>
      <c r="N56" s="2139"/>
      <c r="O56" s="2139"/>
      <c r="P56" s="2139"/>
      <c r="Q56" s="2140"/>
      <c r="R56" s="2140"/>
      <c r="S56" s="1693"/>
      <c r="T56" s="1693"/>
    </row>
    <row r="57" spans="2:20" ht="15">
      <c r="B57" s="1679"/>
      <c r="C57" s="1680"/>
      <c r="D57" s="1680"/>
      <c r="E57" s="1681"/>
      <c r="F57" s="1681"/>
      <c r="G57" s="1683" t="s">
        <v>2114</v>
      </c>
      <c r="H57" s="2249">
        <v>5</v>
      </c>
      <c r="I57" s="2250" t="s">
        <v>107</v>
      </c>
      <c r="J57" s="1655">
        <v>270000</v>
      </c>
      <c r="K57" s="2251">
        <f>H57*J57</f>
        <v>1350000</v>
      </c>
      <c r="L57" s="1656"/>
      <c r="M57" s="811"/>
      <c r="N57" s="1656"/>
      <c r="O57" s="1668"/>
      <c r="P57" s="1668"/>
      <c r="Q57" s="399">
        <f t="shared" ref="Q57:Q71" si="4">K57</f>
        <v>1350000</v>
      </c>
      <c r="R57" s="1668"/>
      <c r="S57" s="2908">
        <f t="shared" ref="S57:S71" si="5">Q57</f>
        <v>1350000</v>
      </c>
      <c r="T57" s="1693"/>
    </row>
    <row r="58" spans="2:20" ht="15">
      <c r="B58" s="1679"/>
      <c r="C58" s="1680"/>
      <c r="D58" s="1680"/>
      <c r="E58" s="1681"/>
      <c r="F58" s="1681"/>
      <c r="G58" s="1683" t="s">
        <v>2115</v>
      </c>
      <c r="H58" s="2249">
        <v>5</v>
      </c>
      <c r="I58" s="2250" t="s">
        <v>107</v>
      </c>
      <c r="J58" s="1655">
        <v>310000</v>
      </c>
      <c r="K58" s="2251">
        <f t="shared" ref="K58:K71" si="6">H58*J58</f>
        <v>1550000</v>
      </c>
      <c r="L58" s="1656"/>
      <c r="M58" s="811"/>
      <c r="N58" s="1656"/>
      <c r="O58" s="1668"/>
      <c r="P58" s="1668"/>
      <c r="Q58" s="399">
        <f t="shared" si="4"/>
        <v>1550000</v>
      </c>
      <c r="R58" s="1668"/>
      <c r="S58" s="2908">
        <f t="shared" si="5"/>
        <v>1550000</v>
      </c>
      <c r="T58" s="1693"/>
    </row>
    <row r="59" spans="2:20" ht="15">
      <c r="B59" s="1679"/>
      <c r="C59" s="1680"/>
      <c r="D59" s="1680"/>
      <c r="E59" s="1681"/>
      <c r="F59" s="1681"/>
      <c r="G59" s="1683" t="s">
        <v>1824</v>
      </c>
      <c r="H59" s="2249">
        <v>3</v>
      </c>
      <c r="I59" s="2250" t="s">
        <v>107</v>
      </c>
      <c r="J59" s="1655">
        <v>1850000</v>
      </c>
      <c r="K59" s="2251">
        <f t="shared" si="6"/>
        <v>5550000</v>
      </c>
      <c r="L59" s="1656"/>
      <c r="M59" s="811"/>
      <c r="N59" s="1656"/>
      <c r="O59" s="1668"/>
      <c r="P59" s="1668"/>
      <c r="Q59" s="399">
        <f t="shared" si="4"/>
        <v>5550000</v>
      </c>
      <c r="R59" s="1668"/>
      <c r="S59" s="2908">
        <f t="shared" si="5"/>
        <v>5550000</v>
      </c>
      <c r="T59" s="1693"/>
    </row>
    <row r="60" spans="2:20" ht="15">
      <c r="B60" s="1679"/>
      <c r="C60" s="1680"/>
      <c r="D60" s="1680"/>
      <c r="E60" s="1681"/>
      <c r="F60" s="1681"/>
      <c r="G60" s="1683" t="s">
        <v>1825</v>
      </c>
      <c r="H60" s="2249">
        <v>15</v>
      </c>
      <c r="I60" s="2250" t="s">
        <v>107</v>
      </c>
      <c r="J60" s="1655">
        <v>290000</v>
      </c>
      <c r="K60" s="2251">
        <f t="shared" si="6"/>
        <v>4350000</v>
      </c>
      <c r="L60" s="1656"/>
      <c r="M60" s="811"/>
      <c r="N60" s="1656"/>
      <c r="O60" s="1668"/>
      <c r="P60" s="1668"/>
      <c r="Q60" s="399">
        <f t="shared" si="4"/>
        <v>4350000</v>
      </c>
      <c r="R60" s="1668"/>
      <c r="S60" s="2908">
        <f t="shared" si="5"/>
        <v>4350000</v>
      </c>
      <c r="T60" s="1693"/>
    </row>
    <row r="61" spans="2:20" ht="15">
      <c r="B61" s="1679"/>
      <c r="C61" s="1680"/>
      <c r="D61" s="1680"/>
      <c r="E61" s="1681"/>
      <c r="F61" s="1681"/>
      <c r="G61" s="1683" t="s">
        <v>1826</v>
      </c>
      <c r="H61" s="2249">
        <v>2</v>
      </c>
      <c r="I61" s="2250" t="s">
        <v>107</v>
      </c>
      <c r="J61" s="1655">
        <v>1400000</v>
      </c>
      <c r="K61" s="2251">
        <f t="shared" si="6"/>
        <v>2800000</v>
      </c>
      <c r="L61" s="1656"/>
      <c r="M61" s="811"/>
      <c r="N61" s="1656"/>
      <c r="O61" s="1668"/>
      <c r="P61" s="1668"/>
      <c r="Q61" s="399">
        <f t="shared" si="4"/>
        <v>2800000</v>
      </c>
      <c r="R61" s="1668"/>
      <c r="S61" s="2908">
        <f t="shared" si="5"/>
        <v>2800000</v>
      </c>
      <c r="T61" s="1693"/>
    </row>
    <row r="62" spans="2:20" ht="15">
      <c r="B62" s="1679"/>
      <c r="C62" s="1680"/>
      <c r="D62" s="1680"/>
      <c r="E62" s="1681"/>
      <c r="F62" s="1681"/>
      <c r="G62" s="1683" t="s">
        <v>1827</v>
      </c>
      <c r="H62" s="2249">
        <v>2</v>
      </c>
      <c r="I62" s="2250" t="s">
        <v>107</v>
      </c>
      <c r="J62" s="1655">
        <v>1500000</v>
      </c>
      <c r="K62" s="859">
        <f t="shared" si="6"/>
        <v>3000000</v>
      </c>
      <c r="L62" s="1656"/>
      <c r="M62" s="811"/>
      <c r="N62" s="1656"/>
      <c r="O62" s="1668"/>
      <c r="P62" s="1668"/>
      <c r="Q62" s="399">
        <f t="shared" si="4"/>
        <v>3000000</v>
      </c>
      <c r="R62" s="1668"/>
      <c r="S62" s="2908">
        <f t="shared" si="5"/>
        <v>3000000</v>
      </c>
      <c r="T62" s="1693"/>
    </row>
    <row r="63" spans="2:20" ht="15">
      <c r="B63" s="1679"/>
      <c r="C63" s="1680"/>
      <c r="D63" s="1680"/>
      <c r="E63" s="1681"/>
      <c r="F63" s="1681"/>
      <c r="G63" s="1683" t="s">
        <v>1828</v>
      </c>
      <c r="H63" s="2249">
        <v>10</v>
      </c>
      <c r="I63" s="2250" t="s">
        <v>107</v>
      </c>
      <c r="J63" s="1655">
        <v>90000</v>
      </c>
      <c r="K63" s="859">
        <f t="shared" si="6"/>
        <v>900000</v>
      </c>
      <c r="L63" s="1656"/>
      <c r="M63" s="811"/>
      <c r="N63" s="1656"/>
      <c r="O63" s="1668"/>
      <c r="P63" s="1668"/>
      <c r="Q63" s="399">
        <f t="shared" si="4"/>
        <v>900000</v>
      </c>
      <c r="R63" s="1668"/>
      <c r="S63" s="2908">
        <f t="shared" si="5"/>
        <v>900000</v>
      </c>
      <c r="T63" s="1693"/>
    </row>
    <row r="64" spans="2:20" ht="15">
      <c r="B64" s="1679"/>
      <c r="C64" s="1680"/>
      <c r="D64" s="1680"/>
      <c r="E64" s="1681"/>
      <c r="F64" s="1681"/>
      <c r="G64" s="1683" t="s">
        <v>1829</v>
      </c>
      <c r="H64" s="2249">
        <v>10</v>
      </c>
      <c r="I64" s="2250" t="s">
        <v>107</v>
      </c>
      <c r="J64" s="1655">
        <v>160000</v>
      </c>
      <c r="K64" s="859">
        <f t="shared" si="6"/>
        <v>1600000</v>
      </c>
      <c r="L64" s="1656"/>
      <c r="M64" s="811"/>
      <c r="N64" s="1656"/>
      <c r="O64" s="1668"/>
      <c r="P64" s="1668"/>
      <c r="Q64" s="399">
        <f t="shared" si="4"/>
        <v>1600000</v>
      </c>
      <c r="R64" s="1668"/>
      <c r="S64" s="2908">
        <f t="shared" si="5"/>
        <v>1600000</v>
      </c>
      <c r="T64" s="1693"/>
    </row>
    <row r="65" spans="2:20" ht="15">
      <c r="B65" s="1679"/>
      <c r="C65" s="1680"/>
      <c r="D65" s="1680"/>
      <c r="E65" s="1681"/>
      <c r="F65" s="1681"/>
      <c r="G65" s="1683" t="s">
        <v>1830</v>
      </c>
      <c r="H65" s="2249">
        <v>1</v>
      </c>
      <c r="I65" s="2250" t="s">
        <v>107</v>
      </c>
      <c r="J65" s="1655">
        <v>650000</v>
      </c>
      <c r="K65" s="859">
        <f t="shared" si="6"/>
        <v>650000</v>
      </c>
      <c r="L65" s="1656"/>
      <c r="M65" s="811"/>
      <c r="N65" s="1656"/>
      <c r="O65" s="1668"/>
      <c r="P65" s="1668"/>
      <c r="Q65" s="399">
        <f t="shared" si="4"/>
        <v>650000</v>
      </c>
      <c r="R65" s="1668"/>
      <c r="S65" s="2908">
        <f t="shared" si="5"/>
        <v>650000</v>
      </c>
      <c r="T65" s="1693"/>
    </row>
    <row r="66" spans="2:20" ht="15">
      <c r="B66" s="1679"/>
      <c r="C66" s="1680"/>
      <c r="D66" s="1680"/>
      <c r="E66" s="1681"/>
      <c r="F66" s="1681"/>
      <c r="G66" s="1683" t="s">
        <v>1831</v>
      </c>
      <c r="H66" s="2249">
        <v>2</v>
      </c>
      <c r="I66" s="2250" t="s">
        <v>107</v>
      </c>
      <c r="J66" s="1655">
        <v>525000</v>
      </c>
      <c r="K66" s="859">
        <f t="shared" si="6"/>
        <v>1050000</v>
      </c>
      <c r="L66" s="1656"/>
      <c r="M66" s="811"/>
      <c r="N66" s="1656"/>
      <c r="O66" s="1668"/>
      <c r="P66" s="1668"/>
      <c r="Q66" s="399">
        <f t="shared" si="4"/>
        <v>1050000</v>
      </c>
      <c r="R66" s="1668"/>
      <c r="S66" s="2908">
        <f t="shared" si="5"/>
        <v>1050000</v>
      </c>
      <c r="T66" s="1693"/>
    </row>
    <row r="67" spans="2:20" ht="15">
      <c r="B67" s="1679"/>
      <c r="C67" s="1680"/>
      <c r="D67" s="1680"/>
      <c r="E67" s="1681"/>
      <c r="F67" s="1681"/>
      <c r="G67" s="1683" t="s">
        <v>1832</v>
      </c>
      <c r="H67" s="2249">
        <v>2</v>
      </c>
      <c r="I67" s="2250" t="s">
        <v>107</v>
      </c>
      <c r="J67" s="1655">
        <v>1100000</v>
      </c>
      <c r="K67" s="859">
        <f t="shared" si="6"/>
        <v>2200000</v>
      </c>
      <c r="L67" s="1656"/>
      <c r="M67" s="811"/>
      <c r="N67" s="1656"/>
      <c r="O67" s="1668"/>
      <c r="P67" s="1668"/>
      <c r="Q67" s="399">
        <f t="shared" si="4"/>
        <v>2200000</v>
      </c>
      <c r="R67" s="1668"/>
      <c r="S67" s="2908">
        <f t="shared" si="5"/>
        <v>2200000</v>
      </c>
      <c r="T67" s="1693"/>
    </row>
    <row r="68" spans="2:20" ht="15">
      <c r="B68" s="1679"/>
      <c r="C68" s="1680"/>
      <c r="D68" s="1680"/>
      <c r="E68" s="1681"/>
      <c r="F68" s="1681"/>
      <c r="G68" s="1683" t="s">
        <v>1833</v>
      </c>
      <c r="H68" s="2249">
        <v>3</v>
      </c>
      <c r="I68" s="2250" t="s">
        <v>107</v>
      </c>
      <c r="J68" s="1655">
        <v>750000</v>
      </c>
      <c r="K68" s="859">
        <f t="shared" si="6"/>
        <v>2250000</v>
      </c>
      <c r="L68" s="1656"/>
      <c r="M68" s="811"/>
      <c r="N68" s="1656"/>
      <c r="O68" s="1668"/>
      <c r="P68" s="1668"/>
      <c r="Q68" s="399">
        <f t="shared" si="4"/>
        <v>2250000</v>
      </c>
      <c r="R68" s="1668"/>
      <c r="S68" s="2908">
        <f t="shared" si="5"/>
        <v>2250000</v>
      </c>
      <c r="T68" s="1693"/>
    </row>
    <row r="69" spans="2:20" ht="15">
      <c r="B69" s="1679"/>
      <c r="C69" s="1680"/>
      <c r="D69" s="1680"/>
      <c r="E69" s="1681"/>
      <c r="F69" s="1681"/>
      <c r="G69" s="1683" t="s">
        <v>1834</v>
      </c>
      <c r="H69" s="2249">
        <v>2</v>
      </c>
      <c r="I69" s="2250" t="s">
        <v>107</v>
      </c>
      <c r="J69" s="1655">
        <v>450000</v>
      </c>
      <c r="K69" s="859">
        <f t="shared" si="6"/>
        <v>900000</v>
      </c>
      <c r="L69" s="1656"/>
      <c r="M69" s="811"/>
      <c r="N69" s="1656"/>
      <c r="O69" s="1668"/>
      <c r="P69" s="1668"/>
      <c r="Q69" s="399">
        <f t="shared" si="4"/>
        <v>900000</v>
      </c>
      <c r="R69" s="1668"/>
      <c r="S69" s="2908">
        <f t="shared" si="5"/>
        <v>900000</v>
      </c>
      <c r="T69" s="1693"/>
    </row>
    <row r="70" spans="2:20" ht="15">
      <c r="B70" s="1679"/>
      <c r="C70" s="1680"/>
      <c r="D70" s="1680"/>
      <c r="E70" s="1681"/>
      <c r="F70" s="1681"/>
      <c r="G70" s="1683" t="s">
        <v>1835</v>
      </c>
      <c r="H70" s="2249">
        <v>25</v>
      </c>
      <c r="I70" s="2250" t="s">
        <v>107</v>
      </c>
      <c r="J70" s="1655">
        <v>180000</v>
      </c>
      <c r="K70" s="859">
        <f t="shared" si="6"/>
        <v>4500000</v>
      </c>
      <c r="L70" s="1656"/>
      <c r="M70" s="811"/>
      <c r="N70" s="1656"/>
      <c r="O70" s="1668"/>
      <c r="P70" s="1668"/>
      <c r="Q70" s="399">
        <f t="shared" si="4"/>
        <v>4500000</v>
      </c>
      <c r="R70" s="1668"/>
      <c r="S70" s="2908">
        <f t="shared" si="5"/>
        <v>4500000</v>
      </c>
      <c r="T70" s="1693"/>
    </row>
    <row r="71" spans="2:20">
      <c r="B71" s="19"/>
      <c r="C71" s="15"/>
      <c r="D71" s="15"/>
      <c r="E71" s="28"/>
      <c r="F71" s="28"/>
      <c r="G71" s="2129" t="s">
        <v>1992</v>
      </c>
      <c r="H71" s="1478">
        <v>81</v>
      </c>
      <c r="I71" s="2130" t="s">
        <v>293</v>
      </c>
      <c r="J71" s="2145">
        <v>200000</v>
      </c>
      <c r="K71" s="363">
        <f t="shared" si="6"/>
        <v>16200000</v>
      </c>
      <c r="L71" s="2139"/>
      <c r="M71" s="2144"/>
      <c r="N71" s="2144"/>
      <c r="O71" s="2146"/>
      <c r="P71" s="2146"/>
      <c r="Q71" s="399">
        <f t="shared" si="4"/>
        <v>16200000</v>
      </c>
      <c r="R71" s="2146"/>
      <c r="S71" s="2908">
        <f t="shared" si="5"/>
        <v>16200000</v>
      </c>
      <c r="T71" s="1693"/>
    </row>
    <row r="72" spans="2:20" ht="15">
      <c r="B72" s="1679"/>
      <c r="C72" s="1680"/>
      <c r="D72" s="1680"/>
      <c r="E72" s="1681"/>
      <c r="F72" s="1681"/>
      <c r="G72" s="924"/>
      <c r="H72" s="2318"/>
      <c r="I72" s="1066"/>
      <c r="J72" s="926"/>
      <c r="K72" s="859"/>
      <c r="L72" s="564"/>
      <c r="M72" s="811"/>
      <c r="N72" s="1656"/>
      <c r="O72" s="1668"/>
      <c r="P72" s="1668"/>
      <c r="Q72" s="1668"/>
      <c r="R72" s="1668"/>
      <c r="S72" s="1693"/>
      <c r="T72" s="1693"/>
    </row>
    <row r="73" spans="2:20" ht="15">
      <c r="B73" s="346">
        <v>5</v>
      </c>
      <c r="C73" s="371">
        <v>2</v>
      </c>
      <c r="D73" s="371">
        <v>2</v>
      </c>
      <c r="E73" s="372" t="s">
        <v>24</v>
      </c>
      <c r="F73" s="372" t="s">
        <v>81</v>
      </c>
      <c r="G73" s="1042" t="s">
        <v>222</v>
      </c>
      <c r="H73" s="1043"/>
      <c r="I73" s="868"/>
      <c r="J73" s="1249"/>
      <c r="K73" s="453">
        <f>SUM(K74:K79)</f>
        <v>601029200</v>
      </c>
      <c r="L73" s="564"/>
      <c r="M73" s="308"/>
      <c r="N73" s="309"/>
      <c r="O73" s="309"/>
      <c r="P73" s="309"/>
      <c r="Q73" s="306"/>
      <c r="R73" s="306"/>
      <c r="S73" s="1693"/>
      <c r="T73" s="1693"/>
    </row>
    <row r="74" spans="2:20" ht="15">
      <c r="B74" s="436"/>
      <c r="C74" s="2919"/>
      <c r="D74" s="2919"/>
      <c r="E74" s="437"/>
      <c r="F74" s="437"/>
      <c r="G74" s="572" t="s">
        <v>224</v>
      </c>
      <c r="H74" s="2924">
        <v>4200</v>
      </c>
      <c r="I74" s="380" t="s">
        <v>228</v>
      </c>
      <c r="J74" s="570">
        <v>107000</v>
      </c>
      <c r="K74" s="416">
        <f>H74*J74</f>
        <v>449400000</v>
      </c>
      <c r="L74" s="564"/>
      <c r="M74" s="311"/>
      <c r="N74" s="312"/>
      <c r="O74" s="312"/>
      <c r="P74" s="312"/>
      <c r="Q74" s="571">
        <f t="shared" ref="Q74:Q78" si="7">K74</f>
        <v>449400000</v>
      </c>
      <c r="R74" s="306"/>
      <c r="S74" s="1693"/>
      <c r="T74" s="1689">
        <f t="shared" ref="T74:T77" si="8">Q74</f>
        <v>449400000</v>
      </c>
    </row>
    <row r="75" spans="2:20" ht="15">
      <c r="B75" s="436"/>
      <c r="C75" s="2919"/>
      <c r="D75" s="2919"/>
      <c r="E75" s="437"/>
      <c r="F75" s="437"/>
      <c r="G75" s="572" t="s">
        <v>225</v>
      </c>
      <c r="H75" s="2924">
        <v>420</v>
      </c>
      <c r="I75" s="380" t="s">
        <v>228</v>
      </c>
      <c r="J75" s="570">
        <v>37000</v>
      </c>
      <c r="K75" s="416">
        <f>H75*J75</f>
        <v>15540000</v>
      </c>
      <c r="L75" s="564"/>
      <c r="M75" s="311"/>
      <c r="N75" s="314"/>
      <c r="O75" s="314"/>
      <c r="P75" s="314"/>
      <c r="Q75" s="571">
        <f t="shared" si="7"/>
        <v>15540000</v>
      </c>
      <c r="R75" s="306"/>
      <c r="S75" s="1693"/>
      <c r="T75" s="1689">
        <f t="shared" si="8"/>
        <v>15540000</v>
      </c>
    </row>
    <row r="76" spans="2:20" ht="15">
      <c r="B76" s="436"/>
      <c r="C76" s="2919"/>
      <c r="D76" s="2919"/>
      <c r="E76" s="437"/>
      <c r="F76" s="437"/>
      <c r="G76" s="572" t="s">
        <v>226</v>
      </c>
      <c r="H76" s="2924">
        <v>6</v>
      </c>
      <c r="I76" s="380" t="s">
        <v>228</v>
      </c>
      <c r="J76" s="570">
        <v>3900000</v>
      </c>
      <c r="K76" s="416">
        <f>H76*J76</f>
        <v>23400000</v>
      </c>
      <c r="L76" s="564"/>
      <c r="M76" s="311"/>
      <c r="N76" s="306"/>
      <c r="O76" s="306"/>
      <c r="P76" s="306"/>
      <c r="Q76" s="571">
        <f t="shared" si="7"/>
        <v>23400000</v>
      </c>
      <c r="R76" s="306"/>
      <c r="S76" s="1693"/>
      <c r="T76" s="1689">
        <f t="shared" si="8"/>
        <v>23400000</v>
      </c>
    </row>
    <row r="77" spans="2:20" ht="15">
      <c r="B77" s="436"/>
      <c r="C77" s="2919"/>
      <c r="D77" s="2919"/>
      <c r="E77" s="437"/>
      <c r="F77" s="437"/>
      <c r="G77" s="572" t="s">
        <v>227</v>
      </c>
      <c r="H77" s="2924">
        <v>24</v>
      </c>
      <c r="I77" s="380" t="s">
        <v>228</v>
      </c>
      <c r="J77" s="570">
        <v>2200000</v>
      </c>
      <c r="K77" s="416">
        <f>H77*J77</f>
        <v>52800000</v>
      </c>
      <c r="L77" s="564"/>
      <c r="M77" s="311"/>
      <c r="N77" s="306"/>
      <c r="O77" s="306"/>
      <c r="P77" s="306"/>
      <c r="Q77" s="571">
        <f t="shared" si="7"/>
        <v>52800000</v>
      </c>
      <c r="R77" s="306"/>
      <c r="S77" s="1693"/>
      <c r="T77" s="1689">
        <f t="shared" si="8"/>
        <v>52800000</v>
      </c>
    </row>
    <row r="78" spans="2:20" ht="15">
      <c r="B78" s="2116"/>
      <c r="C78" s="2117"/>
      <c r="D78" s="2117"/>
      <c r="E78" s="2118"/>
      <c r="F78" s="2118"/>
      <c r="G78" s="2281" t="s">
        <v>1789</v>
      </c>
      <c r="H78" s="2282">
        <v>1</v>
      </c>
      <c r="I78" s="2283" t="s">
        <v>29</v>
      </c>
      <c r="J78" s="2284">
        <v>59889200</v>
      </c>
      <c r="K78" s="2251">
        <f>H78*J78</f>
        <v>59889200</v>
      </c>
      <c r="L78" s="564"/>
      <c r="M78" s="808"/>
      <c r="N78" s="1668"/>
      <c r="O78" s="1668"/>
      <c r="P78" s="1668"/>
      <c r="Q78" s="2119">
        <f t="shared" si="7"/>
        <v>59889200</v>
      </c>
      <c r="R78" s="1668"/>
      <c r="S78" s="2908">
        <f>Q78</f>
        <v>59889200</v>
      </c>
      <c r="T78" s="1693"/>
    </row>
    <row r="79" spans="2:20" ht="15">
      <c r="B79" s="1679"/>
      <c r="C79" s="1680"/>
      <c r="D79" s="1680"/>
      <c r="E79" s="1681"/>
      <c r="F79" s="1681"/>
      <c r="G79" s="2028"/>
      <c r="H79" s="2902"/>
      <c r="I79" s="2903"/>
      <c r="J79" s="2904"/>
      <c r="K79" s="1823"/>
      <c r="L79" s="564"/>
      <c r="M79" s="600"/>
      <c r="N79" s="1822"/>
      <c r="O79" s="1822"/>
      <c r="P79" s="1822"/>
      <c r="Q79" s="1668"/>
      <c r="R79" s="1668"/>
      <c r="S79" s="1693"/>
      <c r="T79" s="1693"/>
    </row>
    <row r="80" spans="2:20" ht="15">
      <c r="B80" s="1713">
        <v>5</v>
      </c>
      <c r="C80" s="1706">
        <v>2</v>
      </c>
      <c r="D80" s="1706">
        <v>2</v>
      </c>
      <c r="E80" s="1707" t="s">
        <v>24</v>
      </c>
      <c r="F80" s="1707" t="s">
        <v>79</v>
      </c>
      <c r="G80" s="2065" t="s">
        <v>365</v>
      </c>
      <c r="H80" s="2905"/>
      <c r="I80" s="2117"/>
      <c r="J80" s="2906"/>
      <c r="K80" s="2907">
        <f>SUM(K81:K84)</f>
        <v>971244400</v>
      </c>
      <c r="L80" s="564"/>
      <c r="M80" s="310"/>
      <c r="N80" s="306"/>
      <c r="O80" s="306"/>
      <c r="P80" s="306"/>
      <c r="Q80" s="399"/>
      <c r="R80" s="306"/>
      <c r="S80" s="1689"/>
      <c r="T80" s="1689"/>
    </row>
    <row r="81" spans="2:21" ht="15">
      <c r="B81" s="429"/>
      <c r="C81" s="2920"/>
      <c r="D81" s="2920"/>
      <c r="E81" s="2920"/>
      <c r="F81" s="2920"/>
      <c r="G81" s="1044" t="s">
        <v>366</v>
      </c>
      <c r="H81" s="616">
        <v>2000</v>
      </c>
      <c r="I81" s="383" t="s">
        <v>367</v>
      </c>
      <c r="J81" s="1096">
        <v>335000</v>
      </c>
      <c r="K81" s="1097">
        <f>H81*J81</f>
        <v>670000000</v>
      </c>
      <c r="L81" s="564"/>
      <c r="M81" s="310"/>
      <c r="N81" s="306"/>
      <c r="O81" s="306"/>
      <c r="P81" s="306"/>
      <c r="Q81" s="399">
        <f>K81</f>
        <v>670000000</v>
      </c>
      <c r="R81" s="306"/>
      <c r="S81" s="1689"/>
      <c r="T81" s="1689">
        <f t="shared" ref="T81:T83" si="9">Q81</f>
        <v>670000000</v>
      </c>
    </row>
    <row r="82" spans="2:21" ht="15">
      <c r="B82" s="429"/>
      <c r="C82" s="2920"/>
      <c r="D82" s="2920"/>
      <c r="E82" s="2920"/>
      <c r="F82" s="2920"/>
      <c r="G82" s="1044" t="s">
        <v>465</v>
      </c>
      <c r="H82" s="616">
        <v>1</v>
      </c>
      <c r="I82" s="383" t="s">
        <v>29</v>
      </c>
      <c r="J82" s="1096">
        <v>250000000</v>
      </c>
      <c r="K82" s="1097">
        <f>H82*J82</f>
        <v>250000000</v>
      </c>
      <c r="L82" s="564"/>
      <c r="M82" s="310"/>
      <c r="N82" s="306"/>
      <c r="O82" s="306"/>
      <c r="P82" s="306"/>
      <c r="Q82" s="399">
        <f>K82</f>
        <v>250000000</v>
      </c>
      <c r="R82" s="306"/>
      <c r="S82" s="1689"/>
      <c r="T82" s="1689">
        <f t="shared" si="9"/>
        <v>250000000</v>
      </c>
    </row>
    <row r="83" spans="2:21" ht="15">
      <c r="B83" s="429"/>
      <c r="C83" s="2920"/>
      <c r="D83" s="2920"/>
      <c r="E83" s="2920"/>
      <c r="F83" s="2920"/>
      <c r="G83" s="391" t="s">
        <v>464</v>
      </c>
      <c r="H83" s="599">
        <v>71</v>
      </c>
      <c r="I83" s="383" t="s">
        <v>367</v>
      </c>
      <c r="J83" s="1096">
        <v>335000</v>
      </c>
      <c r="K83" s="1097">
        <f>H83*J83</f>
        <v>23785000</v>
      </c>
      <c r="L83" s="1034"/>
      <c r="M83" s="310"/>
      <c r="N83" s="306"/>
      <c r="O83" s="306"/>
      <c r="P83" s="306"/>
      <c r="Q83" s="399">
        <f>K83</f>
        <v>23785000</v>
      </c>
      <c r="R83" s="306"/>
      <c r="S83" s="1689"/>
      <c r="T83" s="1689">
        <f t="shared" si="9"/>
        <v>23785000</v>
      </c>
    </row>
    <row r="84" spans="2:21" ht="15">
      <c r="B84" s="429"/>
      <c r="C84" s="2920"/>
      <c r="D84" s="2920"/>
      <c r="E84" s="2920"/>
      <c r="F84" s="2920"/>
      <c r="G84" s="391" t="s">
        <v>466</v>
      </c>
      <c r="H84" s="599">
        <v>1</v>
      </c>
      <c r="I84" s="393" t="s">
        <v>29</v>
      </c>
      <c r="J84" s="579">
        <f>15053400+3650000+2000000+6756000</f>
        <v>27459400</v>
      </c>
      <c r="K84" s="1097">
        <f>H84*J84</f>
        <v>27459400</v>
      </c>
      <c r="L84" s="564"/>
      <c r="M84" s="310"/>
      <c r="N84" s="306"/>
      <c r="O84" s="306"/>
      <c r="P84" s="306"/>
      <c r="Q84" s="399">
        <f>K84</f>
        <v>27459400</v>
      </c>
      <c r="R84" s="306"/>
      <c r="S84" s="2908">
        <f>Q84</f>
        <v>27459400</v>
      </c>
      <c r="T84" s="1689"/>
    </row>
    <row r="85" spans="2:21" ht="10.5" customHeight="1">
      <c r="B85" s="429"/>
      <c r="C85" s="2920"/>
      <c r="D85" s="2920"/>
      <c r="E85" s="2920"/>
      <c r="F85" s="2920"/>
      <c r="G85" s="396"/>
      <c r="H85" s="591"/>
      <c r="I85" s="2919"/>
      <c r="J85" s="591"/>
      <c r="K85" s="544"/>
      <c r="L85" s="564"/>
      <c r="M85" s="310"/>
      <c r="N85" s="306"/>
      <c r="O85" s="306"/>
      <c r="P85" s="306"/>
      <c r="Q85" s="399">
        <f>K85</f>
        <v>0</v>
      </c>
      <c r="R85" s="306"/>
      <c r="S85" s="1689"/>
      <c r="T85" s="1689"/>
    </row>
    <row r="86" spans="2:21" s="27" customFormat="1" ht="15">
      <c r="B86" s="436">
        <v>5</v>
      </c>
      <c r="C86" s="2919">
        <v>2</v>
      </c>
      <c r="D86" s="2919">
        <v>2</v>
      </c>
      <c r="E86" s="437" t="s">
        <v>25</v>
      </c>
      <c r="F86" s="437"/>
      <c r="G86" s="396" t="s">
        <v>315</v>
      </c>
      <c r="H86" s="599"/>
      <c r="I86" s="635"/>
      <c r="J86" s="579"/>
      <c r="K86" s="545">
        <f>K87+K91+K103+K106</f>
        <v>11154237469</v>
      </c>
      <c r="L86" s="564"/>
      <c r="M86" s="310"/>
      <c r="N86" s="306"/>
      <c r="O86" s="306"/>
      <c r="P86" s="306"/>
      <c r="Q86" s="399"/>
      <c r="R86" s="306"/>
      <c r="S86" s="1714"/>
      <c r="T86" s="1714"/>
    </row>
    <row r="87" spans="2:21" s="27" customFormat="1" ht="15">
      <c r="B87" s="429">
        <v>5</v>
      </c>
      <c r="C87" s="2920">
        <v>2</v>
      </c>
      <c r="D87" s="2920">
        <v>2</v>
      </c>
      <c r="E87" s="430" t="s">
        <v>25</v>
      </c>
      <c r="F87" s="430" t="s">
        <v>65</v>
      </c>
      <c r="G87" s="396" t="s">
        <v>337</v>
      </c>
      <c r="H87" s="599"/>
      <c r="I87" s="635"/>
      <c r="J87" s="579"/>
      <c r="K87" s="545">
        <f>SUM(K88:K89)</f>
        <v>4264704355</v>
      </c>
      <c r="L87" s="564"/>
      <c r="M87" s="310"/>
      <c r="N87" s="306"/>
      <c r="O87" s="306"/>
      <c r="P87" s="306"/>
      <c r="Q87" s="399"/>
      <c r="R87" s="306"/>
      <c r="S87" s="1714"/>
      <c r="T87" s="1714"/>
    </row>
    <row r="88" spans="2:21" s="27" customFormat="1" ht="15">
      <c r="B88" s="429"/>
      <c r="C88" s="2920"/>
      <c r="D88" s="2920"/>
      <c r="E88" s="430"/>
      <c r="F88" s="430"/>
      <c r="G88" s="391" t="s">
        <v>804</v>
      </c>
      <c r="H88" s="599">
        <v>1</v>
      </c>
      <c r="I88" s="635" t="s">
        <v>29</v>
      </c>
      <c r="J88" s="1716">
        <f>3500000000</f>
        <v>3500000000</v>
      </c>
      <c r="K88" s="1098">
        <f>H88*J88</f>
        <v>3500000000</v>
      </c>
      <c r="L88" s="564"/>
      <c r="M88" s="310"/>
      <c r="N88" s="306"/>
      <c r="O88" s="306"/>
      <c r="P88" s="306"/>
      <c r="Q88" s="399">
        <f>K88</f>
        <v>3500000000</v>
      </c>
      <c r="R88" s="306"/>
      <c r="S88" s="1714"/>
      <c r="T88" s="1689">
        <f t="shared" ref="T88" si="10">Q88</f>
        <v>3500000000</v>
      </c>
      <c r="U88" s="482"/>
    </row>
    <row r="89" spans="2:21" s="27" customFormat="1" ht="15">
      <c r="B89" s="429"/>
      <c r="C89" s="2920"/>
      <c r="D89" s="2920"/>
      <c r="E89" s="430"/>
      <c r="F89" s="430"/>
      <c r="G89" s="391" t="s">
        <v>1574</v>
      </c>
      <c r="H89" s="599">
        <v>1</v>
      </c>
      <c r="I89" s="635" t="s">
        <v>29</v>
      </c>
      <c r="J89" s="579">
        <v>764704355</v>
      </c>
      <c r="K89" s="1098">
        <f>H89*J89</f>
        <v>764704355</v>
      </c>
      <c r="L89" s="564"/>
      <c r="M89" s="447"/>
      <c r="N89" s="378"/>
      <c r="O89" s="378"/>
      <c r="P89" s="378"/>
      <c r="Q89" s="399">
        <f>K89</f>
        <v>764704355</v>
      </c>
      <c r="R89" s="378"/>
      <c r="S89" s="2908">
        <f>Q89</f>
        <v>764704355</v>
      </c>
      <c r="T89" s="1714"/>
      <c r="U89" s="482"/>
    </row>
    <row r="90" spans="2:21" s="27" customFormat="1" ht="15">
      <c r="B90" s="1713"/>
      <c r="C90" s="1706"/>
      <c r="D90" s="1706"/>
      <c r="E90" s="1707"/>
      <c r="F90" s="1707"/>
      <c r="G90" s="1685"/>
      <c r="H90" s="1714"/>
      <c r="I90" s="1715"/>
      <c r="J90" s="1716"/>
      <c r="K90" s="1717"/>
      <c r="L90" s="1718"/>
      <c r="M90" s="1719"/>
      <c r="N90" s="1668"/>
      <c r="O90" s="1668"/>
      <c r="P90" s="1668"/>
      <c r="Q90" s="1658"/>
      <c r="R90" s="1668"/>
      <c r="S90" s="1714"/>
      <c r="T90" s="1714"/>
      <c r="U90" s="482"/>
    </row>
    <row r="91" spans="2:21" ht="15">
      <c r="B91" s="36">
        <v>5</v>
      </c>
      <c r="C91" s="37">
        <v>2</v>
      </c>
      <c r="D91" s="37">
        <v>2</v>
      </c>
      <c r="E91" s="38" t="s">
        <v>25</v>
      </c>
      <c r="F91" s="38" t="s">
        <v>81</v>
      </c>
      <c r="G91" s="49" t="s">
        <v>122</v>
      </c>
      <c r="H91" s="857"/>
      <c r="I91" s="4"/>
      <c r="J91" s="455"/>
      <c r="K91" s="68">
        <f>SUM(K92:K101)</f>
        <v>147533000</v>
      </c>
      <c r="L91" s="318"/>
      <c r="M91" s="329"/>
      <c r="N91" s="330"/>
      <c r="O91" s="330"/>
      <c r="P91" s="330"/>
      <c r="Q91" s="319"/>
      <c r="R91" s="319"/>
      <c r="S91" s="1689"/>
      <c r="T91" s="1689"/>
      <c r="U91" s="41"/>
    </row>
    <row r="92" spans="2:21" ht="15">
      <c r="B92" s="29"/>
      <c r="C92" s="4"/>
      <c r="D92" s="4"/>
      <c r="E92" s="30"/>
      <c r="F92" s="30"/>
      <c r="G92" s="114" t="s">
        <v>276</v>
      </c>
      <c r="H92" s="1002"/>
      <c r="I92" s="34"/>
      <c r="J92" s="286"/>
      <c r="K92" s="93"/>
      <c r="L92" s="305"/>
      <c r="M92" s="308"/>
      <c r="N92" s="309"/>
      <c r="O92" s="309"/>
      <c r="P92" s="309"/>
      <c r="Q92" s="306"/>
      <c r="R92" s="306"/>
      <c r="S92" s="1689"/>
      <c r="T92" s="1689"/>
      <c r="U92" s="41"/>
    </row>
    <row r="93" spans="2:21" ht="15">
      <c r="B93" s="29"/>
      <c r="C93" s="4"/>
      <c r="D93" s="4"/>
      <c r="E93" s="30"/>
      <c r="F93" s="30"/>
      <c r="G93" s="170" t="s">
        <v>1666</v>
      </c>
      <c r="H93" s="1015">
        <v>11</v>
      </c>
      <c r="I93" s="34" t="s">
        <v>945</v>
      </c>
      <c r="J93" s="1246">
        <v>1050000</v>
      </c>
      <c r="K93" s="93">
        <f>H93*J93</f>
        <v>11550000</v>
      </c>
      <c r="L93" s="305"/>
      <c r="M93" s="928"/>
      <c r="N93" s="309"/>
      <c r="O93" s="306"/>
      <c r="P93" s="306"/>
      <c r="Q93" s="399">
        <f t="shared" ref="Q93:Q101" si="11">K93</f>
        <v>11550000</v>
      </c>
      <c r="R93" s="306"/>
      <c r="S93" s="1689"/>
      <c r="T93" s="1689">
        <f t="shared" ref="T93:T101" si="12">Q93</f>
        <v>11550000</v>
      </c>
      <c r="U93" s="41"/>
    </row>
    <row r="94" spans="2:21" ht="15">
      <c r="B94" s="29"/>
      <c r="C94" s="4"/>
      <c r="D94" s="4"/>
      <c r="E94" s="30"/>
      <c r="F94" s="30"/>
      <c r="G94" s="170" t="s">
        <v>1667</v>
      </c>
      <c r="H94" s="1015">
        <v>12</v>
      </c>
      <c r="I94" s="34" t="s">
        <v>945</v>
      </c>
      <c r="J94" s="1246">
        <v>1880000</v>
      </c>
      <c r="K94" s="93">
        <f t="shared" ref="K94:K99" si="13">H94*J94</f>
        <v>22560000</v>
      </c>
      <c r="L94" s="305"/>
      <c r="M94" s="928"/>
      <c r="N94" s="309"/>
      <c r="O94" s="305"/>
      <c r="P94" s="305"/>
      <c r="Q94" s="399">
        <f t="shared" si="11"/>
        <v>22560000</v>
      </c>
      <c r="R94" s="316"/>
      <c r="S94" s="1689"/>
      <c r="T94" s="1689">
        <f t="shared" si="12"/>
        <v>22560000</v>
      </c>
      <c r="U94" s="41"/>
    </row>
    <row r="95" spans="2:21" ht="15">
      <c r="B95" s="36"/>
      <c r="C95" s="37"/>
      <c r="D95" s="37"/>
      <c r="E95" s="38"/>
      <c r="F95" s="30"/>
      <c r="G95" s="133" t="s">
        <v>942</v>
      </c>
      <c r="H95" s="857">
        <v>9</v>
      </c>
      <c r="I95" s="34" t="s">
        <v>945</v>
      </c>
      <c r="J95" s="455">
        <v>1050000</v>
      </c>
      <c r="K95" s="93">
        <f t="shared" si="13"/>
        <v>9450000</v>
      </c>
      <c r="L95" s="305"/>
      <c r="M95" s="928"/>
      <c r="N95" s="309"/>
      <c r="O95" s="309"/>
      <c r="P95" s="309"/>
      <c r="Q95" s="399">
        <f t="shared" si="11"/>
        <v>9450000</v>
      </c>
      <c r="R95" s="306"/>
      <c r="S95" s="1689"/>
      <c r="T95" s="1689">
        <f t="shared" si="12"/>
        <v>9450000</v>
      </c>
      <c r="U95" s="41"/>
    </row>
    <row r="96" spans="2:21" ht="15">
      <c r="B96" s="36"/>
      <c r="C96" s="37"/>
      <c r="D96" s="37"/>
      <c r="E96" s="38"/>
      <c r="F96" s="30"/>
      <c r="G96" s="133" t="s">
        <v>1668</v>
      </c>
      <c r="H96" s="857">
        <v>23</v>
      </c>
      <c r="I96" s="34" t="s">
        <v>945</v>
      </c>
      <c r="J96" s="455">
        <v>2083000</v>
      </c>
      <c r="K96" s="93">
        <f t="shared" si="13"/>
        <v>47909000</v>
      </c>
      <c r="L96" s="305"/>
      <c r="M96" s="928"/>
      <c r="N96" s="309"/>
      <c r="O96" s="312"/>
      <c r="P96" s="312"/>
      <c r="Q96" s="399">
        <f t="shared" si="11"/>
        <v>47909000</v>
      </c>
      <c r="R96" s="306"/>
      <c r="S96" s="1689"/>
      <c r="T96" s="1689">
        <f t="shared" si="12"/>
        <v>47909000</v>
      </c>
      <c r="U96" s="41"/>
    </row>
    <row r="97" spans="1:16141" ht="15">
      <c r="B97" s="36"/>
      <c r="C97" s="37"/>
      <c r="D97" s="37"/>
      <c r="E97" s="38"/>
      <c r="F97" s="30"/>
      <c r="G97" s="133" t="s">
        <v>943</v>
      </c>
      <c r="H97" s="857">
        <v>7</v>
      </c>
      <c r="I97" s="34" t="s">
        <v>945</v>
      </c>
      <c r="J97" s="455">
        <v>1268000</v>
      </c>
      <c r="K97" s="93">
        <f t="shared" si="13"/>
        <v>8876000</v>
      </c>
      <c r="L97" s="305"/>
      <c r="M97" s="928"/>
      <c r="N97" s="309"/>
      <c r="O97" s="314"/>
      <c r="P97" s="314"/>
      <c r="Q97" s="399">
        <f t="shared" si="11"/>
        <v>8876000</v>
      </c>
      <c r="R97" s="306"/>
      <c r="S97" s="1689"/>
      <c r="T97" s="1689">
        <f t="shared" si="12"/>
        <v>8876000</v>
      </c>
      <c r="U97" s="41"/>
    </row>
    <row r="98" spans="1:16141" ht="15">
      <c r="B98" s="36"/>
      <c r="C98" s="37"/>
      <c r="D98" s="37"/>
      <c r="E98" s="38"/>
      <c r="F98" s="30"/>
      <c r="G98" s="133" t="s">
        <v>1669</v>
      </c>
      <c r="H98" s="857">
        <v>21</v>
      </c>
      <c r="I98" s="34" t="s">
        <v>945</v>
      </c>
      <c r="J98" s="455">
        <v>998000</v>
      </c>
      <c r="K98" s="93">
        <f t="shared" si="13"/>
        <v>20958000</v>
      </c>
      <c r="L98" s="305"/>
      <c r="M98" s="928"/>
      <c r="N98" s="309"/>
      <c r="O98" s="306"/>
      <c r="P98" s="306"/>
      <c r="Q98" s="399">
        <f t="shared" si="11"/>
        <v>20958000</v>
      </c>
      <c r="R98" s="306"/>
      <c r="S98" s="1689"/>
      <c r="T98" s="1689">
        <f t="shared" si="12"/>
        <v>20958000</v>
      </c>
      <c r="U98" s="41"/>
    </row>
    <row r="99" spans="1:16141" ht="15">
      <c r="B99" s="36"/>
      <c r="C99" s="37"/>
      <c r="D99" s="37"/>
      <c r="E99" s="38"/>
      <c r="F99" s="30"/>
      <c r="G99" s="133" t="s">
        <v>944</v>
      </c>
      <c r="H99" s="857">
        <v>10</v>
      </c>
      <c r="I99" s="34" t="s">
        <v>945</v>
      </c>
      <c r="J99" s="455">
        <v>2048000</v>
      </c>
      <c r="K99" s="93">
        <f t="shared" si="13"/>
        <v>20480000</v>
      </c>
      <c r="L99" s="305"/>
      <c r="M99" s="928"/>
      <c r="N99" s="309"/>
      <c r="O99" s="306"/>
      <c r="P99" s="306"/>
      <c r="Q99" s="399">
        <f t="shared" si="11"/>
        <v>20480000</v>
      </c>
      <c r="R99" s="306"/>
      <c r="S99" s="1689"/>
      <c r="T99" s="1689">
        <f t="shared" si="12"/>
        <v>20480000</v>
      </c>
      <c r="U99" s="41"/>
    </row>
    <row r="100" spans="1:16141" ht="15">
      <c r="B100" s="29"/>
      <c r="C100" s="4"/>
      <c r="D100" s="4"/>
      <c r="E100" s="30"/>
      <c r="F100" s="30"/>
      <c r="G100" s="170" t="s">
        <v>317</v>
      </c>
      <c r="H100" s="1015">
        <v>75</v>
      </c>
      <c r="I100" s="34" t="s">
        <v>121</v>
      </c>
      <c r="J100" s="1246">
        <v>50000</v>
      </c>
      <c r="K100" s="93">
        <f>H100*J100</f>
        <v>3750000</v>
      </c>
      <c r="L100" s="305"/>
      <c r="M100" s="928"/>
      <c r="N100" s="309"/>
      <c r="O100" s="306"/>
      <c r="P100" s="306"/>
      <c r="Q100" s="399">
        <f t="shared" si="11"/>
        <v>3750000</v>
      </c>
      <c r="R100" s="306"/>
      <c r="S100" s="1689"/>
      <c r="T100" s="1689">
        <f t="shared" si="12"/>
        <v>3750000</v>
      </c>
      <c r="U100" s="41"/>
    </row>
    <row r="101" spans="1:16141" ht="15">
      <c r="B101" s="29"/>
      <c r="C101" s="4"/>
      <c r="D101" s="4"/>
      <c r="E101" s="30"/>
      <c r="F101" s="30"/>
      <c r="G101" s="170" t="s">
        <v>480</v>
      </c>
      <c r="H101" s="1015">
        <v>50</v>
      </c>
      <c r="I101" s="34" t="s">
        <v>137</v>
      </c>
      <c r="J101" s="1246">
        <v>40000</v>
      </c>
      <c r="K101" s="93">
        <f>H101*J101</f>
        <v>2000000</v>
      </c>
      <c r="L101" s="305"/>
      <c r="M101" s="928"/>
      <c r="N101" s="309"/>
      <c r="O101" s="306"/>
      <c r="P101" s="306"/>
      <c r="Q101" s="399">
        <f t="shared" si="11"/>
        <v>2000000</v>
      </c>
      <c r="R101" s="306"/>
      <c r="S101" s="1689"/>
      <c r="T101" s="1689">
        <f t="shared" si="12"/>
        <v>2000000</v>
      </c>
      <c r="U101" s="41"/>
    </row>
    <row r="102" spans="1:16141" ht="15">
      <c r="B102" s="1659"/>
      <c r="C102" s="1660"/>
      <c r="D102" s="1660"/>
      <c r="E102" s="1661"/>
      <c r="F102" s="1661"/>
      <c r="G102" s="2273"/>
      <c r="H102" s="2274"/>
      <c r="I102" s="2001"/>
      <c r="J102" s="2275"/>
      <c r="K102" s="2276"/>
      <c r="L102" s="564"/>
      <c r="M102" s="809"/>
      <c r="N102" s="1822"/>
      <c r="O102" s="1668"/>
      <c r="P102" s="1668"/>
      <c r="Q102" s="1658"/>
      <c r="R102" s="1668"/>
      <c r="S102" s="1689"/>
      <c r="T102" s="1689"/>
      <c r="U102" s="41"/>
    </row>
    <row r="103" spans="1:16141">
      <c r="B103" s="427">
        <v>5</v>
      </c>
      <c r="C103" s="2918">
        <v>2</v>
      </c>
      <c r="D103" s="2918">
        <v>2</v>
      </c>
      <c r="E103" s="428" t="s">
        <v>25</v>
      </c>
      <c r="F103" s="428" t="s">
        <v>607</v>
      </c>
      <c r="G103" s="366" t="s">
        <v>831</v>
      </c>
      <c r="H103" s="956"/>
      <c r="I103" s="2918"/>
      <c r="J103" s="820"/>
      <c r="K103" s="370">
        <f>SUM(K104:K105)</f>
        <v>150000000</v>
      </c>
      <c r="L103" s="842"/>
      <c r="M103" s="822"/>
      <c r="N103" s="822"/>
      <c r="O103" s="822"/>
      <c r="P103" s="822"/>
      <c r="Q103" s="823"/>
      <c r="R103" s="823"/>
      <c r="S103" s="1689"/>
      <c r="T103" s="1689"/>
      <c r="U103" s="41"/>
    </row>
    <row r="104" spans="1:16141" ht="15">
      <c r="B104" s="1659"/>
      <c r="C104" s="1660"/>
      <c r="D104" s="1660"/>
      <c r="E104" s="1661"/>
      <c r="F104" s="1661"/>
      <c r="G104" s="2273" t="s">
        <v>1847</v>
      </c>
      <c r="H104" s="2274">
        <v>1</v>
      </c>
      <c r="I104" s="2001" t="s">
        <v>29</v>
      </c>
      <c r="J104" s="2275">
        <v>150000000</v>
      </c>
      <c r="K104" s="93">
        <f>H104*J104</f>
        <v>150000000</v>
      </c>
      <c r="L104" s="305"/>
      <c r="M104" s="928"/>
      <c r="N104" s="309"/>
      <c r="O104" s="306"/>
      <c r="P104" s="306"/>
      <c r="Q104" s="399">
        <f t="shared" ref="Q104" si="14">K104</f>
        <v>150000000</v>
      </c>
      <c r="R104" s="1668"/>
      <c r="S104" s="2908">
        <f>Q104</f>
        <v>150000000</v>
      </c>
      <c r="T104" s="1689"/>
      <c r="U104" s="41"/>
    </row>
    <row r="105" spans="1:16141" ht="15">
      <c r="B105" s="1659"/>
      <c r="C105" s="1660"/>
      <c r="D105" s="1660"/>
      <c r="E105" s="1661"/>
      <c r="F105" s="1661"/>
      <c r="G105" s="2273"/>
      <c r="H105" s="2274"/>
      <c r="I105" s="2001"/>
      <c r="J105" s="2275"/>
      <c r="K105" s="2276"/>
      <c r="L105" s="564"/>
      <c r="M105" s="809"/>
      <c r="N105" s="1822"/>
      <c r="O105" s="1668"/>
      <c r="P105" s="1668"/>
      <c r="Q105" s="1658"/>
      <c r="R105" s="1668"/>
      <c r="S105" s="1689"/>
      <c r="T105" s="1689"/>
      <c r="U105" s="41"/>
    </row>
    <row r="106" spans="1:16141">
      <c r="B106" s="429">
        <v>5</v>
      </c>
      <c r="C106" s="2920">
        <v>2</v>
      </c>
      <c r="D106" s="2920">
        <v>2</v>
      </c>
      <c r="E106" s="430" t="s">
        <v>25</v>
      </c>
      <c r="F106" s="430">
        <v>19</v>
      </c>
      <c r="G106" s="396" t="s">
        <v>136</v>
      </c>
      <c r="H106" s="599"/>
      <c r="I106" s="380"/>
      <c r="J106" s="579"/>
      <c r="K106" s="545">
        <f>SUM(K107:K108)</f>
        <v>6592000114</v>
      </c>
      <c r="L106" s="596"/>
      <c r="M106" s="331"/>
      <c r="N106" s="331"/>
      <c r="O106" s="59"/>
      <c r="P106" s="59"/>
      <c r="Q106" s="399"/>
      <c r="R106" s="59"/>
      <c r="S106" s="1689"/>
      <c r="T106" s="1689"/>
    </row>
    <row r="107" spans="1:16141">
      <c r="B107" s="429"/>
      <c r="C107" s="2920"/>
      <c r="D107" s="2920"/>
      <c r="E107" s="430"/>
      <c r="F107" s="430"/>
      <c r="G107" s="391" t="s">
        <v>805</v>
      </c>
      <c r="H107" s="599">
        <v>1</v>
      </c>
      <c r="I107" s="635" t="s">
        <v>29</v>
      </c>
      <c r="J107" s="579">
        <v>5400000000</v>
      </c>
      <c r="K107" s="1098">
        <f>H107*J107</f>
        <v>5400000000</v>
      </c>
      <c r="L107" s="596"/>
      <c r="M107" s="331"/>
      <c r="N107" s="331"/>
      <c r="O107" s="59"/>
      <c r="P107" s="59"/>
      <c r="Q107" s="399">
        <f>K107</f>
        <v>5400000000</v>
      </c>
      <c r="R107" s="59"/>
      <c r="S107" s="1689"/>
      <c r="T107" s="1689">
        <f t="shared" ref="T107" si="15">Q107</f>
        <v>5400000000</v>
      </c>
    </row>
    <row r="108" spans="1:16141" s="10" customFormat="1">
      <c r="A108" s="9"/>
      <c r="B108" s="429"/>
      <c r="C108" s="2920"/>
      <c r="D108" s="2920"/>
      <c r="E108" s="430"/>
      <c r="F108" s="430"/>
      <c r="G108" s="1044" t="s">
        <v>1575</v>
      </c>
      <c r="H108" s="652">
        <v>1</v>
      </c>
      <c r="I108" s="383" t="s">
        <v>29</v>
      </c>
      <c r="J108" s="1183">
        <v>1192000114</v>
      </c>
      <c r="K108" s="1098">
        <f>H108*J108</f>
        <v>1192000114</v>
      </c>
      <c r="L108" s="596"/>
      <c r="M108" s="331"/>
      <c r="N108" s="331"/>
      <c r="O108" s="59"/>
      <c r="P108" s="59"/>
      <c r="Q108" s="399">
        <f>K108</f>
        <v>1192000114</v>
      </c>
      <c r="R108" s="59"/>
      <c r="S108" s="2908">
        <f>Q108</f>
        <v>1192000114</v>
      </c>
      <c r="T108" s="168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  <c r="BQT108" s="9"/>
      <c r="BQU108" s="9"/>
      <c r="BQV108" s="9"/>
      <c r="BQW108" s="9"/>
      <c r="BQX108" s="9"/>
      <c r="BQY108" s="9"/>
      <c r="BQZ108" s="9"/>
      <c r="BRA108" s="9"/>
      <c r="BRB108" s="9"/>
      <c r="BRC108" s="9"/>
      <c r="BRD108" s="9"/>
      <c r="BRE108" s="9"/>
      <c r="BRF108" s="9"/>
      <c r="BRG108" s="9"/>
      <c r="BRH108" s="9"/>
      <c r="BRI108" s="9"/>
      <c r="BRJ108" s="9"/>
      <c r="BRK108" s="9"/>
      <c r="BRL108" s="9"/>
      <c r="BRM108" s="9"/>
      <c r="BRN108" s="9"/>
      <c r="BRO108" s="9"/>
      <c r="BRP108" s="9"/>
      <c r="BRQ108" s="9"/>
      <c r="BRR108" s="9"/>
      <c r="BRS108" s="9"/>
      <c r="BRT108" s="9"/>
      <c r="BRU108" s="9"/>
      <c r="BRV108" s="9"/>
      <c r="BRW108" s="9"/>
      <c r="BRX108" s="9"/>
      <c r="BRY108" s="9"/>
      <c r="BRZ108" s="9"/>
      <c r="BSA108" s="9"/>
      <c r="BSB108" s="9"/>
      <c r="BSC108" s="9"/>
      <c r="BSD108" s="9"/>
      <c r="BSE108" s="9"/>
      <c r="BSF108" s="9"/>
      <c r="BSG108" s="9"/>
      <c r="BSH108" s="9"/>
      <c r="BSI108" s="9"/>
      <c r="BSJ108" s="9"/>
      <c r="BSK108" s="9"/>
      <c r="BSL108" s="9"/>
      <c r="BSM108" s="9"/>
      <c r="BSN108" s="9"/>
      <c r="BSO108" s="9"/>
      <c r="BSP108" s="9"/>
      <c r="BSQ108" s="9"/>
      <c r="BSR108" s="9"/>
      <c r="BSS108" s="9"/>
      <c r="BST108" s="9"/>
      <c r="BSU108" s="9"/>
      <c r="BSV108" s="9"/>
      <c r="BSW108" s="9"/>
      <c r="BSX108" s="9"/>
      <c r="BSY108" s="9"/>
      <c r="BSZ108" s="9"/>
      <c r="BTA108" s="9"/>
      <c r="BTB108" s="9"/>
      <c r="BTC108" s="9"/>
      <c r="BTD108" s="9"/>
      <c r="BTE108" s="9"/>
      <c r="BTF108" s="9"/>
      <c r="BTG108" s="9"/>
      <c r="BTH108" s="9"/>
      <c r="BTI108" s="9"/>
      <c r="BTJ108" s="9"/>
      <c r="BTK108" s="9"/>
      <c r="BTL108" s="9"/>
      <c r="BTM108" s="9"/>
      <c r="BTN108" s="9"/>
      <c r="BTO108" s="9"/>
      <c r="BTP108" s="9"/>
      <c r="BTQ108" s="9"/>
      <c r="BTR108" s="9"/>
      <c r="BTS108" s="9"/>
      <c r="BTT108" s="9"/>
      <c r="BTU108" s="9"/>
      <c r="BTV108" s="9"/>
      <c r="BTW108" s="9"/>
      <c r="BTX108" s="9"/>
      <c r="BTY108" s="9"/>
      <c r="BTZ108" s="9"/>
      <c r="BUA108" s="9"/>
      <c r="BUB108" s="9"/>
      <c r="BUC108" s="9"/>
      <c r="BUD108" s="9"/>
      <c r="BUE108" s="9"/>
      <c r="BUF108" s="9"/>
      <c r="BUG108" s="9"/>
      <c r="BUH108" s="9"/>
      <c r="BUI108" s="9"/>
      <c r="BUJ108" s="9"/>
      <c r="BUK108" s="9"/>
      <c r="BUL108" s="9"/>
      <c r="BUM108" s="9"/>
      <c r="BUN108" s="9"/>
      <c r="BUO108" s="9"/>
      <c r="BUP108" s="9"/>
      <c r="BUQ108" s="9"/>
      <c r="BUR108" s="9"/>
      <c r="BUS108" s="9"/>
      <c r="BUT108" s="9"/>
      <c r="BUU108" s="9"/>
      <c r="BUV108" s="9"/>
      <c r="BUW108" s="9"/>
      <c r="BUX108" s="9"/>
      <c r="BUY108" s="9"/>
      <c r="BUZ108" s="9"/>
      <c r="BVA108" s="9"/>
      <c r="BVB108" s="9"/>
      <c r="BVC108" s="9"/>
      <c r="BVD108" s="9"/>
      <c r="BVE108" s="9"/>
      <c r="BVF108" s="9"/>
      <c r="BVG108" s="9"/>
      <c r="BVH108" s="9"/>
      <c r="BVI108" s="9"/>
      <c r="BVJ108" s="9"/>
      <c r="BVK108" s="9"/>
      <c r="BVL108" s="9"/>
      <c r="BVM108" s="9"/>
      <c r="BVN108" s="9"/>
      <c r="BVO108" s="9"/>
      <c r="BVP108" s="9"/>
      <c r="BVQ108" s="9"/>
      <c r="BVR108" s="9"/>
      <c r="BVS108" s="9"/>
      <c r="BVT108" s="9"/>
      <c r="BVU108" s="9"/>
      <c r="BVV108" s="9"/>
      <c r="BVW108" s="9"/>
      <c r="BVX108" s="9"/>
      <c r="BVY108" s="9"/>
      <c r="BVZ108" s="9"/>
      <c r="BWA108" s="9"/>
      <c r="BWB108" s="9"/>
      <c r="BWC108" s="9"/>
      <c r="BWD108" s="9"/>
      <c r="BWE108" s="9"/>
      <c r="BWF108" s="9"/>
      <c r="BWG108" s="9"/>
      <c r="BWH108" s="9"/>
      <c r="BWI108" s="9"/>
      <c r="BWJ108" s="9"/>
      <c r="BWK108" s="9"/>
      <c r="BWL108" s="9"/>
      <c r="BWM108" s="9"/>
      <c r="BWN108" s="9"/>
      <c r="BWO108" s="9"/>
      <c r="BWP108" s="9"/>
      <c r="BWQ108" s="9"/>
      <c r="BWR108" s="9"/>
      <c r="BWS108" s="9"/>
      <c r="BWT108" s="9"/>
      <c r="BWU108" s="9"/>
      <c r="BWV108" s="9"/>
      <c r="BWW108" s="9"/>
      <c r="BWX108" s="9"/>
      <c r="BWY108" s="9"/>
      <c r="BWZ108" s="9"/>
      <c r="BXA108" s="9"/>
      <c r="BXB108" s="9"/>
      <c r="BXC108" s="9"/>
      <c r="BXD108" s="9"/>
      <c r="BXE108" s="9"/>
      <c r="BXF108" s="9"/>
      <c r="BXG108" s="9"/>
      <c r="BXH108" s="9"/>
      <c r="BXI108" s="9"/>
      <c r="BXJ108" s="9"/>
      <c r="BXK108" s="9"/>
      <c r="BXL108" s="9"/>
      <c r="BXM108" s="9"/>
      <c r="BXN108" s="9"/>
      <c r="BXO108" s="9"/>
      <c r="BXP108" s="9"/>
      <c r="BXQ108" s="9"/>
      <c r="BXR108" s="9"/>
      <c r="BXS108" s="9"/>
      <c r="BXT108" s="9"/>
      <c r="BXU108" s="9"/>
      <c r="BXV108" s="9"/>
      <c r="BXW108" s="9"/>
      <c r="BXX108" s="9"/>
      <c r="BXY108" s="9"/>
      <c r="BXZ108" s="9"/>
      <c r="BYA108" s="9"/>
      <c r="BYB108" s="9"/>
      <c r="BYC108" s="9"/>
      <c r="BYD108" s="9"/>
      <c r="BYE108" s="9"/>
      <c r="BYF108" s="9"/>
      <c r="BYG108" s="9"/>
      <c r="BYH108" s="9"/>
      <c r="BYI108" s="9"/>
      <c r="BYJ108" s="9"/>
      <c r="BYK108" s="9"/>
      <c r="BYL108" s="9"/>
      <c r="BYM108" s="9"/>
      <c r="BYN108" s="9"/>
      <c r="BYO108" s="9"/>
      <c r="BYP108" s="9"/>
      <c r="BYQ108" s="9"/>
      <c r="BYR108" s="9"/>
      <c r="BYS108" s="9"/>
      <c r="BYT108" s="9"/>
      <c r="BYU108" s="9"/>
      <c r="BYV108" s="9"/>
      <c r="BYW108" s="9"/>
      <c r="BYX108" s="9"/>
      <c r="BYY108" s="9"/>
      <c r="BYZ108" s="9"/>
      <c r="BZA108" s="9"/>
      <c r="BZB108" s="9"/>
      <c r="BZC108" s="9"/>
      <c r="BZD108" s="9"/>
      <c r="BZE108" s="9"/>
      <c r="BZF108" s="9"/>
      <c r="BZG108" s="9"/>
      <c r="BZH108" s="9"/>
      <c r="BZI108" s="9"/>
      <c r="BZJ108" s="9"/>
      <c r="BZK108" s="9"/>
      <c r="BZL108" s="9"/>
      <c r="BZM108" s="9"/>
      <c r="BZN108" s="9"/>
      <c r="BZO108" s="9"/>
      <c r="BZP108" s="9"/>
      <c r="BZQ108" s="9"/>
      <c r="BZR108" s="9"/>
      <c r="BZS108" s="9"/>
      <c r="BZT108" s="9"/>
      <c r="BZU108" s="9"/>
      <c r="BZV108" s="9"/>
      <c r="BZW108" s="9"/>
      <c r="BZX108" s="9"/>
      <c r="BZY108" s="9"/>
      <c r="BZZ108" s="9"/>
      <c r="CAA108" s="9"/>
      <c r="CAB108" s="9"/>
      <c r="CAC108" s="9"/>
      <c r="CAD108" s="9"/>
      <c r="CAE108" s="9"/>
      <c r="CAF108" s="9"/>
      <c r="CAG108" s="9"/>
      <c r="CAH108" s="9"/>
      <c r="CAI108" s="9"/>
      <c r="CAJ108" s="9"/>
      <c r="CAK108" s="9"/>
      <c r="CAL108" s="9"/>
      <c r="CAM108" s="9"/>
      <c r="CAN108" s="9"/>
      <c r="CAO108" s="9"/>
      <c r="CAP108" s="9"/>
      <c r="CAQ108" s="9"/>
      <c r="CAR108" s="9"/>
      <c r="CAS108" s="9"/>
      <c r="CAT108" s="9"/>
      <c r="CAU108" s="9"/>
      <c r="CAV108" s="9"/>
      <c r="CAW108" s="9"/>
      <c r="CAX108" s="9"/>
      <c r="CAY108" s="9"/>
      <c r="CAZ108" s="9"/>
      <c r="CBA108" s="9"/>
      <c r="CBB108" s="9"/>
      <c r="CBC108" s="9"/>
      <c r="CBD108" s="9"/>
      <c r="CBE108" s="9"/>
      <c r="CBF108" s="9"/>
      <c r="CBG108" s="9"/>
      <c r="CBH108" s="9"/>
      <c r="CBI108" s="9"/>
      <c r="CBJ108" s="9"/>
      <c r="CBK108" s="9"/>
      <c r="CBL108" s="9"/>
      <c r="CBM108" s="9"/>
      <c r="CBN108" s="9"/>
      <c r="CBO108" s="9"/>
      <c r="CBP108" s="9"/>
      <c r="CBQ108" s="9"/>
      <c r="CBR108" s="9"/>
      <c r="CBS108" s="9"/>
      <c r="CBT108" s="9"/>
      <c r="CBU108" s="9"/>
      <c r="CBV108" s="9"/>
      <c r="CBW108" s="9"/>
      <c r="CBX108" s="9"/>
      <c r="CBY108" s="9"/>
      <c r="CBZ108" s="9"/>
      <c r="CCA108" s="9"/>
      <c r="CCB108" s="9"/>
      <c r="CCC108" s="9"/>
      <c r="CCD108" s="9"/>
      <c r="CCE108" s="9"/>
      <c r="CCF108" s="9"/>
      <c r="CCG108" s="9"/>
      <c r="CCH108" s="9"/>
      <c r="CCI108" s="9"/>
      <c r="CCJ108" s="9"/>
      <c r="CCK108" s="9"/>
      <c r="CCL108" s="9"/>
      <c r="CCM108" s="9"/>
      <c r="CCN108" s="9"/>
      <c r="CCO108" s="9"/>
      <c r="CCP108" s="9"/>
      <c r="CCQ108" s="9"/>
      <c r="CCR108" s="9"/>
      <c r="CCS108" s="9"/>
      <c r="CCT108" s="9"/>
      <c r="CCU108" s="9"/>
      <c r="CCV108" s="9"/>
      <c r="CCW108" s="9"/>
      <c r="CCX108" s="9"/>
      <c r="CCY108" s="9"/>
      <c r="CCZ108" s="9"/>
      <c r="CDA108" s="9"/>
      <c r="CDB108" s="9"/>
      <c r="CDC108" s="9"/>
      <c r="CDD108" s="9"/>
      <c r="CDE108" s="9"/>
      <c r="CDF108" s="9"/>
      <c r="CDG108" s="9"/>
      <c r="CDH108" s="9"/>
      <c r="CDI108" s="9"/>
      <c r="CDJ108" s="9"/>
      <c r="CDK108" s="9"/>
      <c r="CDL108" s="9"/>
      <c r="CDM108" s="9"/>
      <c r="CDN108" s="9"/>
      <c r="CDO108" s="9"/>
      <c r="CDP108" s="9"/>
      <c r="CDQ108" s="9"/>
      <c r="CDR108" s="9"/>
      <c r="CDS108" s="9"/>
      <c r="CDT108" s="9"/>
      <c r="CDU108" s="9"/>
      <c r="CDV108" s="9"/>
      <c r="CDW108" s="9"/>
      <c r="CDX108" s="9"/>
      <c r="CDY108" s="9"/>
      <c r="CDZ108" s="9"/>
      <c r="CEA108" s="9"/>
      <c r="CEB108" s="9"/>
      <c r="CEC108" s="9"/>
      <c r="CED108" s="9"/>
      <c r="CEE108" s="9"/>
      <c r="CEF108" s="9"/>
      <c r="CEG108" s="9"/>
      <c r="CEH108" s="9"/>
      <c r="CEI108" s="9"/>
      <c r="CEJ108" s="9"/>
      <c r="CEK108" s="9"/>
      <c r="CEL108" s="9"/>
      <c r="CEM108" s="9"/>
      <c r="CEN108" s="9"/>
      <c r="CEO108" s="9"/>
      <c r="CEP108" s="9"/>
      <c r="CEQ108" s="9"/>
      <c r="CER108" s="9"/>
      <c r="CES108" s="9"/>
      <c r="CET108" s="9"/>
      <c r="CEU108" s="9"/>
      <c r="CEV108" s="9"/>
      <c r="CEW108" s="9"/>
      <c r="CEX108" s="9"/>
      <c r="CEY108" s="9"/>
      <c r="CEZ108" s="9"/>
      <c r="CFA108" s="9"/>
      <c r="CFB108" s="9"/>
      <c r="CFC108" s="9"/>
      <c r="CFD108" s="9"/>
      <c r="CFE108" s="9"/>
      <c r="CFF108" s="9"/>
      <c r="CFG108" s="9"/>
      <c r="CFH108" s="9"/>
      <c r="CFI108" s="9"/>
      <c r="CFJ108" s="9"/>
      <c r="CFK108" s="9"/>
      <c r="CFL108" s="9"/>
      <c r="CFM108" s="9"/>
      <c r="CFN108" s="9"/>
      <c r="CFO108" s="9"/>
      <c r="CFP108" s="9"/>
      <c r="CFQ108" s="9"/>
      <c r="CFR108" s="9"/>
      <c r="CFS108" s="9"/>
      <c r="CFT108" s="9"/>
      <c r="CFU108" s="9"/>
      <c r="CFV108" s="9"/>
      <c r="CFW108" s="9"/>
      <c r="CFX108" s="9"/>
      <c r="CFY108" s="9"/>
      <c r="CFZ108" s="9"/>
      <c r="CGA108" s="9"/>
      <c r="CGB108" s="9"/>
      <c r="CGC108" s="9"/>
      <c r="CGD108" s="9"/>
      <c r="CGE108" s="9"/>
      <c r="CGF108" s="9"/>
      <c r="CGG108" s="9"/>
      <c r="CGH108" s="9"/>
      <c r="CGI108" s="9"/>
      <c r="CGJ108" s="9"/>
      <c r="CGK108" s="9"/>
      <c r="CGL108" s="9"/>
      <c r="CGM108" s="9"/>
      <c r="CGN108" s="9"/>
      <c r="CGO108" s="9"/>
      <c r="CGP108" s="9"/>
      <c r="CGQ108" s="9"/>
      <c r="CGR108" s="9"/>
      <c r="CGS108" s="9"/>
      <c r="CGT108" s="9"/>
      <c r="CGU108" s="9"/>
      <c r="CGV108" s="9"/>
      <c r="CGW108" s="9"/>
      <c r="CGX108" s="9"/>
      <c r="CGY108" s="9"/>
      <c r="CGZ108" s="9"/>
      <c r="CHA108" s="9"/>
      <c r="CHB108" s="9"/>
      <c r="CHC108" s="9"/>
      <c r="CHD108" s="9"/>
      <c r="CHE108" s="9"/>
      <c r="CHF108" s="9"/>
      <c r="CHG108" s="9"/>
      <c r="CHH108" s="9"/>
      <c r="CHI108" s="9"/>
      <c r="CHJ108" s="9"/>
      <c r="CHK108" s="9"/>
      <c r="CHL108" s="9"/>
      <c r="CHM108" s="9"/>
      <c r="CHN108" s="9"/>
      <c r="CHO108" s="9"/>
      <c r="CHP108" s="9"/>
      <c r="CHQ108" s="9"/>
      <c r="CHR108" s="9"/>
      <c r="CHS108" s="9"/>
      <c r="CHT108" s="9"/>
      <c r="CHU108" s="9"/>
      <c r="CHV108" s="9"/>
      <c r="CHW108" s="9"/>
      <c r="CHX108" s="9"/>
      <c r="CHY108" s="9"/>
      <c r="CHZ108" s="9"/>
      <c r="CIA108" s="9"/>
      <c r="CIB108" s="9"/>
      <c r="CIC108" s="9"/>
      <c r="CID108" s="9"/>
      <c r="CIE108" s="9"/>
      <c r="CIF108" s="9"/>
      <c r="CIG108" s="9"/>
      <c r="CIH108" s="9"/>
      <c r="CII108" s="9"/>
      <c r="CIJ108" s="9"/>
      <c r="CIK108" s="9"/>
      <c r="CIL108" s="9"/>
      <c r="CIM108" s="9"/>
      <c r="CIN108" s="9"/>
      <c r="CIO108" s="9"/>
      <c r="CIP108" s="9"/>
      <c r="CIQ108" s="9"/>
      <c r="CIR108" s="9"/>
      <c r="CIS108" s="9"/>
      <c r="CIT108" s="9"/>
      <c r="CIU108" s="9"/>
      <c r="CIV108" s="9"/>
      <c r="CIW108" s="9"/>
      <c r="CIX108" s="9"/>
      <c r="CIY108" s="9"/>
      <c r="CIZ108" s="9"/>
      <c r="CJA108" s="9"/>
      <c r="CJB108" s="9"/>
      <c r="CJC108" s="9"/>
      <c r="CJD108" s="9"/>
      <c r="CJE108" s="9"/>
      <c r="CJF108" s="9"/>
      <c r="CJG108" s="9"/>
      <c r="CJH108" s="9"/>
      <c r="CJI108" s="9"/>
      <c r="CJJ108" s="9"/>
      <c r="CJK108" s="9"/>
      <c r="CJL108" s="9"/>
      <c r="CJM108" s="9"/>
      <c r="CJN108" s="9"/>
      <c r="CJO108" s="9"/>
      <c r="CJP108" s="9"/>
      <c r="CJQ108" s="9"/>
      <c r="CJR108" s="9"/>
      <c r="CJS108" s="9"/>
      <c r="CJT108" s="9"/>
      <c r="CJU108" s="9"/>
      <c r="CJV108" s="9"/>
      <c r="CJW108" s="9"/>
      <c r="CJX108" s="9"/>
      <c r="CJY108" s="9"/>
      <c r="CJZ108" s="9"/>
      <c r="CKA108" s="9"/>
      <c r="CKB108" s="9"/>
      <c r="CKC108" s="9"/>
      <c r="CKD108" s="9"/>
      <c r="CKE108" s="9"/>
      <c r="CKF108" s="9"/>
      <c r="CKG108" s="9"/>
      <c r="CKH108" s="9"/>
      <c r="CKI108" s="9"/>
      <c r="CKJ108" s="9"/>
      <c r="CKK108" s="9"/>
      <c r="CKL108" s="9"/>
      <c r="CKM108" s="9"/>
      <c r="CKN108" s="9"/>
      <c r="CKO108" s="9"/>
      <c r="CKP108" s="9"/>
      <c r="CKQ108" s="9"/>
      <c r="CKR108" s="9"/>
      <c r="CKS108" s="9"/>
      <c r="CKT108" s="9"/>
      <c r="CKU108" s="9"/>
      <c r="CKV108" s="9"/>
      <c r="CKW108" s="9"/>
      <c r="CKX108" s="9"/>
      <c r="CKY108" s="9"/>
      <c r="CKZ108" s="9"/>
      <c r="CLA108" s="9"/>
      <c r="CLB108" s="9"/>
      <c r="CLC108" s="9"/>
      <c r="CLD108" s="9"/>
      <c r="CLE108" s="9"/>
      <c r="CLF108" s="9"/>
      <c r="CLG108" s="9"/>
      <c r="CLH108" s="9"/>
      <c r="CLI108" s="9"/>
      <c r="CLJ108" s="9"/>
      <c r="CLK108" s="9"/>
      <c r="CLL108" s="9"/>
      <c r="CLM108" s="9"/>
      <c r="CLN108" s="9"/>
      <c r="CLO108" s="9"/>
      <c r="CLP108" s="9"/>
      <c r="CLQ108" s="9"/>
      <c r="CLR108" s="9"/>
      <c r="CLS108" s="9"/>
      <c r="CLT108" s="9"/>
      <c r="CLU108" s="9"/>
      <c r="CLV108" s="9"/>
      <c r="CLW108" s="9"/>
      <c r="CLX108" s="9"/>
      <c r="CLY108" s="9"/>
      <c r="CLZ108" s="9"/>
      <c r="CMA108" s="9"/>
      <c r="CMB108" s="9"/>
      <c r="CMC108" s="9"/>
      <c r="CMD108" s="9"/>
      <c r="CME108" s="9"/>
      <c r="CMF108" s="9"/>
      <c r="CMG108" s="9"/>
      <c r="CMH108" s="9"/>
      <c r="CMI108" s="9"/>
      <c r="CMJ108" s="9"/>
      <c r="CMK108" s="9"/>
      <c r="CML108" s="9"/>
      <c r="CMM108" s="9"/>
      <c r="CMN108" s="9"/>
      <c r="CMO108" s="9"/>
      <c r="CMP108" s="9"/>
      <c r="CMQ108" s="9"/>
      <c r="CMR108" s="9"/>
      <c r="CMS108" s="9"/>
      <c r="CMT108" s="9"/>
      <c r="CMU108" s="9"/>
      <c r="CMV108" s="9"/>
      <c r="CMW108" s="9"/>
      <c r="CMX108" s="9"/>
      <c r="CMY108" s="9"/>
      <c r="CMZ108" s="9"/>
      <c r="CNA108" s="9"/>
      <c r="CNB108" s="9"/>
      <c r="CNC108" s="9"/>
      <c r="CND108" s="9"/>
      <c r="CNE108" s="9"/>
      <c r="CNF108" s="9"/>
      <c r="CNG108" s="9"/>
      <c r="CNH108" s="9"/>
      <c r="CNI108" s="9"/>
      <c r="CNJ108" s="9"/>
      <c r="CNK108" s="9"/>
      <c r="CNL108" s="9"/>
      <c r="CNM108" s="9"/>
      <c r="CNN108" s="9"/>
      <c r="CNO108" s="9"/>
      <c r="CNP108" s="9"/>
      <c r="CNQ108" s="9"/>
      <c r="CNR108" s="9"/>
      <c r="CNS108" s="9"/>
      <c r="CNT108" s="9"/>
      <c r="CNU108" s="9"/>
      <c r="CNV108" s="9"/>
      <c r="CNW108" s="9"/>
      <c r="CNX108" s="9"/>
      <c r="CNY108" s="9"/>
      <c r="CNZ108" s="9"/>
      <c r="COA108" s="9"/>
      <c r="COB108" s="9"/>
      <c r="COC108" s="9"/>
      <c r="COD108" s="9"/>
      <c r="COE108" s="9"/>
      <c r="COF108" s="9"/>
      <c r="COG108" s="9"/>
      <c r="COH108" s="9"/>
      <c r="COI108" s="9"/>
      <c r="COJ108" s="9"/>
      <c r="COK108" s="9"/>
      <c r="COL108" s="9"/>
      <c r="COM108" s="9"/>
      <c r="CON108" s="9"/>
      <c r="COO108" s="9"/>
      <c r="COP108" s="9"/>
      <c r="COQ108" s="9"/>
      <c r="COR108" s="9"/>
      <c r="COS108" s="9"/>
      <c r="COT108" s="9"/>
      <c r="COU108" s="9"/>
      <c r="COV108" s="9"/>
      <c r="COW108" s="9"/>
      <c r="COX108" s="9"/>
      <c r="COY108" s="9"/>
      <c r="COZ108" s="9"/>
      <c r="CPA108" s="9"/>
      <c r="CPB108" s="9"/>
      <c r="CPC108" s="9"/>
      <c r="CPD108" s="9"/>
      <c r="CPE108" s="9"/>
      <c r="CPF108" s="9"/>
      <c r="CPG108" s="9"/>
      <c r="CPH108" s="9"/>
      <c r="CPI108" s="9"/>
      <c r="CPJ108" s="9"/>
      <c r="CPK108" s="9"/>
      <c r="CPL108" s="9"/>
      <c r="CPM108" s="9"/>
      <c r="CPN108" s="9"/>
      <c r="CPO108" s="9"/>
      <c r="CPP108" s="9"/>
      <c r="CPQ108" s="9"/>
      <c r="CPR108" s="9"/>
      <c r="CPS108" s="9"/>
      <c r="CPT108" s="9"/>
      <c r="CPU108" s="9"/>
      <c r="CPV108" s="9"/>
      <c r="CPW108" s="9"/>
      <c r="CPX108" s="9"/>
      <c r="CPY108" s="9"/>
      <c r="CPZ108" s="9"/>
      <c r="CQA108" s="9"/>
      <c r="CQB108" s="9"/>
      <c r="CQC108" s="9"/>
      <c r="CQD108" s="9"/>
      <c r="CQE108" s="9"/>
      <c r="CQF108" s="9"/>
      <c r="CQG108" s="9"/>
      <c r="CQH108" s="9"/>
      <c r="CQI108" s="9"/>
      <c r="CQJ108" s="9"/>
      <c r="CQK108" s="9"/>
      <c r="CQL108" s="9"/>
      <c r="CQM108" s="9"/>
      <c r="CQN108" s="9"/>
      <c r="CQO108" s="9"/>
      <c r="CQP108" s="9"/>
      <c r="CQQ108" s="9"/>
      <c r="CQR108" s="9"/>
      <c r="CQS108" s="9"/>
      <c r="CQT108" s="9"/>
      <c r="CQU108" s="9"/>
      <c r="CQV108" s="9"/>
      <c r="CQW108" s="9"/>
      <c r="CQX108" s="9"/>
      <c r="CQY108" s="9"/>
      <c r="CQZ108" s="9"/>
      <c r="CRA108" s="9"/>
      <c r="CRB108" s="9"/>
      <c r="CRC108" s="9"/>
      <c r="CRD108" s="9"/>
      <c r="CRE108" s="9"/>
      <c r="CRF108" s="9"/>
      <c r="CRG108" s="9"/>
      <c r="CRH108" s="9"/>
      <c r="CRI108" s="9"/>
      <c r="CRJ108" s="9"/>
      <c r="CRK108" s="9"/>
      <c r="CRL108" s="9"/>
      <c r="CRM108" s="9"/>
      <c r="CRN108" s="9"/>
      <c r="CRO108" s="9"/>
      <c r="CRP108" s="9"/>
      <c r="CRQ108" s="9"/>
      <c r="CRR108" s="9"/>
      <c r="CRS108" s="9"/>
      <c r="CRT108" s="9"/>
      <c r="CRU108" s="9"/>
      <c r="CRV108" s="9"/>
      <c r="CRW108" s="9"/>
      <c r="CRX108" s="9"/>
      <c r="CRY108" s="9"/>
      <c r="CRZ108" s="9"/>
      <c r="CSA108" s="9"/>
      <c r="CSB108" s="9"/>
      <c r="CSC108" s="9"/>
      <c r="CSD108" s="9"/>
      <c r="CSE108" s="9"/>
      <c r="CSF108" s="9"/>
      <c r="CSG108" s="9"/>
      <c r="CSH108" s="9"/>
      <c r="CSI108" s="9"/>
      <c r="CSJ108" s="9"/>
      <c r="CSK108" s="9"/>
      <c r="CSL108" s="9"/>
      <c r="CSM108" s="9"/>
      <c r="CSN108" s="9"/>
      <c r="CSO108" s="9"/>
      <c r="CSP108" s="9"/>
      <c r="CSQ108" s="9"/>
      <c r="CSR108" s="9"/>
      <c r="CSS108" s="9"/>
      <c r="CST108" s="9"/>
      <c r="CSU108" s="9"/>
      <c r="CSV108" s="9"/>
      <c r="CSW108" s="9"/>
      <c r="CSX108" s="9"/>
      <c r="CSY108" s="9"/>
      <c r="CSZ108" s="9"/>
      <c r="CTA108" s="9"/>
      <c r="CTB108" s="9"/>
      <c r="CTC108" s="9"/>
      <c r="CTD108" s="9"/>
      <c r="CTE108" s="9"/>
      <c r="CTF108" s="9"/>
      <c r="CTG108" s="9"/>
      <c r="CTH108" s="9"/>
      <c r="CTI108" s="9"/>
      <c r="CTJ108" s="9"/>
      <c r="CTK108" s="9"/>
      <c r="CTL108" s="9"/>
      <c r="CTM108" s="9"/>
      <c r="CTN108" s="9"/>
      <c r="CTO108" s="9"/>
      <c r="CTP108" s="9"/>
      <c r="CTQ108" s="9"/>
      <c r="CTR108" s="9"/>
      <c r="CTS108" s="9"/>
      <c r="CTT108" s="9"/>
      <c r="CTU108" s="9"/>
      <c r="CTV108" s="9"/>
      <c r="CTW108" s="9"/>
      <c r="CTX108" s="9"/>
      <c r="CTY108" s="9"/>
      <c r="CTZ108" s="9"/>
      <c r="CUA108" s="9"/>
      <c r="CUB108" s="9"/>
      <c r="CUC108" s="9"/>
      <c r="CUD108" s="9"/>
      <c r="CUE108" s="9"/>
      <c r="CUF108" s="9"/>
      <c r="CUG108" s="9"/>
      <c r="CUH108" s="9"/>
      <c r="CUI108" s="9"/>
      <c r="CUJ108" s="9"/>
      <c r="CUK108" s="9"/>
      <c r="CUL108" s="9"/>
      <c r="CUM108" s="9"/>
      <c r="CUN108" s="9"/>
      <c r="CUO108" s="9"/>
      <c r="CUP108" s="9"/>
      <c r="CUQ108" s="9"/>
      <c r="CUR108" s="9"/>
      <c r="CUS108" s="9"/>
      <c r="CUT108" s="9"/>
      <c r="CUU108" s="9"/>
      <c r="CUV108" s="9"/>
      <c r="CUW108" s="9"/>
      <c r="CUX108" s="9"/>
      <c r="CUY108" s="9"/>
      <c r="CUZ108" s="9"/>
      <c r="CVA108" s="9"/>
      <c r="CVB108" s="9"/>
      <c r="CVC108" s="9"/>
      <c r="CVD108" s="9"/>
      <c r="CVE108" s="9"/>
      <c r="CVF108" s="9"/>
      <c r="CVG108" s="9"/>
      <c r="CVH108" s="9"/>
      <c r="CVI108" s="9"/>
      <c r="CVJ108" s="9"/>
      <c r="CVK108" s="9"/>
      <c r="CVL108" s="9"/>
      <c r="CVM108" s="9"/>
      <c r="CVN108" s="9"/>
      <c r="CVO108" s="9"/>
      <c r="CVP108" s="9"/>
      <c r="CVQ108" s="9"/>
      <c r="CVR108" s="9"/>
      <c r="CVS108" s="9"/>
      <c r="CVT108" s="9"/>
      <c r="CVU108" s="9"/>
      <c r="CVV108" s="9"/>
      <c r="CVW108" s="9"/>
      <c r="CVX108" s="9"/>
      <c r="CVY108" s="9"/>
      <c r="CVZ108" s="9"/>
      <c r="CWA108" s="9"/>
      <c r="CWB108" s="9"/>
      <c r="CWC108" s="9"/>
      <c r="CWD108" s="9"/>
      <c r="CWE108" s="9"/>
      <c r="CWF108" s="9"/>
      <c r="CWG108" s="9"/>
      <c r="CWH108" s="9"/>
      <c r="CWI108" s="9"/>
      <c r="CWJ108" s="9"/>
      <c r="CWK108" s="9"/>
      <c r="CWL108" s="9"/>
      <c r="CWM108" s="9"/>
      <c r="CWN108" s="9"/>
      <c r="CWO108" s="9"/>
      <c r="CWP108" s="9"/>
      <c r="CWQ108" s="9"/>
      <c r="CWR108" s="9"/>
      <c r="CWS108" s="9"/>
      <c r="CWT108" s="9"/>
      <c r="CWU108" s="9"/>
      <c r="CWV108" s="9"/>
      <c r="CWW108" s="9"/>
      <c r="CWX108" s="9"/>
      <c r="CWY108" s="9"/>
      <c r="CWZ108" s="9"/>
      <c r="CXA108" s="9"/>
      <c r="CXB108" s="9"/>
      <c r="CXC108" s="9"/>
      <c r="CXD108" s="9"/>
      <c r="CXE108" s="9"/>
      <c r="CXF108" s="9"/>
      <c r="CXG108" s="9"/>
      <c r="CXH108" s="9"/>
      <c r="CXI108" s="9"/>
      <c r="CXJ108" s="9"/>
      <c r="CXK108" s="9"/>
      <c r="CXL108" s="9"/>
      <c r="CXM108" s="9"/>
      <c r="CXN108" s="9"/>
      <c r="CXO108" s="9"/>
      <c r="CXP108" s="9"/>
      <c r="CXQ108" s="9"/>
      <c r="CXR108" s="9"/>
      <c r="CXS108" s="9"/>
      <c r="CXT108" s="9"/>
      <c r="CXU108" s="9"/>
      <c r="CXV108" s="9"/>
      <c r="CXW108" s="9"/>
      <c r="CXX108" s="9"/>
      <c r="CXY108" s="9"/>
      <c r="CXZ108" s="9"/>
      <c r="CYA108" s="9"/>
      <c r="CYB108" s="9"/>
      <c r="CYC108" s="9"/>
      <c r="CYD108" s="9"/>
      <c r="CYE108" s="9"/>
      <c r="CYF108" s="9"/>
      <c r="CYG108" s="9"/>
      <c r="CYH108" s="9"/>
      <c r="CYI108" s="9"/>
      <c r="CYJ108" s="9"/>
      <c r="CYK108" s="9"/>
      <c r="CYL108" s="9"/>
      <c r="CYM108" s="9"/>
      <c r="CYN108" s="9"/>
      <c r="CYO108" s="9"/>
      <c r="CYP108" s="9"/>
      <c r="CYQ108" s="9"/>
      <c r="CYR108" s="9"/>
      <c r="CYS108" s="9"/>
      <c r="CYT108" s="9"/>
      <c r="CYU108" s="9"/>
      <c r="CYV108" s="9"/>
      <c r="CYW108" s="9"/>
      <c r="CYX108" s="9"/>
      <c r="CYY108" s="9"/>
      <c r="CYZ108" s="9"/>
      <c r="CZA108" s="9"/>
      <c r="CZB108" s="9"/>
      <c r="CZC108" s="9"/>
      <c r="CZD108" s="9"/>
      <c r="CZE108" s="9"/>
      <c r="CZF108" s="9"/>
      <c r="CZG108" s="9"/>
      <c r="CZH108" s="9"/>
      <c r="CZI108" s="9"/>
      <c r="CZJ108" s="9"/>
      <c r="CZK108" s="9"/>
      <c r="CZL108" s="9"/>
      <c r="CZM108" s="9"/>
      <c r="CZN108" s="9"/>
      <c r="CZO108" s="9"/>
      <c r="CZP108" s="9"/>
      <c r="CZQ108" s="9"/>
      <c r="CZR108" s="9"/>
      <c r="CZS108" s="9"/>
      <c r="CZT108" s="9"/>
      <c r="CZU108" s="9"/>
      <c r="CZV108" s="9"/>
      <c r="CZW108" s="9"/>
      <c r="CZX108" s="9"/>
      <c r="CZY108" s="9"/>
      <c r="CZZ108" s="9"/>
      <c r="DAA108" s="9"/>
      <c r="DAB108" s="9"/>
      <c r="DAC108" s="9"/>
      <c r="DAD108" s="9"/>
      <c r="DAE108" s="9"/>
      <c r="DAF108" s="9"/>
      <c r="DAG108" s="9"/>
      <c r="DAH108" s="9"/>
      <c r="DAI108" s="9"/>
      <c r="DAJ108" s="9"/>
      <c r="DAK108" s="9"/>
      <c r="DAL108" s="9"/>
      <c r="DAM108" s="9"/>
      <c r="DAN108" s="9"/>
      <c r="DAO108" s="9"/>
      <c r="DAP108" s="9"/>
      <c r="DAQ108" s="9"/>
      <c r="DAR108" s="9"/>
      <c r="DAS108" s="9"/>
      <c r="DAT108" s="9"/>
      <c r="DAU108" s="9"/>
      <c r="DAV108" s="9"/>
      <c r="DAW108" s="9"/>
      <c r="DAX108" s="9"/>
      <c r="DAY108" s="9"/>
      <c r="DAZ108" s="9"/>
      <c r="DBA108" s="9"/>
      <c r="DBB108" s="9"/>
      <c r="DBC108" s="9"/>
      <c r="DBD108" s="9"/>
      <c r="DBE108" s="9"/>
      <c r="DBF108" s="9"/>
      <c r="DBG108" s="9"/>
      <c r="DBH108" s="9"/>
      <c r="DBI108" s="9"/>
      <c r="DBJ108" s="9"/>
      <c r="DBK108" s="9"/>
      <c r="DBL108" s="9"/>
      <c r="DBM108" s="9"/>
      <c r="DBN108" s="9"/>
      <c r="DBO108" s="9"/>
      <c r="DBP108" s="9"/>
      <c r="DBQ108" s="9"/>
      <c r="DBR108" s="9"/>
      <c r="DBS108" s="9"/>
      <c r="DBT108" s="9"/>
      <c r="DBU108" s="9"/>
      <c r="DBV108" s="9"/>
      <c r="DBW108" s="9"/>
      <c r="DBX108" s="9"/>
      <c r="DBY108" s="9"/>
      <c r="DBZ108" s="9"/>
      <c r="DCA108" s="9"/>
      <c r="DCB108" s="9"/>
      <c r="DCC108" s="9"/>
      <c r="DCD108" s="9"/>
      <c r="DCE108" s="9"/>
      <c r="DCF108" s="9"/>
      <c r="DCG108" s="9"/>
      <c r="DCH108" s="9"/>
      <c r="DCI108" s="9"/>
      <c r="DCJ108" s="9"/>
      <c r="DCK108" s="9"/>
      <c r="DCL108" s="9"/>
      <c r="DCM108" s="9"/>
      <c r="DCN108" s="9"/>
      <c r="DCO108" s="9"/>
      <c r="DCP108" s="9"/>
      <c r="DCQ108" s="9"/>
      <c r="DCR108" s="9"/>
      <c r="DCS108" s="9"/>
      <c r="DCT108" s="9"/>
      <c r="DCU108" s="9"/>
      <c r="DCV108" s="9"/>
      <c r="DCW108" s="9"/>
      <c r="DCX108" s="9"/>
      <c r="DCY108" s="9"/>
      <c r="DCZ108" s="9"/>
      <c r="DDA108" s="9"/>
      <c r="DDB108" s="9"/>
      <c r="DDC108" s="9"/>
      <c r="DDD108" s="9"/>
      <c r="DDE108" s="9"/>
      <c r="DDF108" s="9"/>
      <c r="DDG108" s="9"/>
      <c r="DDH108" s="9"/>
      <c r="DDI108" s="9"/>
      <c r="DDJ108" s="9"/>
      <c r="DDK108" s="9"/>
      <c r="DDL108" s="9"/>
      <c r="DDM108" s="9"/>
      <c r="DDN108" s="9"/>
      <c r="DDO108" s="9"/>
      <c r="DDP108" s="9"/>
      <c r="DDQ108" s="9"/>
      <c r="DDR108" s="9"/>
      <c r="DDS108" s="9"/>
      <c r="DDT108" s="9"/>
      <c r="DDU108" s="9"/>
      <c r="DDV108" s="9"/>
      <c r="DDW108" s="9"/>
      <c r="DDX108" s="9"/>
      <c r="DDY108" s="9"/>
      <c r="DDZ108" s="9"/>
      <c r="DEA108" s="9"/>
      <c r="DEB108" s="9"/>
      <c r="DEC108" s="9"/>
      <c r="DED108" s="9"/>
      <c r="DEE108" s="9"/>
      <c r="DEF108" s="9"/>
      <c r="DEG108" s="9"/>
      <c r="DEH108" s="9"/>
      <c r="DEI108" s="9"/>
      <c r="DEJ108" s="9"/>
      <c r="DEK108" s="9"/>
      <c r="DEL108" s="9"/>
      <c r="DEM108" s="9"/>
      <c r="DEN108" s="9"/>
      <c r="DEO108" s="9"/>
      <c r="DEP108" s="9"/>
      <c r="DEQ108" s="9"/>
      <c r="DER108" s="9"/>
      <c r="DES108" s="9"/>
      <c r="DET108" s="9"/>
      <c r="DEU108" s="9"/>
      <c r="DEV108" s="9"/>
      <c r="DEW108" s="9"/>
      <c r="DEX108" s="9"/>
      <c r="DEY108" s="9"/>
      <c r="DEZ108" s="9"/>
      <c r="DFA108" s="9"/>
      <c r="DFB108" s="9"/>
      <c r="DFC108" s="9"/>
      <c r="DFD108" s="9"/>
      <c r="DFE108" s="9"/>
      <c r="DFF108" s="9"/>
      <c r="DFG108" s="9"/>
      <c r="DFH108" s="9"/>
      <c r="DFI108" s="9"/>
      <c r="DFJ108" s="9"/>
      <c r="DFK108" s="9"/>
      <c r="DFL108" s="9"/>
      <c r="DFM108" s="9"/>
      <c r="DFN108" s="9"/>
      <c r="DFO108" s="9"/>
      <c r="DFP108" s="9"/>
      <c r="DFQ108" s="9"/>
      <c r="DFR108" s="9"/>
      <c r="DFS108" s="9"/>
      <c r="DFT108" s="9"/>
      <c r="DFU108" s="9"/>
      <c r="DFV108" s="9"/>
      <c r="DFW108" s="9"/>
      <c r="DFX108" s="9"/>
      <c r="DFY108" s="9"/>
      <c r="DFZ108" s="9"/>
      <c r="DGA108" s="9"/>
      <c r="DGB108" s="9"/>
      <c r="DGC108" s="9"/>
      <c r="DGD108" s="9"/>
      <c r="DGE108" s="9"/>
      <c r="DGF108" s="9"/>
      <c r="DGG108" s="9"/>
      <c r="DGH108" s="9"/>
      <c r="DGI108" s="9"/>
      <c r="DGJ108" s="9"/>
      <c r="DGK108" s="9"/>
      <c r="DGL108" s="9"/>
      <c r="DGM108" s="9"/>
      <c r="DGN108" s="9"/>
      <c r="DGO108" s="9"/>
      <c r="DGP108" s="9"/>
      <c r="DGQ108" s="9"/>
      <c r="DGR108" s="9"/>
      <c r="DGS108" s="9"/>
      <c r="DGT108" s="9"/>
      <c r="DGU108" s="9"/>
      <c r="DGV108" s="9"/>
      <c r="DGW108" s="9"/>
      <c r="DGX108" s="9"/>
      <c r="DGY108" s="9"/>
      <c r="DGZ108" s="9"/>
      <c r="DHA108" s="9"/>
      <c r="DHB108" s="9"/>
      <c r="DHC108" s="9"/>
      <c r="DHD108" s="9"/>
      <c r="DHE108" s="9"/>
      <c r="DHF108" s="9"/>
      <c r="DHG108" s="9"/>
      <c r="DHH108" s="9"/>
      <c r="DHI108" s="9"/>
      <c r="DHJ108" s="9"/>
      <c r="DHK108" s="9"/>
      <c r="DHL108" s="9"/>
      <c r="DHM108" s="9"/>
      <c r="DHN108" s="9"/>
      <c r="DHO108" s="9"/>
      <c r="DHP108" s="9"/>
      <c r="DHQ108" s="9"/>
      <c r="DHR108" s="9"/>
      <c r="DHS108" s="9"/>
      <c r="DHT108" s="9"/>
      <c r="DHU108" s="9"/>
      <c r="DHV108" s="9"/>
      <c r="DHW108" s="9"/>
      <c r="DHX108" s="9"/>
      <c r="DHY108" s="9"/>
      <c r="DHZ108" s="9"/>
      <c r="DIA108" s="9"/>
      <c r="DIB108" s="9"/>
      <c r="DIC108" s="9"/>
      <c r="DID108" s="9"/>
      <c r="DIE108" s="9"/>
      <c r="DIF108" s="9"/>
      <c r="DIG108" s="9"/>
      <c r="DIH108" s="9"/>
      <c r="DII108" s="9"/>
      <c r="DIJ108" s="9"/>
      <c r="DIK108" s="9"/>
      <c r="DIL108" s="9"/>
      <c r="DIM108" s="9"/>
      <c r="DIN108" s="9"/>
      <c r="DIO108" s="9"/>
      <c r="DIP108" s="9"/>
      <c r="DIQ108" s="9"/>
      <c r="DIR108" s="9"/>
      <c r="DIS108" s="9"/>
      <c r="DIT108" s="9"/>
      <c r="DIU108" s="9"/>
      <c r="DIV108" s="9"/>
      <c r="DIW108" s="9"/>
      <c r="DIX108" s="9"/>
      <c r="DIY108" s="9"/>
      <c r="DIZ108" s="9"/>
      <c r="DJA108" s="9"/>
      <c r="DJB108" s="9"/>
      <c r="DJC108" s="9"/>
      <c r="DJD108" s="9"/>
      <c r="DJE108" s="9"/>
      <c r="DJF108" s="9"/>
      <c r="DJG108" s="9"/>
      <c r="DJH108" s="9"/>
      <c r="DJI108" s="9"/>
      <c r="DJJ108" s="9"/>
      <c r="DJK108" s="9"/>
      <c r="DJL108" s="9"/>
      <c r="DJM108" s="9"/>
      <c r="DJN108" s="9"/>
      <c r="DJO108" s="9"/>
      <c r="DJP108" s="9"/>
      <c r="DJQ108" s="9"/>
      <c r="DJR108" s="9"/>
      <c r="DJS108" s="9"/>
      <c r="DJT108" s="9"/>
      <c r="DJU108" s="9"/>
      <c r="DJV108" s="9"/>
      <c r="DJW108" s="9"/>
      <c r="DJX108" s="9"/>
      <c r="DJY108" s="9"/>
      <c r="DJZ108" s="9"/>
      <c r="DKA108" s="9"/>
      <c r="DKB108" s="9"/>
      <c r="DKC108" s="9"/>
      <c r="DKD108" s="9"/>
      <c r="DKE108" s="9"/>
      <c r="DKF108" s="9"/>
      <c r="DKG108" s="9"/>
      <c r="DKH108" s="9"/>
      <c r="DKI108" s="9"/>
      <c r="DKJ108" s="9"/>
      <c r="DKK108" s="9"/>
      <c r="DKL108" s="9"/>
      <c r="DKM108" s="9"/>
      <c r="DKN108" s="9"/>
      <c r="DKO108" s="9"/>
      <c r="DKP108" s="9"/>
      <c r="DKQ108" s="9"/>
      <c r="DKR108" s="9"/>
      <c r="DKS108" s="9"/>
      <c r="DKT108" s="9"/>
      <c r="DKU108" s="9"/>
      <c r="DKV108" s="9"/>
      <c r="DKW108" s="9"/>
      <c r="DKX108" s="9"/>
      <c r="DKY108" s="9"/>
      <c r="DKZ108" s="9"/>
      <c r="DLA108" s="9"/>
      <c r="DLB108" s="9"/>
      <c r="DLC108" s="9"/>
      <c r="DLD108" s="9"/>
      <c r="DLE108" s="9"/>
      <c r="DLF108" s="9"/>
      <c r="DLG108" s="9"/>
      <c r="DLH108" s="9"/>
      <c r="DLI108" s="9"/>
      <c r="DLJ108" s="9"/>
      <c r="DLK108" s="9"/>
      <c r="DLL108" s="9"/>
      <c r="DLM108" s="9"/>
      <c r="DLN108" s="9"/>
      <c r="DLO108" s="9"/>
      <c r="DLP108" s="9"/>
      <c r="DLQ108" s="9"/>
      <c r="DLR108" s="9"/>
      <c r="DLS108" s="9"/>
      <c r="DLT108" s="9"/>
      <c r="DLU108" s="9"/>
      <c r="DLV108" s="9"/>
      <c r="DLW108" s="9"/>
      <c r="DLX108" s="9"/>
      <c r="DLY108" s="9"/>
      <c r="DLZ108" s="9"/>
      <c r="DMA108" s="9"/>
      <c r="DMB108" s="9"/>
      <c r="DMC108" s="9"/>
      <c r="DMD108" s="9"/>
      <c r="DME108" s="9"/>
      <c r="DMF108" s="9"/>
      <c r="DMG108" s="9"/>
      <c r="DMH108" s="9"/>
      <c r="DMI108" s="9"/>
      <c r="DMJ108" s="9"/>
      <c r="DMK108" s="9"/>
      <c r="DML108" s="9"/>
      <c r="DMM108" s="9"/>
      <c r="DMN108" s="9"/>
      <c r="DMO108" s="9"/>
      <c r="DMP108" s="9"/>
      <c r="DMQ108" s="9"/>
      <c r="DMR108" s="9"/>
      <c r="DMS108" s="9"/>
      <c r="DMT108" s="9"/>
      <c r="DMU108" s="9"/>
      <c r="DMV108" s="9"/>
      <c r="DMW108" s="9"/>
      <c r="DMX108" s="9"/>
      <c r="DMY108" s="9"/>
      <c r="DMZ108" s="9"/>
      <c r="DNA108" s="9"/>
      <c r="DNB108" s="9"/>
      <c r="DNC108" s="9"/>
      <c r="DND108" s="9"/>
      <c r="DNE108" s="9"/>
      <c r="DNF108" s="9"/>
      <c r="DNG108" s="9"/>
      <c r="DNH108" s="9"/>
      <c r="DNI108" s="9"/>
      <c r="DNJ108" s="9"/>
      <c r="DNK108" s="9"/>
      <c r="DNL108" s="9"/>
      <c r="DNM108" s="9"/>
      <c r="DNN108" s="9"/>
      <c r="DNO108" s="9"/>
      <c r="DNP108" s="9"/>
      <c r="DNQ108" s="9"/>
      <c r="DNR108" s="9"/>
      <c r="DNS108" s="9"/>
      <c r="DNT108" s="9"/>
      <c r="DNU108" s="9"/>
      <c r="DNV108" s="9"/>
      <c r="DNW108" s="9"/>
      <c r="DNX108" s="9"/>
      <c r="DNY108" s="9"/>
      <c r="DNZ108" s="9"/>
      <c r="DOA108" s="9"/>
      <c r="DOB108" s="9"/>
      <c r="DOC108" s="9"/>
      <c r="DOD108" s="9"/>
      <c r="DOE108" s="9"/>
      <c r="DOF108" s="9"/>
      <c r="DOG108" s="9"/>
      <c r="DOH108" s="9"/>
      <c r="DOI108" s="9"/>
      <c r="DOJ108" s="9"/>
      <c r="DOK108" s="9"/>
      <c r="DOL108" s="9"/>
      <c r="DOM108" s="9"/>
      <c r="DON108" s="9"/>
      <c r="DOO108" s="9"/>
      <c r="DOP108" s="9"/>
      <c r="DOQ108" s="9"/>
      <c r="DOR108" s="9"/>
      <c r="DOS108" s="9"/>
      <c r="DOT108" s="9"/>
      <c r="DOU108" s="9"/>
      <c r="DOV108" s="9"/>
      <c r="DOW108" s="9"/>
      <c r="DOX108" s="9"/>
      <c r="DOY108" s="9"/>
      <c r="DOZ108" s="9"/>
      <c r="DPA108" s="9"/>
      <c r="DPB108" s="9"/>
      <c r="DPC108" s="9"/>
      <c r="DPD108" s="9"/>
      <c r="DPE108" s="9"/>
      <c r="DPF108" s="9"/>
      <c r="DPG108" s="9"/>
      <c r="DPH108" s="9"/>
      <c r="DPI108" s="9"/>
      <c r="DPJ108" s="9"/>
      <c r="DPK108" s="9"/>
      <c r="DPL108" s="9"/>
      <c r="DPM108" s="9"/>
      <c r="DPN108" s="9"/>
      <c r="DPO108" s="9"/>
      <c r="DPP108" s="9"/>
      <c r="DPQ108" s="9"/>
      <c r="DPR108" s="9"/>
      <c r="DPS108" s="9"/>
      <c r="DPT108" s="9"/>
      <c r="DPU108" s="9"/>
      <c r="DPV108" s="9"/>
      <c r="DPW108" s="9"/>
      <c r="DPX108" s="9"/>
      <c r="DPY108" s="9"/>
      <c r="DPZ108" s="9"/>
      <c r="DQA108" s="9"/>
      <c r="DQB108" s="9"/>
      <c r="DQC108" s="9"/>
      <c r="DQD108" s="9"/>
      <c r="DQE108" s="9"/>
      <c r="DQF108" s="9"/>
      <c r="DQG108" s="9"/>
      <c r="DQH108" s="9"/>
      <c r="DQI108" s="9"/>
      <c r="DQJ108" s="9"/>
      <c r="DQK108" s="9"/>
      <c r="DQL108" s="9"/>
      <c r="DQM108" s="9"/>
      <c r="DQN108" s="9"/>
      <c r="DQO108" s="9"/>
      <c r="DQP108" s="9"/>
      <c r="DQQ108" s="9"/>
      <c r="DQR108" s="9"/>
      <c r="DQS108" s="9"/>
      <c r="DQT108" s="9"/>
      <c r="DQU108" s="9"/>
      <c r="DQV108" s="9"/>
      <c r="DQW108" s="9"/>
      <c r="DQX108" s="9"/>
      <c r="DQY108" s="9"/>
      <c r="DQZ108" s="9"/>
      <c r="DRA108" s="9"/>
      <c r="DRB108" s="9"/>
      <c r="DRC108" s="9"/>
      <c r="DRD108" s="9"/>
      <c r="DRE108" s="9"/>
      <c r="DRF108" s="9"/>
      <c r="DRG108" s="9"/>
      <c r="DRH108" s="9"/>
      <c r="DRI108" s="9"/>
      <c r="DRJ108" s="9"/>
      <c r="DRK108" s="9"/>
      <c r="DRL108" s="9"/>
      <c r="DRM108" s="9"/>
      <c r="DRN108" s="9"/>
      <c r="DRO108" s="9"/>
      <c r="DRP108" s="9"/>
      <c r="DRQ108" s="9"/>
      <c r="DRR108" s="9"/>
      <c r="DRS108" s="9"/>
      <c r="DRT108" s="9"/>
      <c r="DRU108" s="9"/>
      <c r="DRV108" s="9"/>
      <c r="DRW108" s="9"/>
      <c r="DRX108" s="9"/>
      <c r="DRY108" s="9"/>
      <c r="DRZ108" s="9"/>
      <c r="DSA108" s="9"/>
      <c r="DSB108" s="9"/>
      <c r="DSC108" s="9"/>
      <c r="DSD108" s="9"/>
      <c r="DSE108" s="9"/>
      <c r="DSF108" s="9"/>
      <c r="DSG108" s="9"/>
      <c r="DSH108" s="9"/>
      <c r="DSI108" s="9"/>
      <c r="DSJ108" s="9"/>
      <c r="DSK108" s="9"/>
      <c r="DSL108" s="9"/>
      <c r="DSM108" s="9"/>
      <c r="DSN108" s="9"/>
      <c r="DSO108" s="9"/>
      <c r="DSP108" s="9"/>
      <c r="DSQ108" s="9"/>
      <c r="DSR108" s="9"/>
      <c r="DSS108" s="9"/>
      <c r="DST108" s="9"/>
      <c r="DSU108" s="9"/>
      <c r="DSV108" s="9"/>
      <c r="DSW108" s="9"/>
      <c r="DSX108" s="9"/>
      <c r="DSY108" s="9"/>
      <c r="DSZ108" s="9"/>
      <c r="DTA108" s="9"/>
      <c r="DTB108" s="9"/>
      <c r="DTC108" s="9"/>
      <c r="DTD108" s="9"/>
      <c r="DTE108" s="9"/>
      <c r="DTF108" s="9"/>
      <c r="DTG108" s="9"/>
      <c r="DTH108" s="9"/>
      <c r="DTI108" s="9"/>
      <c r="DTJ108" s="9"/>
      <c r="DTK108" s="9"/>
      <c r="DTL108" s="9"/>
      <c r="DTM108" s="9"/>
      <c r="DTN108" s="9"/>
      <c r="DTO108" s="9"/>
      <c r="DTP108" s="9"/>
      <c r="DTQ108" s="9"/>
      <c r="DTR108" s="9"/>
      <c r="DTS108" s="9"/>
      <c r="DTT108" s="9"/>
      <c r="DTU108" s="9"/>
      <c r="DTV108" s="9"/>
      <c r="DTW108" s="9"/>
      <c r="DTX108" s="9"/>
      <c r="DTY108" s="9"/>
      <c r="DTZ108" s="9"/>
      <c r="DUA108" s="9"/>
      <c r="DUB108" s="9"/>
      <c r="DUC108" s="9"/>
      <c r="DUD108" s="9"/>
      <c r="DUE108" s="9"/>
      <c r="DUF108" s="9"/>
      <c r="DUG108" s="9"/>
      <c r="DUH108" s="9"/>
      <c r="DUI108" s="9"/>
      <c r="DUJ108" s="9"/>
      <c r="DUK108" s="9"/>
      <c r="DUL108" s="9"/>
      <c r="DUM108" s="9"/>
      <c r="DUN108" s="9"/>
      <c r="DUO108" s="9"/>
      <c r="DUP108" s="9"/>
      <c r="DUQ108" s="9"/>
      <c r="DUR108" s="9"/>
      <c r="DUS108" s="9"/>
      <c r="DUT108" s="9"/>
      <c r="DUU108" s="9"/>
      <c r="DUV108" s="9"/>
      <c r="DUW108" s="9"/>
      <c r="DUX108" s="9"/>
      <c r="DUY108" s="9"/>
      <c r="DUZ108" s="9"/>
      <c r="DVA108" s="9"/>
      <c r="DVB108" s="9"/>
      <c r="DVC108" s="9"/>
      <c r="DVD108" s="9"/>
      <c r="DVE108" s="9"/>
      <c r="DVF108" s="9"/>
      <c r="DVG108" s="9"/>
      <c r="DVH108" s="9"/>
      <c r="DVI108" s="9"/>
      <c r="DVJ108" s="9"/>
      <c r="DVK108" s="9"/>
      <c r="DVL108" s="9"/>
      <c r="DVM108" s="9"/>
      <c r="DVN108" s="9"/>
      <c r="DVO108" s="9"/>
      <c r="DVP108" s="9"/>
      <c r="DVQ108" s="9"/>
      <c r="DVR108" s="9"/>
      <c r="DVS108" s="9"/>
      <c r="DVT108" s="9"/>
      <c r="DVU108" s="9"/>
      <c r="DVV108" s="9"/>
      <c r="DVW108" s="9"/>
      <c r="DVX108" s="9"/>
      <c r="DVY108" s="9"/>
      <c r="DVZ108" s="9"/>
      <c r="DWA108" s="9"/>
      <c r="DWB108" s="9"/>
      <c r="DWC108" s="9"/>
      <c r="DWD108" s="9"/>
      <c r="DWE108" s="9"/>
      <c r="DWF108" s="9"/>
      <c r="DWG108" s="9"/>
      <c r="DWH108" s="9"/>
      <c r="DWI108" s="9"/>
      <c r="DWJ108" s="9"/>
      <c r="DWK108" s="9"/>
      <c r="DWL108" s="9"/>
      <c r="DWM108" s="9"/>
      <c r="DWN108" s="9"/>
      <c r="DWO108" s="9"/>
      <c r="DWP108" s="9"/>
      <c r="DWQ108" s="9"/>
      <c r="DWR108" s="9"/>
      <c r="DWS108" s="9"/>
      <c r="DWT108" s="9"/>
      <c r="DWU108" s="9"/>
      <c r="DWV108" s="9"/>
      <c r="DWW108" s="9"/>
      <c r="DWX108" s="9"/>
      <c r="DWY108" s="9"/>
      <c r="DWZ108" s="9"/>
      <c r="DXA108" s="9"/>
      <c r="DXB108" s="9"/>
      <c r="DXC108" s="9"/>
      <c r="DXD108" s="9"/>
      <c r="DXE108" s="9"/>
      <c r="DXF108" s="9"/>
      <c r="DXG108" s="9"/>
      <c r="DXH108" s="9"/>
      <c r="DXI108" s="9"/>
      <c r="DXJ108" s="9"/>
      <c r="DXK108" s="9"/>
      <c r="DXL108" s="9"/>
      <c r="DXM108" s="9"/>
      <c r="DXN108" s="9"/>
      <c r="DXO108" s="9"/>
      <c r="DXP108" s="9"/>
      <c r="DXQ108" s="9"/>
      <c r="DXR108" s="9"/>
      <c r="DXS108" s="9"/>
      <c r="DXT108" s="9"/>
      <c r="DXU108" s="9"/>
      <c r="DXV108" s="9"/>
      <c r="DXW108" s="9"/>
      <c r="DXX108" s="9"/>
      <c r="DXY108" s="9"/>
      <c r="DXZ108" s="9"/>
      <c r="DYA108" s="9"/>
      <c r="DYB108" s="9"/>
      <c r="DYC108" s="9"/>
      <c r="DYD108" s="9"/>
      <c r="DYE108" s="9"/>
      <c r="DYF108" s="9"/>
      <c r="DYG108" s="9"/>
      <c r="DYH108" s="9"/>
      <c r="DYI108" s="9"/>
      <c r="DYJ108" s="9"/>
      <c r="DYK108" s="9"/>
      <c r="DYL108" s="9"/>
      <c r="DYM108" s="9"/>
      <c r="DYN108" s="9"/>
      <c r="DYO108" s="9"/>
      <c r="DYP108" s="9"/>
      <c r="DYQ108" s="9"/>
      <c r="DYR108" s="9"/>
      <c r="DYS108" s="9"/>
      <c r="DYT108" s="9"/>
      <c r="DYU108" s="9"/>
      <c r="DYV108" s="9"/>
      <c r="DYW108" s="9"/>
      <c r="DYX108" s="9"/>
      <c r="DYY108" s="9"/>
      <c r="DYZ108" s="9"/>
      <c r="DZA108" s="9"/>
      <c r="DZB108" s="9"/>
      <c r="DZC108" s="9"/>
      <c r="DZD108" s="9"/>
      <c r="DZE108" s="9"/>
      <c r="DZF108" s="9"/>
      <c r="DZG108" s="9"/>
      <c r="DZH108" s="9"/>
      <c r="DZI108" s="9"/>
      <c r="DZJ108" s="9"/>
      <c r="DZK108" s="9"/>
      <c r="DZL108" s="9"/>
      <c r="DZM108" s="9"/>
      <c r="DZN108" s="9"/>
      <c r="DZO108" s="9"/>
      <c r="DZP108" s="9"/>
      <c r="DZQ108" s="9"/>
      <c r="DZR108" s="9"/>
      <c r="DZS108" s="9"/>
      <c r="DZT108" s="9"/>
      <c r="DZU108" s="9"/>
      <c r="DZV108" s="9"/>
      <c r="DZW108" s="9"/>
      <c r="DZX108" s="9"/>
      <c r="DZY108" s="9"/>
      <c r="DZZ108" s="9"/>
      <c r="EAA108" s="9"/>
      <c r="EAB108" s="9"/>
      <c r="EAC108" s="9"/>
      <c r="EAD108" s="9"/>
      <c r="EAE108" s="9"/>
      <c r="EAF108" s="9"/>
      <c r="EAG108" s="9"/>
      <c r="EAH108" s="9"/>
      <c r="EAI108" s="9"/>
      <c r="EAJ108" s="9"/>
      <c r="EAK108" s="9"/>
      <c r="EAL108" s="9"/>
      <c r="EAM108" s="9"/>
      <c r="EAN108" s="9"/>
      <c r="EAO108" s="9"/>
      <c r="EAP108" s="9"/>
      <c r="EAQ108" s="9"/>
      <c r="EAR108" s="9"/>
      <c r="EAS108" s="9"/>
      <c r="EAT108" s="9"/>
      <c r="EAU108" s="9"/>
      <c r="EAV108" s="9"/>
      <c r="EAW108" s="9"/>
      <c r="EAX108" s="9"/>
      <c r="EAY108" s="9"/>
      <c r="EAZ108" s="9"/>
      <c r="EBA108" s="9"/>
      <c r="EBB108" s="9"/>
      <c r="EBC108" s="9"/>
      <c r="EBD108" s="9"/>
      <c r="EBE108" s="9"/>
      <c r="EBF108" s="9"/>
      <c r="EBG108" s="9"/>
      <c r="EBH108" s="9"/>
      <c r="EBI108" s="9"/>
      <c r="EBJ108" s="9"/>
      <c r="EBK108" s="9"/>
      <c r="EBL108" s="9"/>
      <c r="EBM108" s="9"/>
      <c r="EBN108" s="9"/>
      <c r="EBO108" s="9"/>
      <c r="EBP108" s="9"/>
      <c r="EBQ108" s="9"/>
      <c r="EBR108" s="9"/>
      <c r="EBS108" s="9"/>
      <c r="EBT108" s="9"/>
      <c r="EBU108" s="9"/>
      <c r="EBV108" s="9"/>
      <c r="EBW108" s="9"/>
      <c r="EBX108" s="9"/>
      <c r="EBY108" s="9"/>
      <c r="EBZ108" s="9"/>
      <c r="ECA108" s="9"/>
      <c r="ECB108" s="9"/>
      <c r="ECC108" s="9"/>
      <c r="ECD108" s="9"/>
      <c r="ECE108" s="9"/>
      <c r="ECF108" s="9"/>
      <c r="ECG108" s="9"/>
      <c r="ECH108" s="9"/>
      <c r="ECI108" s="9"/>
      <c r="ECJ108" s="9"/>
      <c r="ECK108" s="9"/>
      <c r="ECL108" s="9"/>
      <c r="ECM108" s="9"/>
      <c r="ECN108" s="9"/>
      <c r="ECO108" s="9"/>
      <c r="ECP108" s="9"/>
      <c r="ECQ108" s="9"/>
      <c r="ECR108" s="9"/>
      <c r="ECS108" s="9"/>
      <c r="ECT108" s="9"/>
      <c r="ECU108" s="9"/>
      <c r="ECV108" s="9"/>
      <c r="ECW108" s="9"/>
      <c r="ECX108" s="9"/>
      <c r="ECY108" s="9"/>
      <c r="ECZ108" s="9"/>
      <c r="EDA108" s="9"/>
      <c r="EDB108" s="9"/>
      <c r="EDC108" s="9"/>
      <c r="EDD108" s="9"/>
      <c r="EDE108" s="9"/>
      <c r="EDF108" s="9"/>
      <c r="EDG108" s="9"/>
      <c r="EDH108" s="9"/>
      <c r="EDI108" s="9"/>
      <c r="EDJ108" s="9"/>
      <c r="EDK108" s="9"/>
      <c r="EDL108" s="9"/>
      <c r="EDM108" s="9"/>
      <c r="EDN108" s="9"/>
      <c r="EDO108" s="9"/>
      <c r="EDP108" s="9"/>
      <c r="EDQ108" s="9"/>
      <c r="EDR108" s="9"/>
      <c r="EDS108" s="9"/>
      <c r="EDT108" s="9"/>
      <c r="EDU108" s="9"/>
      <c r="EDV108" s="9"/>
      <c r="EDW108" s="9"/>
      <c r="EDX108" s="9"/>
      <c r="EDY108" s="9"/>
      <c r="EDZ108" s="9"/>
      <c r="EEA108" s="9"/>
      <c r="EEB108" s="9"/>
      <c r="EEC108" s="9"/>
      <c r="EED108" s="9"/>
      <c r="EEE108" s="9"/>
      <c r="EEF108" s="9"/>
      <c r="EEG108" s="9"/>
      <c r="EEH108" s="9"/>
      <c r="EEI108" s="9"/>
      <c r="EEJ108" s="9"/>
      <c r="EEK108" s="9"/>
      <c r="EEL108" s="9"/>
      <c r="EEM108" s="9"/>
      <c r="EEN108" s="9"/>
      <c r="EEO108" s="9"/>
      <c r="EEP108" s="9"/>
      <c r="EEQ108" s="9"/>
      <c r="EER108" s="9"/>
      <c r="EES108" s="9"/>
      <c r="EET108" s="9"/>
      <c r="EEU108" s="9"/>
      <c r="EEV108" s="9"/>
      <c r="EEW108" s="9"/>
      <c r="EEX108" s="9"/>
      <c r="EEY108" s="9"/>
      <c r="EEZ108" s="9"/>
      <c r="EFA108" s="9"/>
      <c r="EFB108" s="9"/>
      <c r="EFC108" s="9"/>
      <c r="EFD108" s="9"/>
      <c r="EFE108" s="9"/>
      <c r="EFF108" s="9"/>
      <c r="EFG108" s="9"/>
      <c r="EFH108" s="9"/>
      <c r="EFI108" s="9"/>
      <c r="EFJ108" s="9"/>
      <c r="EFK108" s="9"/>
      <c r="EFL108" s="9"/>
      <c r="EFM108" s="9"/>
      <c r="EFN108" s="9"/>
      <c r="EFO108" s="9"/>
      <c r="EFP108" s="9"/>
      <c r="EFQ108" s="9"/>
      <c r="EFR108" s="9"/>
      <c r="EFS108" s="9"/>
      <c r="EFT108" s="9"/>
      <c r="EFU108" s="9"/>
      <c r="EFV108" s="9"/>
      <c r="EFW108" s="9"/>
      <c r="EFX108" s="9"/>
      <c r="EFY108" s="9"/>
      <c r="EFZ108" s="9"/>
      <c r="EGA108" s="9"/>
      <c r="EGB108" s="9"/>
      <c r="EGC108" s="9"/>
      <c r="EGD108" s="9"/>
      <c r="EGE108" s="9"/>
      <c r="EGF108" s="9"/>
      <c r="EGG108" s="9"/>
      <c r="EGH108" s="9"/>
      <c r="EGI108" s="9"/>
      <c r="EGJ108" s="9"/>
      <c r="EGK108" s="9"/>
      <c r="EGL108" s="9"/>
      <c r="EGM108" s="9"/>
      <c r="EGN108" s="9"/>
      <c r="EGO108" s="9"/>
      <c r="EGP108" s="9"/>
      <c r="EGQ108" s="9"/>
      <c r="EGR108" s="9"/>
      <c r="EGS108" s="9"/>
      <c r="EGT108" s="9"/>
      <c r="EGU108" s="9"/>
      <c r="EGV108" s="9"/>
      <c r="EGW108" s="9"/>
      <c r="EGX108" s="9"/>
      <c r="EGY108" s="9"/>
      <c r="EGZ108" s="9"/>
      <c r="EHA108" s="9"/>
      <c r="EHB108" s="9"/>
      <c r="EHC108" s="9"/>
      <c r="EHD108" s="9"/>
      <c r="EHE108" s="9"/>
      <c r="EHF108" s="9"/>
      <c r="EHG108" s="9"/>
      <c r="EHH108" s="9"/>
      <c r="EHI108" s="9"/>
      <c r="EHJ108" s="9"/>
      <c r="EHK108" s="9"/>
      <c r="EHL108" s="9"/>
      <c r="EHM108" s="9"/>
      <c r="EHN108" s="9"/>
      <c r="EHO108" s="9"/>
      <c r="EHP108" s="9"/>
      <c r="EHQ108" s="9"/>
      <c r="EHR108" s="9"/>
      <c r="EHS108" s="9"/>
      <c r="EHT108" s="9"/>
      <c r="EHU108" s="9"/>
      <c r="EHV108" s="9"/>
      <c r="EHW108" s="9"/>
      <c r="EHX108" s="9"/>
      <c r="EHY108" s="9"/>
      <c r="EHZ108" s="9"/>
      <c r="EIA108" s="9"/>
      <c r="EIB108" s="9"/>
      <c r="EIC108" s="9"/>
      <c r="EID108" s="9"/>
      <c r="EIE108" s="9"/>
      <c r="EIF108" s="9"/>
      <c r="EIG108" s="9"/>
      <c r="EIH108" s="9"/>
      <c r="EII108" s="9"/>
      <c r="EIJ108" s="9"/>
      <c r="EIK108" s="9"/>
      <c r="EIL108" s="9"/>
      <c r="EIM108" s="9"/>
      <c r="EIN108" s="9"/>
      <c r="EIO108" s="9"/>
      <c r="EIP108" s="9"/>
      <c r="EIQ108" s="9"/>
      <c r="EIR108" s="9"/>
      <c r="EIS108" s="9"/>
      <c r="EIT108" s="9"/>
      <c r="EIU108" s="9"/>
      <c r="EIV108" s="9"/>
      <c r="EIW108" s="9"/>
      <c r="EIX108" s="9"/>
      <c r="EIY108" s="9"/>
      <c r="EIZ108" s="9"/>
      <c r="EJA108" s="9"/>
      <c r="EJB108" s="9"/>
      <c r="EJC108" s="9"/>
      <c r="EJD108" s="9"/>
      <c r="EJE108" s="9"/>
      <c r="EJF108" s="9"/>
      <c r="EJG108" s="9"/>
      <c r="EJH108" s="9"/>
      <c r="EJI108" s="9"/>
      <c r="EJJ108" s="9"/>
      <c r="EJK108" s="9"/>
      <c r="EJL108" s="9"/>
      <c r="EJM108" s="9"/>
      <c r="EJN108" s="9"/>
      <c r="EJO108" s="9"/>
      <c r="EJP108" s="9"/>
      <c r="EJQ108" s="9"/>
      <c r="EJR108" s="9"/>
      <c r="EJS108" s="9"/>
      <c r="EJT108" s="9"/>
      <c r="EJU108" s="9"/>
      <c r="EJV108" s="9"/>
      <c r="EJW108" s="9"/>
      <c r="EJX108" s="9"/>
      <c r="EJY108" s="9"/>
      <c r="EJZ108" s="9"/>
      <c r="EKA108" s="9"/>
      <c r="EKB108" s="9"/>
      <c r="EKC108" s="9"/>
      <c r="EKD108" s="9"/>
      <c r="EKE108" s="9"/>
      <c r="EKF108" s="9"/>
      <c r="EKG108" s="9"/>
      <c r="EKH108" s="9"/>
      <c r="EKI108" s="9"/>
      <c r="EKJ108" s="9"/>
      <c r="EKK108" s="9"/>
      <c r="EKL108" s="9"/>
      <c r="EKM108" s="9"/>
      <c r="EKN108" s="9"/>
      <c r="EKO108" s="9"/>
      <c r="EKP108" s="9"/>
      <c r="EKQ108" s="9"/>
      <c r="EKR108" s="9"/>
      <c r="EKS108" s="9"/>
      <c r="EKT108" s="9"/>
      <c r="EKU108" s="9"/>
      <c r="EKV108" s="9"/>
      <c r="EKW108" s="9"/>
      <c r="EKX108" s="9"/>
      <c r="EKY108" s="9"/>
      <c r="EKZ108" s="9"/>
      <c r="ELA108" s="9"/>
      <c r="ELB108" s="9"/>
      <c r="ELC108" s="9"/>
      <c r="ELD108" s="9"/>
      <c r="ELE108" s="9"/>
      <c r="ELF108" s="9"/>
      <c r="ELG108" s="9"/>
      <c r="ELH108" s="9"/>
      <c r="ELI108" s="9"/>
      <c r="ELJ108" s="9"/>
      <c r="ELK108" s="9"/>
      <c r="ELL108" s="9"/>
      <c r="ELM108" s="9"/>
      <c r="ELN108" s="9"/>
      <c r="ELO108" s="9"/>
      <c r="ELP108" s="9"/>
      <c r="ELQ108" s="9"/>
      <c r="ELR108" s="9"/>
      <c r="ELS108" s="9"/>
      <c r="ELT108" s="9"/>
      <c r="ELU108" s="9"/>
      <c r="ELV108" s="9"/>
      <c r="ELW108" s="9"/>
      <c r="ELX108" s="9"/>
      <c r="ELY108" s="9"/>
      <c r="ELZ108" s="9"/>
      <c r="EMA108" s="9"/>
      <c r="EMB108" s="9"/>
      <c r="EMC108" s="9"/>
      <c r="EMD108" s="9"/>
      <c r="EME108" s="9"/>
      <c r="EMF108" s="9"/>
      <c r="EMG108" s="9"/>
      <c r="EMH108" s="9"/>
      <c r="EMI108" s="9"/>
      <c r="EMJ108" s="9"/>
      <c r="EMK108" s="9"/>
      <c r="EML108" s="9"/>
      <c r="EMM108" s="9"/>
      <c r="EMN108" s="9"/>
      <c r="EMO108" s="9"/>
      <c r="EMP108" s="9"/>
      <c r="EMQ108" s="9"/>
      <c r="EMR108" s="9"/>
      <c r="EMS108" s="9"/>
      <c r="EMT108" s="9"/>
      <c r="EMU108" s="9"/>
      <c r="EMV108" s="9"/>
      <c r="EMW108" s="9"/>
      <c r="EMX108" s="9"/>
      <c r="EMY108" s="9"/>
      <c r="EMZ108" s="9"/>
      <c r="ENA108" s="9"/>
      <c r="ENB108" s="9"/>
      <c r="ENC108" s="9"/>
      <c r="END108" s="9"/>
      <c r="ENE108" s="9"/>
      <c r="ENF108" s="9"/>
      <c r="ENG108" s="9"/>
      <c r="ENH108" s="9"/>
      <c r="ENI108" s="9"/>
      <c r="ENJ108" s="9"/>
      <c r="ENK108" s="9"/>
      <c r="ENL108" s="9"/>
      <c r="ENM108" s="9"/>
      <c r="ENN108" s="9"/>
      <c r="ENO108" s="9"/>
      <c r="ENP108" s="9"/>
      <c r="ENQ108" s="9"/>
      <c r="ENR108" s="9"/>
      <c r="ENS108" s="9"/>
      <c r="ENT108" s="9"/>
      <c r="ENU108" s="9"/>
      <c r="ENV108" s="9"/>
      <c r="ENW108" s="9"/>
      <c r="ENX108" s="9"/>
      <c r="ENY108" s="9"/>
      <c r="ENZ108" s="9"/>
      <c r="EOA108" s="9"/>
      <c r="EOB108" s="9"/>
      <c r="EOC108" s="9"/>
      <c r="EOD108" s="9"/>
      <c r="EOE108" s="9"/>
      <c r="EOF108" s="9"/>
      <c r="EOG108" s="9"/>
      <c r="EOH108" s="9"/>
      <c r="EOI108" s="9"/>
      <c r="EOJ108" s="9"/>
      <c r="EOK108" s="9"/>
      <c r="EOL108" s="9"/>
      <c r="EOM108" s="9"/>
      <c r="EON108" s="9"/>
      <c r="EOO108" s="9"/>
      <c r="EOP108" s="9"/>
      <c r="EOQ108" s="9"/>
      <c r="EOR108" s="9"/>
      <c r="EOS108" s="9"/>
      <c r="EOT108" s="9"/>
      <c r="EOU108" s="9"/>
      <c r="EOV108" s="9"/>
      <c r="EOW108" s="9"/>
      <c r="EOX108" s="9"/>
      <c r="EOY108" s="9"/>
      <c r="EOZ108" s="9"/>
      <c r="EPA108" s="9"/>
      <c r="EPB108" s="9"/>
      <c r="EPC108" s="9"/>
      <c r="EPD108" s="9"/>
      <c r="EPE108" s="9"/>
      <c r="EPF108" s="9"/>
      <c r="EPG108" s="9"/>
      <c r="EPH108" s="9"/>
      <c r="EPI108" s="9"/>
      <c r="EPJ108" s="9"/>
      <c r="EPK108" s="9"/>
      <c r="EPL108" s="9"/>
      <c r="EPM108" s="9"/>
      <c r="EPN108" s="9"/>
      <c r="EPO108" s="9"/>
      <c r="EPP108" s="9"/>
      <c r="EPQ108" s="9"/>
      <c r="EPR108" s="9"/>
      <c r="EPS108" s="9"/>
      <c r="EPT108" s="9"/>
      <c r="EPU108" s="9"/>
      <c r="EPV108" s="9"/>
      <c r="EPW108" s="9"/>
      <c r="EPX108" s="9"/>
      <c r="EPY108" s="9"/>
      <c r="EPZ108" s="9"/>
      <c r="EQA108" s="9"/>
      <c r="EQB108" s="9"/>
      <c r="EQC108" s="9"/>
      <c r="EQD108" s="9"/>
      <c r="EQE108" s="9"/>
      <c r="EQF108" s="9"/>
      <c r="EQG108" s="9"/>
      <c r="EQH108" s="9"/>
      <c r="EQI108" s="9"/>
      <c r="EQJ108" s="9"/>
      <c r="EQK108" s="9"/>
      <c r="EQL108" s="9"/>
      <c r="EQM108" s="9"/>
      <c r="EQN108" s="9"/>
      <c r="EQO108" s="9"/>
      <c r="EQP108" s="9"/>
      <c r="EQQ108" s="9"/>
      <c r="EQR108" s="9"/>
      <c r="EQS108" s="9"/>
      <c r="EQT108" s="9"/>
      <c r="EQU108" s="9"/>
      <c r="EQV108" s="9"/>
      <c r="EQW108" s="9"/>
      <c r="EQX108" s="9"/>
      <c r="EQY108" s="9"/>
      <c r="EQZ108" s="9"/>
      <c r="ERA108" s="9"/>
      <c r="ERB108" s="9"/>
      <c r="ERC108" s="9"/>
      <c r="ERD108" s="9"/>
      <c r="ERE108" s="9"/>
      <c r="ERF108" s="9"/>
      <c r="ERG108" s="9"/>
      <c r="ERH108" s="9"/>
      <c r="ERI108" s="9"/>
      <c r="ERJ108" s="9"/>
      <c r="ERK108" s="9"/>
      <c r="ERL108" s="9"/>
      <c r="ERM108" s="9"/>
      <c r="ERN108" s="9"/>
      <c r="ERO108" s="9"/>
      <c r="ERP108" s="9"/>
      <c r="ERQ108" s="9"/>
      <c r="ERR108" s="9"/>
      <c r="ERS108" s="9"/>
      <c r="ERT108" s="9"/>
      <c r="ERU108" s="9"/>
      <c r="ERV108" s="9"/>
      <c r="ERW108" s="9"/>
      <c r="ERX108" s="9"/>
      <c r="ERY108" s="9"/>
      <c r="ERZ108" s="9"/>
      <c r="ESA108" s="9"/>
      <c r="ESB108" s="9"/>
      <c r="ESC108" s="9"/>
      <c r="ESD108" s="9"/>
      <c r="ESE108" s="9"/>
      <c r="ESF108" s="9"/>
      <c r="ESG108" s="9"/>
      <c r="ESH108" s="9"/>
      <c r="ESI108" s="9"/>
      <c r="ESJ108" s="9"/>
      <c r="ESK108" s="9"/>
      <c r="ESL108" s="9"/>
      <c r="ESM108" s="9"/>
      <c r="ESN108" s="9"/>
      <c r="ESO108" s="9"/>
      <c r="ESP108" s="9"/>
      <c r="ESQ108" s="9"/>
      <c r="ESR108" s="9"/>
      <c r="ESS108" s="9"/>
      <c r="EST108" s="9"/>
      <c r="ESU108" s="9"/>
      <c r="ESV108" s="9"/>
      <c r="ESW108" s="9"/>
      <c r="ESX108" s="9"/>
      <c r="ESY108" s="9"/>
      <c r="ESZ108" s="9"/>
      <c r="ETA108" s="9"/>
      <c r="ETB108" s="9"/>
      <c r="ETC108" s="9"/>
      <c r="ETD108" s="9"/>
      <c r="ETE108" s="9"/>
      <c r="ETF108" s="9"/>
      <c r="ETG108" s="9"/>
      <c r="ETH108" s="9"/>
      <c r="ETI108" s="9"/>
      <c r="ETJ108" s="9"/>
      <c r="ETK108" s="9"/>
      <c r="ETL108" s="9"/>
      <c r="ETM108" s="9"/>
      <c r="ETN108" s="9"/>
      <c r="ETO108" s="9"/>
      <c r="ETP108" s="9"/>
      <c r="ETQ108" s="9"/>
      <c r="ETR108" s="9"/>
      <c r="ETS108" s="9"/>
      <c r="ETT108" s="9"/>
      <c r="ETU108" s="9"/>
      <c r="ETV108" s="9"/>
      <c r="ETW108" s="9"/>
      <c r="ETX108" s="9"/>
      <c r="ETY108" s="9"/>
      <c r="ETZ108" s="9"/>
      <c r="EUA108" s="9"/>
      <c r="EUB108" s="9"/>
      <c r="EUC108" s="9"/>
      <c r="EUD108" s="9"/>
      <c r="EUE108" s="9"/>
      <c r="EUF108" s="9"/>
      <c r="EUG108" s="9"/>
      <c r="EUH108" s="9"/>
      <c r="EUI108" s="9"/>
      <c r="EUJ108" s="9"/>
      <c r="EUK108" s="9"/>
      <c r="EUL108" s="9"/>
      <c r="EUM108" s="9"/>
      <c r="EUN108" s="9"/>
      <c r="EUO108" s="9"/>
      <c r="EUP108" s="9"/>
      <c r="EUQ108" s="9"/>
      <c r="EUR108" s="9"/>
      <c r="EUS108" s="9"/>
      <c r="EUT108" s="9"/>
      <c r="EUU108" s="9"/>
      <c r="EUV108" s="9"/>
      <c r="EUW108" s="9"/>
      <c r="EUX108" s="9"/>
      <c r="EUY108" s="9"/>
      <c r="EUZ108" s="9"/>
      <c r="EVA108" s="9"/>
      <c r="EVB108" s="9"/>
      <c r="EVC108" s="9"/>
      <c r="EVD108" s="9"/>
      <c r="EVE108" s="9"/>
      <c r="EVF108" s="9"/>
      <c r="EVG108" s="9"/>
      <c r="EVH108" s="9"/>
      <c r="EVI108" s="9"/>
      <c r="EVJ108" s="9"/>
      <c r="EVK108" s="9"/>
      <c r="EVL108" s="9"/>
      <c r="EVM108" s="9"/>
      <c r="EVN108" s="9"/>
      <c r="EVO108" s="9"/>
      <c r="EVP108" s="9"/>
      <c r="EVQ108" s="9"/>
      <c r="EVR108" s="9"/>
      <c r="EVS108" s="9"/>
      <c r="EVT108" s="9"/>
      <c r="EVU108" s="9"/>
      <c r="EVV108" s="9"/>
      <c r="EVW108" s="9"/>
      <c r="EVX108" s="9"/>
      <c r="EVY108" s="9"/>
      <c r="EVZ108" s="9"/>
      <c r="EWA108" s="9"/>
      <c r="EWB108" s="9"/>
      <c r="EWC108" s="9"/>
      <c r="EWD108" s="9"/>
      <c r="EWE108" s="9"/>
      <c r="EWF108" s="9"/>
      <c r="EWG108" s="9"/>
      <c r="EWH108" s="9"/>
      <c r="EWI108" s="9"/>
      <c r="EWJ108" s="9"/>
      <c r="EWK108" s="9"/>
      <c r="EWL108" s="9"/>
      <c r="EWM108" s="9"/>
      <c r="EWN108" s="9"/>
      <c r="EWO108" s="9"/>
      <c r="EWP108" s="9"/>
      <c r="EWQ108" s="9"/>
      <c r="EWR108" s="9"/>
      <c r="EWS108" s="9"/>
      <c r="EWT108" s="9"/>
      <c r="EWU108" s="9"/>
      <c r="EWV108" s="9"/>
      <c r="EWW108" s="9"/>
      <c r="EWX108" s="9"/>
      <c r="EWY108" s="9"/>
      <c r="EWZ108" s="9"/>
      <c r="EXA108" s="9"/>
      <c r="EXB108" s="9"/>
      <c r="EXC108" s="9"/>
      <c r="EXD108" s="9"/>
      <c r="EXE108" s="9"/>
      <c r="EXF108" s="9"/>
      <c r="EXG108" s="9"/>
      <c r="EXH108" s="9"/>
      <c r="EXI108" s="9"/>
      <c r="EXJ108" s="9"/>
      <c r="EXK108" s="9"/>
      <c r="EXL108" s="9"/>
      <c r="EXM108" s="9"/>
      <c r="EXN108" s="9"/>
      <c r="EXO108" s="9"/>
      <c r="EXP108" s="9"/>
      <c r="EXQ108" s="9"/>
      <c r="EXR108" s="9"/>
      <c r="EXS108" s="9"/>
      <c r="EXT108" s="9"/>
      <c r="EXU108" s="9"/>
      <c r="EXV108" s="9"/>
      <c r="EXW108" s="9"/>
      <c r="EXX108" s="9"/>
      <c r="EXY108" s="9"/>
      <c r="EXZ108" s="9"/>
      <c r="EYA108" s="9"/>
      <c r="EYB108" s="9"/>
      <c r="EYC108" s="9"/>
      <c r="EYD108" s="9"/>
      <c r="EYE108" s="9"/>
      <c r="EYF108" s="9"/>
      <c r="EYG108" s="9"/>
      <c r="EYH108" s="9"/>
      <c r="EYI108" s="9"/>
      <c r="EYJ108" s="9"/>
      <c r="EYK108" s="9"/>
      <c r="EYL108" s="9"/>
      <c r="EYM108" s="9"/>
      <c r="EYN108" s="9"/>
      <c r="EYO108" s="9"/>
      <c r="EYP108" s="9"/>
      <c r="EYQ108" s="9"/>
      <c r="EYR108" s="9"/>
      <c r="EYS108" s="9"/>
      <c r="EYT108" s="9"/>
      <c r="EYU108" s="9"/>
      <c r="EYV108" s="9"/>
      <c r="EYW108" s="9"/>
      <c r="EYX108" s="9"/>
      <c r="EYY108" s="9"/>
      <c r="EYZ108" s="9"/>
      <c r="EZA108" s="9"/>
      <c r="EZB108" s="9"/>
      <c r="EZC108" s="9"/>
      <c r="EZD108" s="9"/>
      <c r="EZE108" s="9"/>
      <c r="EZF108" s="9"/>
      <c r="EZG108" s="9"/>
      <c r="EZH108" s="9"/>
      <c r="EZI108" s="9"/>
      <c r="EZJ108" s="9"/>
      <c r="EZK108" s="9"/>
      <c r="EZL108" s="9"/>
      <c r="EZM108" s="9"/>
      <c r="EZN108" s="9"/>
      <c r="EZO108" s="9"/>
      <c r="EZP108" s="9"/>
      <c r="EZQ108" s="9"/>
      <c r="EZR108" s="9"/>
      <c r="EZS108" s="9"/>
      <c r="EZT108" s="9"/>
      <c r="EZU108" s="9"/>
      <c r="EZV108" s="9"/>
      <c r="EZW108" s="9"/>
      <c r="EZX108" s="9"/>
      <c r="EZY108" s="9"/>
      <c r="EZZ108" s="9"/>
      <c r="FAA108" s="9"/>
      <c r="FAB108" s="9"/>
      <c r="FAC108" s="9"/>
      <c r="FAD108" s="9"/>
      <c r="FAE108" s="9"/>
      <c r="FAF108" s="9"/>
      <c r="FAG108" s="9"/>
      <c r="FAH108" s="9"/>
      <c r="FAI108" s="9"/>
      <c r="FAJ108" s="9"/>
      <c r="FAK108" s="9"/>
      <c r="FAL108" s="9"/>
      <c r="FAM108" s="9"/>
      <c r="FAN108" s="9"/>
      <c r="FAO108" s="9"/>
      <c r="FAP108" s="9"/>
      <c r="FAQ108" s="9"/>
      <c r="FAR108" s="9"/>
      <c r="FAS108" s="9"/>
      <c r="FAT108" s="9"/>
      <c r="FAU108" s="9"/>
      <c r="FAV108" s="9"/>
      <c r="FAW108" s="9"/>
      <c r="FAX108" s="9"/>
      <c r="FAY108" s="9"/>
      <c r="FAZ108" s="9"/>
      <c r="FBA108" s="9"/>
      <c r="FBB108" s="9"/>
      <c r="FBC108" s="9"/>
      <c r="FBD108" s="9"/>
      <c r="FBE108" s="9"/>
      <c r="FBF108" s="9"/>
      <c r="FBG108" s="9"/>
      <c r="FBH108" s="9"/>
      <c r="FBI108" s="9"/>
      <c r="FBJ108" s="9"/>
      <c r="FBK108" s="9"/>
      <c r="FBL108" s="9"/>
      <c r="FBM108" s="9"/>
      <c r="FBN108" s="9"/>
      <c r="FBO108" s="9"/>
      <c r="FBP108" s="9"/>
      <c r="FBQ108" s="9"/>
      <c r="FBR108" s="9"/>
      <c r="FBS108" s="9"/>
      <c r="FBT108" s="9"/>
      <c r="FBU108" s="9"/>
      <c r="FBV108" s="9"/>
      <c r="FBW108" s="9"/>
      <c r="FBX108" s="9"/>
      <c r="FBY108" s="9"/>
      <c r="FBZ108" s="9"/>
      <c r="FCA108" s="9"/>
      <c r="FCB108" s="9"/>
      <c r="FCC108" s="9"/>
      <c r="FCD108" s="9"/>
      <c r="FCE108" s="9"/>
      <c r="FCF108" s="9"/>
      <c r="FCG108" s="9"/>
      <c r="FCH108" s="9"/>
      <c r="FCI108" s="9"/>
      <c r="FCJ108" s="9"/>
      <c r="FCK108" s="9"/>
      <c r="FCL108" s="9"/>
      <c r="FCM108" s="9"/>
      <c r="FCN108" s="9"/>
      <c r="FCO108" s="9"/>
      <c r="FCP108" s="9"/>
      <c r="FCQ108" s="9"/>
      <c r="FCR108" s="9"/>
      <c r="FCS108" s="9"/>
      <c r="FCT108" s="9"/>
      <c r="FCU108" s="9"/>
      <c r="FCV108" s="9"/>
      <c r="FCW108" s="9"/>
      <c r="FCX108" s="9"/>
      <c r="FCY108" s="9"/>
      <c r="FCZ108" s="9"/>
      <c r="FDA108" s="9"/>
      <c r="FDB108" s="9"/>
      <c r="FDC108" s="9"/>
      <c r="FDD108" s="9"/>
      <c r="FDE108" s="9"/>
      <c r="FDF108" s="9"/>
      <c r="FDG108" s="9"/>
      <c r="FDH108" s="9"/>
      <c r="FDI108" s="9"/>
      <c r="FDJ108" s="9"/>
      <c r="FDK108" s="9"/>
      <c r="FDL108" s="9"/>
      <c r="FDM108" s="9"/>
      <c r="FDN108" s="9"/>
      <c r="FDO108" s="9"/>
      <c r="FDP108" s="9"/>
      <c r="FDQ108" s="9"/>
      <c r="FDR108" s="9"/>
      <c r="FDS108" s="9"/>
      <c r="FDT108" s="9"/>
      <c r="FDU108" s="9"/>
      <c r="FDV108" s="9"/>
      <c r="FDW108" s="9"/>
      <c r="FDX108" s="9"/>
      <c r="FDY108" s="9"/>
      <c r="FDZ108" s="9"/>
      <c r="FEA108" s="9"/>
      <c r="FEB108" s="9"/>
      <c r="FEC108" s="9"/>
      <c r="FED108" s="9"/>
      <c r="FEE108" s="9"/>
      <c r="FEF108" s="9"/>
      <c r="FEG108" s="9"/>
      <c r="FEH108" s="9"/>
      <c r="FEI108" s="9"/>
      <c r="FEJ108" s="9"/>
      <c r="FEK108" s="9"/>
      <c r="FEL108" s="9"/>
      <c r="FEM108" s="9"/>
      <c r="FEN108" s="9"/>
      <c r="FEO108" s="9"/>
      <c r="FEP108" s="9"/>
      <c r="FEQ108" s="9"/>
      <c r="FER108" s="9"/>
      <c r="FES108" s="9"/>
      <c r="FET108" s="9"/>
      <c r="FEU108" s="9"/>
      <c r="FEV108" s="9"/>
      <c r="FEW108" s="9"/>
      <c r="FEX108" s="9"/>
      <c r="FEY108" s="9"/>
      <c r="FEZ108" s="9"/>
      <c r="FFA108" s="9"/>
      <c r="FFB108" s="9"/>
      <c r="FFC108" s="9"/>
      <c r="FFD108" s="9"/>
      <c r="FFE108" s="9"/>
      <c r="FFF108" s="9"/>
      <c r="FFG108" s="9"/>
      <c r="FFH108" s="9"/>
      <c r="FFI108" s="9"/>
      <c r="FFJ108" s="9"/>
      <c r="FFK108" s="9"/>
      <c r="FFL108" s="9"/>
      <c r="FFM108" s="9"/>
      <c r="FFN108" s="9"/>
      <c r="FFO108" s="9"/>
      <c r="FFP108" s="9"/>
      <c r="FFQ108" s="9"/>
      <c r="FFR108" s="9"/>
      <c r="FFS108" s="9"/>
      <c r="FFT108" s="9"/>
      <c r="FFU108" s="9"/>
      <c r="FFV108" s="9"/>
      <c r="FFW108" s="9"/>
      <c r="FFX108" s="9"/>
      <c r="FFY108" s="9"/>
      <c r="FFZ108" s="9"/>
      <c r="FGA108" s="9"/>
      <c r="FGB108" s="9"/>
      <c r="FGC108" s="9"/>
      <c r="FGD108" s="9"/>
      <c r="FGE108" s="9"/>
      <c r="FGF108" s="9"/>
      <c r="FGG108" s="9"/>
      <c r="FGH108" s="9"/>
      <c r="FGI108" s="9"/>
      <c r="FGJ108" s="9"/>
      <c r="FGK108" s="9"/>
      <c r="FGL108" s="9"/>
      <c r="FGM108" s="9"/>
      <c r="FGN108" s="9"/>
      <c r="FGO108" s="9"/>
      <c r="FGP108" s="9"/>
      <c r="FGQ108" s="9"/>
      <c r="FGR108" s="9"/>
      <c r="FGS108" s="9"/>
      <c r="FGT108" s="9"/>
      <c r="FGU108" s="9"/>
      <c r="FGV108" s="9"/>
      <c r="FGW108" s="9"/>
      <c r="FGX108" s="9"/>
      <c r="FGY108" s="9"/>
      <c r="FGZ108" s="9"/>
      <c r="FHA108" s="9"/>
      <c r="FHB108" s="9"/>
      <c r="FHC108" s="9"/>
      <c r="FHD108" s="9"/>
      <c r="FHE108" s="9"/>
      <c r="FHF108" s="9"/>
      <c r="FHG108" s="9"/>
      <c r="FHH108" s="9"/>
      <c r="FHI108" s="9"/>
      <c r="FHJ108" s="9"/>
      <c r="FHK108" s="9"/>
      <c r="FHL108" s="9"/>
      <c r="FHM108" s="9"/>
      <c r="FHN108" s="9"/>
      <c r="FHO108" s="9"/>
      <c r="FHP108" s="9"/>
      <c r="FHQ108" s="9"/>
      <c r="FHR108" s="9"/>
      <c r="FHS108" s="9"/>
      <c r="FHT108" s="9"/>
      <c r="FHU108" s="9"/>
      <c r="FHV108" s="9"/>
      <c r="FHW108" s="9"/>
      <c r="FHX108" s="9"/>
      <c r="FHY108" s="9"/>
      <c r="FHZ108" s="9"/>
      <c r="FIA108" s="9"/>
      <c r="FIB108" s="9"/>
      <c r="FIC108" s="9"/>
      <c r="FID108" s="9"/>
      <c r="FIE108" s="9"/>
      <c r="FIF108" s="9"/>
      <c r="FIG108" s="9"/>
      <c r="FIH108" s="9"/>
      <c r="FII108" s="9"/>
      <c r="FIJ108" s="9"/>
      <c r="FIK108" s="9"/>
      <c r="FIL108" s="9"/>
      <c r="FIM108" s="9"/>
      <c r="FIN108" s="9"/>
      <c r="FIO108" s="9"/>
      <c r="FIP108" s="9"/>
      <c r="FIQ108" s="9"/>
      <c r="FIR108" s="9"/>
      <c r="FIS108" s="9"/>
      <c r="FIT108" s="9"/>
      <c r="FIU108" s="9"/>
      <c r="FIV108" s="9"/>
      <c r="FIW108" s="9"/>
      <c r="FIX108" s="9"/>
      <c r="FIY108" s="9"/>
      <c r="FIZ108" s="9"/>
      <c r="FJA108" s="9"/>
      <c r="FJB108" s="9"/>
      <c r="FJC108" s="9"/>
      <c r="FJD108" s="9"/>
      <c r="FJE108" s="9"/>
      <c r="FJF108" s="9"/>
      <c r="FJG108" s="9"/>
      <c r="FJH108" s="9"/>
      <c r="FJI108" s="9"/>
      <c r="FJJ108" s="9"/>
      <c r="FJK108" s="9"/>
      <c r="FJL108" s="9"/>
      <c r="FJM108" s="9"/>
      <c r="FJN108" s="9"/>
      <c r="FJO108" s="9"/>
      <c r="FJP108" s="9"/>
      <c r="FJQ108" s="9"/>
      <c r="FJR108" s="9"/>
      <c r="FJS108" s="9"/>
      <c r="FJT108" s="9"/>
      <c r="FJU108" s="9"/>
      <c r="FJV108" s="9"/>
      <c r="FJW108" s="9"/>
      <c r="FJX108" s="9"/>
      <c r="FJY108" s="9"/>
      <c r="FJZ108" s="9"/>
      <c r="FKA108" s="9"/>
      <c r="FKB108" s="9"/>
      <c r="FKC108" s="9"/>
      <c r="FKD108" s="9"/>
      <c r="FKE108" s="9"/>
      <c r="FKF108" s="9"/>
      <c r="FKG108" s="9"/>
      <c r="FKH108" s="9"/>
      <c r="FKI108" s="9"/>
      <c r="FKJ108" s="9"/>
      <c r="FKK108" s="9"/>
      <c r="FKL108" s="9"/>
      <c r="FKM108" s="9"/>
      <c r="FKN108" s="9"/>
      <c r="FKO108" s="9"/>
      <c r="FKP108" s="9"/>
      <c r="FKQ108" s="9"/>
      <c r="FKR108" s="9"/>
      <c r="FKS108" s="9"/>
      <c r="FKT108" s="9"/>
      <c r="FKU108" s="9"/>
      <c r="FKV108" s="9"/>
      <c r="FKW108" s="9"/>
      <c r="FKX108" s="9"/>
      <c r="FKY108" s="9"/>
      <c r="FKZ108" s="9"/>
      <c r="FLA108" s="9"/>
      <c r="FLB108" s="9"/>
      <c r="FLC108" s="9"/>
      <c r="FLD108" s="9"/>
      <c r="FLE108" s="9"/>
      <c r="FLF108" s="9"/>
      <c r="FLG108" s="9"/>
      <c r="FLH108" s="9"/>
      <c r="FLI108" s="9"/>
      <c r="FLJ108" s="9"/>
      <c r="FLK108" s="9"/>
      <c r="FLL108" s="9"/>
      <c r="FLM108" s="9"/>
      <c r="FLN108" s="9"/>
      <c r="FLO108" s="9"/>
      <c r="FLP108" s="9"/>
      <c r="FLQ108" s="9"/>
      <c r="FLR108" s="9"/>
      <c r="FLS108" s="9"/>
      <c r="FLT108" s="9"/>
      <c r="FLU108" s="9"/>
      <c r="FLV108" s="9"/>
      <c r="FLW108" s="9"/>
      <c r="FLX108" s="9"/>
      <c r="FLY108" s="9"/>
      <c r="FLZ108" s="9"/>
      <c r="FMA108" s="9"/>
      <c r="FMB108" s="9"/>
      <c r="FMC108" s="9"/>
      <c r="FMD108" s="9"/>
      <c r="FME108" s="9"/>
      <c r="FMF108" s="9"/>
      <c r="FMG108" s="9"/>
      <c r="FMH108" s="9"/>
      <c r="FMI108" s="9"/>
      <c r="FMJ108" s="9"/>
      <c r="FMK108" s="9"/>
      <c r="FML108" s="9"/>
      <c r="FMM108" s="9"/>
      <c r="FMN108" s="9"/>
      <c r="FMO108" s="9"/>
      <c r="FMP108" s="9"/>
      <c r="FMQ108" s="9"/>
      <c r="FMR108" s="9"/>
      <c r="FMS108" s="9"/>
      <c r="FMT108" s="9"/>
      <c r="FMU108" s="9"/>
      <c r="FMV108" s="9"/>
      <c r="FMW108" s="9"/>
      <c r="FMX108" s="9"/>
      <c r="FMY108" s="9"/>
      <c r="FMZ108" s="9"/>
      <c r="FNA108" s="9"/>
      <c r="FNB108" s="9"/>
      <c r="FNC108" s="9"/>
      <c r="FND108" s="9"/>
      <c r="FNE108" s="9"/>
      <c r="FNF108" s="9"/>
      <c r="FNG108" s="9"/>
      <c r="FNH108" s="9"/>
      <c r="FNI108" s="9"/>
      <c r="FNJ108" s="9"/>
      <c r="FNK108" s="9"/>
      <c r="FNL108" s="9"/>
      <c r="FNM108" s="9"/>
      <c r="FNN108" s="9"/>
      <c r="FNO108" s="9"/>
      <c r="FNP108" s="9"/>
      <c r="FNQ108" s="9"/>
      <c r="FNR108" s="9"/>
      <c r="FNS108" s="9"/>
      <c r="FNT108" s="9"/>
      <c r="FNU108" s="9"/>
      <c r="FNV108" s="9"/>
      <c r="FNW108" s="9"/>
      <c r="FNX108" s="9"/>
      <c r="FNY108" s="9"/>
      <c r="FNZ108" s="9"/>
      <c r="FOA108" s="9"/>
      <c r="FOB108" s="9"/>
      <c r="FOC108" s="9"/>
      <c r="FOD108" s="9"/>
      <c r="FOE108" s="9"/>
      <c r="FOF108" s="9"/>
      <c r="FOG108" s="9"/>
      <c r="FOH108" s="9"/>
      <c r="FOI108" s="9"/>
      <c r="FOJ108" s="9"/>
      <c r="FOK108" s="9"/>
      <c r="FOL108" s="9"/>
      <c r="FOM108" s="9"/>
      <c r="FON108" s="9"/>
      <c r="FOO108" s="9"/>
      <c r="FOP108" s="9"/>
      <c r="FOQ108" s="9"/>
      <c r="FOR108" s="9"/>
      <c r="FOS108" s="9"/>
      <c r="FOT108" s="9"/>
      <c r="FOU108" s="9"/>
      <c r="FOV108" s="9"/>
      <c r="FOW108" s="9"/>
      <c r="FOX108" s="9"/>
      <c r="FOY108" s="9"/>
      <c r="FOZ108" s="9"/>
      <c r="FPA108" s="9"/>
      <c r="FPB108" s="9"/>
      <c r="FPC108" s="9"/>
      <c r="FPD108" s="9"/>
      <c r="FPE108" s="9"/>
      <c r="FPF108" s="9"/>
      <c r="FPG108" s="9"/>
      <c r="FPH108" s="9"/>
      <c r="FPI108" s="9"/>
      <c r="FPJ108" s="9"/>
      <c r="FPK108" s="9"/>
      <c r="FPL108" s="9"/>
      <c r="FPM108" s="9"/>
      <c r="FPN108" s="9"/>
      <c r="FPO108" s="9"/>
      <c r="FPP108" s="9"/>
      <c r="FPQ108" s="9"/>
      <c r="FPR108" s="9"/>
      <c r="FPS108" s="9"/>
      <c r="FPT108" s="9"/>
      <c r="FPU108" s="9"/>
      <c r="FPV108" s="9"/>
      <c r="FPW108" s="9"/>
      <c r="FPX108" s="9"/>
      <c r="FPY108" s="9"/>
      <c r="FPZ108" s="9"/>
      <c r="FQA108" s="9"/>
      <c r="FQB108" s="9"/>
      <c r="FQC108" s="9"/>
      <c r="FQD108" s="9"/>
      <c r="FQE108" s="9"/>
      <c r="FQF108" s="9"/>
      <c r="FQG108" s="9"/>
      <c r="FQH108" s="9"/>
      <c r="FQI108" s="9"/>
      <c r="FQJ108" s="9"/>
      <c r="FQK108" s="9"/>
      <c r="FQL108" s="9"/>
      <c r="FQM108" s="9"/>
      <c r="FQN108" s="9"/>
      <c r="FQO108" s="9"/>
      <c r="FQP108" s="9"/>
      <c r="FQQ108" s="9"/>
      <c r="FQR108" s="9"/>
      <c r="FQS108" s="9"/>
      <c r="FQT108" s="9"/>
      <c r="FQU108" s="9"/>
      <c r="FQV108" s="9"/>
      <c r="FQW108" s="9"/>
      <c r="FQX108" s="9"/>
      <c r="FQY108" s="9"/>
      <c r="FQZ108" s="9"/>
      <c r="FRA108" s="9"/>
      <c r="FRB108" s="9"/>
      <c r="FRC108" s="9"/>
      <c r="FRD108" s="9"/>
      <c r="FRE108" s="9"/>
      <c r="FRF108" s="9"/>
      <c r="FRG108" s="9"/>
      <c r="FRH108" s="9"/>
      <c r="FRI108" s="9"/>
      <c r="FRJ108" s="9"/>
      <c r="FRK108" s="9"/>
      <c r="FRL108" s="9"/>
      <c r="FRM108" s="9"/>
      <c r="FRN108" s="9"/>
      <c r="FRO108" s="9"/>
      <c r="FRP108" s="9"/>
      <c r="FRQ108" s="9"/>
      <c r="FRR108" s="9"/>
      <c r="FRS108" s="9"/>
      <c r="FRT108" s="9"/>
      <c r="FRU108" s="9"/>
      <c r="FRV108" s="9"/>
      <c r="FRW108" s="9"/>
      <c r="FRX108" s="9"/>
      <c r="FRY108" s="9"/>
      <c r="FRZ108" s="9"/>
      <c r="FSA108" s="9"/>
      <c r="FSB108" s="9"/>
      <c r="FSC108" s="9"/>
      <c r="FSD108" s="9"/>
      <c r="FSE108" s="9"/>
      <c r="FSF108" s="9"/>
      <c r="FSG108" s="9"/>
      <c r="FSH108" s="9"/>
      <c r="FSI108" s="9"/>
      <c r="FSJ108" s="9"/>
      <c r="FSK108" s="9"/>
      <c r="FSL108" s="9"/>
      <c r="FSM108" s="9"/>
      <c r="FSN108" s="9"/>
      <c r="FSO108" s="9"/>
      <c r="FSP108" s="9"/>
      <c r="FSQ108" s="9"/>
      <c r="FSR108" s="9"/>
      <c r="FSS108" s="9"/>
      <c r="FST108" s="9"/>
      <c r="FSU108" s="9"/>
      <c r="FSV108" s="9"/>
      <c r="FSW108" s="9"/>
      <c r="FSX108" s="9"/>
      <c r="FSY108" s="9"/>
      <c r="FSZ108" s="9"/>
      <c r="FTA108" s="9"/>
      <c r="FTB108" s="9"/>
      <c r="FTC108" s="9"/>
      <c r="FTD108" s="9"/>
      <c r="FTE108" s="9"/>
      <c r="FTF108" s="9"/>
      <c r="FTG108" s="9"/>
      <c r="FTH108" s="9"/>
      <c r="FTI108" s="9"/>
      <c r="FTJ108" s="9"/>
      <c r="FTK108" s="9"/>
      <c r="FTL108" s="9"/>
      <c r="FTM108" s="9"/>
      <c r="FTN108" s="9"/>
      <c r="FTO108" s="9"/>
      <c r="FTP108" s="9"/>
      <c r="FTQ108" s="9"/>
      <c r="FTR108" s="9"/>
      <c r="FTS108" s="9"/>
      <c r="FTT108" s="9"/>
      <c r="FTU108" s="9"/>
      <c r="FTV108" s="9"/>
      <c r="FTW108" s="9"/>
      <c r="FTX108" s="9"/>
      <c r="FTY108" s="9"/>
      <c r="FTZ108" s="9"/>
      <c r="FUA108" s="9"/>
      <c r="FUB108" s="9"/>
      <c r="FUC108" s="9"/>
      <c r="FUD108" s="9"/>
      <c r="FUE108" s="9"/>
      <c r="FUF108" s="9"/>
      <c r="FUG108" s="9"/>
      <c r="FUH108" s="9"/>
      <c r="FUI108" s="9"/>
      <c r="FUJ108" s="9"/>
      <c r="FUK108" s="9"/>
      <c r="FUL108" s="9"/>
      <c r="FUM108" s="9"/>
      <c r="FUN108" s="9"/>
      <c r="FUO108" s="9"/>
      <c r="FUP108" s="9"/>
      <c r="FUQ108" s="9"/>
      <c r="FUR108" s="9"/>
      <c r="FUS108" s="9"/>
      <c r="FUT108" s="9"/>
      <c r="FUU108" s="9"/>
      <c r="FUV108" s="9"/>
      <c r="FUW108" s="9"/>
      <c r="FUX108" s="9"/>
      <c r="FUY108" s="9"/>
      <c r="FUZ108" s="9"/>
      <c r="FVA108" s="9"/>
      <c r="FVB108" s="9"/>
      <c r="FVC108" s="9"/>
      <c r="FVD108" s="9"/>
      <c r="FVE108" s="9"/>
      <c r="FVF108" s="9"/>
      <c r="FVG108" s="9"/>
      <c r="FVH108" s="9"/>
      <c r="FVI108" s="9"/>
      <c r="FVJ108" s="9"/>
      <c r="FVK108" s="9"/>
      <c r="FVL108" s="9"/>
      <c r="FVM108" s="9"/>
      <c r="FVN108" s="9"/>
      <c r="FVO108" s="9"/>
      <c r="FVP108" s="9"/>
      <c r="FVQ108" s="9"/>
      <c r="FVR108" s="9"/>
      <c r="FVS108" s="9"/>
      <c r="FVT108" s="9"/>
      <c r="FVU108" s="9"/>
      <c r="FVV108" s="9"/>
      <c r="FVW108" s="9"/>
      <c r="FVX108" s="9"/>
      <c r="FVY108" s="9"/>
      <c r="FVZ108" s="9"/>
      <c r="FWA108" s="9"/>
      <c r="FWB108" s="9"/>
      <c r="FWC108" s="9"/>
      <c r="FWD108" s="9"/>
      <c r="FWE108" s="9"/>
      <c r="FWF108" s="9"/>
      <c r="FWG108" s="9"/>
      <c r="FWH108" s="9"/>
      <c r="FWI108" s="9"/>
      <c r="FWJ108" s="9"/>
      <c r="FWK108" s="9"/>
      <c r="FWL108" s="9"/>
      <c r="FWM108" s="9"/>
      <c r="FWN108" s="9"/>
      <c r="FWO108" s="9"/>
      <c r="FWP108" s="9"/>
      <c r="FWQ108" s="9"/>
      <c r="FWR108" s="9"/>
      <c r="FWS108" s="9"/>
      <c r="FWT108" s="9"/>
      <c r="FWU108" s="9"/>
      <c r="FWV108" s="9"/>
      <c r="FWW108" s="9"/>
      <c r="FWX108" s="9"/>
      <c r="FWY108" s="9"/>
      <c r="FWZ108" s="9"/>
      <c r="FXA108" s="9"/>
      <c r="FXB108" s="9"/>
      <c r="FXC108" s="9"/>
      <c r="FXD108" s="9"/>
      <c r="FXE108" s="9"/>
      <c r="FXF108" s="9"/>
      <c r="FXG108" s="9"/>
      <c r="FXH108" s="9"/>
      <c r="FXI108" s="9"/>
      <c r="FXJ108" s="9"/>
      <c r="FXK108" s="9"/>
      <c r="FXL108" s="9"/>
      <c r="FXM108" s="9"/>
      <c r="FXN108" s="9"/>
      <c r="FXO108" s="9"/>
      <c r="FXP108" s="9"/>
      <c r="FXQ108" s="9"/>
      <c r="FXR108" s="9"/>
      <c r="FXS108" s="9"/>
      <c r="FXT108" s="9"/>
      <c r="FXU108" s="9"/>
      <c r="FXV108" s="9"/>
      <c r="FXW108" s="9"/>
      <c r="FXX108" s="9"/>
      <c r="FXY108" s="9"/>
      <c r="FXZ108" s="9"/>
      <c r="FYA108" s="9"/>
      <c r="FYB108" s="9"/>
      <c r="FYC108" s="9"/>
      <c r="FYD108" s="9"/>
      <c r="FYE108" s="9"/>
      <c r="FYF108" s="9"/>
      <c r="FYG108" s="9"/>
      <c r="FYH108" s="9"/>
      <c r="FYI108" s="9"/>
      <c r="FYJ108" s="9"/>
      <c r="FYK108" s="9"/>
      <c r="FYL108" s="9"/>
      <c r="FYM108" s="9"/>
      <c r="FYN108" s="9"/>
      <c r="FYO108" s="9"/>
      <c r="FYP108" s="9"/>
      <c r="FYQ108" s="9"/>
      <c r="FYR108" s="9"/>
      <c r="FYS108" s="9"/>
      <c r="FYT108" s="9"/>
      <c r="FYU108" s="9"/>
      <c r="FYV108" s="9"/>
      <c r="FYW108" s="9"/>
      <c r="FYX108" s="9"/>
      <c r="FYY108" s="9"/>
      <c r="FYZ108" s="9"/>
      <c r="FZA108" s="9"/>
      <c r="FZB108" s="9"/>
      <c r="FZC108" s="9"/>
      <c r="FZD108" s="9"/>
      <c r="FZE108" s="9"/>
      <c r="FZF108" s="9"/>
      <c r="FZG108" s="9"/>
      <c r="FZH108" s="9"/>
      <c r="FZI108" s="9"/>
      <c r="FZJ108" s="9"/>
      <c r="FZK108" s="9"/>
      <c r="FZL108" s="9"/>
      <c r="FZM108" s="9"/>
      <c r="FZN108" s="9"/>
      <c r="FZO108" s="9"/>
      <c r="FZP108" s="9"/>
      <c r="FZQ108" s="9"/>
      <c r="FZR108" s="9"/>
      <c r="FZS108" s="9"/>
      <c r="FZT108" s="9"/>
      <c r="FZU108" s="9"/>
      <c r="FZV108" s="9"/>
      <c r="FZW108" s="9"/>
      <c r="FZX108" s="9"/>
      <c r="FZY108" s="9"/>
      <c r="FZZ108" s="9"/>
      <c r="GAA108" s="9"/>
      <c r="GAB108" s="9"/>
      <c r="GAC108" s="9"/>
      <c r="GAD108" s="9"/>
      <c r="GAE108" s="9"/>
      <c r="GAF108" s="9"/>
      <c r="GAG108" s="9"/>
      <c r="GAH108" s="9"/>
      <c r="GAI108" s="9"/>
      <c r="GAJ108" s="9"/>
      <c r="GAK108" s="9"/>
      <c r="GAL108" s="9"/>
      <c r="GAM108" s="9"/>
      <c r="GAN108" s="9"/>
      <c r="GAO108" s="9"/>
      <c r="GAP108" s="9"/>
      <c r="GAQ108" s="9"/>
      <c r="GAR108" s="9"/>
      <c r="GAS108" s="9"/>
      <c r="GAT108" s="9"/>
      <c r="GAU108" s="9"/>
      <c r="GAV108" s="9"/>
      <c r="GAW108" s="9"/>
      <c r="GAX108" s="9"/>
      <c r="GAY108" s="9"/>
      <c r="GAZ108" s="9"/>
      <c r="GBA108" s="9"/>
      <c r="GBB108" s="9"/>
      <c r="GBC108" s="9"/>
      <c r="GBD108" s="9"/>
      <c r="GBE108" s="9"/>
      <c r="GBF108" s="9"/>
      <c r="GBG108" s="9"/>
      <c r="GBH108" s="9"/>
      <c r="GBI108" s="9"/>
      <c r="GBJ108" s="9"/>
      <c r="GBK108" s="9"/>
      <c r="GBL108" s="9"/>
      <c r="GBM108" s="9"/>
      <c r="GBN108" s="9"/>
      <c r="GBO108" s="9"/>
      <c r="GBP108" s="9"/>
      <c r="GBQ108" s="9"/>
      <c r="GBR108" s="9"/>
      <c r="GBS108" s="9"/>
      <c r="GBT108" s="9"/>
      <c r="GBU108" s="9"/>
      <c r="GBV108" s="9"/>
      <c r="GBW108" s="9"/>
      <c r="GBX108" s="9"/>
      <c r="GBY108" s="9"/>
      <c r="GBZ108" s="9"/>
      <c r="GCA108" s="9"/>
      <c r="GCB108" s="9"/>
      <c r="GCC108" s="9"/>
      <c r="GCD108" s="9"/>
      <c r="GCE108" s="9"/>
      <c r="GCF108" s="9"/>
      <c r="GCG108" s="9"/>
      <c r="GCH108" s="9"/>
      <c r="GCI108" s="9"/>
      <c r="GCJ108" s="9"/>
      <c r="GCK108" s="9"/>
      <c r="GCL108" s="9"/>
      <c r="GCM108" s="9"/>
      <c r="GCN108" s="9"/>
      <c r="GCO108" s="9"/>
      <c r="GCP108" s="9"/>
      <c r="GCQ108" s="9"/>
      <c r="GCR108" s="9"/>
      <c r="GCS108" s="9"/>
      <c r="GCT108" s="9"/>
      <c r="GCU108" s="9"/>
      <c r="GCV108" s="9"/>
      <c r="GCW108" s="9"/>
      <c r="GCX108" s="9"/>
      <c r="GCY108" s="9"/>
      <c r="GCZ108" s="9"/>
      <c r="GDA108" s="9"/>
      <c r="GDB108" s="9"/>
      <c r="GDC108" s="9"/>
      <c r="GDD108" s="9"/>
      <c r="GDE108" s="9"/>
      <c r="GDF108" s="9"/>
      <c r="GDG108" s="9"/>
      <c r="GDH108" s="9"/>
      <c r="GDI108" s="9"/>
      <c r="GDJ108" s="9"/>
      <c r="GDK108" s="9"/>
      <c r="GDL108" s="9"/>
      <c r="GDM108" s="9"/>
      <c r="GDN108" s="9"/>
      <c r="GDO108" s="9"/>
      <c r="GDP108" s="9"/>
      <c r="GDQ108" s="9"/>
      <c r="GDR108" s="9"/>
      <c r="GDS108" s="9"/>
      <c r="GDT108" s="9"/>
      <c r="GDU108" s="9"/>
      <c r="GDV108" s="9"/>
      <c r="GDW108" s="9"/>
      <c r="GDX108" s="9"/>
      <c r="GDY108" s="9"/>
      <c r="GDZ108" s="9"/>
      <c r="GEA108" s="9"/>
      <c r="GEB108" s="9"/>
      <c r="GEC108" s="9"/>
      <c r="GED108" s="9"/>
      <c r="GEE108" s="9"/>
      <c r="GEF108" s="9"/>
      <c r="GEG108" s="9"/>
      <c r="GEH108" s="9"/>
      <c r="GEI108" s="9"/>
      <c r="GEJ108" s="9"/>
      <c r="GEK108" s="9"/>
      <c r="GEL108" s="9"/>
      <c r="GEM108" s="9"/>
      <c r="GEN108" s="9"/>
      <c r="GEO108" s="9"/>
      <c r="GEP108" s="9"/>
      <c r="GEQ108" s="9"/>
      <c r="GER108" s="9"/>
      <c r="GES108" s="9"/>
      <c r="GET108" s="9"/>
      <c r="GEU108" s="9"/>
      <c r="GEV108" s="9"/>
      <c r="GEW108" s="9"/>
      <c r="GEX108" s="9"/>
      <c r="GEY108" s="9"/>
      <c r="GEZ108" s="9"/>
      <c r="GFA108" s="9"/>
      <c r="GFB108" s="9"/>
      <c r="GFC108" s="9"/>
      <c r="GFD108" s="9"/>
      <c r="GFE108" s="9"/>
      <c r="GFF108" s="9"/>
      <c r="GFG108" s="9"/>
      <c r="GFH108" s="9"/>
      <c r="GFI108" s="9"/>
      <c r="GFJ108" s="9"/>
      <c r="GFK108" s="9"/>
      <c r="GFL108" s="9"/>
      <c r="GFM108" s="9"/>
      <c r="GFN108" s="9"/>
      <c r="GFO108" s="9"/>
      <c r="GFP108" s="9"/>
      <c r="GFQ108" s="9"/>
      <c r="GFR108" s="9"/>
      <c r="GFS108" s="9"/>
      <c r="GFT108" s="9"/>
      <c r="GFU108" s="9"/>
      <c r="GFV108" s="9"/>
      <c r="GFW108" s="9"/>
      <c r="GFX108" s="9"/>
      <c r="GFY108" s="9"/>
      <c r="GFZ108" s="9"/>
      <c r="GGA108" s="9"/>
      <c r="GGB108" s="9"/>
      <c r="GGC108" s="9"/>
      <c r="GGD108" s="9"/>
      <c r="GGE108" s="9"/>
      <c r="GGF108" s="9"/>
      <c r="GGG108" s="9"/>
      <c r="GGH108" s="9"/>
      <c r="GGI108" s="9"/>
      <c r="GGJ108" s="9"/>
      <c r="GGK108" s="9"/>
      <c r="GGL108" s="9"/>
      <c r="GGM108" s="9"/>
      <c r="GGN108" s="9"/>
      <c r="GGO108" s="9"/>
      <c r="GGP108" s="9"/>
      <c r="GGQ108" s="9"/>
      <c r="GGR108" s="9"/>
      <c r="GGS108" s="9"/>
      <c r="GGT108" s="9"/>
      <c r="GGU108" s="9"/>
      <c r="GGV108" s="9"/>
      <c r="GGW108" s="9"/>
      <c r="GGX108" s="9"/>
      <c r="GGY108" s="9"/>
      <c r="GGZ108" s="9"/>
      <c r="GHA108" s="9"/>
      <c r="GHB108" s="9"/>
      <c r="GHC108" s="9"/>
      <c r="GHD108" s="9"/>
      <c r="GHE108" s="9"/>
      <c r="GHF108" s="9"/>
      <c r="GHG108" s="9"/>
      <c r="GHH108" s="9"/>
      <c r="GHI108" s="9"/>
      <c r="GHJ108" s="9"/>
      <c r="GHK108" s="9"/>
      <c r="GHL108" s="9"/>
      <c r="GHM108" s="9"/>
      <c r="GHN108" s="9"/>
      <c r="GHO108" s="9"/>
      <c r="GHP108" s="9"/>
      <c r="GHQ108" s="9"/>
      <c r="GHR108" s="9"/>
      <c r="GHS108" s="9"/>
      <c r="GHT108" s="9"/>
      <c r="GHU108" s="9"/>
      <c r="GHV108" s="9"/>
      <c r="GHW108" s="9"/>
      <c r="GHX108" s="9"/>
      <c r="GHY108" s="9"/>
      <c r="GHZ108" s="9"/>
      <c r="GIA108" s="9"/>
      <c r="GIB108" s="9"/>
      <c r="GIC108" s="9"/>
      <c r="GID108" s="9"/>
      <c r="GIE108" s="9"/>
      <c r="GIF108" s="9"/>
      <c r="GIG108" s="9"/>
      <c r="GIH108" s="9"/>
      <c r="GII108" s="9"/>
      <c r="GIJ108" s="9"/>
      <c r="GIK108" s="9"/>
      <c r="GIL108" s="9"/>
      <c r="GIM108" s="9"/>
      <c r="GIN108" s="9"/>
      <c r="GIO108" s="9"/>
      <c r="GIP108" s="9"/>
      <c r="GIQ108" s="9"/>
      <c r="GIR108" s="9"/>
      <c r="GIS108" s="9"/>
      <c r="GIT108" s="9"/>
      <c r="GIU108" s="9"/>
      <c r="GIV108" s="9"/>
      <c r="GIW108" s="9"/>
      <c r="GIX108" s="9"/>
      <c r="GIY108" s="9"/>
      <c r="GIZ108" s="9"/>
      <c r="GJA108" s="9"/>
      <c r="GJB108" s="9"/>
      <c r="GJC108" s="9"/>
      <c r="GJD108" s="9"/>
      <c r="GJE108" s="9"/>
      <c r="GJF108" s="9"/>
      <c r="GJG108" s="9"/>
      <c r="GJH108" s="9"/>
      <c r="GJI108" s="9"/>
      <c r="GJJ108" s="9"/>
      <c r="GJK108" s="9"/>
      <c r="GJL108" s="9"/>
      <c r="GJM108" s="9"/>
      <c r="GJN108" s="9"/>
      <c r="GJO108" s="9"/>
      <c r="GJP108" s="9"/>
      <c r="GJQ108" s="9"/>
      <c r="GJR108" s="9"/>
      <c r="GJS108" s="9"/>
      <c r="GJT108" s="9"/>
      <c r="GJU108" s="9"/>
      <c r="GJV108" s="9"/>
      <c r="GJW108" s="9"/>
      <c r="GJX108" s="9"/>
      <c r="GJY108" s="9"/>
      <c r="GJZ108" s="9"/>
      <c r="GKA108" s="9"/>
      <c r="GKB108" s="9"/>
      <c r="GKC108" s="9"/>
      <c r="GKD108" s="9"/>
      <c r="GKE108" s="9"/>
      <c r="GKF108" s="9"/>
      <c r="GKG108" s="9"/>
      <c r="GKH108" s="9"/>
      <c r="GKI108" s="9"/>
      <c r="GKJ108" s="9"/>
      <c r="GKK108" s="9"/>
      <c r="GKL108" s="9"/>
      <c r="GKM108" s="9"/>
      <c r="GKN108" s="9"/>
      <c r="GKO108" s="9"/>
      <c r="GKP108" s="9"/>
      <c r="GKQ108" s="9"/>
      <c r="GKR108" s="9"/>
      <c r="GKS108" s="9"/>
      <c r="GKT108" s="9"/>
      <c r="GKU108" s="9"/>
      <c r="GKV108" s="9"/>
      <c r="GKW108" s="9"/>
      <c r="GKX108" s="9"/>
      <c r="GKY108" s="9"/>
      <c r="GKZ108" s="9"/>
      <c r="GLA108" s="9"/>
      <c r="GLB108" s="9"/>
      <c r="GLC108" s="9"/>
      <c r="GLD108" s="9"/>
      <c r="GLE108" s="9"/>
      <c r="GLF108" s="9"/>
      <c r="GLG108" s="9"/>
      <c r="GLH108" s="9"/>
      <c r="GLI108" s="9"/>
      <c r="GLJ108" s="9"/>
      <c r="GLK108" s="9"/>
      <c r="GLL108" s="9"/>
      <c r="GLM108" s="9"/>
      <c r="GLN108" s="9"/>
      <c r="GLO108" s="9"/>
      <c r="GLP108" s="9"/>
      <c r="GLQ108" s="9"/>
      <c r="GLR108" s="9"/>
      <c r="GLS108" s="9"/>
      <c r="GLT108" s="9"/>
      <c r="GLU108" s="9"/>
      <c r="GLV108" s="9"/>
      <c r="GLW108" s="9"/>
      <c r="GLX108" s="9"/>
      <c r="GLY108" s="9"/>
      <c r="GLZ108" s="9"/>
      <c r="GMA108" s="9"/>
      <c r="GMB108" s="9"/>
      <c r="GMC108" s="9"/>
      <c r="GMD108" s="9"/>
      <c r="GME108" s="9"/>
      <c r="GMF108" s="9"/>
      <c r="GMG108" s="9"/>
      <c r="GMH108" s="9"/>
      <c r="GMI108" s="9"/>
      <c r="GMJ108" s="9"/>
      <c r="GMK108" s="9"/>
      <c r="GML108" s="9"/>
      <c r="GMM108" s="9"/>
      <c r="GMN108" s="9"/>
      <c r="GMO108" s="9"/>
      <c r="GMP108" s="9"/>
      <c r="GMQ108" s="9"/>
      <c r="GMR108" s="9"/>
      <c r="GMS108" s="9"/>
      <c r="GMT108" s="9"/>
      <c r="GMU108" s="9"/>
      <c r="GMV108" s="9"/>
      <c r="GMW108" s="9"/>
      <c r="GMX108" s="9"/>
      <c r="GMY108" s="9"/>
      <c r="GMZ108" s="9"/>
      <c r="GNA108" s="9"/>
      <c r="GNB108" s="9"/>
      <c r="GNC108" s="9"/>
      <c r="GND108" s="9"/>
      <c r="GNE108" s="9"/>
      <c r="GNF108" s="9"/>
      <c r="GNG108" s="9"/>
      <c r="GNH108" s="9"/>
      <c r="GNI108" s="9"/>
      <c r="GNJ108" s="9"/>
      <c r="GNK108" s="9"/>
      <c r="GNL108" s="9"/>
      <c r="GNM108" s="9"/>
      <c r="GNN108" s="9"/>
      <c r="GNO108" s="9"/>
      <c r="GNP108" s="9"/>
      <c r="GNQ108" s="9"/>
      <c r="GNR108" s="9"/>
      <c r="GNS108" s="9"/>
      <c r="GNT108" s="9"/>
      <c r="GNU108" s="9"/>
      <c r="GNV108" s="9"/>
      <c r="GNW108" s="9"/>
      <c r="GNX108" s="9"/>
      <c r="GNY108" s="9"/>
      <c r="GNZ108" s="9"/>
      <c r="GOA108" s="9"/>
      <c r="GOB108" s="9"/>
      <c r="GOC108" s="9"/>
      <c r="GOD108" s="9"/>
      <c r="GOE108" s="9"/>
      <c r="GOF108" s="9"/>
      <c r="GOG108" s="9"/>
      <c r="GOH108" s="9"/>
      <c r="GOI108" s="9"/>
      <c r="GOJ108" s="9"/>
      <c r="GOK108" s="9"/>
      <c r="GOL108" s="9"/>
      <c r="GOM108" s="9"/>
      <c r="GON108" s="9"/>
      <c r="GOO108" s="9"/>
      <c r="GOP108" s="9"/>
      <c r="GOQ108" s="9"/>
      <c r="GOR108" s="9"/>
      <c r="GOS108" s="9"/>
      <c r="GOT108" s="9"/>
      <c r="GOU108" s="9"/>
      <c r="GOV108" s="9"/>
      <c r="GOW108" s="9"/>
      <c r="GOX108" s="9"/>
      <c r="GOY108" s="9"/>
      <c r="GOZ108" s="9"/>
      <c r="GPA108" s="9"/>
      <c r="GPB108" s="9"/>
      <c r="GPC108" s="9"/>
      <c r="GPD108" s="9"/>
      <c r="GPE108" s="9"/>
      <c r="GPF108" s="9"/>
      <c r="GPG108" s="9"/>
      <c r="GPH108" s="9"/>
      <c r="GPI108" s="9"/>
      <c r="GPJ108" s="9"/>
      <c r="GPK108" s="9"/>
      <c r="GPL108" s="9"/>
      <c r="GPM108" s="9"/>
      <c r="GPN108" s="9"/>
      <c r="GPO108" s="9"/>
      <c r="GPP108" s="9"/>
      <c r="GPQ108" s="9"/>
      <c r="GPR108" s="9"/>
      <c r="GPS108" s="9"/>
      <c r="GPT108" s="9"/>
      <c r="GPU108" s="9"/>
      <c r="GPV108" s="9"/>
      <c r="GPW108" s="9"/>
      <c r="GPX108" s="9"/>
      <c r="GPY108" s="9"/>
      <c r="GPZ108" s="9"/>
      <c r="GQA108" s="9"/>
      <c r="GQB108" s="9"/>
      <c r="GQC108" s="9"/>
      <c r="GQD108" s="9"/>
      <c r="GQE108" s="9"/>
      <c r="GQF108" s="9"/>
      <c r="GQG108" s="9"/>
      <c r="GQH108" s="9"/>
      <c r="GQI108" s="9"/>
      <c r="GQJ108" s="9"/>
      <c r="GQK108" s="9"/>
      <c r="GQL108" s="9"/>
      <c r="GQM108" s="9"/>
      <c r="GQN108" s="9"/>
      <c r="GQO108" s="9"/>
      <c r="GQP108" s="9"/>
      <c r="GQQ108" s="9"/>
      <c r="GQR108" s="9"/>
      <c r="GQS108" s="9"/>
      <c r="GQT108" s="9"/>
      <c r="GQU108" s="9"/>
      <c r="GQV108" s="9"/>
      <c r="GQW108" s="9"/>
      <c r="GQX108" s="9"/>
      <c r="GQY108" s="9"/>
      <c r="GQZ108" s="9"/>
      <c r="GRA108" s="9"/>
      <c r="GRB108" s="9"/>
      <c r="GRC108" s="9"/>
      <c r="GRD108" s="9"/>
      <c r="GRE108" s="9"/>
      <c r="GRF108" s="9"/>
      <c r="GRG108" s="9"/>
      <c r="GRH108" s="9"/>
      <c r="GRI108" s="9"/>
      <c r="GRJ108" s="9"/>
      <c r="GRK108" s="9"/>
      <c r="GRL108" s="9"/>
      <c r="GRM108" s="9"/>
      <c r="GRN108" s="9"/>
      <c r="GRO108" s="9"/>
      <c r="GRP108" s="9"/>
      <c r="GRQ108" s="9"/>
      <c r="GRR108" s="9"/>
      <c r="GRS108" s="9"/>
      <c r="GRT108" s="9"/>
      <c r="GRU108" s="9"/>
      <c r="GRV108" s="9"/>
      <c r="GRW108" s="9"/>
      <c r="GRX108" s="9"/>
      <c r="GRY108" s="9"/>
      <c r="GRZ108" s="9"/>
      <c r="GSA108" s="9"/>
      <c r="GSB108" s="9"/>
      <c r="GSC108" s="9"/>
      <c r="GSD108" s="9"/>
      <c r="GSE108" s="9"/>
      <c r="GSF108" s="9"/>
      <c r="GSG108" s="9"/>
      <c r="GSH108" s="9"/>
      <c r="GSI108" s="9"/>
      <c r="GSJ108" s="9"/>
      <c r="GSK108" s="9"/>
      <c r="GSL108" s="9"/>
      <c r="GSM108" s="9"/>
      <c r="GSN108" s="9"/>
      <c r="GSO108" s="9"/>
      <c r="GSP108" s="9"/>
      <c r="GSQ108" s="9"/>
      <c r="GSR108" s="9"/>
      <c r="GSS108" s="9"/>
      <c r="GST108" s="9"/>
      <c r="GSU108" s="9"/>
      <c r="GSV108" s="9"/>
      <c r="GSW108" s="9"/>
      <c r="GSX108" s="9"/>
      <c r="GSY108" s="9"/>
      <c r="GSZ108" s="9"/>
      <c r="GTA108" s="9"/>
      <c r="GTB108" s="9"/>
      <c r="GTC108" s="9"/>
      <c r="GTD108" s="9"/>
      <c r="GTE108" s="9"/>
      <c r="GTF108" s="9"/>
      <c r="GTG108" s="9"/>
      <c r="GTH108" s="9"/>
      <c r="GTI108" s="9"/>
      <c r="GTJ108" s="9"/>
      <c r="GTK108" s="9"/>
      <c r="GTL108" s="9"/>
      <c r="GTM108" s="9"/>
      <c r="GTN108" s="9"/>
      <c r="GTO108" s="9"/>
      <c r="GTP108" s="9"/>
      <c r="GTQ108" s="9"/>
      <c r="GTR108" s="9"/>
      <c r="GTS108" s="9"/>
      <c r="GTT108" s="9"/>
      <c r="GTU108" s="9"/>
      <c r="GTV108" s="9"/>
      <c r="GTW108" s="9"/>
      <c r="GTX108" s="9"/>
      <c r="GTY108" s="9"/>
      <c r="GTZ108" s="9"/>
      <c r="GUA108" s="9"/>
      <c r="GUB108" s="9"/>
      <c r="GUC108" s="9"/>
      <c r="GUD108" s="9"/>
      <c r="GUE108" s="9"/>
      <c r="GUF108" s="9"/>
      <c r="GUG108" s="9"/>
      <c r="GUH108" s="9"/>
      <c r="GUI108" s="9"/>
      <c r="GUJ108" s="9"/>
      <c r="GUK108" s="9"/>
      <c r="GUL108" s="9"/>
      <c r="GUM108" s="9"/>
      <c r="GUN108" s="9"/>
      <c r="GUO108" s="9"/>
      <c r="GUP108" s="9"/>
      <c r="GUQ108" s="9"/>
      <c r="GUR108" s="9"/>
      <c r="GUS108" s="9"/>
      <c r="GUT108" s="9"/>
      <c r="GUU108" s="9"/>
      <c r="GUV108" s="9"/>
      <c r="GUW108" s="9"/>
      <c r="GUX108" s="9"/>
      <c r="GUY108" s="9"/>
      <c r="GUZ108" s="9"/>
      <c r="GVA108" s="9"/>
      <c r="GVB108" s="9"/>
      <c r="GVC108" s="9"/>
      <c r="GVD108" s="9"/>
      <c r="GVE108" s="9"/>
      <c r="GVF108" s="9"/>
      <c r="GVG108" s="9"/>
      <c r="GVH108" s="9"/>
      <c r="GVI108" s="9"/>
      <c r="GVJ108" s="9"/>
      <c r="GVK108" s="9"/>
      <c r="GVL108" s="9"/>
      <c r="GVM108" s="9"/>
      <c r="GVN108" s="9"/>
      <c r="GVO108" s="9"/>
      <c r="GVP108" s="9"/>
      <c r="GVQ108" s="9"/>
      <c r="GVR108" s="9"/>
      <c r="GVS108" s="9"/>
      <c r="GVT108" s="9"/>
      <c r="GVU108" s="9"/>
      <c r="GVV108" s="9"/>
      <c r="GVW108" s="9"/>
      <c r="GVX108" s="9"/>
      <c r="GVY108" s="9"/>
      <c r="GVZ108" s="9"/>
      <c r="GWA108" s="9"/>
      <c r="GWB108" s="9"/>
      <c r="GWC108" s="9"/>
      <c r="GWD108" s="9"/>
      <c r="GWE108" s="9"/>
      <c r="GWF108" s="9"/>
      <c r="GWG108" s="9"/>
      <c r="GWH108" s="9"/>
      <c r="GWI108" s="9"/>
      <c r="GWJ108" s="9"/>
      <c r="GWK108" s="9"/>
      <c r="GWL108" s="9"/>
      <c r="GWM108" s="9"/>
      <c r="GWN108" s="9"/>
      <c r="GWO108" s="9"/>
      <c r="GWP108" s="9"/>
      <c r="GWQ108" s="9"/>
      <c r="GWR108" s="9"/>
      <c r="GWS108" s="9"/>
      <c r="GWT108" s="9"/>
      <c r="GWU108" s="9"/>
      <c r="GWV108" s="9"/>
      <c r="GWW108" s="9"/>
      <c r="GWX108" s="9"/>
      <c r="GWY108" s="9"/>
      <c r="GWZ108" s="9"/>
      <c r="GXA108" s="9"/>
      <c r="GXB108" s="9"/>
      <c r="GXC108" s="9"/>
      <c r="GXD108" s="9"/>
      <c r="GXE108" s="9"/>
      <c r="GXF108" s="9"/>
      <c r="GXG108" s="9"/>
      <c r="GXH108" s="9"/>
      <c r="GXI108" s="9"/>
      <c r="GXJ108" s="9"/>
      <c r="GXK108" s="9"/>
      <c r="GXL108" s="9"/>
      <c r="GXM108" s="9"/>
      <c r="GXN108" s="9"/>
      <c r="GXO108" s="9"/>
      <c r="GXP108" s="9"/>
      <c r="GXQ108" s="9"/>
      <c r="GXR108" s="9"/>
      <c r="GXS108" s="9"/>
      <c r="GXT108" s="9"/>
      <c r="GXU108" s="9"/>
      <c r="GXV108" s="9"/>
      <c r="GXW108" s="9"/>
      <c r="GXX108" s="9"/>
      <c r="GXY108" s="9"/>
      <c r="GXZ108" s="9"/>
      <c r="GYA108" s="9"/>
      <c r="GYB108" s="9"/>
      <c r="GYC108" s="9"/>
      <c r="GYD108" s="9"/>
      <c r="GYE108" s="9"/>
      <c r="GYF108" s="9"/>
      <c r="GYG108" s="9"/>
      <c r="GYH108" s="9"/>
      <c r="GYI108" s="9"/>
      <c r="GYJ108" s="9"/>
      <c r="GYK108" s="9"/>
      <c r="GYL108" s="9"/>
      <c r="GYM108" s="9"/>
      <c r="GYN108" s="9"/>
      <c r="GYO108" s="9"/>
      <c r="GYP108" s="9"/>
      <c r="GYQ108" s="9"/>
      <c r="GYR108" s="9"/>
      <c r="GYS108" s="9"/>
      <c r="GYT108" s="9"/>
      <c r="GYU108" s="9"/>
      <c r="GYV108" s="9"/>
      <c r="GYW108" s="9"/>
      <c r="GYX108" s="9"/>
      <c r="GYY108" s="9"/>
      <c r="GYZ108" s="9"/>
      <c r="GZA108" s="9"/>
      <c r="GZB108" s="9"/>
      <c r="GZC108" s="9"/>
      <c r="GZD108" s="9"/>
      <c r="GZE108" s="9"/>
      <c r="GZF108" s="9"/>
      <c r="GZG108" s="9"/>
      <c r="GZH108" s="9"/>
      <c r="GZI108" s="9"/>
      <c r="GZJ108" s="9"/>
      <c r="GZK108" s="9"/>
      <c r="GZL108" s="9"/>
      <c r="GZM108" s="9"/>
      <c r="GZN108" s="9"/>
      <c r="GZO108" s="9"/>
      <c r="GZP108" s="9"/>
      <c r="GZQ108" s="9"/>
      <c r="GZR108" s="9"/>
      <c r="GZS108" s="9"/>
      <c r="GZT108" s="9"/>
      <c r="GZU108" s="9"/>
      <c r="GZV108" s="9"/>
      <c r="GZW108" s="9"/>
      <c r="GZX108" s="9"/>
      <c r="GZY108" s="9"/>
      <c r="GZZ108" s="9"/>
      <c r="HAA108" s="9"/>
      <c r="HAB108" s="9"/>
      <c r="HAC108" s="9"/>
      <c r="HAD108" s="9"/>
      <c r="HAE108" s="9"/>
      <c r="HAF108" s="9"/>
      <c r="HAG108" s="9"/>
      <c r="HAH108" s="9"/>
      <c r="HAI108" s="9"/>
      <c r="HAJ108" s="9"/>
      <c r="HAK108" s="9"/>
      <c r="HAL108" s="9"/>
      <c r="HAM108" s="9"/>
      <c r="HAN108" s="9"/>
      <c r="HAO108" s="9"/>
      <c r="HAP108" s="9"/>
      <c r="HAQ108" s="9"/>
      <c r="HAR108" s="9"/>
      <c r="HAS108" s="9"/>
      <c r="HAT108" s="9"/>
      <c r="HAU108" s="9"/>
      <c r="HAV108" s="9"/>
      <c r="HAW108" s="9"/>
      <c r="HAX108" s="9"/>
      <c r="HAY108" s="9"/>
      <c r="HAZ108" s="9"/>
      <c r="HBA108" s="9"/>
      <c r="HBB108" s="9"/>
      <c r="HBC108" s="9"/>
      <c r="HBD108" s="9"/>
      <c r="HBE108" s="9"/>
      <c r="HBF108" s="9"/>
      <c r="HBG108" s="9"/>
      <c r="HBH108" s="9"/>
      <c r="HBI108" s="9"/>
      <c r="HBJ108" s="9"/>
      <c r="HBK108" s="9"/>
      <c r="HBL108" s="9"/>
      <c r="HBM108" s="9"/>
      <c r="HBN108" s="9"/>
      <c r="HBO108" s="9"/>
      <c r="HBP108" s="9"/>
      <c r="HBQ108" s="9"/>
      <c r="HBR108" s="9"/>
      <c r="HBS108" s="9"/>
      <c r="HBT108" s="9"/>
      <c r="HBU108" s="9"/>
      <c r="HBV108" s="9"/>
      <c r="HBW108" s="9"/>
      <c r="HBX108" s="9"/>
      <c r="HBY108" s="9"/>
      <c r="HBZ108" s="9"/>
      <c r="HCA108" s="9"/>
      <c r="HCB108" s="9"/>
      <c r="HCC108" s="9"/>
      <c r="HCD108" s="9"/>
      <c r="HCE108" s="9"/>
      <c r="HCF108" s="9"/>
      <c r="HCG108" s="9"/>
      <c r="HCH108" s="9"/>
      <c r="HCI108" s="9"/>
      <c r="HCJ108" s="9"/>
      <c r="HCK108" s="9"/>
      <c r="HCL108" s="9"/>
      <c r="HCM108" s="9"/>
      <c r="HCN108" s="9"/>
      <c r="HCO108" s="9"/>
      <c r="HCP108" s="9"/>
      <c r="HCQ108" s="9"/>
      <c r="HCR108" s="9"/>
      <c r="HCS108" s="9"/>
      <c r="HCT108" s="9"/>
      <c r="HCU108" s="9"/>
      <c r="HCV108" s="9"/>
      <c r="HCW108" s="9"/>
      <c r="HCX108" s="9"/>
      <c r="HCY108" s="9"/>
      <c r="HCZ108" s="9"/>
      <c r="HDA108" s="9"/>
      <c r="HDB108" s="9"/>
      <c r="HDC108" s="9"/>
      <c r="HDD108" s="9"/>
      <c r="HDE108" s="9"/>
      <c r="HDF108" s="9"/>
      <c r="HDG108" s="9"/>
      <c r="HDH108" s="9"/>
      <c r="HDI108" s="9"/>
      <c r="HDJ108" s="9"/>
      <c r="HDK108" s="9"/>
      <c r="HDL108" s="9"/>
      <c r="HDM108" s="9"/>
      <c r="HDN108" s="9"/>
      <c r="HDO108" s="9"/>
      <c r="HDP108" s="9"/>
      <c r="HDQ108" s="9"/>
      <c r="HDR108" s="9"/>
      <c r="HDS108" s="9"/>
      <c r="HDT108" s="9"/>
      <c r="HDU108" s="9"/>
      <c r="HDV108" s="9"/>
      <c r="HDW108" s="9"/>
      <c r="HDX108" s="9"/>
      <c r="HDY108" s="9"/>
      <c r="HDZ108" s="9"/>
      <c r="HEA108" s="9"/>
      <c r="HEB108" s="9"/>
      <c r="HEC108" s="9"/>
      <c r="HED108" s="9"/>
      <c r="HEE108" s="9"/>
      <c r="HEF108" s="9"/>
      <c r="HEG108" s="9"/>
      <c r="HEH108" s="9"/>
      <c r="HEI108" s="9"/>
      <c r="HEJ108" s="9"/>
      <c r="HEK108" s="9"/>
      <c r="HEL108" s="9"/>
      <c r="HEM108" s="9"/>
      <c r="HEN108" s="9"/>
      <c r="HEO108" s="9"/>
      <c r="HEP108" s="9"/>
      <c r="HEQ108" s="9"/>
      <c r="HER108" s="9"/>
      <c r="HES108" s="9"/>
      <c r="HET108" s="9"/>
      <c r="HEU108" s="9"/>
      <c r="HEV108" s="9"/>
      <c r="HEW108" s="9"/>
      <c r="HEX108" s="9"/>
      <c r="HEY108" s="9"/>
      <c r="HEZ108" s="9"/>
      <c r="HFA108" s="9"/>
      <c r="HFB108" s="9"/>
      <c r="HFC108" s="9"/>
      <c r="HFD108" s="9"/>
      <c r="HFE108" s="9"/>
      <c r="HFF108" s="9"/>
      <c r="HFG108" s="9"/>
      <c r="HFH108" s="9"/>
      <c r="HFI108" s="9"/>
      <c r="HFJ108" s="9"/>
      <c r="HFK108" s="9"/>
      <c r="HFL108" s="9"/>
      <c r="HFM108" s="9"/>
      <c r="HFN108" s="9"/>
      <c r="HFO108" s="9"/>
      <c r="HFP108" s="9"/>
      <c r="HFQ108" s="9"/>
      <c r="HFR108" s="9"/>
      <c r="HFS108" s="9"/>
      <c r="HFT108" s="9"/>
      <c r="HFU108" s="9"/>
      <c r="HFV108" s="9"/>
      <c r="HFW108" s="9"/>
      <c r="HFX108" s="9"/>
      <c r="HFY108" s="9"/>
      <c r="HFZ108" s="9"/>
      <c r="HGA108" s="9"/>
      <c r="HGB108" s="9"/>
      <c r="HGC108" s="9"/>
      <c r="HGD108" s="9"/>
      <c r="HGE108" s="9"/>
      <c r="HGF108" s="9"/>
      <c r="HGG108" s="9"/>
      <c r="HGH108" s="9"/>
      <c r="HGI108" s="9"/>
      <c r="HGJ108" s="9"/>
      <c r="HGK108" s="9"/>
      <c r="HGL108" s="9"/>
      <c r="HGM108" s="9"/>
      <c r="HGN108" s="9"/>
      <c r="HGO108" s="9"/>
      <c r="HGP108" s="9"/>
      <c r="HGQ108" s="9"/>
      <c r="HGR108" s="9"/>
      <c r="HGS108" s="9"/>
      <c r="HGT108" s="9"/>
      <c r="HGU108" s="9"/>
      <c r="HGV108" s="9"/>
      <c r="HGW108" s="9"/>
      <c r="HGX108" s="9"/>
      <c r="HGY108" s="9"/>
      <c r="HGZ108" s="9"/>
      <c r="HHA108" s="9"/>
      <c r="HHB108" s="9"/>
      <c r="HHC108" s="9"/>
      <c r="HHD108" s="9"/>
      <c r="HHE108" s="9"/>
      <c r="HHF108" s="9"/>
      <c r="HHG108" s="9"/>
      <c r="HHH108" s="9"/>
      <c r="HHI108" s="9"/>
      <c r="HHJ108" s="9"/>
      <c r="HHK108" s="9"/>
      <c r="HHL108" s="9"/>
      <c r="HHM108" s="9"/>
      <c r="HHN108" s="9"/>
      <c r="HHO108" s="9"/>
      <c r="HHP108" s="9"/>
      <c r="HHQ108" s="9"/>
      <c r="HHR108" s="9"/>
      <c r="HHS108" s="9"/>
      <c r="HHT108" s="9"/>
      <c r="HHU108" s="9"/>
      <c r="HHV108" s="9"/>
      <c r="HHW108" s="9"/>
      <c r="HHX108" s="9"/>
      <c r="HHY108" s="9"/>
      <c r="HHZ108" s="9"/>
      <c r="HIA108" s="9"/>
      <c r="HIB108" s="9"/>
      <c r="HIC108" s="9"/>
      <c r="HID108" s="9"/>
      <c r="HIE108" s="9"/>
      <c r="HIF108" s="9"/>
      <c r="HIG108" s="9"/>
      <c r="HIH108" s="9"/>
      <c r="HII108" s="9"/>
      <c r="HIJ108" s="9"/>
      <c r="HIK108" s="9"/>
      <c r="HIL108" s="9"/>
      <c r="HIM108" s="9"/>
      <c r="HIN108" s="9"/>
      <c r="HIO108" s="9"/>
      <c r="HIP108" s="9"/>
      <c r="HIQ108" s="9"/>
      <c r="HIR108" s="9"/>
      <c r="HIS108" s="9"/>
      <c r="HIT108" s="9"/>
      <c r="HIU108" s="9"/>
      <c r="HIV108" s="9"/>
      <c r="HIW108" s="9"/>
      <c r="HIX108" s="9"/>
      <c r="HIY108" s="9"/>
      <c r="HIZ108" s="9"/>
      <c r="HJA108" s="9"/>
      <c r="HJB108" s="9"/>
      <c r="HJC108" s="9"/>
      <c r="HJD108" s="9"/>
      <c r="HJE108" s="9"/>
      <c r="HJF108" s="9"/>
      <c r="HJG108" s="9"/>
      <c r="HJH108" s="9"/>
      <c r="HJI108" s="9"/>
      <c r="HJJ108" s="9"/>
      <c r="HJK108" s="9"/>
      <c r="HJL108" s="9"/>
      <c r="HJM108" s="9"/>
      <c r="HJN108" s="9"/>
      <c r="HJO108" s="9"/>
      <c r="HJP108" s="9"/>
      <c r="HJQ108" s="9"/>
      <c r="HJR108" s="9"/>
      <c r="HJS108" s="9"/>
      <c r="HJT108" s="9"/>
      <c r="HJU108" s="9"/>
      <c r="HJV108" s="9"/>
      <c r="HJW108" s="9"/>
      <c r="HJX108" s="9"/>
      <c r="HJY108" s="9"/>
      <c r="HJZ108" s="9"/>
      <c r="HKA108" s="9"/>
      <c r="HKB108" s="9"/>
      <c r="HKC108" s="9"/>
      <c r="HKD108" s="9"/>
      <c r="HKE108" s="9"/>
      <c r="HKF108" s="9"/>
      <c r="HKG108" s="9"/>
      <c r="HKH108" s="9"/>
      <c r="HKI108" s="9"/>
      <c r="HKJ108" s="9"/>
      <c r="HKK108" s="9"/>
      <c r="HKL108" s="9"/>
      <c r="HKM108" s="9"/>
      <c r="HKN108" s="9"/>
      <c r="HKO108" s="9"/>
      <c r="HKP108" s="9"/>
      <c r="HKQ108" s="9"/>
      <c r="HKR108" s="9"/>
      <c r="HKS108" s="9"/>
      <c r="HKT108" s="9"/>
      <c r="HKU108" s="9"/>
      <c r="HKV108" s="9"/>
      <c r="HKW108" s="9"/>
      <c r="HKX108" s="9"/>
      <c r="HKY108" s="9"/>
      <c r="HKZ108" s="9"/>
      <c r="HLA108" s="9"/>
      <c r="HLB108" s="9"/>
      <c r="HLC108" s="9"/>
      <c r="HLD108" s="9"/>
      <c r="HLE108" s="9"/>
      <c r="HLF108" s="9"/>
      <c r="HLG108" s="9"/>
      <c r="HLH108" s="9"/>
      <c r="HLI108" s="9"/>
      <c r="HLJ108" s="9"/>
      <c r="HLK108" s="9"/>
      <c r="HLL108" s="9"/>
      <c r="HLM108" s="9"/>
      <c r="HLN108" s="9"/>
      <c r="HLO108" s="9"/>
      <c r="HLP108" s="9"/>
      <c r="HLQ108" s="9"/>
      <c r="HLR108" s="9"/>
      <c r="HLS108" s="9"/>
      <c r="HLT108" s="9"/>
      <c r="HLU108" s="9"/>
      <c r="HLV108" s="9"/>
      <c r="HLW108" s="9"/>
      <c r="HLX108" s="9"/>
      <c r="HLY108" s="9"/>
      <c r="HLZ108" s="9"/>
      <c r="HMA108" s="9"/>
      <c r="HMB108" s="9"/>
      <c r="HMC108" s="9"/>
      <c r="HMD108" s="9"/>
      <c r="HME108" s="9"/>
      <c r="HMF108" s="9"/>
      <c r="HMG108" s="9"/>
      <c r="HMH108" s="9"/>
      <c r="HMI108" s="9"/>
      <c r="HMJ108" s="9"/>
      <c r="HMK108" s="9"/>
      <c r="HML108" s="9"/>
      <c r="HMM108" s="9"/>
      <c r="HMN108" s="9"/>
      <c r="HMO108" s="9"/>
      <c r="HMP108" s="9"/>
      <c r="HMQ108" s="9"/>
      <c r="HMR108" s="9"/>
      <c r="HMS108" s="9"/>
      <c r="HMT108" s="9"/>
      <c r="HMU108" s="9"/>
      <c r="HMV108" s="9"/>
      <c r="HMW108" s="9"/>
      <c r="HMX108" s="9"/>
      <c r="HMY108" s="9"/>
      <c r="HMZ108" s="9"/>
      <c r="HNA108" s="9"/>
      <c r="HNB108" s="9"/>
      <c r="HNC108" s="9"/>
      <c r="HND108" s="9"/>
      <c r="HNE108" s="9"/>
      <c r="HNF108" s="9"/>
      <c r="HNG108" s="9"/>
      <c r="HNH108" s="9"/>
      <c r="HNI108" s="9"/>
      <c r="HNJ108" s="9"/>
      <c r="HNK108" s="9"/>
      <c r="HNL108" s="9"/>
      <c r="HNM108" s="9"/>
      <c r="HNN108" s="9"/>
      <c r="HNO108" s="9"/>
      <c r="HNP108" s="9"/>
      <c r="HNQ108" s="9"/>
      <c r="HNR108" s="9"/>
      <c r="HNS108" s="9"/>
      <c r="HNT108" s="9"/>
      <c r="HNU108" s="9"/>
      <c r="HNV108" s="9"/>
      <c r="HNW108" s="9"/>
      <c r="HNX108" s="9"/>
      <c r="HNY108" s="9"/>
      <c r="HNZ108" s="9"/>
      <c r="HOA108" s="9"/>
      <c r="HOB108" s="9"/>
      <c r="HOC108" s="9"/>
      <c r="HOD108" s="9"/>
      <c r="HOE108" s="9"/>
      <c r="HOF108" s="9"/>
      <c r="HOG108" s="9"/>
      <c r="HOH108" s="9"/>
      <c r="HOI108" s="9"/>
      <c r="HOJ108" s="9"/>
      <c r="HOK108" s="9"/>
      <c r="HOL108" s="9"/>
      <c r="HOM108" s="9"/>
      <c r="HON108" s="9"/>
      <c r="HOO108" s="9"/>
      <c r="HOP108" s="9"/>
      <c r="HOQ108" s="9"/>
      <c r="HOR108" s="9"/>
      <c r="HOS108" s="9"/>
      <c r="HOT108" s="9"/>
      <c r="HOU108" s="9"/>
      <c r="HOV108" s="9"/>
      <c r="HOW108" s="9"/>
      <c r="HOX108" s="9"/>
      <c r="HOY108" s="9"/>
      <c r="HOZ108" s="9"/>
      <c r="HPA108" s="9"/>
      <c r="HPB108" s="9"/>
      <c r="HPC108" s="9"/>
      <c r="HPD108" s="9"/>
      <c r="HPE108" s="9"/>
      <c r="HPF108" s="9"/>
      <c r="HPG108" s="9"/>
      <c r="HPH108" s="9"/>
      <c r="HPI108" s="9"/>
      <c r="HPJ108" s="9"/>
      <c r="HPK108" s="9"/>
      <c r="HPL108" s="9"/>
      <c r="HPM108" s="9"/>
      <c r="HPN108" s="9"/>
      <c r="HPO108" s="9"/>
      <c r="HPP108" s="9"/>
      <c r="HPQ108" s="9"/>
      <c r="HPR108" s="9"/>
      <c r="HPS108" s="9"/>
      <c r="HPT108" s="9"/>
      <c r="HPU108" s="9"/>
      <c r="HPV108" s="9"/>
      <c r="HPW108" s="9"/>
      <c r="HPX108" s="9"/>
      <c r="HPY108" s="9"/>
      <c r="HPZ108" s="9"/>
      <c r="HQA108" s="9"/>
      <c r="HQB108" s="9"/>
      <c r="HQC108" s="9"/>
      <c r="HQD108" s="9"/>
      <c r="HQE108" s="9"/>
      <c r="HQF108" s="9"/>
      <c r="HQG108" s="9"/>
      <c r="HQH108" s="9"/>
      <c r="HQI108" s="9"/>
      <c r="HQJ108" s="9"/>
      <c r="HQK108" s="9"/>
      <c r="HQL108" s="9"/>
      <c r="HQM108" s="9"/>
      <c r="HQN108" s="9"/>
      <c r="HQO108" s="9"/>
      <c r="HQP108" s="9"/>
      <c r="HQQ108" s="9"/>
      <c r="HQR108" s="9"/>
      <c r="HQS108" s="9"/>
      <c r="HQT108" s="9"/>
      <c r="HQU108" s="9"/>
      <c r="HQV108" s="9"/>
      <c r="HQW108" s="9"/>
      <c r="HQX108" s="9"/>
      <c r="HQY108" s="9"/>
      <c r="HQZ108" s="9"/>
      <c r="HRA108" s="9"/>
      <c r="HRB108" s="9"/>
      <c r="HRC108" s="9"/>
      <c r="HRD108" s="9"/>
      <c r="HRE108" s="9"/>
      <c r="HRF108" s="9"/>
      <c r="HRG108" s="9"/>
      <c r="HRH108" s="9"/>
      <c r="HRI108" s="9"/>
      <c r="HRJ108" s="9"/>
      <c r="HRK108" s="9"/>
      <c r="HRL108" s="9"/>
      <c r="HRM108" s="9"/>
      <c r="HRN108" s="9"/>
      <c r="HRO108" s="9"/>
      <c r="HRP108" s="9"/>
      <c r="HRQ108" s="9"/>
      <c r="HRR108" s="9"/>
      <c r="HRS108" s="9"/>
      <c r="HRT108" s="9"/>
      <c r="HRU108" s="9"/>
      <c r="HRV108" s="9"/>
      <c r="HRW108" s="9"/>
      <c r="HRX108" s="9"/>
      <c r="HRY108" s="9"/>
      <c r="HRZ108" s="9"/>
      <c r="HSA108" s="9"/>
      <c r="HSB108" s="9"/>
      <c r="HSC108" s="9"/>
      <c r="HSD108" s="9"/>
      <c r="HSE108" s="9"/>
      <c r="HSF108" s="9"/>
      <c r="HSG108" s="9"/>
      <c r="HSH108" s="9"/>
      <c r="HSI108" s="9"/>
      <c r="HSJ108" s="9"/>
      <c r="HSK108" s="9"/>
      <c r="HSL108" s="9"/>
      <c r="HSM108" s="9"/>
      <c r="HSN108" s="9"/>
      <c r="HSO108" s="9"/>
      <c r="HSP108" s="9"/>
      <c r="HSQ108" s="9"/>
      <c r="HSR108" s="9"/>
      <c r="HSS108" s="9"/>
      <c r="HST108" s="9"/>
      <c r="HSU108" s="9"/>
      <c r="HSV108" s="9"/>
      <c r="HSW108" s="9"/>
      <c r="HSX108" s="9"/>
      <c r="HSY108" s="9"/>
      <c r="HSZ108" s="9"/>
      <c r="HTA108" s="9"/>
      <c r="HTB108" s="9"/>
      <c r="HTC108" s="9"/>
      <c r="HTD108" s="9"/>
      <c r="HTE108" s="9"/>
      <c r="HTF108" s="9"/>
      <c r="HTG108" s="9"/>
      <c r="HTH108" s="9"/>
      <c r="HTI108" s="9"/>
      <c r="HTJ108" s="9"/>
      <c r="HTK108" s="9"/>
      <c r="HTL108" s="9"/>
      <c r="HTM108" s="9"/>
      <c r="HTN108" s="9"/>
      <c r="HTO108" s="9"/>
      <c r="HTP108" s="9"/>
      <c r="HTQ108" s="9"/>
      <c r="HTR108" s="9"/>
      <c r="HTS108" s="9"/>
      <c r="HTT108" s="9"/>
      <c r="HTU108" s="9"/>
      <c r="HTV108" s="9"/>
      <c r="HTW108" s="9"/>
      <c r="HTX108" s="9"/>
      <c r="HTY108" s="9"/>
      <c r="HTZ108" s="9"/>
      <c r="HUA108" s="9"/>
      <c r="HUB108" s="9"/>
      <c r="HUC108" s="9"/>
      <c r="HUD108" s="9"/>
      <c r="HUE108" s="9"/>
      <c r="HUF108" s="9"/>
      <c r="HUG108" s="9"/>
      <c r="HUH108" s="9"/>
      <c r="HUI108" s="9"/>
      <c r="HUJ108" s="9"/>
      <c r="HUK108" s="9"/>
      <c r="HUL108" s="9"/>
      <c r="HUM108" s="9"/>
      <c r="HUN108" s="9"/>
      <c r="HUO108" s="9"/>
      <c r="HUP108" s="9"/>
      <c r="HUQ108" s="9"/>
      <c r="HUR108" s="9"/>
      <c r="HUS108" s="9"/>
      <c r="HUT108" s="9"/>
      <c r="HUU108" s="9"/>
      <c r="HUV108" s="9"/>
      <c r="HUW108" s="9"/>
      <c r="HUX108" s="9"/>
      <c r="HUY108" s="9"/>
      <c r="HUZ108" s="9"/>
      <c r="HVA108" s="9"/>
      <c r="HVB108" s="9"/>
      <c r="HVC108" s="9"/>
      <c r="HVD108" s="9"/>
      <c r="HVE108" s="9"/>
      <c r="HVF108" s="9"/>
      <c r="HVG108" s="9"/>
      <c r="HVH108" s="9"/>
      <c r="HVI108" s="9"/>
      <c r="HVJ108" s="9"/>
      <c r="HVK108" s="9"/>
      <c r="HVL108" s="9"/>
      <c r="HVM108" s="9"/>
      <c r="HVN108" s="9"/>
      <c r="HVO108" s="9"/>
      <c r="HVP108" s="9"/>
      <c r="HVQ108" s="9"/>
      <c r="HVR108" s="9"/>
      <c r="HVS108" s="9"/>
      <c r="HVT108" s="9"/>
      <c r="HVU108" s="9"/>
      <c r="HVV108" s="9"/>
      <c r="HVW108" s="9"/>
      <c r="HVX108" s="9"/>
      <c r="HVY108" s="9"/>
      <c r="HVZ108" s="9"/>
      <c r="HWA108" s="9"/>
      <c r="HWB108" s="9"/>
      <c r="HWC108" s="9"/>
      <c r="HWD108" s="9"/>
      <c r="HWE108" s="9"/>
      <c r="HWF108" s="9"/>
      <c r="HWG108" s="9"/>
      <c r="HWH108" s="9"/>
      <c r="HWI108" s="9"/>
      <c r="HWJ108" s="9"/>
      <c r="HWK108" s="9"/>
      <c r="HWL108" s="9"/>
      <c r="HWM108" s="9"/>
      <c r="HWN108" s="9"/>
      <c r="HWO108" s="9"/>
      <c r="HWP108" s="9"/>
      <c r="HWQ108" s="9"/>
      <c r="HWR108" s="9"/>
      <c r="HWS108" s="9"/>
      <c r="HWT108" s="9"/>
      <c r="HWU108" s="9"/>
      <c r="HWV108" s="9"/>
      <c r="HWW108" s="9"/>
      <c r="HWX108" s="9"/>
      <c r="HWY108" s="9"/>
      <c r="HWZ108" s="9"/>
      <c r="HXA108" s="9"/>
      <c r="HXB108" s="9"/>
      <c r="HXC108" s="9"/>
      <c r="HXD108" s="9"/>
      <c r="HXE108" s="9"/>
      <c r="HXF108" s="9"/>
      <c r="HXG108" s="9"/>
      <c r="HXH108" s="9"/>
      <c r="HXI108" s="9"/>
      <c r="HXJ108" s="9"/>
      <c r="HXK108" s="9"/>
      <c r="HXL108" s="9"/>
      <c r="HXM108" s="9"/>
      <c r="HXN108" s="9"/>
      <c r="HXO108" s="9"/>
      <c r="HXP108" s="9"/>
      <c r="HXQ108" s="9"/>
      <c r="HXR108" s="9"/>
      <c r="HXS108" s="9"/>
      <c r="HXT108" s="9"/>
      <c r="HXU108" s="9"/>
      <c r="HXV108" s="9"/>
      <c r="HXW108" s="9"/>
      <c r="HXX108" s="9"/>
      <c r="HXY108" s="9"/>
      <c r="HXZ108" s="9"/>
      <c r="HYA108" s="9"/>
      <c r="HYB108" s="9"/>
      <c r="HYC108" s="9"/>
      <c r="HYD108" s="9"/>
      <c r="HYE108" s="9"/>
      <c r="HYF108" s="9"/>
      <c r="HYG108" s="9"/>
      <c r="HYH108" s="9"/>
      <c r="HYI108" s="9"/>
      <c r="HYJ108" s="9"/>
      <c r="HYK108" s="9"/>
      <c r="HYL108" s="9"/>
      <c r="HYM108" s="9"/>
      <c r="HYN108" s="9"/>
      <c r="HYO108" s="9"/>
      <c r="HYP108" s="9"/>
      <c r="HYQ108" s="9"/>
      <c r="HYR108" s="9"/>
      <c r="HYS108" s="9"/>
      <c r="HYT108" s="9"/>
      <c r="HYU108" s="9"/>
      <c r="HYV108" s="9"/>
      <c r="HYW108" s="9"/>
      <c r="HYX108" s="9"/>
      <c r="HYY108" s="9"/>
      <c r="HYZ108" s="9"/>
      <c r="HZA108" s="9"/>
      <c r="HZB108" s="9"/>
      <c r="HZC108" s="9"/>
      <c r="HZD108" s="9"/>
      <c r="HZE108" s="9"/>
      <c r="HZF108" s="9"/>
      <c r="HZG108" s="9"/>
      <c r="HZH108" s="9"/>
      <c r="HZI108" s="9"/>
      <c r="HZJ108" s="9"/>
      <c r="HZK108" s="9"/>
      <c r="HZL108" s="9"/>
      <c r="HZM108" s="9"/>
      <c r="HZN108" s="9"/>
      <c r="HZO108" s="9"/>
      <c r="HZP108" s="9"/>
      <c r="HZQ108" s="9"/>
      <c r="HZR108" s="9"/>
      <c r="HZS108" s="9"/>
      <c r="HZT108" s="9"/>
      <c r="HZU108" s="9"/>
      <c r="HZV108" s="9"/>
      <c r="HZW108" s="9"/>
      <c r="HZX108" s="9"/>
      <c r="HZY108" s="9"/>
      <c r="HZZ108" s="9"/>
      <c r="IAA108" s="9"/>
      <c r="IAB108" s="9"/>
      <c r="IAC108" s="9"/>
      <c r="IAD108" s="9"/>
      <c r="IAE108" s="9"/>
      <c r="IAF108" s="9"/>
      <c r="IAG108" s="9"/>
      <c r="IAH108" s="9"/>
      <c r="IAI108" s="9"/>
      <c r="IAJ108" s="9"/>
      <c r="IAK108" s="9"/>
      <c r="IAL108" s="9"/>
      <c r="IAM108" s="9"/>
      <c r="IAN108" s="9"/>
      <c r="IAO108" s="9"/>
      <c r="IAP108" s="9"/>
      <c r="IAQ108" s="9"/>
      <c r="IAR108" s="9"/>
      <c r="IAS108" s="9"/>
      <c r="IAT108" s="9"/>
      <c r="IAU108" s="9"/>
      <c r="IAV108" s="9"/>
      <c r="IAW108" s="9"/>
      <c r="IAX108" s="9"/>
      <c r="IAY108" s="9"/>
      <c r="IAZ108" s="9"/>
      <c r="IBA108" s="9"/>
      <c r="IBB108" s="9"/>
      <c r="IBC108" s="9"/>
      <c r="IBD108" s="9"/>
      <c r="IBE108" s="9"/>
      <c r="IBF108" s="9"/>
      <c r="IBG108" s="9"/>
      <c r="IBH108" s="9"/>
      <c r="IBI108" s="9"/>
      <c r="IBJ108" s="9"/>
      <c r="IBK108" s="9"/>
      <c r="IBL108" s="9"/>
      <c r="IBM108" s="9"/>
      <c r="IBN108" s="9"/>
      <c r="IBO108" s="9"/>
      <c r="IBP108" s="9"/>
      <c r="IBQ108" s="9"/>
      <c r="IBR108" s="9"/>
      <c r="IBS108" s="9"/>
      <c r="IBT108" s="9"/>
      <c r="IBU108" s="9"/>
      <c r="IBV108" s="9"/>
      <c r="IBW108" s="9"/>
      <c r="IBX108" s="9"/>
      <c r="IBY108" s="9"/>
      <c r="IBZ108" s="9"/>
      <c r="ICA108" s="9"/>
      <c r="ICB108" s="9"/>
      <c r="ICC108" s="9"/>
      <c r="ICD108" s="9"/>
      <c r="ICE108" s="9"/>
      <c r="ICF108" s="9"/>
      <c r="ICG108" s="9"/>
      <c r="ICH108" s="9"/>
      <c r="ICI108" s="9"/>
      <c r="ICJ108" s="9"/>
      <c r="ICK108" s="9"/>
      <c r="ICL108" s="9"/>
      <c r="ICM108" s="9"/>
      <c r="ICN108" s="9"/>
      <c r="ICO108" s="9"/>
      <c r="ICP108" s="9"/>
      <c r="ICQ108" s="9"/>
      <c r="ICR108" s="9"/>
      <c r="ICS108" s="9"/>
      <c r="ICT108" s="9"/>
      <c r="ICU108" s="9"/>
      <c r="ICV108" s="9"/>
      <c r="ICW108" s="9"/>
      <c r="ICX108" s="9"/>
      <c r="ICY108" s="9"/>
      <c r="ICZ108" s="9"/>
      <c r="IDA108" s="9"/>
      <c r="IDB108" s="9"/>
      <c r="IDC108" s="9"/>
      <c r="IDD108" s="9"/>
      <c r="IDE108" s="9"/>
      <c r="IDF108" s="9"/>
      <c r="IDG108" s="9"/>
      <c r="IDH108" s="9"/>
      <c r="IDI108" s="9"/>
      <c r="IDJ108" s="9"/>
      <c r="IDK108" s="9"/>
      <c r="IDL108" s="9"/>
      <c r="IDM108" s="9"/>
      <c r="IDN108" s="9"/>
      <c r="IDO108" s="9"/>
      <c r="IDP108" s="9"/>
      <c r="IDQ108" s="9"/>
      <c r="IDR108" s="9"/>
      <c r="IDS108" s="9"/>
      <c r="IDT108" s="9"/>
      <c r="IDU108" s="9"/>
      <c r="IDV108" s="9"/>
      <c r="IDW108" s="9"/>
      <c r="IDX108" s="9"/>
      <c r="IDY108" s="9"/>
      <c r="IDZ108" s="9"/>
      <c r="IEA108" s="9"/>
      <c r="IEB108" s="9"/>
      <c r="IEC108" s="9"/>
      <c r="IED108" s="9"/>
      <c r="IEE108" s="9"/>
      <c r="IEF108" s="9"/>
      <c r="IEG108" s="9"/>
      <c r="IEH108" s="9"/>
      <c r="IEI108" s="9"/>
      <c r="IEJ108" s="9"/>
      <c r="IEK108" s="9"/>
      <c r="IEL108" s="9"/>
      <c r="IEM108" s="9"/>
      <c r="IEN108" s="9"/>
      <c r="IEO108" s="9"/>
      <c r="IEP108" s="9"/>
      <c r="IEQ108" s="9"/>
      <c r="IER108" s="9"/>
      <c r="IES108" s="9"/>
      <c r="IET108" s="9"/>
      <c r="IEU108" s="9"/>
      <c r="IEV108" s="9"/>
      <c r="IEW108" s="9"/>
      <c r="IEX108" s="9"/>
      <c r="IEY108" s="9"/>
      <c r="IEZ108" s="9"/>
      <c r="IFA108" s="9"/>
      <c r="IFB108" s="9"/>
      <c r="IFC108" s="9"/>
      <c r="IFD108" s="9"/>
      <c r="IFE108" s="9"/>
      <c r="IFF108" s="9"/>
      <c r="IFG108" s="9"/>
      <c r="IFH108" s="9"/>
      <c r="IFI108" s="9"/>
      <c r="IFJ108" s="9"/>
      <c r="IFK108" s="9"/>
      <c r="IFL108" s="9"/>
      <c r="IFM108" s="9"/>
      <c r="IFN108" s="9"/>
      <c r="IFO108" s="9"/>
      <c r="IFP108" s="9"/>
      <c r="IFQ108" s="9"/>
      <c r="IFR108" s="9"/>
      <c r="IFS108" s="9"/>
      <c r="IFT108" s="9"/>
      <c r="IFU108" s="9"/>
      <c r="IFV108" s="9"/>
      <c r="IFW108" s="9"/>
      <c r="IFX108" s="9"/>
      <c r="IFY108" s="9"/>
      <c r="IFZ108" s="9"/>
      <c r="IGA108" s="9"/>
      <c r="IGB108" s="9"/>
      <c r="IGC108" s="9"/>
      <c r="IGD108" s="9"/>
      <c r="IGE108" s="9"/>
      <c r="IGF108" s="9"/>
      <c r="IGG108" s="9"/>
      <c r="IGH108" s="9"/>
      <c r="IGI108" s="9"/>
      <c r="IGJ108" s="9"/>
      <c r="IGK108" s="9"/>
      <c r="IGL108" s="9"/>
      <c r="IGM108" s="9"/>
      <c r="IGN108" s="9"/>
      <c r="IGO108" s="9"/>
      <c r="IGP108" s="9"/>
      <c r="IGQ108" s="9"/>
      <c r="IGR108" s="9"/>
      <c r="IGS108" s="9"/>
      <c r="IGT108" s="9"/>
      <c r="IGU108" s="9"/>
      <c r="IGV108" s="9"/>
      <c r="IGW108" s="9"/>
      <c r="IGX108" s="9"/>
      <c r="IGY108" s="9"/>
      <c r="IGZ108" s="9"/>
      <c r="IHA108" s="9"/>
      <c r="IHB108" s="9"/>
      <c r="IHC108" s="9"/>
      <c r="IHD108" s="9"/>
      <c r="IHE108" s="9"/>
      <c r="IHF108" s="9"/>
      <c r="IHG108" s="9"/>
      <c r="IHH108" s="9"/>
      <c r="IHI108" s="9"/>
      <c r="IHJ108" s="9"/>
      <c r="IHK108" s="9"/>
      <c r="IHL108" s="9"/>
      <c r="IHM108" s="9"/>
      <c r="IHN108" s="9"/>
      <c r="IHO108" s="9"/>
      <c r="IHP108" s="9"/>
      <c r="IHQ108" s="9"/>
      <c r="IHR108" s="9"/>
      <c r="IHS108" s="9"/>
      <c r="IHT108" s="9"/>
      <c r="IHU108" s="9"/>
      <c r="IHV108" s="9"/>
      <c r="IHW108" s="9"/>
      <c r="IHX108" s="9"/>
      <c r="IHY108" s="9"/>
      <c r="IHZ108" s="9"/>
      <c r="IIA108" s="9"/>
      <c r="IIB108" s="9"/>
      <c r="IIC108" s="9"/>
      <c r="IID108" s="9"/>
      <c r="IIE108" s="9"/>
      <c r="IIF108" s="9"/>
      <c r="IIG108" s="9"/>
      <c r="IIH108" s="9"/>
      <c r="III108" s="9"/>
      <c r="IIJ108" s="9"/>
      <c r="IIK108" s="9"/>
      <c r="IIL108" s="9"/>
      <c r="IIM108" s="9"/>
      <c r="IIN108" s="9"/>
      <c r="IIO108" s="9"/>
      <c r="IIP108" s="9"/>
      <c r="IIQ108" s="9"/>
      <c r="IIR108" s="9"/>
      <c r="IIS108" s="9"/>
      <c r="IIT108" s="9"/>
      <c r="IIU108" s="9"/>
      <c r="IIV108" s="9"/>
      <c r="IIW108" s="9"/>
      <c r="IIX108" s="9"/>
      <c r="IIY108" s="9"/>
      <c r="IIZ108" s="9"/>
      <c r="IJA108" s="9"/>
      <c r="IJB108" s="9"/>
      <c r="IJC108" s="9"/>
      <c r="IJD108" s="9"/>
      <c r="IJE108" s="9"/>
      <c r="IJF108" s="9"/>
      <c r="IJG108" s="9"/>
      <c r="IJH108" s="9"/>
      <c r="IJI108" s="9"/>
      <c r="IJJ108" s="9"/>
      <c r="IJK108" s="9"/>
      <c r="IJL108" s="9"/>
      <c r="IJM108" s="9"/>
      <c r="IJN108" s="9"/>
      <c r="IJO108" s="9"/>
      <c r="IJP108" s="9"/>
      <c r="IJQ108" s="9"/>
      <c r="IJR108" s="9"/>
      <c r="IJS108" s="9"/>
      <c r="IJT108" s="9"/>
      <c r="IJU108" s="9"/>
      <c r="IJV108" s="9"/>
      <c r="IJW108" s="9"/>
      <c r="IJX108" s="9"/>
      <c r="IJY108" s="9"/>
      <c r="IJZ108" s="9"/>
      <c r="IKA108" s="9"/>
      <c r="IKB108" s="9"/>
      <c r="IKC108" s="9"/>
      <c r="IKD108" s="9"/>
      <c r="IKE108" s="9"/>
      <c r="IKF108" s="9"/>
      <c r="IKG108" s="9"/>
      <c r="IKH108" s="9"/>
      <c r="IKI108" s="9"/>
      <c r="IKJ108" s="9"/>
      <c r="IKK108" s="9"/>
      <c r="IKL108" s="9"/>
      <c r="IKM108" s="9"/>
      <c r="IKN108" s="9"/>
      <c r="IKO108" s="9"/>
      <c r="IKP108" s="9"/>
      <c r="IKQ108" s="9"/>
      <c r="IKR108" s="9"/>
      <c r="IKS108" s="9"/>
      <c r="IKT108" s="9"/>
      <c r="IKU108" s="9"/>
      <c r="IKV108" s="9"/>
      <c r="IKW108" s="9"/>
      <c r="IKX108" s="9"/>
      <c r="IKY108" s="9"/>
      <c r="IKZ108" s="9"/>
      <c r="ILA108" s="9"/>
      <c r="ILB108" s="9"/>
      <c r="ILC108" s="9"/>
      <c r="ILD108" s="9"/>
      <c r="ILE108" s="9"/>
      <c r="ILF108" s="9"/>
      <c r="ILG108" s="9"/>
      <c r="ILH108" s="9"/>
      <c r="ILI108" s="9"/>
      <c r="ILJ108" s="9"/>
      <c r="ILK108" s="9"/>
      <c r="ILL108" s="9"/>
      <c r="ILM108" s="9"/>
      <c r="ILN108" s="9"/>
      <c r="ILO108" s="9"/>
      <c r="ILP108" s="9"/>
      <c r="ILQ108" s="9"/>
      <c r="ILR108" s="9"/>
      <c r="ILS108" s="9"/>
      <c r="ILT108" s="9"/>
      <c r="ILU108" s="9"/>
      <c r="ILV108" s="9"/>
      <c r="ILW108" s="9"/>
      <c r="ILX108" s="9"/>
      <c r="ILY108" s="9"/>
      <c r="ILZ108" s="9"/>
      <c r="IMA108" s="9"/>
      <c r="IMB108" s="9"/>
      <c r="IMC108" s="9"/>
      <c r="IMD108" s="9"/>
      <c r="IME108" s="9"/>
      <c r="IMF108" s="9"/>
      <c r="IMG108" s="9"/>
      <c r="IMH108" s="9"/>
      <c r="IMI108" s="9"/>
      <c r="IMJ108" s="9"/>
      <c r="IMK108" s="9"/>
      <c r="IML108" s="9"/>
      <c r="IMM108" s="9"/>
      <c r="IMN108" s="9"/>
      <c r="IMO108" s="9"/>
      <c r="IMP108" s="9"/>
      <c r="IMQ108" s="9"/>
      <c r="IMR108" s="9"/>
      <c r="IMS108" s="9"/>
      <c r="IMT108" s="9"/>
      <c r="IMU108" s="9"/>
      <c r="IMV108" s="9"/>
      <c r="IMW108" s="9"/>
      <c r="IMX108" s="9"/>
      <c r="IMY108" s="9"/>
      <c r="IMZ108" s="9"/>
      <c r="INA108" s="9"/>
      <c r="INB108" s="9"/>
      <c r="INC108" s="9"/>
      <c r="IND108" s="9"/>
      <c r="INE108" s="9"/>
      <c r="INF108" s="9"/>
      <c r="ING108" s="9"/>
      <c r="INH108" s="9"/>
      <c r="INI108" s="9"/>
      <c r="INJ108" s="9"/>
      <c r="INK108" s="9"/>
      <c r="INL108" s="9"/>
      <c r="INM108" s="9"/>
      <c r="INN108" s="9"/>
      <c r="INO108" s="9"/>
      <c r="INP108" s="9"/>
      <c r="INQ108" s="9"/>
      <c r="INR108" s="9"/>
      <c r="INS108" s="9"/>
      <c r="INT108" s="9"/>
      <c r="INU108" s="9"/>
      <c r="INV108" s="9"/>
      <c r="INW108" s="9"/>
      <c r="INX108" s="9"/>
      <c r="INY108" s="9"/>
      <c r="INZ108" s="9"/>
      <c r="IOA108" s="9"/>
      <c r="IOB108" s="9"/>
      <c r="IOC108" s="9"/>
      <c r="IOD108" s="9"/>
      <c r="IOE108" s="9"/>
      <c r="IOF108" s="9"/>
      <c r="IOG108" s="9"/>
      <c r="IOH108" s="9"/>
      <c r="IOI108" s="9"/>
      <c r="IOJ108" s="9"/>
      <c r="IOK108" s="9"/>
      <c r="IOL108" s="9"/>
      <c r="IOM108" s="9"/>
      <c r="ION108" s="9"/>
      <c r="IOO108" s="9"/>
      <c r="IOP108" s="9"/>
      <c r="IOQ108" s="9"/>
      <c r="IOR108" s="9"/>
      <c r="IOS108" s="9"/>
      <c r="IOT108" s="9"/>
      <c r="IOU108" s="9"/>
      <c r="IOV108" s="9"/>
      <c r="IOW108" s="9"/>
      <c r="IOX108" s="9"/>
      <c r="IOY108" s="9"/>
      <c r="IOZ108" s="9"/>
      <c r="IPA108" s="9"/>
      <c r="IPB108" s="9"/>
      <c r="IPC108" s="9"/>
      <c r="IPD108" s="9"/>
      <c r="IPE108" s="9"/>
      <c r="IPF108" s="9"/>
      <c r="IPG108" s="9"/>
      <c r="IPH108" s="9"/>
      <c r="IPI108" s="9"/>
      <c r="IPJ108" s="9"/>
      <c r="IPK108" s="9"/>
      <c r="IPL108" s="9"/>
      <c r="IPM108" s="9"/>
      <c r="IPN108" s="9"/>
      <c r="IPO108" s="9"/>
      <c r="IPP108" s="9"/>
      <c r="IPQ108" s="9"/>
      <c r="IPR108" s="9"/>
      <c r="IPS108" s="9"/>
      <c r="IPT108" s="9"/>
      <c r="IPU108" s="9"/>
      <c r="IPV108" s="9"/>
      <c r="IPW108" s="9"/>
      <c r="IPX108" s="9"/>
      <c r="IPY108" s="9"/>
      <c r="IPZ108" s="9"/>
      <c r="IQA108" s="9"/>
      <c r="IQB108" s="9"/>
      <c r="IQC108" s="9"/>
      <c r="IQD108" s="9"/>
      <c r="IQE108" s="9"/>
      <c r="IQF108" s="9"/>
      <c r="IQG108" s="9"/>
      <c r="IQH108" s="9"/>
      <c r="IQI108" s="9"/>
      <c r="IQJ108" s="9"/>
      <c r="IQK108" s="9"/>
      <c r="IQL108" s="9"/>
      <c r="IQM108" s="9"/>
      <c r="IQN108" s="9"/>
      <c r="IQO108" s="9"/>
      <c r="IQP108" s="9"/>
      <c r="IQQ108" s="9"/>
      <c r="IQR108" s="9"/>
      <c r="IQS108" s="9"/>
      <c r="IQT108" s="9"/>
      <c r="IQU108" s="9"/>
      <c r="IQV108" s="9"/>
      <c r="IQW108" s="9"/>
      <c r="IQX108" s="9"/>
      <c r="IQY108" s="9"/>
      <c r="IQZ108" s="9"/>
      <c r="IRA108" s="9"/>
      <c r="IRB108" s="9"/>
      <c r="IRC108" s="9"/>
      <c r="IRD108" s="9"/>
      <c r="IRE108" s="9"/>
      <c r="IRF108" s="9"/>
      <c r="IRG108" s="9"/>
      <c r="IRH108" s="9"/>
      <c r="IRI108" s="9"/>
      <c r="IRJ108" s="9"/>
      <c r="IRK108" s="9"/>
      <c r="IRL108" s="9"/>
      <c r="IRM108" s="9"/>
      <c r="IRN108" s="9"/>
      <c r="IRO108" s="9"/>
      <c r="IRP108" s="9"/>
      <c r="IRQ108" s="9"/>
      <c r="IRR108" s="9"/>
      <c r="IRS108" s="9"/>
      <c r="IRT108" s="9"/>
      <c r="IRU108" s="9"/>
      <c r="IRV108" s="9"/>
      <c r="IRW108" s="9"/>
      <c r="IRX108" s="9"/>
      <c r="IRY108" s="9"/>
      <c r="IRZ108" s="9"/>
      <c r="ISA108" s="9"/>
      <c r="ISB108" s="9"/>
      <c r="ISC108" s="9"/>
      <c r="ISD108" s="9"/>
      <c r="ISE108" s="9"/>
      <c r="ISF108" s="9"/>
      <c r="ISG108" s="9"/>
      <c r="ISH108" s="9"/>
      <c r="ISI108" s="9"/>
      <c r="ISJ108" s="9"/>
      <c r="ISK108" s="9"/>
      <c r="ISL108" s="9"/>
      <c r="ISM108" s="9"/>
      <c r="ISN108" s="9"/>
      <c r="ISO108" s="9"/>
      <c r="ISP108" s="9"/>
      <c r="ISQ108" s="9"/>
      <c r="ISR108" s="9"/>
      <c r="ISS108" s="9"/>
      <c r="IST108" s="9"/>
      <c r="ISU108" s="9"/>
      <c r="ISV108" s="9"/>
      <c r="ISW108" s="9"/>
      <c r="ISX108" s="9"/>
      <c r="ISY108" s="9"/>
      <c r="ISZ108" s="9"/>
      <c r="ITA108" s="9"/>
      <c r="ITB108" s="9"/>
      <c r="ITC108" s="9"/>
      <c r="ITD108" s="9"/>
      <c r="ITE108" s="9"/>
      <c r="ITF108" s="9"/>
      <c r="ITG108" s="9"/>
      <c r="ITH108" s="9"/>
      <c r="ITI108" s="9"/>
      <c r="ITJ108" s="9"/>
      <c r="ITK108" s="9"/>
      <c r="ITL108" s="9"/>
      <c r="ITM108" s="9"/>
      <c r="ITN108" s="9"/>
      <c r="ITO108" s="9"/>
      <c r="ITP108" s="9"/>
      <c r="ITQ108" s="9"/>
      <c r="ITR108" s="9"/>
      <c r="ITS108" s="9"/>
      <c r="ITT108" s="9"/>
      <c r="ITU108" s="9"/>
      <c r="ITV108" s="9"/>
      <c r="ITW108" s="9"/>
      <c r="ITX108" s="9"/>
      <c r="ITY108" s="9"/>
      <c r="ITZ108" s="9"/>
      <c r="IUA108" s="9"/>
      <c r="IUB108" s="9"/>
      <c r="IUC108" s="9"/>
      <c r="IUD108" s="9"/>
      <c r="IUE108" s="9"/>
      <c r="IUF108" s="9"/>
      <c r="IUG108" s="9"/>
      <c r="IUH108" s="9"/>
      <c r="IUI108" s="9"/>
      <c r="IUJ108" s="9"/>
      <c r="IUK108" s="9"/>
      <c r="IUL108" s="9"/>
      <c r="IUM108" s="9"/>
      <c r="IUN108" s="9"/>
      <c r="IUO108" s="9"/>
      <c r="IUP108" s="9"/>
      <c r="IUQ108" s="9"/>
      <c r="IUR108" s="9"/>
      <c r="IUS108" s="9"/>
      <c r="IUT108" s="9"/>
      <c r="IUU108" s="9"/>
      <c r="IUV108" s="9"/>
      <c r="IUW108" s="9"/>
      <c r="IUX108" s="9"/>
      <c r="IUY108" s="9"/>
      <c r="IUZ108" s="9"/>
      <c r="IVA108" s="9"/>
      <c r="IVB108" s="9"/>
      <c r="IVC108" s="9"/>
      <c r="IVD108" s="9"/>
      <c r="IVE108" s="9"/>
      <c r="IVF108" s="9"/>
      <c r="IVG108" s="9"/>
      <c r="IVH108" s="9"/>
      <c r="IVI108" s="9"/>
      <c r="IVJ108" s="9"/>
      <c r="IVK108" s="9"/>
      <c r="IVL108" s="9"/>
      <c r="IVM108" s="9"/>
      <c r="IVN108" s="9"/>
      <c r="IVO108" s="9"/>
      <c r="IVP108" s="9"/>
      <c r="IVQ108" s="9"/>
      <c r="IVR108" s="9"/>
      <c r="IVS108" s="9"/>
      <c r="IVT108" s="9"/>
      <c r="IVU108" s="9"/>
      <c r="IVV108" s="9"/>
      <c r="IVW108" s="9"/>
      <c r="IVX108" s="9"/>
      <c r="IVY108" s="9"/>
      <c r="IVZ108" s="9"/>
      <c r="IWA108" s="9"/>
      <c r="IWB108" s="9"/>
      <c r="IWC108" s="9"/>
      <c r="IWD108" s="9"/>
      <c r="IWE108" s="9"/>
      <c r="IWF108" s="9"/>
      <c r="IWG108" s="9"/>
      <c r="IWH108" s="9"/>
      <c r="IWI108" s="9"/>
      <c r="IWJ108" s="9"/>
      <c r="IWK108" s="9"/>
      <c r="IWL108" s="9"/>
      <c r="IWM108" s="9"/>
      <c r="IWN108" s="9"/>
      <c r="IWO108" s="9"/>
      <c r="IWP108" s="9"/>
      <c r="IWQ108" s="9"/>
      <c r="IWR108" s="9"/>
      <c r="IWS108" s="9"/>
      <c r="IWT108" s="9"/>
      <c r="IWU108" s="9"/>
      <c r="IWV108" s="9"/>
      <c r="IWW108" s="9"/>
      <c r="IWX108" s="9"/>
      <c r="IWY108" s="9"/>
      <c r="IWZ108" s="9"/>
      <c r="IXA108" s="9"/>
      <c r="IXB108" s="9"/>
      <c r="IXC108" s="9"/>
      <c r="IXD108" s="9"/>
      <c r="IXE108" s="9"/>
      <c r="IXF108" s="9"/>
      <c r="IXG108" s="9"/>
      <c r="IXH108" s="9"/>
      <c r="IXI108" s="9"/>
      <c r="IXJ108" s="9"/>
      <c r="IXK108" s="9"/>
      <c r="IXL108" s="9"/>
      <c r="IXM108" s="9"/>
      <c r="IXN108" s="9"/>
      <c r="IXO108" s="9"/>
      <c r="IXP108" s="9"/>
      <c r="IXQ108" s="9"/>
      <c r="IXR108" s="9"/>
      <c r="IXS108" s="9"/>
      <c r="IXT108" s="9"/>
      <c r="IXU108" s="9"/>
      <c r="IXV108" s="9"/>
      <c r="IXW108" s="9"/>
      <c r="IXX108" s="9"/>
      <c r="IXY108" s="9"/>
      <c r="IXZ108" s="9"/>
      <c r="IYA108" s="9"/>
      <c r="IYB108" s="9"/>
      <c r="IYC108" s="9"/>
      <c r="IYD108" s="9"/>
      <c r="IYE108" s="9"/>
      <c r="IYF108" s="9"/>
      <c r="IYG108" s="9"/>
      <c r="IYH108" s="9"/>
      <c r="IYI108" s="9"/>
      <c r="IYJ108" s="9"/>
      <c r="IYK108" s="9"/>
      <c r="IYL108" s="9"/>
      <c r="IYM108" s="9"/>
      <c r="IYN108" s="9"/>
      <c r="IYO108" s="9"/>
      <c r="IYP108" s="9"/>
      <c r="IYQ108" s="9"/>
      <c r="IYR108" s="9"/>
      <c r="IYS108" s="9"/>
      <c r="IYT108" s="9"/>
      <c r="IYU108" s="9"/>
      <c r="IYV108" s="9"/>
      <c r="IYW108" s="9"/>
      <c r="IYX108" s="9"/>
      <c r="IYY108" s="9"/>
      <c r="IYZ108" s="9"/>
      <c r="IZA108" s="9"/>
      <c r="IZB108" s="9"/>
      <c r="IZC108" s="9"/>
      <c r="IZD108" s="9"/>
      <c r="IZE108" s="9"/>
      <c r="IZF108" s="9"/>
      <c r="IZG108" s="9"/>
      <c r="IZH108" s="9"/>
      <c r="IZI108" s="9"/>
      <c r="IZJ108" s="9"/>
      <c r="IZK108" s="9"/>
      <c r="IZL108" s="9"/>
      <c r="IZM108" s="9"/>
      <c r="IZN108" s="9"/>
      <c r="IZO108" s="9"/>
      <c r="IZP108" s="9"/>
      <c r="IZQ108" s="9"/>
      <c r="IZR108" s="9"/>
      <c r="IZS108" s="9"/>
      <c r="IZT108" s="9"/>
      <c r="IZU108" s="9"/>
      <c r="IZV108" s="9"/>
      <c r="IZW108" s="9"/>
      <c r="IZX108" s="9"/>
      <c r="IZY108" s="9"/>
      <c r="IZZ108" s="9"/>
      <c r="JAA108" s="9"/>
      <c r="JAB108" s="9"/>
      <c r="JAC108" s="9"/>
      <c r="JAD108" s="9"/>
      <c r="JAE108" s="9"/>
      <c r="JAF108" s="9"/>
      <c r="JAG108" s="9"/>
      <c r="JAH108" s="9"/>
      <c r="JAI108" s="9"/>
      <c r="JAJ108" s="9"/>
      <c r="JAK108" s="9"/>
      <c r="JAL108" s="9"/>
      <c r="JAM108" s="9"/>
      <c r="JAN108" s="9"/>
      <c r="JAO108" s="9"/>
      <c r="JAP108" s="9"/>
      <c r="JAQ108" s="9"/>
      <c r="JAR108" s="9"/>
      <c r="JAS108" s="9"/>
      <c r="JAT108" s="9"/>
      <c r="JAU108" s="9"/>
      <c r="JAV108" s="9"/>
      <c r="JAW108" s="9"/>
      <c r="JAX108" s="9"/>
      <c r="JAY108" s="9"/>
      <c r="JAZ108" s="9"/>
      <c r="JBA108" s="9"/>
      <c r="JBB108" s="9"/>
      <c r="JBC108" s="9"/>
      <c r="JBD108" s="9"/>
      <c r="JBE108" s="9"/>
      <c r="JBF108" s="9"/>
      <c r="JBG108" s="9"/>
      <c r="JBH108" s="9"/>
      <c r="JBI108" s="9"/>
      <c r="JBJ108" s="9"/>
      <c r="JBK108" s="9"/>
      <c r="JBL108" s="9"/>
      <c r="JBM108" s="9"/>
      <c r="JBN108" s="9"/>
      <c r="JBO108" s="9"/>
      <c r="JBP108" s="9"/>
      <c r="JBQ108" s="9"/>
      <c r="JBR108" s="9"/>
      <c r="JBS108" s="9"/>
      <c r="JBT108" s="9"/>
      <c r="JBU108" s="9"/>
      <c r="JBV108" s="9"/>
      <c r="JBW108" s="9"/>
      <c r="JBX108" s="9"/>
      <c r="JBY108" s="9"/>
      <c r="JBZ108" s="9"/>
      <c r="JCA108" s="9"/>
      <c r="JCB108" s="9"/>
      <c r="JCC108" s="9"/>
      <c r="JCD108" s="9"/>
      <c r="JCE108" s="9"/>
      <c r="JCF108" s="9"/>
      <c r="JCG108" s="9"/>
      <c r="JCH108" s="9"/>
      <c r="JCI108" s="9"/>
      <c r="JCJ108" s="9"/>
      <c r="JCK108" s="9"/>
      <c r="JCL108" s="9"/>
      <c r="JCM108" s="9"/>
      <c r="JCN108" s="9"/>
      <c r="JCO108" s="9"/>
      <c r="JCP108" s="9"/>
      <c r="JCQ108" s="9"/>
      <c r="JCR108" s="9"/>
      <c r="JCS108" s="9"/>
      <c r="JCT108" s="9"/>
      <c r="JCU108" s="9"/>
      <c r="JCV108" s="9"/>
      <c r="JCW108" s="9"/>
      <c r="JCX108" s="9"/>
      <c r="JCY108" s="9"/>
      <c r="JCZ108" s="9"/>
      <c r="JDA108" s="9"/>
      <c r="JDB108" s="9"/>
      <c r="JDC108" s="9"/>
      <c r="JDD108" s="9"/>
      <c r="JDE108" s="9"/>
      <c r="JDF108" s="9"/>
      <c r="JDG108" s="9"/>
      <c r="JDH108" s="9"/>
      <c r="JDI108" s="9"/>
      <c r="JDJ108" s="9"/>
      <c r="JDK108" s="9"/>
      <c r="JDL108" s="9"/>
      <c r="JDM108" s="9"/>
      <c r="JDN108" s="9"/>
      <c r="JDO108" s="9"/>
      <c r="JDP108" s="9"/>
      <c r="JDQ108" s="9"/>
      <c r="JDR108" s="9"/>
      <c r="JDS108" s="9"/>
      <c r="JDT108" s="9"/>
      <c r="JDU108" s="9"/>
      <c r="JDV108" s="9"/>
      <c r="JDW108" s="9"/>
      <c r="JDX108" s="9"/>
      <c r="JDY108" s="9"/>
      <c r="JDZ108" s="9"/>
      <c r="JEA108" s="9"/>
      <c r="JEB108" s="9"/>
      <c r="JEC108" s="9"/>
      <c r="JED108" s="9"/>
      <c r="JEE108" s="9"/>
      <c r="JEF108" s="9"/>
      <c r="JEG108" s="9"/>
      <c r="JEH108" s="9"/>
      <c r="JEI108" s="9"/>
      <c r="JEJ108" s="9"/>
      <c r="JEK108" s="9"/>
      <c r="JEL108" s="9"/>
      <c r="JEM108" s="9"/>
      <c r="JEN108" s="9"/>
      <c r="JEO108" s="9"/>
      <c r="JEP108" s="9"/>
      <c r="JEQ108" s="9"/>
      <c r="JER108" s="9"/>
      <c r="JES108" s="9"/>
      <c r="JET108" s="9"/>
      <c r="JEU108" s="9"/>
      <c r="JEV108" s="9"/>
      <c r="JEW108" s="9"/>
      <c r="JEX108" s="9"/>
      <c r="JEY108" s="9"/>
      <c r="JEZ108" s="9"/>
      <c r="JFA108" s="9"/>
      <c r="JFB108" s="9"/>
      <c r="JFC108" s="9"/>
      <c r="JFD108" s="9"/>
      <c r="JFE108" s="9"/>
      <c r="JFF108" s="9"/>
      <c r="JFG108" s="9"/>
      <c r="JFH108" s="9"/>
      <c r="JFI108" s="9"/>
      <c r="JFJ108" s="9"/>
      <c r="JFK108" s="9"/>
      <c r="JFL108" s="9"/>
      <c r="JFM108" s="9"/>
      <c r="JFN108" s="9"/>
      <c r="JFO108" s="9"/>
      <c r="JFP108" s="9"/>
      <c r="JFQ108" s="9"/>
      <c r="JFR108" s="9"/>
      <c r="JFS108" s="9"/>
      <c r="JFT108" s="9"/>
      <c r="JFU108" s="9"/>
      <c r="JFV108" s="9"/>
      <c r="JFW108" s="9"/>
      <c r="JFX108" s="9"/>
      <c r="JFY108" s="9"/>
      <c r="JFZ108" s="9"/>
      <c r="JGA108" s="9"/>
      <c r="JGB108" s="9"/>
      <c r="JGC108" s="9"/>
      <c r="JGD108" s="9"/>
      <c r="JGE108" s="9"/>
      <c r="JGF108" s="9"/>
      <c r="JGG108" s="9"/>
      <c r="JGH108" s="9"/>
      <c r="JGI108" s="9"/>
      <c r="JGJ108" s="9"/>
      <c r="JGK108" s="9"/>
      <c r="JGL108" s="9"/>
      <c r="JGM108" s="9"/>
      <c r="JGN108" s="9"/>
      <c r="JGO108" s="9"/>
      <c r="JGP108" s="9"/>
      <c r="JGQ108" s="9"/>
      <c r="JGR108" s="9"/>
      <c r="JGS108" s="9"/>
      <c r="JGT108" s="9"/>
      <c r="JGU108" s="9"/>
      <c r="JGV108" s="9"/>
      <c r="JGW108" s="9"/>
      <c r="JGX108" s="9"/>
      <c r="JGY108" s="9"/>
      <c r="JGZ108" s="9"/>
      <c r="JHA108" s="9"/>
      <c r="JHB108" s="9"/>
      <c r="JHC108" s="9"/>
      <c r="JHD108" s="9"/>
      <c r="JHE108" s="9"/>
      <c r="JHF108" s="9"/>
      <c r="JHG108" s="9"/>
      <c r="JHH108" s="9"/>
      <c r="JHI108" s="9"/>
      <c r="JHJ108" s="9"/>
      <c r="JHK108" s="9"/>
      <c r="JHL108" s="9"/>
      <c r="JHM108" s="9"/>
      <c r="JHN108" s="9"/>
      <c r="JHO108" s="9"/>
      <c r="JHP108" s="9"/>
      <c r="JHQ108" s="9"/>
      <c r="JHR108" s="9"/>
      <c r="JHS108" s="9"/>
      <c r="JHT108" s="9"/>
      <c r="JHU108" s="9"/>
      <c r="JHV108" s="9"/>
      <c r="JHW108" s="9"/>
      <c r="JHX108" s="9"/>
      <c r="JHY108" s="9"/>
      <c r="JHZ108" s="9"/>
      <c r="JIA108" s="9"/>
      <c r="JIB108" s="9"/>
      <c r="JIC108" s="9"/>
      <c r="JID108" s="9"/>
      <c r="JIE108" s="9"/>
      <c r="JIF108" s="9"/>
      <c r="JIG108" s="9"/>
      <c r="JIH108" s="9"/>
      <c r="JII108" s="9"/>
      <c r="JIJ108" s="9"/>
      <c r="JIK108" s="9"/>
      <c r="JIL108" s="9"/>
      <c r="JIM108" s="9"/>
      <c r="JIN108" s="9"/>
      <c r="JIO108" s="9"/>
      <c r="JIP108" s="9"/>
      <c r="JIQ108" s="9"/>
      <c r="JIR108" s="9"/>
      <c r="JIS108" s="9"/>
      <c r="JIT108" s="9"/>
      <c r="JIU108" s="9"/>
      <c r="JIV108" s="9"/>
      <c r="JIW108" s="9"/>
      <c r="JIX108" s="9"/>
      <c r="JIY108" s="9"/>
      <c r="JIZ108" s="9"/>
      <c r="JJA108" s="9"/>
      <c r="JJB108" s="9"/>
      <c r="JJC108" s="9"/>
      <c r="JJD108" s="9"/>
      <c r="JJE108" s="9"/>
      <c r="JJF108" s="9"/>
      <c r="JJG108" s="9"/>
      <c r="JJH108" s="9"/>
      <c r="JJI108" s="9"/>
      <c r="JJJ108" s="9"/>
      <c r="JJK108" s="9"/>
      <c r="JJL108" s="9"/>
      <c r="JJM108" s="9"/>
      <c r="JJN108" s="9"/>
      <c r="JJO108" s="9"/>
      <c r="JJP108" s="9"/>
      <c r="JJQ108" s="9"/>
      <c r="JJR108" s="9"/>
      <c r="JJS108" s="9"/>
      <c r="JJT108" s="9"/>
      <c r="JJU108" s="9"/>
      <c r="JJV108" s="9"/>
      <c r="JJW108" s="9"/>
      <c r="JJX108" s="9"/>
      <c r="JJY108" s="9"/>
      <c r="JJZ108" s="9"/>
      <c r="JKA108" s="9"/>
      <c r="JKB108" s="9"/>
      <c r="JKC108" s="9"/>
      <c r="JKD108" s="9"/>
      <c r="JKE108" s="9"/>
      <c r="JKF108" s="9"/>
      <c r="JKG108" s="9"/>
      <c r="JKH108" s="9"/>
      <c r="JKI108" s="9"/>
      <c r="JKJ108" s="9"/>
      <c r="JKK108" s="9"/>
      <c r="JKL108" s="9"/>
      <c r="JKM108" s="9"/>
      <c r="JKN108" s="9"/>
      <c r="JKO108" s="9"/>
      <c r="JKP108" s="9"/>
      <c r="JKQ108" s="9"/>
      <c r="JKR108" s="9"/>
      <c r="JKS108" s="9"/>
      <c r="JKT108" s="9"/>
      <c r="JKU108" s="9"/>
      <c r="JKV108" s="9"/>
      <c r="JKW108" s="9"/>
      <c r="JKX108" s="9"/>
      <c r="JKY108" s="9"/>
      <c r="JKZ108" s="9"/>
      <c r="JLA108" s="9"/>
      <c r="JLB108" s="9"/>
      <c r="JLC108" s="9"/>
      <c r="JLD108" s="9"/>
      <c r="JLE108" s="9"/>
      <c r="JLF108" s="9"/>
      <c r="JLG108" s="9"/>
      <c r="JLH108" s="9"/>
      <c r="JLI108" s="9"/>
      <c r="JLJ108" s="9"/>
      <c r="JLK108" s="9"/>
      <c r="JLL108" s="9"/>
      <c r="JLM108" s="9"/>
      <c r="JLN108" s="9"/>
      <c r="JLO108" s="9"/>
      <c r="JLP108" s="9"/>
      <c r="JLQ108" s="9"/>
      <c r="JLR108" s="9"/>
      <c r="JLS108" s="9"/>
      <c r="JLT108" s="9"/>
      <c r="JLU108" s="9"/>
      <c r="JLV108" s="9"/>
      <c r="JLW108" s="9"/>
      <c r="JLX108" s="9"/>
      <c r="JLY108" s="9"/>
      <c r="JLZ108" s="9"/>
      <c r="JMA108" s="9"/>
      <c r="JMB108" s="9"/>
      <c r="JMC108" s="9"/>
      <c r="JMD108" s="9"/>
      <c r="JME108" s="9"/>
      <c r="JMF108" s="9"/>
      <c r="JMG108" s="9"/>
      <c r="JMH108" s="9"/>
      <c r="JMI108" s="9"/>
      <c r="JMJ108" s="9"/>
      <c r="JMK108" s="9"/>
      <c r="JML108" s="9"/>
      <c r="JMM108" s="9"/>
      <c r="JMN108" s="9"/>
      <c r="JMO108" s="9"/>
      <c r="JMP108" s="9"/>
      <c r="JMQ108" s="9"/>
      <c r="JMR108" s="9"/>
      <c r="JMS108" s="9"/>
      <c r="JMT108" s="9"/>
      <c r="JMU108" s="9"/>
      <c r="JMV108" s="9"/>
      <c r="JMW108" s="9"/>
      <c r="JMX108" s="9"/>
      <c r="JMY108" s="9"/>
      <c r="JMZ108" s="9"/>
      <c r="JNA108" s="9"/>
      <c r="JNB108" s="9"/>
      <c r="JNC108" s="9"/>
      <c r="JND108" s="9"/>
      <c r="JNE108" s="9"/>
      <c r="JNF108" s="9"/>
      <c r="JNG108" s="9"/>
      <c r="JNH108" s="9"/>
      <c r="JNI108" s="9"/>
      <c r="JNJ108" s="9"/>
      <c r="JNK108" s="9"/>
      <c r="JNL108" s="9"/>
      <c r="JNM108" s="9"/>
      <c r="JNN108" s="9"/>
      <c r="JNO108" s="9"/>
      <c r="JNP108" s="9"/>
      <c r="JNQ108" s="9"/>
      <c r="JNR108" s="9"/>
      <c r="JNS108" s="9"/>
      <c r="JNT108" s="9"/>
      <c r="JNU108" s="9"/>
      <c r="JNV108" s="9"/>
      <c r="JNW108" s="9"/>
      <c r="JNX108" s="9"/>
      <c r="JNY108" s="9"/>
      <c r="JNZ108" s="9"/>
      <c r="JOA108" s="9"/>
      <c r="JOB108" s="9"/>
      <c r="JOC108" s="9"/>
      <c r="JOD108" s="9"/>
      <c r="JOE108" s="9"/>
      <c r="JOF108" s="9"/>
      <c r="JOG108" s="9"/>
      <c r="JOH108" s="9"/>
      <c r="JOI108" s="9"/>
      <c r="JOJ108" s="9"/>
      <c r="JOK108" s="9"/>
      <c r="JOL108" s="9"/>
      <c r="JOM108" s="9"/>
      <c r="JON108" s="9"/>
      <c r="JOO108" s="9"/>
      <c r="JOP108" s="9"/>
      <c r="JOQ108" s="9"/>
      <c r="JOR108" s="9"/>
      <c r="JOS108" s="9"/>
      <c r="JOT108" s="9"/>
      <c r="JOU108" s="9"/>
      <c r="JOV108" s="9"/>
      <c r="JOW108" s="9"/>
      <c r="JOX108" s="9"/>
      <c r="JOY108" s="9"/>
      <c r="JOZ108" s="9"/>
      <c r="JPA108" s="9"/>
      <c r="JPB108" s="9"/>
      <c r="JPC108" s="9"/>
      <c r="JPD108" s="9"/>
      <c r="JPE108" s="9"/>
      <c r="JPF108" s="9"/>
      <c r="JPG108" s="9"/>
      <c r="JPH108" s="9"/>
      <c r="JPI108" s="9"/>
      <c r="JPJ108" s="9"/>
      <c r="JPK108" s="9"/>
      <c r="JPL108" s="9"/>
      <c r="JPM108" s="9"/>
      <c r="JPN108" s="9"/>
      <c r="JPO108" s="9"/>
      <c r="JPP108" s="9"/>
      <c r="JPQ108" s="9"/>
      <c r="JPR108" s="9"/>
      <c r="JPS108" s="9"/>
      <c r="JPT108" s="9"/>
      <c r="JPU108" s="9"/>
      <c r="JPV108" s="9"/>
      <c r="JPW108" s="9"/>
      <c r="JPX108" s="9"/>
      <c r="JPY108" s="9"/>
      <c r="JPZ108" s="9"/>
      <c r="JQA108" s="9"/>
      <c r="JQB108" s="9"/>
      <c r="JQC108" s="9"/>
      <c r="JQD108" s="9"/>
      <c r="JQE108" s="9"/>
      <c r="JQF108" s="9"/>
      <c r="JQG108" s="9"/>
      <c r="JQH108" s="9"/>
      <c r="JQI108" s="9"/>
      <c r="JQJ108" s="9"/>
      <c r="JQK108" s="9"/>
      <c r="JQL108" s="9"/>
      <c r="JQM108" s="9"/>
      <c r="JQN108" s="9"/>
      <c r="JQO108" s="9"/>
      <c r="JQP108" s="9"/>
      <c r="JQQ108" s="9"/>
      <c r="JQR108" s="9"/>
      <c r="JQS108" s="9"/>
      <c r="JQT108" s="9"/>
      <c r="JQU108" s="9"/>
      <c r="JQV108" s="9"/>
      <c r="JQW108" s="9"/>
      <c r="JQX108" s="9"/>
      <c r="JQY108" s="9"/>
      <c r="JQZ108" s="9"/>
      <c r="JRA108" s="9"/>
      <c r="JRB108" s="9"/>
      <c r="JRC108" s="9"/>
      <c r="JRD108" s="9"/>
      <c r="JRE108" s="9"/>
      <c r="JRF108" s="9"/>
      <c r="JRG108" s="9"/>
      <c r="JRH108" s="9"/>
      <c r="JRI108" s="9"/>
      <c r="JRJ108" s="9"/>
      <c r="JRK108" s="9"/>
      <c r="JRL108" s="9"/>
      <c r="JRM108" s="9"/>
      <c r="JRN108" s="9"/>
      <c r="JRO108" s="9"/>
      <c r="JRP108" s="9"/>
      <c r="JRQ108" s="9"/>
      <c r="JRR108" s="9"/>
      <c r="JRS108" s="9"/>
      <c r="JRT108" s="9"/>
      <c r="JRU108" s="9"/>
      <c r="JRV108" s="9"/>
      <c r="JRW108" s="9"/>
      <c r="JRX108" s="9"/>
      <c r="JRY108" s="9"/>
      <c r="JRZ108" s="9"/>
      <c r="JSA108" s="9"/>
      <c r="JSB108" s="9"/>
      <c r="JSC108" s="9"/>
      <c r="JSD108" s="9"/>
      <c r="JSE108" s="9"/>
      <c r="JSF108" s="9"/>
      <c r="JSG108" s="9"/>
      <c r="JSH108" s="9"/>
      <c r="JSI108" s="9"/>
      <c r="JSJ108" s="9"/>
      <c r="JSK108" s="9"/>
      <c r="JSL108" s="9"/>
      <c r="JSM108" s="9"/>
      <c r="JSN108" s="9"/>
      <c r="JSO108" s="9"/>
      <c r="JSP108" s="9"/>
      <c r="JSQ108" s="9"/>
      <c r="JSR108" s="9"/>
      <c r="JSS108" s="9"/>
      <c r="JST108" s="9"/>
      <c r="JSU108" s="9"/>
      <c r="JSV108" s="9"/>
      <c r="JSW108" s="9"/>
      <c r="JSX108" s="9"/>
      <c r="JSY108" s="9"/>
      <c r="JSZ108" s="9"/>
      <c r="JTA108" s="9"/>
      <c r="JTB108" s="9"/>
      <c r="JTC108" s="9"/>
      <c r="JTD108" s="9"/>
      <c r="JTE108" s="9"/>
      <c r="JTF108" s="9"/>
      <c r="JTG108" s="9"/>
      <c r="JTH108" s="9"/>
      <c r="JTI108" s="9"/>
      <c r="JTJ108" s="9"/>
      <c r="JTK108" s="9"/>
      <c r="JTL108" s="9"/>
      <c r="JTM108" s="9"/>
      <c r="JTN108" s="9"/>
      <c r="JTO108" s="9"/>
      <c r="JTP108" s="9"/>
      <c r="JTQ108" s="9"/>
      <c r="JTR108" s="9"/>
      <c r="JTS108" s="9"/>
      <c r="JTT108" s="9"/>
      <c r="JTU108" s="9"/>
      <c r="JTV108" s="9"/>
      <c r="JTW108" s="9"/>
      <c r="JTX108" s="9"/>
      <c r="JTY108" s="9"/>
      <c r="JTZ108" s="9"/>
      <c r="JUA108" s="9"/>
      <c r="JUB108" s="9"/>
      <c r="JUC108" s="9"/>
      <c r="JUD108" s="9"/>
      <c r="JUE108" s="9"/>
      <c r="JUF108" s="9"/>
      <c r="JUG108" s="9"/>
      <c r="JUH108" s="9"/>
      <c r="JUI108" s="9"/>
      <c r="JUJ108" s="9"/>
      <c r="JUK108" s="9"/>
      <c r="JUL108" s="9"/>
      <c r="JUM108" s="9"/>
      <c r="JUN108" s="9"/>
      <c r="JUO108" s="9"/>
      <c r="JUP108" s="9"/>
      <c r="JUQ108" s="9"/>
      <c r="JUR108" s="9"/>
      <c r="JUS108" s="9"/>
      <c r="JUT108" s="9"/>
      <c r="JUU108" s="9"/>
      <c r="JUV108" s="9"/>
      <c r="JUW108" s="9"/>
      <c r="JUX108" s="9"/>
      <c r="JUY108" s="9"/>
      <c r="JUZ108" s="9"/>
      <c r="JVA108" s="9"/>
      <c r="JVB108" s="9"/>
      <c r="JVC108" s="9"/>
      <c r="JVD108" s="9"/>
      <c r="JVE108" s="9"/>
      <c r="JVF108" s="9"/>
      <c r="JVG108" s="9"/>
      <c r="JVH108" s="9"/>
      <c r="JVI108" s="9"/>
      <c r="JVJ108" s="9"/>
      <c r="JVK108" s="9"/>
      <c r="JVL108" s="9"/>
      <c r="JVM108" s="9"/>
      <c r="JVN108" s="9"/>
      <c r="JVO108" s="9"/>
      <c r="JVP108" s="9"/>
      <c r="JVQ108" s="9"/>
      <c r="JVR108" s="9"/>
      <c r="JVS108" s="9"/>
      <c r="JVT108" s="9"/>
      <c r="JVU108" s="9"/>
      <c r="JVV108" s="9"/>
      <c r="JVW108" s="9"/>
      <c r="JVX108" s="9"/>
      <c r="JVY108" s="9"/>
      <c r="JVZ108" s="9"/>
      <c r="JWA108" s="9"/>
      <c r="JWB108" s="9"/>
      <c r="JWC108" s="9"/>
      <c r="JWD108" s="9"/>
      <c r="JWE108" s="9"/>
      <c r="JWF108" s="9"/>
      <c r="JWG108" s="9"/>
      <c r="JWH108" s="9"/>
      <c r="JWI108" s="9"/>
      <c r="JWJ108" s="9"/>
      <c r="JWK108" s="9"/>
      <c r="JWL108" s="9"/>
      <c r="JWM108" s="9"/>
      <c r="JWN108" s="9"/>
      <c r="JWO108" s="9"/>
      <c r="JWP108" s="9"/>
      <c r="JWQ108" s="9"/>
      <c r="JWR108" s="9"/>
      <c r="JWS108" s="9"/>
      <c r="JWT108" s="9"/>
      <c r="JWU108" s="9"/>
      <c r="JWV108" s="9"/>
      <c r="JWW108" s="9"/>
      <c r="JWX108" s="9"/>
      <c r="JWY108" s="9"/>
      <c r="JWZ108" s="9"/>
      <c r="JXA108" s="9"/>
      <c r="JXB108" s="9"/>
      <c r="JXC108" s="9"/>
      <c r="JXD108" s="9"/>
      <c r="JXE108" s="9"/>
      <c r="JXF108" s="9"/>
      <c r="JXG108" s="9"/>
      <c r="JXH108" s="9"/>
      <c r="JXI108" s="9"/>
      <c r="JXJ108" s="9"/>
      <c r="JXK108" s="9"/>
      <c r="JXL108" s="9"/>
      <c r="JXM108" s="9"/>
      <c r="JXN108" s="9"/>
      <c r="JXO108" s="9"/>
      <c r="JXP108" s="9"/>
      <c r="JXQ108" s="9"/>
      <c r="JXR108" s="9"/>
      <c r="JXS108" s="9"/>
      <c r="JXT108" s="9"/>
      <c r="JXU108" s="9"/>
      <c r="JXV108" s="9"/>
      <c r="JXW108" s="9"/>
      <c r="JXX108" s="9"/>
      <c r="JXY108" s="9"/>
      <c r="JXZ108" s="9"/>
      <c r="JYA108" s="9"/>
      <c r="JYB108" s="9"/>
      <c r="JYC108" s="9"/>
      <c r="JYD108" s="9"/>
      <c r="JYE108" s="9"/>
      <c r="JYF108" s="9"/>
      <c r="JYG108" s="9"/>
      <c r="JYH108" s="9"/>
      <c r="JYI108" s="9"/>
      <c r="JYJ108" s="9"/>
      <c r="JYK108" s="9"/>
      <c r="JYL108" s="9"/>
      <c r="JYM108" s="9"/>
      <c r="JYN108" s="9"/>
      <c r="JYO108" s="9"/>
      <c r="JYP108" s="9"/>
      <c r="JYQ108" s="9"/>
      <c r="JYR108" s="9"/>
      <c r="JYS108" s="9"/>
      <c r="JYT108" s="9"/>
      <c r="JYU108" s="9"/>
      <c r="JYV108" s="9"/>
      <c r="JYW108" s="9"/>
      <c r="JYX108" s="9"/>
      <c r="JYY108" s="9"/>
      <c r="JYZ108" s="9"/>
      <c r="JZA108" s="9"/>
      <c r="JZB108" s="9"/>
      <c r="JZC108" s="9"/>
      <c r="JZD108" s="9"/>
      <c r="JZE108" s="9"/>
      <c r="JZF108" s="9"/>
      <c r="JZG108" s="9"/>
      <c r="JZH108" s="9"/>
      <c r="JZI108" s="9"/>
      <c r="JZJ108" s="9"/>
      <c r="JZK108" s="9"/>
      <c r="JZL108" s="9"/>
      <c r="JZM108" s="9"/>
      <c r="JZN108" s="9"/>
      <c r="JZO108" s="9"/>
      <c r="JZP108" s="9"/>
      <c r="JZQ108" s="9"/>
      <c r="JZR108" s="9"/>
      <c r="JZS108" s="9"/>
      <c r="JZT108" s="9"/>
      <c r="JZU108" s="9"/>
      <c r="JZV108" s="9"/>
      <c r="JZW108" s="9"/>
      <c r="JZX108" s="9"/>
      <c r="JZY108" s="9"/>
      <c r="JZZ108" s="9"/>
      <c r="KAA108" s="9"/>
      <c r="KAB108" s="9"/>
      <c r="KAC108" s="9"/>
      <c r="KAD108" s="9"/>
      <c r="KAE108" s="9"/>
      <c r="KAF108" s="9"/>
      <c r="KAG108" s="9"/>
      <c r="KAH108" s="9"/>
      <c r="KAI108" s="9"/>
      <c r="KAJ108" s="9"/>
      <c r="KAK108" s="9"/>
      <c r="KAL108" s="9"/>
      <c r="KAM108" s="9"/>
      <c r="KAN108" s="9"/>
      <c r="KAO108" s="9"/>
      <c r="KAP108" s="9"/>
      <c r="KAQ108" s="9"/>
      <c r="KAR108" s="9"/>
      <c r="KAS108" s="9"/>
      <c r="KAT108" s="9"/>
      <c r="KAU108" s="9"/>
      <c r="KAV108" s="9"/>
      <c r="KAW108" s="9"/>
      <c r="KAX108" s="9"/>
      <c r="KAY108" s="9"/>
      <c r="KAZ108" s="9"/>
      <c r="KBA108" s="9"/>
      <c r="KBB108" s="9"/>
      <c r="KBC108" s="9"/>
      <c r="KBD108" s="9"/>
      <c r="KBE108" s="9"/>
      <c r="KBF108" s="9"/>
      <c r="KBG108" s="9"/>
      <c r="KBH108" s="9"/>
      <c r="KBI108" s="9"/>
      <c r="KBJ108" s="9"/>
      <c r="KBK108" s="9"/>
      <c r="KBL108" s="9"/>
      <c r="KBM108" s="9"/>
      <c r="KBN108" s="9"/>
      <c r="KBO108" s="9"/>
      <c r="KBP108" s="9"/>
      <c r="KBQ108" s="9"/>
      <c r="KBR108" s="9"/>
      <c r="KBS108" s="9"/>
      <c r="KBT108" s="9"/>
      <c r="KBU108" s="9"/>
      <c r="KBV108" s="9"/>
      <c r="KBW108" s="9"/>
      <c r="KBX108" s="9"/>
      <c r="KBY108" s="9"/>
      <c r="KBZ108" s="9"/>
      <c r="KCA108" s="9"/>
      <c r="KCB108" s="9"/>
      <c r="KCC108" s="9"/>
      <c r="KCD108" s="9"/>
      <c r="KCE108" s="9"/>
      <c r="KCF108" s="9"/>
      <c r="KCG108" s="9"/>
      <c r="KCH108" s="9"/>
      <c r="KCI108" s="9"/>
      <c r="KCJ108" s="9"/>
      <c r="KCK108" s="9"/>
      <c r="KCL108" s="9"/>
      <c r="KCM108" s="9"/>
      <c r="KCN108" s="9"/>
      <c r="KCO108" s="9"/>
      <c r="KCP108" s="9"/>
      <c r="KCQ108" s="9"/>
      <c r="KCR108" s="9"/>
      <c r="KCS108" s="9"/>
      <c r="KCT108" s="9"/>
      <c r="KCU108" s="9"/>
      <c r="KCV108" s="9"/>
      <c r="KCW108" s="9"/>
      <c r="KCX108" s="9"/>
      <c r="KCY108" s="9"/>
      <c r="KCZ108" s="9"/>
      <c r="KDA108" s="9"/>
      <c r="KDB108" s="9"/>
      <c r="KDC108" s="9"/>
      <c r="KDD108" s="9"/>
      <c r="KDE108" s="9"/>
      <c r="KDF108" s="9"/>
      <c r="KDG108" s="9"/>
      <c r="KDH108" s="9"/>
      <c r="KDI108" s="9"/>
      <c r="KDJ108" s="9"/>
      <c r="KDK108" s="9"/>
      <c r="KDL108" s="9"/>
      <c r="KDM108" s="9"/>
      <c r="KDN108" s="9"/>
      <c r="KDO108" s="9"/>
      <c r="KDP108" s="9"/>
      <c r="KDQ108" s="9"/>
      <c r="KDR108" s="9"/>
      <c r="KDS108" s="9"/>
      <c r="KDT108" s="9"/>
      <c r="KDU108" s="9"/>
      <c r="KDV108" s="9"/>
      <c r="KDW108" s="9"/>
      <c r="KDX108" s="9"/>
      <c r="KDY108" s="9"/>
      <c r="KDZ108" s="9"/>
      <c r="KEA108" s="9"/>
      <c r="KEB108" s="9"/>
      <c r="KEC108" s="9"/>
      <c r="KED108" s="9"/>
      <c r="KEE108" s="9"/>
      <c r="KEF108" s="9"/>
      <c r="KEG108" s="9"/>
      <c r="KEH108" s="9"/>
      <c r="KEI108" s="9"/>
      <c r="KEJ108" s="9"/>
      <c r="KEK108" s="9"/>
      <c r="KEL108" s="9"/>
      <c r="KEM108" s="9"/>
      <c r="KEN108" s="9"/>
      <c r="KEO108" s="9"/>
      <c r="KEP108" s="9"/>
      <c r="KEQ108" s="9"/>
      <c r="KER108" s="9"/>
      <c r="KES108" s="9"/>
      <c r="KET108" s="9"/>
      <c r="KEU108" s="9"/>
      <c r="KEV108" s="9"/>
      <c r="KEW108" s="9"/>
      <c r="KEX108" s="9"/>
      <c r="KEY108" s="9"/>
      <c r="KEZ108" s="9"/>
      <c r="KFA108" s="9"/>
      <c r="KFB108" s="9"/>
      <c r="KFC108" s="9"/>
      <c r="KFD108" s="9"/>
      <c r="KFE108" s="9"/>
      <c r="KFF108" s="9"/>
      <c r="KFG108" s="9"/>
      <c r="KFH108" s="9"/>
      <c r="KFI108" s="9"/>
      <c r="KFJ108" s="9"/>
      <c r="KFK108" s="9"/>
      <c r="KFL108" s="9"/>
      <c r="KFM108" s="9"/>
      <c r="KFN108" s="9"/>
      <c r="KFO108" s="9"/>
      <c r="KFP108" s="9"/>
      <c r="KFQ108" s="9"/>
      <c r="KFR108" s="9"/>
      <c r="KFS108" s="9"/>
      <c r="KFT108" s="9"/>
      <c r="KFU108" s="9"/>
      <c r="KFV108" s="9"/>
      <c r="KFW108" s="9"/>
      <c r="KFX108" s="9"/>
      <c r="KFY108" s="9"/>
      <c r="KFZ108" s="9"/>
      <c r="KGA108" s="9"/>
      <c r="KGB108" s="9"/>
      <c r="KGC108" s="9"/>
      <c r="KGD108" s="9"/>
      <c r="KGE108" s="9"/>
      <c r="KGF108" s="9"/>
      <c r="KGG108" s="9"/>
      <c r="KGH108" s="9"/>
      <c r="KGI108" s="9"/>
      <c r="KGJ108" s="9"/>
      <c r="KGK108" s="9"/>
      <c r="KGL108" s="9"/>
      <c r="KGM108" s="9"/>
      <c r="KGN108" s="9"/>
      <c r="KGO108" s="9"/>
      <c r="KGP108" s="9"/>
      <c r="KGQ108" s="9"/>
      <c r="KGR108" s="9"/>
      <c r="KGS108" s="9"/>
      <c r="KGT108" s="9"/>
      <c r="KGU108" s="9"/>
      <c r="KGV108" s="9"/>
      <c r="KGW108" s="9"/>
      <c r="KGX108" s="9"/>
      <c r="KGY108" s="9"/>
      <c r="KGZ108" s="9"/>
      <c r="KHA108" s="9"/>
      <c r="KHB108" s="9"/>
      <c r="KHC108" s="9"/>
      <c r="KHD108" s="9"/>
      <c r="KHE108" s="9"/>
      <c r="KHF108" s="9"/>
      <c r="KHG108" s="9"/>
      <c r="KHH108" s="9"/>
      <c r="KHI108" s="9"/>
      <c r="KHJ108" s="9"/>
      <c r="KHK108" s="9"/>
      <c r="KHL108" s="9"/>
      <c r="KHM108" s="9"/>
      <c r="KHN108" s="9"/>
      <c r="KHO108" s="9"/>
      <c r="KHP108" s="9"/>
      <c r="KHQ108" s="9"/>
      <c r="KHR108" s="9"/>
      <c r="KHS108" s="9"/>
      <c r="KHT108" s="9"/>
      <c r="KHU108" s="9"/>
      <c r="KHV108" s="9"/>
      <c r="KHW108" s="9"/>
      <c r="KHX108" s="9"/>
      <c r="KHY108" s="9"/>
      <c r="KHZ108" s="9"/>
      <c r="KIA108" s="9"/>
      <c r="KIB108" s="9"/>
      <c r="KIC108" s="9"/>
      <c r="KID108" s="9"/>
      <c r="KIE108" s="9"/>
      <c r="KIF108" s="9"/>
      <c r="KIG108" s="9"/>
      <c r="KIH108" s="9"/>
      <c r="KII108" s="9"/>
      <c r="KIJ108" s="9"/>
      <c r="KIK108" s="9"/>
      <c r="KIL108" s="9"/>
      <c r="KIM108" s="9"/>
      <c r="KIN108" s="9"/>
      <c r="KIO108" s="9"/>
      <c r="KIP108" s="9"/>
      <c r="KIQ108" s="9"/>
      <c r="KIR108" s="9"/>
      <c r="KIS108" s="9"/>
      <c r="KIT108" s="9"/>
      <c r="KIU108" s="9"/>
      <c r="KIV108" s="9"/>
      <c r="KIW108" s="9"/>
      <c r="KIX108" s="9"/>
      <c r="KIY108" s="9"/>
      <c r="KIZ108" s="9"/>
      <c r="KJA108" s="9"/>
      <c r="KJB108" s="9"/>
      <c r="KJC108" s="9"/>
      <c r="KJD108" s="9"/>
      <c r="KJE108" s="9"/>
      <c r="KJF108" s="9"/>
      <c r="KJG108" s="9"/>
      <c r="KJH108" s="9"/>
      <c r="KJI108" s="9"/>
      <c r="KJJ108" s="9"/>
      <c r="KJK108" s="9"/>
      <c r="KJL108" s="9"/>
      <c r="KJM108" s="9"/>
      <c r="KJN108" s="9"/>
      <c r="KJO108" s="9"/>
      <c r="KJP108" s="9"/>
      <c r="KJQ108" s="9"/>
      <c r="KJR108" s="9"/>
      <c r="KJS108" s="9"/>
      <c r="KJT108" s="9"/>
      <c r="KJU108" s="9"/>
      <c r="KJV108" s="9"/>
      <c r="KJW108" s="9"/>
      <c r="KJX108" s="9"/>
      <c r="KJY108" s="9"/>
      <c r="KJZ108" s="9"/>
      <c r="KKA108" s="9"/>
      <c r="KKB108" s="9"/>
      <c r="KKC108" s="9"/>
      <c r="KKD108" s="9"/>
      <c r="KKE108" s="9"/>
      <c r="KKF108" s="9"/>
      <c r="KKG108" s="9"/>
      <c r="KKH108" s="9"/>
      <c r="KKI108" s="9"/>
      <c r="KKJ108" s="9"/>
      <c r="KKK108" s="9"/>
      <c r="KKL108" s="9"/>
      <c r="KKM108" s="9"/>
      <c r="KKN108" s="9"/>
      <c r="KKO108" s="9"/>
      <c r="KKP108" s="9"/>
      <c r="KKQ108" s="9"/>
      <c r="KKR108" s="9"/>
      <c r="KKS108" s="9"/>
      <c r="KKT108" s="9"/>
      <c r="KKU108" s="9"/>
      <c r="KKV108" s="9"/>
      <c r="KKW108" s="9"/>
      <c r="KKX108" s="9"/>
      <c r="KKY108" s="9"/>
      <c r="KKZ108" s="9"/>
      <c r="KLA108" s="9"/>
      <c r="KLB108" s="9"/>
      <c r="KLC108" s="9"/>
      <c r="KLD108" s="9"/>
      <c r="KLE108" s="9"/>
      <c r="KLF108" s="9"/>
      <c r="KLG108" s="9"/>
      <c r="KLH108" s="9"/>
      <c r="KLI108" s="9"/>
      <c r="KLJ108" s="9"/>
      <c r="KLK108" s="9"/>
      <c r="KLL108" s="9"/>
      <c r="KLM108" s="9"/>
      <c r="KLN108" s="9"/>
      <c r="KLO108" s="9"/>
      <c r="KLP108" s="9"/>
      <c r="KLQ108" s="9"/>
      <c r="KLR108" s="9"/>
      <c r="KLS108" s="9"/>
      <c r="KLT108" s="9"/>
      <c r="KLU108" s="9"/>
      <c r="KLV108" s="9"/>
      <c r="KLW108" s="9"/>
      <c r="KLX108" s="9"/>
      <c r="KLY108" s="9"/>
      <c r="KLZ108" s="9"/>
      <c r="KMA108" s="9"/>
      <c r="KMB108" s="9"/>
      <c r="KMC108" s="9"/>
      <c r="KMD108" s="9"/>
      <c r="KME108" s="9"/>
      <c r="KMF108" s="9"/>
      <c r="KMG108" s="9"/>
      <c r="KMH108" s="9"/>
      <c r="KMI108" s="9"/>
      <c r="KMJ108" s="9"/>
      <c r="KMK108" s="9"/>
      <c r="KML108" s="9"/>
      <c r="KMM108" s="9"/>
      <c r="KMN108" s="9"/>
      <c r="KMO108" s="9"/>
      <c r="KMP108" s="9"/>
      <c r="KMQ108" s="9"/>
      <c r="KMR108" s="9"/>
      <c r="KMS108" s="9"/>
      <c r="KMT108" s="9"/>
      <c r="KMU108" s="9"/>
      <c r="KMV108" s="9"/>
      <c r="KMW108" s="9"/>
      <c r="KMX108" s="9"/>
      <c r="KMY108" s="9"/>
      <c r="KMZ108" s="9"/>
      <c r="KNA108" s="9"/>
      <c r="KNB108" s="9"/>
      <c r="KNC108" s="9"/>
      <c r="KND108" s="9"/>
      <c r="KNE108" s="9"/>
      <c r="KNF108" s="9"/>
      <c r="KNG108" s="9"/>
      <c r="KNH108" s="9"/>
      <c r="KNI108" s="9"/>
      <c r="KNJ108" s="9"/>
      <c r="KNK108" s="9"/>
      <c r="KNL108" s="9"/>
      <c r="KNM108" s="9"/>
      <c r="KNN108" s="9"/>
      <c r="KNO108" s="9"/>
      <c r="KNP108" s="9"/>
      <c r="KNQ108" s="9"/>
      <c r="KNR108" s="9"/>
      <c r="KNS108" s="9"/>
      <c r="KNT108" s="9"/>
      <c r="KNU108" s="9"/>
      <c r="KNV108" s="9"/>
      <c r="KNW108" s="9"/>
      <c r="KNX108" s="9"/>
      <c r="KNY108" s="9"/>
      <c r="KNZ108" s="9"/>
      <c r="KOA108" s="9"/>
      <c r="KOB108" s="9"/>
      <c r="KOC108" s="9"/>
      <c r="KOD108" s="9"/>
      <c r="KOE108" s="9"/>
      <c r="KOF108" s="9"/>
      <c r="KOG108" s="9"/>
      <c r="KOH108" s="9"/>
      <c r="KOI108" s="9"/>
      <c r="KOJ108" s="9"/>
      <c r="KOK108" s="9"/>
      <c r="KOL108" s="9"/>
      <c r="KOM108" s="9"/>
      <c r="KON108" s="9"/>
      <c r="KOO108" s="9"/>
      <c r="KOP108" s="9"/>
      <c r="KOQ108" s="9"/>
      <c r="KOR108" s="9"/>
      <c r="KOS108" s="9"/>
      <c r="KOT108" s="9"/>
      <c r="KOU108" s="9"/>
      <c r="KOV108" s="9"/>
      <c r="KOW108" s="9"/>
      <c r="KOX108" s="9"/>
      <c r="KOY108" s="9"/>
      <c r="KOZ108" s="9"/>
      <c r="KPA108" s="9"/>
      <c r="KPB108" s="9"/>
      <c r="KPC108" s="9"/>
      <c r="KPD108" s="9"/>
      <c r="KPE108" s="9"/>
      <c r="KPF108" s="9"/>
      <c r="KPG108" s="9"/>
      <c r="KPH108" s="9"/>
      <c r="KPI108" s="9"/>
      <c r="KPJ108" s="9"/>
      <c r="KPK108" s="9"/>
      <c r="KPL108" s="9"/>
      <c r="KPM108" s="9"/>
      <c r="KPN108" s="9"/>
      <c r="KPO108" s="9"/>
      <c r="KPP108" s="9"/>
      <c r="KPQ108" s="9"/>
      <c r="KPR108" s="9"/>
      <c r="KPS108" s="9"/>
      <c r="KPT108" s="9"/>
      <c r="KPU108" s="9"/>
      <c r="KPV108" s="9"/>
      <c r="KPW108" s="9"/>
      <c r="KPX108" s="9"/>
      <c r="KPY108" s="9"/>
      <c r="KPZ108" s="9"/>
      <c r="KQA108" s="9"/>
      <c r="KQB108" s="9"/>
      <c r="KQC108" s="9"/>
      <c r="KQD108" s="9"/>
      <c r="KQE108" s="9"/>
      <c r="KQF108" s="9"/>
      <c r="KQG108" s="9"/>
      <c r="KQH108" s="9"/>
      <c r="KQI108" s="9"/>
      <c r="KQJ108" s="9"/>
      <c r="KQK108" s="9"/>
      <c r="KQL108" s="9"/>
      <c r="KQM108" s="9"/>
      <c r="KQN108" s="9"/>
      <c r="KQO108" s="9"/>
      <c r="KQP108" s="9"/>
      <c r="KQQ108" s="9"/>
      <c r="KQR108" s="9"/>
      <c r="KQS108" s="9"/>
      <c r="KQT108" s="9"/>
      <c r="KQU108" s="9"/>
      <c r="KQV108" s="9"/>
      <c r="KQW108" s="9"/>
      <c r="KQX108" s="9"/>
      <c r="KQY108" s="9"/>
      <c r="KQZ108" s="9"/>
      <c r="KRA108" s="9"/>
      <c r="KRB108" s="9"/>
      <c r="KRC108" s="9"/>
      <c r="KRD108" s="9"/>
      <c r="KRE108" s="9"/>
      <c r="KRF108" s="9"/>
      <c r="KRG108" s="9"/>
      <c r="KRH108" s="9"/>
      <c r="KRI108" s="9"/>
      <c r="KRJ108" s="9"/>
      <c r="KRK108" s="9"/>
      <c r="KRL108" s="9"/>
      <c r="KRM108" s="9"/>
      <c r="KRN108" s="9"/>
      <c r="KRO108" s="9"/>
      <c r="KRP108" s="9"/>
      <c r="KRQ108" s="9"/>
      <c r="KRR108" s="9"/>
      <c r="KRS108" s="9"/>
      <c r="KRT108" s="9"/>
      <c r="KRU108" s="9"/>
      <c r="KRV108" s="9"/>
      <c r="KRW108" s="9"/>
      <c r="KRX108" s="9"/>
      <c r="KRY108" s="9"/>
      <c r="KRZ108" s="9"/>
      <c r="KSA108" s="9"/>
      <c r="KSB108" s="9"/>
      <c r="KSC108" s="9"/>
      <c r="KSD108" s="9"/>
      <c r="KSE108" s="9"/>
      <c r="KSF108" s="9"/>
      <c r="KSG108" s="9"/>
      <c r="KSH108" s="9"/>
      <c r="KSI108" s="9"/>
      <c r="KSJ108" s="9"/>
      <c r="KSK108" s="9"/>
      <c r="KSL108" s="9"/>
      <c r="KSM108" s="9"/>
      <c r="KSN108" s="9"/>
      <c r="KSO108" s="9"/>
      <c r="KSP108" s="9"/>
      <c r="KSQ108" s="9"/>
      <c r="KSR108" s="9"/>
      <c r="KSS108" s="9"/>
      <c r="KST108" s="9"/>
      <c r="KSU108" s="9"/>
      <c r="KSV108" s="9"/>
      <c r="KSW108" s="9"/>
      <c r="KSX108" s="9"/>
      <c r="KSY108" s="9"/>
      <c r="KSZ108" s="9"/>
      <c r="KTA108" s="9"/>
      <c r="KTB108" s="9"/>
      <c r="KTC108" s="9"/>
      <c r="KTD108" s="9"/>
      <c r="KTE108" s="9"/>
      <c r="KTF108" s="9"/>
      <c r="KTG108" s="9"/>
      <c r="KTH108" s="9"/>
      <c r="KTI108" s="9"/>
      <c r="KTJ108" s="9"/>
      <c r="KTK108" s="9"/>
      <c r="KTL108" s="9"/>
      <c r="KTM108" s="9"/>
      <c r="KTN108" s="9"/>
      <c r="KTO108" s="9"/>
      <c r="KTP108" s="9"/>
      <c r="KTQ108" s="9"/>
      <c r="KTR108" s="9"/>
      <c r="KTS108" s="9"/>
      <c r="KTT108" s="9"/>
      <c r="KTU108" s="9"/>
      <c r="KTV108" s="9"/>
      <c r="KTW108" s="9"/>
      <c r="KTX108" s="9"/>
      <c r="KTY108" s="9"/>
      <c r="KTZ108" s="9"/>
      <c r="KUA108" s="9"/>
      <c r="KUB108" s="9"/>
      <c r="KUC108" s="9"/>
      <c r="KUD108" s="9"/>
      <c r="KUE108" s="9"/>
      <c r="KUF108" s="9"/>
      <c r="KUG108" s="9"/>
      <c r="KUH108" s="9"/>
      <c r="KUI108" s="9"/>
      <c r="KUJ108" s="9"/>
      <c r="KUK108" s="9"/>
      <c r="KUL108" s="9"/>
      <c r="KUM108" s="9"/>
      <c r="KUN108" s="9"/>
      <c r="KUO108" s="9"/>
      <c r="KUP108" s="9"/>
      <c r="KUQ108" s="9"/>
      <c r="KUR108" s="9"/>
      <c r="KUS108" s="9"/>
      <c r="KUT108" s="9"/>
      <c r="KUU108" s="9"/>
      <c r="KUV108" s="9"/>
      <c r="KUW108" s="9"/>
      <c r="KUX108" s="9"/>
      <c r="KUY108" s="9"/>
      <c r="KUZ108" s="9"/>
      <c r="KVA108" s="9"/>
      <c r="KVB108" s="9"/>
      <c r="KVC108" s="9"/>
      <c r="KVD108" s="9"/>
      <c r="KVE108" s="9"/>
      <c r="KVF108" s="9"/>
      <c r="KVG108" s="9"/>
      <c r="KVH108" s="9"/>
      <c r="KVI108" s="9"/>
      <c r="KVJ108" s="9"/>
      <c r="KVK108" s="9"/>
      <c r="KVL108" s="9"/>
      <c r="KVM108" s="9"/>
      <c r="KVN108" s="9"/>
      <c r="KVO108" s="9"/>
      <c r="KVP108" s="9"/>
      <c r="KVQ108" s="9"/>
      <c r="KVR108" s="9"/>
      <c r="KVS108" s="9"/>
      <c r="KVT108" s="9"/>
      <c r="KVU108" s="9"/>
      <c r="KVV108" s="9"/>
      <c r="KVW108" s="9"/>
      <c r="KVX108" s="9"/>
      <c r="KVY108" s="9"/>
      <c r="KVZ108" s="9"/>
      <c r="KWA108" s="9"/>
      <c r="KWB108" s="9"/>
      <c r="KWC108" s="9"/>
      <c r="KWD108" s="9"/>
      <c r="KWE108" s="9"/>
      <c r="KWF108" s="9"/>
      <c r="KWG108" s="9"/>
      <c r="KWH108" s="9"/>
      <c r="KWI108" s="9"/>
      <c r="KWJ108" s="9"/>
      <c r="KWK108" s="9"/>
      <c r="KWL108" s="9"/>
      <c r="KWM108" s="9"/>
      <c r="KWN108" s="9"/>
      <c r="KWO108" s="9"/>
      <c r="KWP108" s="9"/>
      <c r="KWQ108" s="9"/>
      <c r="KWR108" s="9"/>
      <c r="KWS108" s="9"/>
      <c r="KWT108" s="9"/>
      <c r="KWU108" s="9"/>
      <c r="KWV108" s="9"/>
      <c r="KWW108" s="9"/>
      <c r="KWX108" s="9"/>
      <c r="KWY108" s="9"/>
      <c r="KWZ108" s="9"/>
      <c r="KXA108" s="9"/>
      <c r="KXB108" s="9"/>
      <c r="KXC108" s="9"/>
      <c r="KXD108" s="9"/>
      <c r="KXE108" s="9"/>
      <c r="KXF108" s="9"/>
      <c r="KXG108" s="9"/>
      <c r="KXH108" s="9"/>
      <c r="KXI108" s="9"/>
      <c r="KXJ108" s="9"/>
      <c r="KXK108" s="9"/>
      <c r="KXL108" s="9"/>
      <c r="KXM108" s="9"/>
      <c r="KXN108" s="9"/>
      <c r="KXO108" s="9"/>
      <c r="KXP108" s="9"/>
      <c r="KXQ108" s="9"/>
      <c r="KXR108" s="9"/>
      <c r="KXS108" s="9"/>
      <c r="KXT108" s="9"/>
      <c r="KXU108" s="9"/>
      <c r="KXV108" s="9"/>
      <c r="KXW108" s="9"/>
      <c r="KXX108" s="9"/>
      <c r="KXY108" s="9"/>
      <c r="KXZ108" s="9"/>
      <c r="KYA108" s="9"/>
      <c r="KYB108" s="9"/>
      <c r="KYC108" s="9"/>
      <c r="KYD108" s="9"/>
      <c r="KYE108" s="9"/>
      <c r="KYF108" s="9"/>
      <c r="KYG108" s="9"/>
      <c r="KYH108" s="9"/>
      <c r="KYI108" s="9"/>
      <c r="KYJ108" s="9"/>
      <c r="KYK108" s="9"/>
      <c r="KYL108" s="9"/>
      <c r="KYM108" s="9"/>
      <c r="KYN108" s="9"/>
      <c r="KYO108" s="9"/>
      <c r="KYP108" s="9"/>
      <c r="KYQ108" s="9"/>
      <c r="KYR108" s="9"/>
      <c r="KYS108" s="9"/>
      <c r="KYT108" s="9"/>
      <c r="KYU108" s="9"/>
      <c r="KYV108" s="9"/>
      <c r="KYW108" s="9"/>
      <c r="KYX108" s="9"/>
      <c r="KYY108" s="9"/>
      <c r="KYZ108" s="9"/>
      <c r="KZA108" s="9"/>
      <c r="KZB108" s="9"/>
      <c r="KZC108" s="9"/>
      <c r="KZD108" s="9"/>
      <c r="KZE108" s="9"/>
      <c r="KZF108" s="9"/>
      <c r="KZG108" s="9"/>
      <c r="KZH108" s="9"/>
      <c r="KZI108" s="9"/>
      <c r="KZJ108" s="9"/>
      <c r="KZK108" s="9"/>
      <c r="KZL108" s="9"/>
      <c r="KZM108" s="9"/>
      <c r="KZN108" s="9"/>
      <c r="KZO108" s="9"/>
      <c r="KZP108" s="9"/>
      <c r="KZQ108" s="9"/>
      <c r="KZR108" s="9"/>
      <c r="KZS108" s="9"/>
      <c r="KZT108" s="9"/>
      <c r="KZU108" s="9"/>
      <c r="KZV108" s="9"/>
      <c r="KZW108" s="9"/>
      <c r="KZX108" s="9"/>
      <c r="KZY108" s="9"/>
      <c r="KZZ108" s="9"/>
      <c r="LAA108" s="9"/>
      <c r="LAB108" s="9"/>
      <c r="LAC108" s="9"/>
      <c r="LAD108" s="9"/>
      <c r="LAE108" s="9"/>
      <c r="LAF108" s="9"/>
      <c r="LAG108" s="9"/>
      <c r="LAH108" s="9"/>
      <c r="LAI108" s="9"/>
      <c r="LAJ108" s="9"/>
      <c r="LAK108" s="9"/>
      <c r="LAL108" s="9"/>
      <c r="LAM108" s="9"/>
      <c r="LAN108" s="9"/>
      <c r="LAO108" s="9"/>
      <c r="LAP108" s="9"/>
      <c r="LAQ108" s="9"/>
      <c r="LAR108" s="9"/>
      <c r="LAS108" s="9"/>
      <c r="LAT108" s="9"/>
      <c r="LAU108" s="9"/>
      <c r="LAV108" s="9"/>
      <c r="LAW108" s="9"/>
      <c r="LAX108" s="9"/>
      <c r="LAY108" s="9"/>
      <c r="LAZ108" s="9"/>
      <c r="LBA108" s="9"/>
      <c r="LBB108" s="9"/>
      <c r="LBC108" s="9"/>
      <c r="LBD108" s="9"/>
      <c r="LBE108" s="9"/>
      <c r="LBF108" s="9"/>
      <c r="LBG108" s="9"/>
      <c r="LBH108" s="9"/>
      <c r="LBI108" s="9"/>
      <c r="LBJ108" s="9"/>
      <c r="LBK108" s="9"/>
      <c r="LBL108" s="9"/>
      <c r="LBM108" s="9"/>
      <c r="LBN108" s="9"/>
      <c r="LBO108" s="9"/>
      <c r="LBP108" s="9"/>
      <c r="LBQ108" s="9"/>
      <c r="LBR108" s="9"/>
      <c r="LBS108" s="9"/>
      <c r="LBT108" s="9"/>
      <c r="LBU108" s="9"/>
      <c r="LBV108" s="9"/>
      <c r="LBW108" s="9"/>
      <c r="LBX108" s="9"/>
      <c r="LBY108" s="9"/>
      <c r="LBZ108" s="9"/>
      <c r="LCA108" s="9"/>
      <c r="LCB108" s="9"/>
      <c r="LCC108" s="9"/>
      <c r="LCD108" s="9"/>
      <c r="LCE108" s="9"/>
      <c r="LCF108" s="9"/>
      <c r="LCG108" s="9"/>
      <c r="LCH108" s="9"/>
      <c r="LCI108" s="9"/>
      <c r="LCJ108" s="9"/>
      <c r="LCK108" s="9"/>
      <c r="LCL108" s="9"/>
      <c r="LCM108" s="9"/>
      <c r="LCN108" s="9"/>
      <c r="LCO108" s="9"/>
      <c r="LCP108" s="9"/>
      <c r="LCQ108" s="9"/>
      <c r="LCR108" s="9"/>
      <c r="LCS108" s="9"/>
      <c r="LCT108" s="9"/>
      <c r="LCU108" s="9"/>
      <c r="LCV108" s="9"/>
      <c r="LCW108" s="9"/>
      <c r="LCX108" s="9"/>
      <c r="LCY108" s="9"/>
      <c r="LCZ108" s="9"/>
      <c r="LDA108" s="9"/>
      <c r="LDB108" s="9"/>
      <c r="LDC108" s="9"/>
      <c r="LDD108" s="9"/>
      <c r="LDE108" s="9"/>
      <c r="LDF108" s="9"/>
      <c r="LDG108" s="9"/>
      <c r="LDH108" s="9"/>
      <c r="LDI108" s="9"/>
      <c r="LDJ108" s="9"/>
      <c r="LDK108" s="9"/>
      <c r="LDL108" s="9"/>
      <c r="LDM108" s="9"/>
      <c r="LDN108" s="9"/>
      <c r="LDO108" s="9"/>
      <c r="LDP108" s="9"/>
      <c r="LDQ108" s="9"/>
      <c r="LDR108" s="9"/>
      <c r="LDS108" s="9"/>
      <c r="LDT108" s="9"/>
      <c r="LDU108" s="9"/>
      <c r="LDV108" s="9"/>
      <c r="LDW108" s="9"/>
      <c r="LDX108" s="9"/>
      <c r="LDY108" s="9"/>
      <c r="LDZ108" s="9"/>
      <c r="LEA108" s="9"/>
      <c r="LEB108" s="9"/>
      <c r="LEC108" s="9"/>
      <c r="LED108" s="9"/>
      <c r="LEE108" s="9"/>
      <c r="LEF108" s="9"/>
      <c r="LEG108" s="9"/>
      <c r="LEH108" s="9"/>
      <c r="LEI108" s="9"/>
      <c r="LEJ108" s="9"/>
      <c r="LEK108" s="9"/>
      <c r="LEL108" s="9"/>
      <c r="LEM108" s="9"/>
      <c r="LEN108" s="9"/>
      <c r="LEO108" s="9"/>
      <c r="LEP108" s="9"/>
      <c r="LEQ108" s="9"/>
      <c r="LER108" s="9"/>
      <c r="LES108" s="9"/>
      <c r="LET108" s="9"/>
      <c r="LEU108" s="9"/>
      <c r="LEV108" s="9"/>
      <c r="LEW108" s="9"/>
      <c r="LEX108" s="9"/>
      <c r="LEY108" s="9"/>
      <c r="LEZ108" s="9"/>
      <c r="LFA108" s="9"/>
      <c r="LFB108" s="9"/>
      <c r="LFC108" s="9"/>
      <c r="LFD108" s="9"/>
      <c r="LFE108" s="9"/>
      <c r="LFF108" s="9"/>
      <c r="LFG108" s="9"/>
      <c r="LFH108" s="9"/>
      <c r="LFI108" s="9"/>
      <c r="LFJ108" s="9"/>
      <c r="LFK108" s="9"/>
      <c r="LFL108" s="9"/>
      <c r="LFM108" s="9"/>
      <c r="LFN108" s="9"/>
      <c r="LFO108" s="9"/>
      <c r="LFP108" s="9"/>
      <c r="LFQ108" s="9"/>
      <c r="LFR108" s="9"/>
      <c r="LFS108" s="9"/>
      <c r="LFT108" s="9"/>
      <c r="LFU108" s="9"/>
      <c r="LFV108" s="9"/>
      <c r="LFW108" s="9"/>
      <c r="LFX108" s="9"/>
      <c r="LFY108" s="9"/>
      <c r="LFZ108" s="9"/>
      <c r="LGA108" s="9"/>
      <c r="LGB108" s="9"/>
      <c r="LGC108" s="9"/>
      <c r="LGD108" s="9"/>
      <c r="LGE108" s="9"/>
      <c r="LGF108" s="9"/>
      <c r="LGG108" s="9"/>
      <c r="LGH108" s="9"/>
      <c r="LGI108" s="9"/>
      <c r="LGJ108" s="9"/>
      <c r="LGK108" s="9"/>
      <c r="LGL108" s="9"/>
      <c r="LGM108" s="9"/>
      <c r="LGN108" s="9"/>
      <c r="LGO108" s="9"/>
      <c r="LGP108" s="9"/>
      <c r="LGQ108" s="9"/>
      <c r="LGR108" s="9"/>
      <c r="LGS108" s="9"/>
      <c r="LGT108" s="9"/>
      <c r="LGU108" s="9"/>
      <c r="LGV108" s="9"/>
      <c r="LGW108" s="9"/>
      <c r="LGX108" s="9"/>
      <c r="LGY108" s="9"/>
      <c r="LGZ108" s="9"/>
      <c r="LHA108" s="9"/>
      <c r="LHB108" s="9"/>
      <c r="LHC108" s="9"/>
      <c r="LHD108" s="9"/>
      <c r="LHE108" s="9"/>
      <c r="LHF108" s="9"/>
      <c r="LHG108" s="9"/>
      <c r="LHH108" s="9"/>
      <c r="LHI108" s="9"/>
      <c r="LHJ108" s="9"/>
      <c r="LHK108" s="9"/>
      <c r="LHL108" s="9"/>
      <c r="LHM108" s="9"/>
      <c r="LHN108" s="9"/>
      <c r="LHO108" s="9"/>
      <c r="LHP108" s="9"/>
      <c r="LHQ108" s="9"/>
      <c r="LHR108" s="9"/>
      <c r="LHS108" s="9"/>
      <c r="LHT108" s="9"/>
      <c r="LHU108" s="9"/>
      <c r="LHV108" s="9"/>
      <c r="LHW108" s="9"/>
      <c r="LHX108" s="9"/>
      <c r="LHY108" s="9"/>
      <c r="LHZ108" s="9"/>
      <c r="LIA108" s="9"/>
      <c r="LIB108" s="9"/>
      <c r="LIC108" s="9"/>
      <c r="LID108" s="9"/>
      <c r="LIE108" s="9"/>
      <c r="LIF108" s="9"/>
      <c r="LIG108" s="9"/>
      <c r="LIH108" s="9"/>
      <c r="LII108" s="9"/>
      <c r="LIJ108" s="9"/>
      <c r="LIK108" s="9"/>
      <c r="LIL108" s="9"/>
      <c r="LIM108" s="9"/>
      <c r="LIN108" s="9"/>
      <c r="LIO108" s="9"/>
      <c r="LIP108" s="9"/>
      <c r="LIQ108" s="9"/>
      <c r="LIR108" s="9"/>
      <c r="LIS108" s="9"/>
      <c r="LIT108" s="9"/>
      <c r="LIU108" s="9"/>
      <c r="LIV108" s="9"/>
      <c r="LIW108" s="9"/>
      <c r="LIX108" s="9"/>
      <c r="LIY108" s="9"/>
      <c r="LIZ108" s="9"/>
      <c r="LJA108" s="9"/>
      <c r="LJB108" s="9"/>
      <c r="LJC108" s="9"/>
      <c r="LJD108" s="9"/>
      <c r="LJE108" s="9"/>
      <c r="LJF108" s="9"/>
      <c r="LJG108" s="9"/>
      <c r="LJH108" s="9"/>
      <c r="LJI108" s="9"/>
      <c r="LJJ108" s="9"/>
      <c r="LJK108" s="9"/>
      <c r="LJL108" s="9"/>
      <c r="LJM108" s="9"/>
      <c r="LJN108" s="9"/>
      <c r="LJO108" s="9"/>
      <c r="LJP108" s="9"/>
      <c r="LJQ108" s="9"/>
      <c r="LJR108" s="9"/>
      <c r="LJS108" s="9"/>
      <c r="LJT108" s="9"/>
      <c r="LJU108" s="9"/>
      <c r="LJV108" s="9"/>
      <c r="LJW108" s="9"/>
      <c r="LJX108" s="9"/>
      <c r="LJY108" s="9"/>
      <c r="LJZ108" s="9"/>
      <c r="LKA108" s="9"/>
      <c r="LKB108" s="9"/>
      <c r="LKC108" s="9"/>
      <c r="LKD108" s="9"/>
      <c r="LKE108" s="9"/>
      <c r="LKF108" s="9"/>
      <c r="LKG108" s="9"/>
      <c r="LKH108" s="9"/>
      <c r="LKI108" s="9"/>
      <c r="LKJ108" s="9"/>
      <c r="LKK108" s="9"/>
      <c r="LKL108" s="9"/>
      <c r="LKM108" s="9"/>
      <c r="LKN108" s="9"/>
      <c r="LKO108" s="9"/>
      <c r="LKP108" s="9"/>
      <c r="LKQ108" s="9"/>
      <c r="LKR108" s="9"/>
      <c r="LKS108" s="9"/>
      <c r="LKT108" s="9"/>
      <c r="LKU108" s="9"/>
      <c r="LKV108" s="9"/>
      <c r="LKW108" s="9"/>
      <c r="LKX108" s="9"/>
      <c r="LKY108" s="9"/>
      <c r="LKZ108" s="9"/>
      <c r="LLA108" s="9"/>
      <c r="LLB108" s="9"/>
      <c r="LLC108" s="9"/>
      <c r="LLD108" s="9"/>
      <c r="LLE108" s="9"/>
      <c r="LLF108" s="9"/>
      <c r="LLG108" s="9"/>
      <c r="LLH108" s="9"/>
      <c r="LLI108" s="9"/>
      <c r="LLJ108" s="9"/>
      <c r="LLK108" s="9"/>
      <c r="LLL108" s="9"/>
      <c r="LLM108" s="9"/>
      <c r="LLN108" s="9"/>
      <c r="LLO108" s="9"/>
      <c r="LLP108" s="9"/>
      <c r="LLQ108" s="9"/>
      <c r="LLR108" s="9"/>
      <c r="LLS108" s="9"/>
      <c r="LLT108" s="9"/>
      <c r="LLU108" s="9"/>
      <c r="LLV108" s="9"/>
      <c r="LLW108" s="9"/>
      <c r="LLX108" s="9"/>
      <c r="LLY108" s="9"/>
      <c r="LLZ108" s="9"/>
      <c r="LMA108" s="9"/>
      <c r="LMB108" s="9"/>
      <c r="LMC108" s="9"/>
      <c r="LMD108" s="9"/>
      <c r="LME108" s="9"/>
      <c r="LMF108" s="9"/>
      <c r="LMG108" s="9"/>
      <c r="LMH108" s="9"/>
      <c r="LMI108" s="9"/>
      <c r="LMJ108" s="9"/>
      <c r="LMK108" s="9"/>
      <c r="LML108" s="9"/>
      <c r="LMM108" s="9"/>
      <c r="LMN108" s="9"/>
      <c r="LMO108" s="9"/>
      <c r="LMP108" s="9"/>
      <c r="LMQ108" s="9"/>
      <c r="LMR108" s="9"/>
      <c r="LMS108" s="9"/>
      <c r="LMT108" s="9"/>
      <c r="LMU108" s="9"/>
      <c r="LMV108" s="9"/>
      <c r="LMW108" s="9"/>
      <c r="LMX108" s="9"/>
      <c r="LMY108" s="9"/>
      <c r="LMZ108" s="9"/>
      <c r="LNA108" s="9"/>
      <c r="LNB108" s="9"/>
      <c r="LNC108" s="9"/>
      <c r="LND108" s="9"/>
      <c r="LNE108" s="9"/>
      <c r="LNF108" s="9"/>
      <c r="LNG108" s="9"/>
      <c r="LNH108" s="9"/>
      <c r="LNI108" s="9"/>
      <c r="LNJ108" s="9"/>
      <c r="LNK108" s="9"/>
      <c r="LNL108" s="9"/>
      <c r="LNM108" s="9"/>
      <c r="LNN108" s="9"/>
      <c r="LNO108" s="9"/>
      <c r="LNP108" s="9"/>
      <c r="LNQ108" s="9"/>
      <c r="LNR108" s="9"/>
      <c r="LNS108" s="9"/>
      <c r="LNT108" s="9"/>
      <c r="LNU108" s="9"/>
      <c r="LNV108" s="9"/>
      <c r="LNW108" s="9"/>
      <c r="LNX108" s="9"/>
      <c r="LNY108" s="9"/>
      <c r="LNZ108" s="9"/>
      <c r="LOA108" s="9"/>
      <c r="LOB108" s="9"/>
      <c r="LOC108" s="9"/>
      <c r="LOD108" s="9"/>
      <c r="LOE108" s="9"/>
      <c r="LOF108" s="9"/>
      <c r="LOG108" s="9"/>
      <c r="LOH108" s="9"/>
      <c r="LOI108" s="9"/>
      <c r="LOJ108" s="9"/>
      <c r="LOK108" s="9"/>
      <c r="LOL108" s="9"/>
      <c r="LOM108" s="9"/>
      <c r="LON108" s="9"/>
      <c r="LOO108" s="9"/>
      <c r="LOP108" s="9"/>
      <c r="LOQ108" s="9"/>
      <c r="LOR108" s="9"/>
      <c r="LOS108" s="9"/>
      <c r="LOT108" s="9"/>
      <c r="LOU108" s="9"/>
      <c r="LOV108" s="9"/>
      <c r="LOW108" s="9"/>
      <c r="LOX108" s="9"/>
      <c r="LOY108" s="9"/>
      <c r="LOZ108" s="9"/>
      <c r="LPA108" s="9"/>
      <c r="LPB108" s="9"/>
      <c r="LPC108" s="9"/>
      <c r="LPD108" s="9"/>
      <c r="LPE108" s="9"/>
      <c r="LPF108" s="9"/>
      <c r="LPG108" s="9"/>
      <c r="LPH108" s="9"/>
      <c r="LPI108" s="9"/>
      <c r="LPJ108" s="9"/>
      <c r="LPK108" s="9"/>
      <c r="LPL108" s="9"/>
      <c r="LPM108" s="9"/>
      <c r="LPN108" s="9"/>
      <c r="LPO108" s="9"/>
      <c r="LPP108" s="9"/>
      <c r="LPQ108" s="9"/>
      <c r="LPR108" s="9"/>
      <c r="LPS108" s="9"/>
      <c r="LPT108" s="9"/>
      <c r="LPU108" s="9"/>
      <c r="LPV108" s="9"/>
      <c r="LPW108" s="9"/>
      <c r="LPX108" s="9"/>
      <c r="LPY108" s="9"/>
      <c r="LPZ108" s="9"/>
      <c r="LQA108" s="9"/>
      <c r="LQB108" s="9"/>
      <c r="LQC108" s="9"/>
      <c r="LQD108" s="9"/>
      <c r="LQE108" s="9"/>
      <c r="LQF108" s="9"/>
      <c r="LQG108" s="9"/>
      <c r="LQH108" s="9"/>
      <c r="LQI108" s="9"/>
      <c r="LQJ108" s="9"/>
      <c r="LQK108" s="9"/>
      <c r="LQL108" s="9"/>
      <c r="LQM108" s="9"/>
      <c r="LQN108" s="9"/>
      <c r="LQO108" s="9"/>
      <c r="LQP108" s="9"/>
      <c r="LQQ108" s="9"/>
      <c r="LQR108" s="9"/>
      <c r="LQS108" s="9"/>
      <c r="LQT108" s="9"/>
      <c r="LQU108" s="9"/>
      <c r="LQV108" s="9"/>
      <c r="LQW108" s="9"/>
      <c r="LQX108" s="9"/>
      <c r="LQY108" s="9"/>
      <c r="LQZ108" s="9"/>
      <c r="LRA108" s="9"/>
      <c r="LRB108" s="9"/>
      <c r="LRC108" s="9"/>
      <c r="LRD108" s="9"/>
      <c r="LRE108" s="9"/>
      <c r="LRF108" s="9"/>
      <c r="LRG108" s="9"/>
      <c r="LRH108" s="9"/>
      <c r="LRI108" s="9"/>
      <c r="LRJ108" s="9"/>
      <c r="LRK108" s="9"/>
      <c r="LRL108" s="9"/>
      <c r="LRM108" s="9"/>
      <c r="LRN108" s="9"/>
      <c r="LRO108" s="9"/>
      <c r="LRP108" s="9"/>
      <c r="LRQ108" s="9"/>
      <c r="LRR108" s="9"/>
      <c r="LRS108" s="9"/>
      <c r="LRT108" s="9"/>
      <c r="LRU108" s="9"/>
      <c r="LRV108" s="9"/>
      <c r="LRW108" s="9"/>
      <c r="LRX108" s="9"/>
      <c r="LRY108" s="9"/>
      <c r="LRZ108" s="9"/>
      <c r="LSA108" s="9"/>
      <c r="LSB108" s="9"/>
      <c r="LSC108" s="9"/>
      <c r="LSD108" s="9"/>
      <c r="LSE108" s="9"/>
      <c r="LSF108" s="9"/>
      <c r="LSG108" s="9"/>
      <c r="LSH108" s="9"/>
      <c r="LSI108" s="9"/>
      <c r="LSJ108" s="9"/>
      <c r="LSK108" s="9"/>
      <c r="LSL108" s="9"/>
      <c r="LSM108" s="9"/>
      <c r="LSN108" s="9"/>
      <c r="LSO108" s="9"/>
      <c r="LSP108" s="9"/>
      <c r="LSQ108" s="9"/>
      <c r="LSR108" s="9"/>
      <c r="LSS108" s="9"/>
      <c r="LST108" s="9"/>
      <c r="LSU108" s="9"/>
      <c r="LSV108" s="9"/>
      <c r="LSW108" s="9"/>
      <c r="LSX108" s="9"/>
      <c r="LSY108" s="9"/>
      <c r="LSZ108" s="9"/>
      <c r="LTA108" s="9"/>
      <c r="LTB108" s="9"/>
      <c r="LTC108" s="9"/>
      <c r="LTD108" s="9"/>
      <c r="LTE108" s="9"/>
      <c r="LTF108" s="9"/>
      <c r="LTG108" s="9"/>
      <c r="LTH108" s="9"/>
      <c r="LTI108" s="9"/>
      <c r="LTJ108" s="9"/>
      <c r="LTK108" s="9"/>
      <c r="LTL108" s="9"/>
      <c r="LTM108" s="9"/>
      <c r="LTN108" s="9"/>
      <c r="LTO108" s="9"/>
      <c r="LTP108" s="9"/>
      <c r="LTQ108" s="9"/>
      <c r="LTR108" s="9"/>
      <c r="LTS108" s="9"/>
      <c r="LTT108" s="9"/>
      <c r="LTU108" s="9"/>
      <c r="LTV108" s="9"/>
      <c r="LTW108" s="9"/>
      <c r="LTX108" s="9"/>
      <c r="LTY108" s="9"/>
      <c r="LTZ108" s="9"/>
      <c r="LUA108" s="9"/>
      <c r="LUB108" s="9"/>
      <c r="LUC108" s="9"/>
      <c r="LUD108" s="9"/>
      <c r="LUE108" s="9"/>
      <c r="LUF108" s="9"/>
      <c r="LUG108" s="9"/>
      <c r="LUH108" s="9"/>
      <c r="LUI108" s="9"/>
      <c r="LUJ108" s="9"/>
      <c r="LUK108" s="9"/>
      <c r="LUL108" s="9"/>
      <c r="LUM108" s="9"/>
      <c r="LUN108" s="9"/>
      <c r="LUO108" s="9"/>
      <c r="LUP108" s="9"/>
      <c r="LUQ108" s="9"/>
      <c r="LUR108" s="9"/>
      <c r="LUS108" s="9"/>
      <c r="LUT108" s="9"/>
      <c r="LUU108" s="9"/>
      <c r="LUV108" s="9"/>
      <c r="LUW108" s="9"/>
      <c r="LUX108" s="9"/>
      <c r="LUY108" s="9"/>
      <c r="LUZ108" s="9"/>
      <c r="LVA108" s="9"/>
      <c r="LVB108" s="9"/>
      <c r="LVC108" s="9"/>
      <c r="LVD108" s="9"/>
      <c r="LVE108" s="9"/>
      <c r="LVF108" s="9"/>
      <c r="LVG108" s="9"/>
      <c r="LVH108" s="9"/>
      <c r="LVI108" s="9"/>
      <c r="LVJ108" s="9"/>
      <c r="LVK108" s="9"/>
      <c r="LVL108" s="9"/>
      <c r="LVM108" s="9"/>
      <c r="LVN108" s="9"/>
      <c r="LVO108" s="9"/>
      <c r="LVP108" s="9"/>
      <c r="LVQ108" s="9"/>
      <c r="LVR108" s="9"/>
      <c r="LVS108" s="9"/>
      <c r="LVT108" s="9"/>
      <c r="LVU108" s="9"/>
      <c r="LVV108" s="9"/>
      <c r="LVW108" s="9"/>
      <c r="LVX108" s="9"/>
      <c r="LVY108" s="9"/>
      <c r="LVZ108" s="9"/>
      <c r="LWA108" s="9"/>
      <c r="LWB108" s="9"/>
      <c r="LWC108" s="9"/>
      <c r="LWD108" s="9"/>
      <c r="LWE108" s="9"/>
      <c r="LWF108" s="9"/>
      <c r="LWG108" s="9"/>
      <c r="LWH108" s="9"/>
      <c r="LWI108" s="9"/>
      <c r="LWJ108" s="9"/>
      <c r="LWK108" s="9"/>
      <c r="LWL108" s="9"/>
      <c r="LWM108" s="9"/>
      <c r="LWN108" s="9"/>
      <c r="LWO108" s="9"/>
      <c r="LWP108" s="9"/>
      <c r="LWQ108" s="9"/>
      <c r="LWR108" s="9"/>
      <c r="LWS108" s="9"/>
      <c r="LWT108" s="9"/>
      <c r="LWU108" s="9"/>
      <c r="LWV108" s="9"/>
      <c r="LWW108" s="9"/>
      <c r="LWX108" s="9"/>
      <c r="LWY108" s="9"/>
      <c r="LWZ108" s="9"/>
      <c r="LXA108" s="9"/>
      <c r="LXB108" s="9"/>
      <c r="LXC108" s="9"/>
      <c r="LXD108" s="9"/>
      <c r="LXE108" s="9"/>
      <c r="LXF108" s="9"/>
      <c r="LXG108" s="9"/>
      <c r="LXH108" s="9"/>
      <c r="LXI108" s="9"/>
      <c r="LXJ108" s="9"/>
      <c r="LXK108" s="9"/>
      <c r="LXL108" s="9"/>
      <c r="LXM108" s="9"/>
      <c r="LXN108" s="9"/>
      <c r="LXO108" s="9"/>
      <c r="LXP108" s="9"/>
      <c r="LXQ108" s="9"/>
      <c r="LXR108" s="9"/>
      <c r="LXS108" s="9"/>
      <c r="LXT108" s="9"/>
      <c r="LXU108" s="9"/>
      <c r="LXV108" s="9"/>
      <c r="LXW108" s="9"/>
      <c r="LXX108" s="9"/>
      <c r="LXY108" s="9"/>
      <c r="LXZ108" s="9"/>
      <c r="LYA108" s="9"/>
      <c r="LYB108" s="9"/>
      <c r="LYC108" s="9"/>
      <c r="LYD108" s="9"/>
      <c r="LYE108" s="9"/>
      <c r="LYF108" s="9"/>
      <c r="LYG108" s="9"/>
      <c r="LYH108" s="9"/>
      <c r="LYI108" s="9"/>
      <c r="LYJ108" s="9"/>
      <c r="LYK108" s="9"/>
      <c r="LYL108" s="9"/>
      <c r="LYM108" s="9"/>
      <c r="LYN108" s="9"/>
      <c r="LYO108" s="9"/>
      <c r="LYP108" s="9"/>
      <c r="LYQ108" s="9"/>
      <c r="LYR108" s="9"/>
      <c r="LYS108" s="9"/>
      <c r="LYT108" s="9"/>
      <c r="LYU108" s="9"/>
      <c r="LYV108" s="9"/>
      <c r="LYW108" s="9"/>
      <c r="LYX108" s="9"/>
      <c r="LYY108" s="9"/>
      <c r="LYZ108" s="9"/>
      <c r="LZA108" s="9"/>
      <c r="LZB108" s="9"/>
      <c r="LZC108" s="9"/>
      <c r="LZD108" s="9"/>
      <c r="LZE108" s="9"/>
      <c r="LZF108" s="9"/>
      <c r="LZG108" s="9"/>
      <c r="LZH108" s="9"/>
      <c r="LZI108" s="9"/>
      <c r="LZJ108" s="9"/>
      <c r="LZK108" s="9"/>
      <c r="LZL108" s="9"/>
      <c r="LZM108" s="9"/>
      <c r="LZN108" s="9"/>
      <c r="LZO108" s="9"/>
      <c r="LZP108" s="9"/>
      <c r="LZQ108" s="9"/>
      <c r="LZR108" s="9"/>
      <c r="LZS108" s="9"/>
      <c r="LZT108" s="9"/>
      <c r="LZU108" s="9"/>
      <c r="LZV108" s="9"/>
      <c r="LZW108" s="9"/>
      <c r="LZX108" s="9"/>
      <c r="LZY108" s="9"/>
      <c r="LZZ108" s="9"/>
      <c r="MAA108" s="9"/>
      <c r="MAB108" s="9"/>
      <c r="MAC108" s="9"/>
      <c r="MAD108" s="9"/>
      <c r="MAE108" s="9"/>
      <c r="MAF108" s="9"/>
      <c r="MAG108" s="9"/>
      <c r="MAH108" s="9"/>
      <c r="MAI108" s="9"/>
      <c r="MAJ108" s="9"/>
      <c r="MAK108" s="9"/>
      <c r="MAL108" s="9"/>
      <c r="MAM108" s="9"/>
      <c r="MAN108" s="9"/>
      <c r="MAO108" s="9"/>
      <c r="MAP108" s="9"/>
      <c r="MAQ108" s="9"/>
      <c r="MAR108" s="9"/>
      <c r="MAS108" s="9"/>
      <c r="MAT108" s="9"/>
      <c r="MAU108" s="9"/>
      <c r="MAV108" s="9"/>
      <c r="MAW108" s="9"/>
      <c r="MAX108" s="9"/>
      <c r="MAY108" s="9"/>
      <c r="MAZ108" s="9"/>
      <c r="MBA108" s="9"/>
      <c r="MBB108" s="9"/>
      <c r="MBC108" s="9"/>
      <c r="MBD108" s="9"/>
      <c r="MBE108" s="9"/>
      <c r="MBF108" s="9"/>
      <c r="MBG108" s="9"/>
      <c r="MBH108" s="9"/>
      <c r="MBI108" s="9"/>
      <c r="MBJ108" s="9"/>
      <c r="MBK108" s="9"/>
      <c r="MBL108" s="9"/>
      <c r="MBM108" s="9"/>
      <c r="MBN108" s="9"/>
      <c r="MBO108" s="9"/>
      <c r="MBP108" s="9"/>
      <c r="MBQ108" s="9"/>
      <c r="MBR108" s="9"/>
      <c r="MBS108" s="9"/>
      <c r="MBT108" s="9"/>
      <c r="MBU108" s="9"/>
      <c r="MBV108" s="9"/>
      <c r="MBW108" s="9"/>
      <c r="MBX108" s="9"/>
      <c r="MBY108" s="9"/>
      <c r="MBZ108" s="9"/>
      <c r="MCA108" s="9"/>
      <c r="MCB108" s="9"/>
      <c r="MCC108" s="9"/>
      <c r="MCD108" s="9"/>
      <c r="MCE108" s="9"/>
      <c r="MCF108" s="9"/>
      <c r="MCG108" s="9"/>
      <c r="MCH108" s="9"/>
      <c r="MCI108" s="9"/>
      <c r="MCJ108" s="9"/>
      <c r="MCK108" s="9"/>
      <c r="MCL108" s="9"/>
      <c r="MCM108" s="9"/>
      <c r="MCN108" s="9"/>
      <c r="MCO108" s="9"/>
      <c r="MCP108" s="9"/>
      <c r="MCQ108" s="9"/>
      <c r="MCR108" s="9"/>
      <c r="MCS108" s="9"/>
      <c r="MCT108" s="9"/>
      <c r="MCU108" s="9"/>
      <c r="MCV108" s="9"/>
      <c r="MCW108" s="9"/>
      <c r="MCX108" s="9"/>
      <c r="MCY108" s="9"/>
      <c r="MCZ108" s="9"/>
      <c r="MDA108" s="9"/>
      <c r="MDB108" s="9"/>
      <c r="MDC108" s="9"/>
      <c r="MDD108" s="9"/>
      <c r="MDE108" s="9"/>
      <c r="MDF108" s="9"/>
      <c r="MDG108" s="9"/>
      <c r="MDH108" s="9"/>
      <c r="MDI108" s="9"/>
      <c r="MDJ108" s="9"/>
      <c r="MDK108" s="9"/>
      <c r="MDL108" s="9"/>
      <c r="MDM108" s="9"/>
      <c r="MDN108" s="9"/>
      <c r="MDO108" s="9"/>
      <c r="MDP108" s="9"/>
      <c r="MDQ108" s="9"/>
      <c r="MDR108" s="9"/>
      <c r="MDS108" s="9"/>
      <c r="MDT108" s="9"/>
      <c r="MDU108" s="9"/>
      <c r="MDV108" s="9"/>
      <c r="MDW108" s="9"/>
      <c r="MDX108" s="9"/>
      <c r="MDY108" s="9"/>
      <c r="MDZ108" s="9"/>
      <c r="MEA108" s="9"/>
      <c r="MEB108" s="9"/>
      <c r="MEC108" s="9"/>
      <c r="MED108" s="9"/>
      <c r="MEE108" s="9"/>
      <c r="MEF108" s="9"/>
      <c r="MEG108" s="9"/>
      <c r="MEH108" s="9"/>
      <c r="MEI108" s="9"/>
      <c r="MEJ108" s="9"/>
      <c r="MEK108" s="9"/>
      <c r="MEL108" s="9"/>
      <c r="MEM108" s="9"/>
      <c r="MEN108" s="9"/>
      <c r="MEO108" s="9"/>
      <c r="MEP108" s="9"/>
      <c r="MEQ108" s="9"/>
      <c r="MER108" s="9"/>
      <c r="MES108" s="9"/>
      <c r="MET108" s="9"/>
      <c r="MEU108" s="9"/>
      <c r="MEV108" s="9"/>
      <c r="MEW108" s="9"/>
      <c r="MEX108" s="9"/>
      <c r="MEY108" s="9"/>
      <c r="MEZ108" s="9"/>
      <c r="MFA108" s="9"/>
      <c r="MFB108" s="9"/>
      <c r="MFC108" s="9"/>
      <c r="MFD108" s="9"/>
      <c r="MFE108" s="9"/>
      <c r="MFF108" s="9"/>
      <c r="MFG108" s="9"/>
      <c r="MFH108" s="9"/>
      <c r="MFI108" s="9"/>
      <c r="MFJ108" s="9"/>
      <c r="MFK108" s="9"/>
      <c r="MFL108" s="9"/>
      <c r="MFM108" s="9"/>
      <c r="MFN108" s="9"/>
      <c r="MFO108" s="9"/>
      <c r="MFP108" s="9"/>
      <c r="MFQ108" s="9"/>
      <c r="MFR108" s="9"/>
      <c r="MFS108" s="9"/>
      <c r="MFT108" s="9"/>
      <c r="MFU108" s="9"/>
      <c r="MFV108" s="9"/>
      <c r="MFW108" s="9"/>
      <c r="MFX108" s="9"/>
      <c r="MFY108" s="9"/>
      <c r="MFZ108" s="9"/>
      <c r="MGA108" s="9"/>
      <c r="MGB108" s="9"/>
      <c r="MGC108" s="9"/>
      <c r="MGD108" s="9"/>
      <c r="MGE108" s="9"/>
      <c r="MGF108" s="9"/>
      <c r="MGG108" s="9"/>
      <c r="MGH108" s="9"/>
      <c r="MGI108" s="9"/>
      <c r="MGJ108" s="9"/>
      <c r="MGK108" s="9"/>
      <c r="MGL108" s="9"/>
      <c r="MGM108" s="9"/>
      <c r="MGN108" s="9"/>
      <c r="MGO108" s="9"/>
      <c r="MGP108" s="9"/>
      <c r="MGQ108" s="9"/>
      <c r="MGR108" s="9"/>
      <c r="MGS108" s="9"/>
      <c r="MGT108" s="9"/>
      <c r="MGU108" s="9"/>
      <c r="MGV108" s="9"/>
      <c r="MGW108" s="9"/>
      <c r="MGX108" s="9"/>
      <c r="MGY108" s="9"/>
      <c r="MGZ108" s="9"/>
      <c r="MHA108" s="9"/>
      <c r="MHB108" s="9"/>
      <c r="MHC108" s="9"/>
      <c r="MHD108" s="9"/>
      <c r="MHE108" s="9"/>
      <c r="MHF108" s="9"/>
      <c r="MHG108" s="9"/>
      <c r="MHH108" s="9"/>
      <c r="MHI108" s="9"/>
      <c r="MHJ108" s="9"/>
      <c r="MHK108" s="9"/>
      <c r="MHL108" s="9"/>
      <c r="MHM108" s="9"/>
      <c r="MHN108" s="9"/>
      <c r="MHO108" s="9"/>
      <c r="MHP108" s="9"/>
      <c r="MHQ108" s="9"/>
      <c r="MHR108" s="9"/>
      <c r="MHS108" s="9"/>
      <c r="MHT108" s="9"/>
      <c r="MHU108" s="9"/>
      <c r="MHV108" s="9"/>
      <c r="MHW108" s="9"/>
      <c r="MHX108" s="9"/>
      <c r="MHY108" s="9"/>
      <c r="MHZ108" s="9"/>
      <c r="MIA108" s="9"/>
      <c r="MIB108" s="9"/>
      <c r="MIC108" s="9"/>
      <c r="MID108" s="9"/>
      <c r="MIE108" s="9"/>
      <c r="MIF108" s="9"/>
      <c r="MIG108" s="9"/>
      <c r="MIH108" s="9"/>
      <c r="MII108" s="9"/>
      <c r="MIJ108" s="9"/>
      <c r="MIK108" s="9"/>
      <c r="MIL108" s="9"/>
      <c r="MIM108" s="9"/>
      <c r="MIN108" s="9"/>
      <c r="MIO108" s="9"/>
      <c r="MIP108" s="9"/>
      <c r="MIQ108" s="9"/>
      <c r="MIR108" s="9"/>
      <c r="MIS108" s="9"/>
      <c r="MIT108" s="9"/>
      <c r="MIU108" s="9"/>
      <c r="MIV108" s="9"/>
      <c r="MIW108" s="9"/>
      <c r="MIX108" s="9"/>
      <c r="MIY108" s="9"/>
      <c r="MIZ108" s="9"/>
      <c r="MJA108" s="9"/>
      <c r="MJB108" s="9"/>
      <c r="MJC108" s="9"/>
      <c r="MJD108" s="9"/>
      <c r="MJE108" s="9"/>
      <c r="MJF108" s="9"/>
      <c r="MJG108" s="9"/>
      <c r="MJH108" s="9"/>
      <c r="MJI108" s="9"/>
      <c r="MJJ108" s="9"/>
      <c r="MJK108" s="9"/>
      <c r="MJL108" s="9"/>
      <c r="MJM108" s="9"/>
      <c r="MJN108" s="9"/>
      <c r="MJO108" s="9"/>
      <c r="MJP108" s="9"/>
      <c r="MJQ108" s="9"/>
      <c r="MJR108" s="9"/>
      <c r="MJS108" s="9"/>
      <c r="MJT108" s="9"/>
      <c r="MJU108" s="9"/>
      <c r="MJV108" s="9"/>
      <c r="MJW108" s="9"/>
      <c r="MJX108" s="9"/>
      <c r="MJY108" s="9"/>
      <c r="MJZ108" s="9"/>
      <c r="MKA108" s="9"/>
      <c r="MKB108" s="9"/>
      <c r="MKC108" s="9"/>
      <c r="MKD108" s="9"/>
      <c r="MKE108" s="9"/>
      <c r="MKF108" s="9"/>
      <c r="MKG108" s="9"/>
      <c r="MKH108" s="9"/>
      <c r="MKI108" s="9"/>
      <c r="MKJ108" s="9"/>
      <c r="MKK108" s="9"/>
      <c r="MKL108" s="9"/>
      <c r="MKM108" s="9"/>
      <c r="MKN108" s="9"/>
      <c r="MKO108" s="9"/>
      <c r="MKP108" s="9"/>
      <c r="MKQ108" s="9"/>
      <c r="MKR108" s="9"/>
      <c r="MKS108" s="9"/>
      <c r="MKT108" s="9"/>
      <c r="MKU108" s="9"/>
      <c r="MKV108" s="9"/>
      <c r="MKW108" s="9"/>
      <c r="MKX108" s="9"/>
      <c r="MKY108" s="9"/>
      <c r="MKZ108" s="9"/>
      <c r="MLA108" s="9"/>
      <c r="MLB108" s="9"/>
      <c r="MLC108" s="9"/>
      <c r="MLD108" s="9"/>
      <c r="MLE108" s="9"/>
      <c r="MLF108" s="9"/>
      <c r="MLG108" s="9"/>
      <c r="MLH108" s="9"/>
      <c r="MLI108" s="9"/>
      <c r="MLJ108" s="9"/>
      <c r="MLK108" s="9"/>
      <c r="MLL108" s="9"/>
      <c r="MLM108" s="9"/>
      <c r="MLN108" s="9"/>
      <c r="MLO108" s="9"/>
      <c r="MLP108" s="9"/>
      <c r="MLQ108" s="9"/>
      <c r="MLR108" s="9"/>
      <c r="MLS108" s="9"/>
      <c r="MLT108" s="9"/>
      <c r="MLU108" s="9"/>
      <c r="MLV108" s="9"/>
      <c r="MLW108" s="9"/>
      <c r="MLX108" s="9"/>
      <c r="MLY108" s="9"/>
      <c r="MLZ108" s="9"/>
      <c r="MMA108" s="9"/>
      <c r="MMB108" s="9"/>
      <c r="MMC108" s="9"/>
      <c r="MMD108" s="9"/>
      <c r="MME108" s="9"/>
      <c r="MMF108" s="9"/>
      <c r="MMG108" s="9"/>
      <c r="MMH108" s="9"/>
      <c r="MMI108" s="9"/>
      <c r="MMJ108" s="9"/>
      <c r="MMK108" s="9"/>
      <c r="MML108" s="9"/>
      <c r="MMM108" s="9"/>
      <c r="MMN108" s="9"/>
      <c r="MMO108" s="9"/>
      <c r="MMP108" s="9"/>
      <c r="MMQ108" s="9"/>
      <c r="MMR108" s="9"/>
      <c r="MMS108" s="9"/>
      <c r="MMT108" s="9"/>
      <c r="MMU108" s="9"/>
      <c r="MMV108" s="9"/>
      <c r="MMW108" s="9"/>
      <c r="MMX108" s="9"/>
      <c r="MMY108" s="9"/>
      <c r="MMZ108" s="9"/>
      <c r="MNA108" s="9"/>
      <c r="MNB108" s="9"/>
      <c r="MNC108" s="9"/>
      <c r="MND108" s="9"/>
      <c r="MNE108" s="9"/>
      <c r="MNF108" s="9"/>
      <c r="MNG108" s="9"/>
      <c r="MNH108" s="9"/>
      <c r="MNI108" s="9"/>
      <c r="MNJ108" s="9"/>
      <c r="MNK108" s="9"/>
      <c r="MNL108" s="9"/>
      <c r="MNM108" s="9"/>
      <c r="MNN108" s="9"/>
      <c r="MNO108" s="9"/>
      <c r="MNP108" s="9"/>
      <c r="MNQ108" s="9"/>
      <c r="MNR108" s="9"/>
      <c r="MNS108" s="9"/>
      <c r="MNT108" s="9"/>
      <c r="MNU108" s="9"/>
      <c r="MNV108" s="9"/>
      <c r="MNW108" s="9"/>
      <c r="MNX108" s="9"/>
      <c r="MNY108" s="9"/>
      <c r="MNZ108" s="9"/>
      <c r="MOA108" s="9"/>
      <c r="MOB108" s="9"/>
      <c r="MOC108" s="9"/>
      <c r="MOD108" s="9"/>
      <c r="MOE108" s="9"/>
      <c r="MOF108" s="9"/>
      <c r="MOG108" s="9"/>
      <c r="MOH108" s="9"/>
      <c r="MOI108" s="9"/>
      <c r="MOJ108" s="9"/>
      <c r="MOK108" s="9"/>
      <c r="MOL108" s="9"/>
      <c r="MOM108" s="9"/>
      <c r="MON108" s="9"/>
      <c r="MOO108" s="9"/>
      <c r="MOP108" s="9"/>
      <c r="MOQ108" s="9"/>
      <c r="MOR108" s="9"/>
      <c r="MOS108" s="9"/>
      <c r="MOT108" s="9"/>
      <c r="MOU108" s="9"/>
      <c r="MOV108" s="9"/>
      <c r="MOW108" s="9"/>
      <c r="MOX108" s="9"/>
      <c r="MOY108" s="9"/>
      <c r="MOZ108" s="9"/>
      <c r="MPA108" s="9"/>
      <c r="MPB108" s="9"/>
      <c r="MPC108" s="9"/>
      <c r="MPD108" s="9"/>
      <c r="MPE108" s="9"/>
      <c r="MPF108" s="9"/>
      <c r="MPG108" s="9"/>
      <c r="MPH108" s="9"/>
      <c r="MPI108" s="9"/>
      <c r="MPJ108" s="9"/>
      <c r="MPK108" s="9"/>
      <c r="MPL108" s="9"/>
      <c r="MPM108" s="9"/>
      <c r="MPN108" s="9"/>
      <c r="MPO108" s="9"/>
      <c r="MPP108" s="9"/>
      <c r="MPQ108" s="9"/>
      <c r="MPR108" s="9"/>
      <c r="MPS108" s="9"/>
      <c r="MPT108" s="9"/>
      <c r="MPU108" s="9"/>
      <c r="MPV108" s="9"/>
      <c r="MPW108" s="9"/>
      <c r="MPX108" s="9"/>
      <c r="MPY108" s="9"/>
      <c r="MPZ108" s="9"/>
      <c r="MQA108" s="9"/>
      <c r="MQB108" s="9"/>
      <c r="MQC108" s="9"/>
      <c r="MQD108" s="9"/>
      <c r="MQE108" s="9"/>
      <c r="MQF108" s="9"/>
      <c r="MQG108" s="9"/>
      <c r="MQH108" s="9"/>
      <c r="MQI108" s="9"/>
      <c r="MQJ108" s="9"/>
      <c r="MQK108" s="9"/>
      <c r="MQL108" s="9"/>
      <c r="MQM108" s="9"/>
      <c r="MQN108" s="9"/>
      <c r="MQO108" s="9"/>
      <c r="MQP108" s="9"/>
      <c r="MQQ108" s="9"/>
      <c r="MQR108" s="9"/>
      <c r="MQS108" s="9"/>
      <c r="MQT108" s="9"/>
      <c r="MQU108" s="9"/>
      <c r="MQV108" s="9"/>
      <c r="MQW108" s="9"/>
      <c r="MQX108" s="9"/>
      <c r="MQY108" s="9"/>
      <c r="MQZ108" s="9"/>
      <c r="MRA108" s="9"/>
      <c r="MRB108" s="9"/>
      <c r="MRC108" s="9"/>
      <c r="MRD108" s="9"/>
      <c r="MRE108" s="9"/>
      <c r="MRF108" s="9"/>
      <c r="MRG108" s="9"/>
      <c r="MRH108" s="9"/>
      <c r="MRI108" s="9"/>
      <c r="MRJ108" s="9"/>
      <c r="MRK108" s="9"/>
      <c r="MRL108" s="9"/>
      <c r="MRM108" s="9"/>
      <c r="MRN108" s="9"/>
      <c r="MRO108" s="9"/>
      <c r="MRP108" s="9"/>
      <c r="MRQ108" s="9"/>
      <c r="MRR108" s="9"/>
      <c r="MRS108" s="9"/>
      <c r="MRT108" s="9"/>
      <c r="MRU108" s="9"/>
      <c r="MRV108" s="9"/>
      <c r="MRW108" s="9"/>
      <c r="MRX108" s="9"/>
      <c r="MRY108" s="9"/>
      <c r="MRZ108" s="9"/>
      <c r="MSA108" s="9"/>
      <c r="MSB108" s="9"/>
      <c r="MSC108" s="9"/>
      <c r="MSD108" s="9"/>
      <c r="MSE108" s="9"/>
      <c r="MSF108" s="9"/>
      <c r="MSG108" s="9"/>
      <c r="MSH108" s="9"/>
      <c r="MSI108" s="9"/>
      <c r="MSJ108" s="9"/>
      <c r="MSK108" s="9"/>
      <c r="MSL108" s="9"/>
      <c r="MSM108" s="9"/>
      <c r="MSN108" s="9"/>
      <c r="MSO108" s="9"/>
      <c r="MSP108" s="9"/>
      <c r="MSQ108" s="9"/>
      <c r="MSR108" s="9"/>
      <c r="MSS108" s="9"/>
      <c r="MST108" s="9"/>
      <c r="MSU108" s="9"/>
      <c r="MSV108" s="9"/>
      <c r="MSW108" s="9"/>
      <c r="MSX108" s="9"/>
      <c r="MSY108" s="9"/>
      <c r="MSZ108" s="9"/>
      <c r="MTA108" s="9"/>
      <c r="MTB108" s="9"/>
      <c r="MTC108" s="9"/>
      <c r="MTD108" s="9"/>
      <c r="MTE108" s="9"/>
      <c r="MTF108" s="9"/>
      <c r="MTG108" s="9"/>
      <c r="MTH108" s="9"/>
      <c r="MTI108" s="9"/>
      <c r="MTJ108" s="9"/>
      <c r="MTK108" s="9"/>
      <c r="MTL108" s="9"/>
      <c r="MTM108" s="9"/>
      <c r="MTN108" s="9"/>
      <c r="MTO108" s="9"/>
      <c r="MTP108" s="9"/>
      <c r="MTQ108" s="9"/>
      <c r="MTR108" s="9"/>
      <c r="MTS108" s="9"/>
      <c r="MTT108" s="9"/>
      <c r="MTU108" s="9"/>
      <c r="MTV108" s="9"/>
      <c r="MTW108" s="9"/>
      <c r="MTX108" s="9"/>
      <c r="MTY108" s="9"/>
      <c r="MTZ108" s="9"/>
      <c r="MUA108" s="9"/>
      <c r="MUB108" s="9"/>
      <c r="MUC108" s="9"/>
      <c r="MUD108" s="9"/>
      <c r="MUE108" s="9"/>
      <c r="MUF108" s="9"/>
      <c r="MUG108" s="9"/>
      <c r="MUH108" s="9"/>
      <c r="MUI108" s="9"/>
      <c r="MUJ108" s="9"/>
      <c r="MUK108" s="9"/>
      <c r="MUL108" s="9"/>
      <c r="MUM108" s="9"/>
      <c r="MUN108" s="9"/>
      <c r="MUO108" s="9"/>
      <c r="MUP108" s="9"/>
      <c r="MUQ108" s="9"/>
      <c r="MUR108" s="9"/>
      <c r="MUS108" s="9"/>
      <c r="MUT108" s="9"/>
      <c r="MUU108" s="9"/>
      <c r="MUV108" s="9"/>
      <c r="MUW108" s="9"/>
      <c r="MUX108" s="9"/>
      <c r="MUY108" s="9"/>
      <c r="MUZ108" s="9"/>
      <c r="MVA108" s="9"/>
      <c r="MVB108" s="9"/>
      <c r="MVC108" s="9"/>
      <c r="MVD108" s="9"/>
      <c r="MVE108" s="9"/>
      <c r="MVF108" s="9"/>
      <c r="MVG108" s="9"/>
      <c r="MVH108" s="9"/>
      <c r="MVI108" s="9"/>
      <c r="MVJ108" s="9"/>
      <c r="MVK108" s="9"/>
      <c r="MVL108" s="9"/>
      <c r="MVM108" s="9"/>
      <c r="MVN108" s="9"/>
      <c r="MVO108" s="9"/>
      <c r="MVP108" s="9"/>
      <c r="MVQ108" s="9"/>
      <c r="MVR108" s="9"/>
      <c r="MVS108" s="9"/>
      <c r="MVT108" s="9"/>
      <c r="MVU108" s="9"/>
      <c r="MVV108" s="9"/>
      <c r="MVW108" s="9"/>
      <c r="MVX108" s="9"/>
      <c r="MVY108" s="9"/>
      <c r="MVZ108" s="9"/>
      <c r="MWA108" s="9"/>
      <c r="MWB108" s="9"/>
      <c r="MWC108" s="9"/>
      <c r="MWD108" s="9"/>
      <c r="MWE108" s="9"/>
      <c r="MWF108" s="9"/>
      <c r="MWG108" s="9"/>
      <c r="MWH108" s="9"/>
      <c r="MWI108" s="9"/>
      <c r="MWJ108" s="9"/>
      <c r="MWK108" s="9"/>
      <c r="MWL108" s="9"/>
      <c r="MWM108" s="9"/>
      <c r="MWN108" s="9"/>
      <c r="MWO108" s="9"/>
      <c r="MWP108" s="9"/>
      <c r="MWQ108" s="9"/>
      <c r="MWR108" s="9"/>
      <c r="MWS108" s="9"/>
      <c r="MWT108" s="9"/>
      <c r="MWU108" s="9"/>
      <c r="MWV108" s="9"/>
      <c r="MWW108" s="9"/>
      <c r="MWX108" s="9"/>
      <c r="MWY108" s="9"/>
      <c r="MWZ108" s="9"/>
      <c r="MXA108" s="9"/>
      <c r="MXB108" s="9"/>
      <c r="MXC108" s="9"/>
      <c r="MXD108" s="9"/>
      <c r="MXE108" s="9"/>
      <c r="MXF108" s="9"/>
      <c r="MXG108" s="9"/>
      <c r="MXH108" s="9"/>
      <c r="MXI108" s="9"/>
      <c r="MXJ108" s="9"/>
      <c r="MXK108" s="9"/>
      <c r="MXL108" s="9"/>
      <c r="MXM108" s="9"/>
      <c r="MXN108" s="9"/>
      <c r="MXO108" s="9"/>
      <c r="MXP108" s="9"/>
      <c r="MXQ108" s="9"/>
      <c r="MXR108" s="9"/>
      <c r="MXS108" s="9"/>
      <c r="MXT108" s="9"/>
      <c r="MXU108" s="9"/>
      <c r="MXV108" s="9"/>
      <c r="MXW108" s="9"/>
      <c r="MXX108" s="9"/>
      <c r="MXY108" s="9"/>
      <c r="MXZ108" s="9"/>
      <c r="MYA108" s="9"/>
      <c r="MYB108" s="9"/>
      <c r="MYC108" s="9"/>
      <c r="MYD108" s="9"/>
      <c r="MYE108" s="9"/>
      <c r="MYF108" s="9"/>
      <c r="MYG108" s="9"/>
      <c r="MYH108" s="9"/>
      <c r="MYI108" s="9"/>
      <c r="MYJ108" s="9"/>
      <c r="MYK108" s="9"/>
      <c r="MYL108" s="9"/>
      <c r="MYM108" s="9"/>
      <c r="MYN108" s="9"/>
      <c r="MYO108" s="9"/>
      <c r="MYP108" s="9"/>
      <c r="MYQ108" s="9"/>
      <c r="MYR108" s="9"/>
      <c r="MYS108" s="9"/>
      <c r="MYT108" s="9"/>
      <c r="MYU108" s="9"/>
      <c r="MYV108" s="9"/>
      <c r="MYW108" s="9"/>
      <c r="MYX108" s="9"/>
      <c r="MYY108" s="9"/>
      <c r="MYZ108" s="9"/>
      <c r="MZA108" s="9"/>
      <c r="MZB108" s="9"/>
      <c r="MZC108" s="9"/>
      <c r="MZD108" s="9"/>
      <c r="MZE108" s="9"/>
      <c r="MZF108" s="9"/>
      <c r="MZG108" s="9"/>
      <c r="MZH108" s="9"/>
      <c r="MZI108" s="9"/>
      <c r="MZJ108" s="9"/>
      <c r="MZK108" s="9"/>
      <c r="MZL108" s="9"/>
      <c r="MZM108" s="9"/>
      <c r="MZN108" s="9"/>
      <c r="MZO108" s="9"/>
      <c r="MZP108" s="9"/>
      <c r="MZQ108" s="9"/>
      <c r="MZR108" s="9"/>
      <c r="MZS108" s="9"/>
      <c r="MZT108" s="9"/>
      <c r="MZU108" s="9"/>
      <c r="MZV108" s="9"/>
      <c r="MZW108" s="9"/>
      <c r="MZX108" s="9"/>
      <c r="MZY108" s="9"/>
      <c r="MZZ108" s="9"/>
      <c r="NAA108" s="9"/>
      <c r="NAB108" s="9"/>
      <c r="NAC108" s="9"/>
      <c r="NAD108" s="9"/>
      <c r="NAE108" s="9"/>
      <c r="NAF108" s="9"/>
      <c r="NAG108" s="9"/>
      <c r="NAH108" s="9"/>
      <c r="NAI108" s="9"/>
      <c r="NAJ108" s="9"/>
      <c r="NAK108" s="9"/>
      <c r="NAL108" s="9"/>
      <c r="NAM108" s="9"/>
      <c r="NAN108" s="9"/>
      <c r="NAO108" s="9"/>
      <c r="NAP108" s="9"/>
      <c r="NAQ108" s="9"/>
      <c r="NAR108" s="9"/>
      <c r="NAS108" s="9"/>
      <c r="NAT108" s="9"/>
      <c r="NAU108" s="9"/>
      <c r="NAV108" s="9"/>
      <c r="NAW108" s="9"/>
      <c r="NAX108" s="9"/>
      <c r="NAY108" s="9"/>
      <c r="NAZ108" s="9"/>
      <c r="NBA108" s="9"/>
      <c r="NBB108" s="9"/>
      <c r="NBC108" s="9"/>
      <c r="NBD108" s="9"/>
      <c r="NBE108" s="9"/>
      <c r="NBF108" s="9"/>
      <c r="NBG108" s="9"/>
      <c r="NBH108" s="9"/>
      <c r="NBI108" s="9"/>
      <c r="NBJ108" s="9"/>
      <c r="NBK108" s="9"/>
      <c r="NBL108" s="9"/>
      <c r="NBM108" s="9"/>
      <c r="NBN108" s="9"/>
      <c r="NBO108" s="9"/>
      <c r="NBP108" s="9"/>
      <c r="NBQ108" s="9"/>
      <c r="NBR108" s="9"/>
      <c r="NBS108" s="9"/>
      <c r="NBT108" s="9"/>
      <c r="NBU108" s="9"/>
      <c r="NBV108" s="9"/>
      <c r="NBW108" s="9"/>
      <c r="NBX108" s="9"/>
      <c r="NBY108" s="9"/>
      <c r="NBZ108" s="9"/>
      <c r="NCA108" s="9"/>
      <c r="NCB108" s="9"/>
      <c r="NCC108" s="9"/>
      <c r="NCD108" s="9"/>
      <c r="NCE108" s="9"/>
      <c r="NCF108" s="9"/>
      <c r="NCG108" s="9"/>
      <c r="NCH108" s="9"/>
      <c r="NCI108" s="9"/>
      <c r="NCJ108" s="9"/>
      <c r="NCK108" s="9"/>
      <c r="NCL108" s="9"/>
      <c r="NCM108" s="9"/>
      <c r="NCN108" s="9"/>
      <c r="NCO108" s="9"/>
      <c r="NCP108" s="9"/>
      <c r="NCQ108" s="9"/>
      <c r="NCR108" s="9"/>
      <c r="NCS108" s="9"/>
      <c r="NCT108" s="9"/>
      <c r="NCU108" s="9"/>
      <c r="NCV108" s="9"/>
      <c r="NCW108" s="9"/>
      <c r="NCX108" s="9"/>
      <c r="NCY108" s="9"/>
      <c r="NCZ108" s="9"/>
      <c r="NDA108" s="9"/>
      <c r="NDB108" s="9"/>
      <c r="NDC108" s="9"/>
      <c r="NDD108" s="9"/>
      <c r="NDE108" s="9"/>
      <c r="NDF108" s="9"/>
      <c r="NDG108" s="9"/>
      <c r="NDH108" s="9"/>
      <c r="NDI108" s="9"/>
      <c r="NDJ108" s="9"/>
      <c r="NDK108" s="9"/>
      <c r="NDL108" s="9"/>
      <c r="NDM108" s="9"/>
      <c r="NDN108" s="9"/>
      <c r="NDO108" s="9"/>
      <c r="NDP108" s="9"/>
      <c r="NDQ108" s="9"/>
      <c r="NDR108" s="9"/>
      <c r="NDS108" s="9"/>
      <c r="NDT108" s="9"/>
      <c r="NDU108" s="9"/>
      <c r="NDV108" s="9"/>
      <c r="NDW108" s="9"/>
      <c r="NDX108" s="9"/>
      <c r="NDY108" s="9"/>
      <c r="NDZ108" s="9"/>
      <c r="NEA108" s="9"/>
      <c r="NEB108" s="9"/>
      <c r="NEC108" s="9"/>
      <c r="NED108" s="9"/>
      <c r="NEE108" s="9"/>
      <c r="NEF108" s="9"/>
      <c r="NEG108" s="9"/>
      <c r="NEH108" s="9"/>
      <c r="NEI108" s="9"/>
      <c r="NEJ108" s="9"/>
      <c r="NEK108" s="9"/>
      <c r="NEL108" s="9"/>
      <c r="NEM108" s="9"/>
      <c r="NEN108" s="9"/>
      <c r="NEO108" s="9"/>
      <c r="NEP108" s="9"/>
      <c r="NEQ108" s="9"/>
      <c r="NER108" s="9"/>
      <c r="NES108" s="9"/>
      <c r="NET108" s="9"/>
      <c r="NEU108" s="9"/>
      <c r="NEV108" s="9"/>
      <c r="NEW108" s="9"/>
      <c r="NEX108" s="9"/>
      <c r="NEY108" s="9"/>
      <c r="NEZ108" s="9"/>
      <c r="NFA108" s="9"/>
      <c r="NFB108" s="9"/>
      <c r="NFC108" s="9"/>
      <c r="NFD108" s="9"/>
      <c r="NFE108" s="9"/>
      <c r="NFF108" s="9"/>
      <c r="NFG108" s="9"/>
      <c r="NFH108" s="9"/>
      <c r="NFI108" s="9"/>
      <c r="NFJ108" s="9"/>
      <c r="NFK108" s="9"/>
      <c r="NFL108" s="9"/>
      <c r="NFM108" s="9"/>
      <c r="NFN108" s="9"/>
      <c r="NFO108" s="9"/>
      <c r="NFP108" s="9"/>
      <c r="NFQ108" s="9"/>
      <c r="NFR108" s="9"/>
      <c r="NFS108" s="9"/>
      <c r="NFT108" s="9"/>
      <c r="NFU108" s="9"/>
      <c r="NFV108" s="9"/>
      <c r="NFW108" s="9"/>
      <c r="NFX108" s="9"/>
      <c r="NFY108" s="9"/>
      <c r="NFZ108" s="9"/>
      <c r="NGA108" s="9"/>
      <c r="NGB108" s="9"/>
      <c r="NGC108" s="9"/>
      <c r="NGD108" s="9"/>
      <c r="NGE108" s="9"/>
      <c r="NGF108" s="9"/>
      <c r="NGG108" s="9"/>
      <c r="NGH108" s="9"/>
      <c r="NGI108" s="9"/>
      <c r="NGJ108" s="9"/>
      <c r="NGK108" s="9"/>
      <c r="NGL108" s="9"/>
      <c r="NGM108" s="9"/>
      <c r="NGN108" s="9"/>
      <c r="NGO108" s="9"/>
      <c r="NGP108" s="9"/>
      <c r="NGQ108" s="9"/>
      <c r="NGR108" s="9"/>
      <c r="NGS108" s="9"/>
      <c r="NGT108" s="9"/>
      <c r="NGU108" s="9"/>
      <c r="NGV108" s="9"/>
      <c r="NGW108" s="9"/>
      <c r="NGX108" s="9"/>
      <c r="NGY108" s="9"/>
      <c r="NGZ108" s="9"/>
      <c r="NHA108" s="9"/>
      <c r="NHB108" s="9"/>
      <c r="NHC108" s="9"/>
      <c r="NHD108" s="9"/>
      <c r="NHE108" s="9"/>
      <c r="NHF108" s="9"/>
      <c r="NHG108" s="9"/>
      <c r="NHH108" s="9"/>
      <c r="NHI108" s="9"/>
      <c r="NHJ108" s="9"/>
      <c r="NHK108" s="9"/>
      <c r="NHL108" s="9"/>
      <c r="NHM108" s="9"/>
      <c r="NHN108" s="9"/>
      <c r="NHO108" s="9"/>
      <c r="NHP108" s="9"/>
      <c r="NHQ108" s="9"/>
      <c r="NHR108" s="9"/>
      <c r="NHS108" s="9"/>
      <c r="NHT108" s="9"/>
      <c r="NHU108" s="9"/>
      <c r="NHV108" s="9"/>
      <c r="NHW108" s="9"/>
      <c r="NHX108" s="9"/>
      <c r="NHY108" s="9"/>
      <c r="NHZ108" s="9"/>
      <c r="NIA108" s="9"/>
      <c r="NIB108" s="9"/>
      <c r="NIC108" s="9"/>
      <c r="NID108" s="9"/>
      <c r="NIE108" s="9"/>
      <c r="NIF108" s="9"/>
      <c r="NIG108" s="9"/>
      <c r="NIH108" s="9"/>
      <c r="NII108" s="9"/>
      <c r="NIJ108" s="9"/>
      <c r="NIK108" s="9"/>
      <c r="NIL108" s="9"/>
      <c r="NIM108" s="9"/>
      <c r="NIN108" s="9"/>
      <c r="NIO108" s="9"/>
      <c r="NIP108" s="9"/>
      <c r="NIQ108" s="9"/>
      <c r="NIR108" s="9"/>
      <c r="NIS108" s="9"/>
      <c r="NIT108" s="9"/>
      <c r="NIU108" s="9"/>
      <c r="NIV108" s="9"/>
      <c r="NIW108" s="9"/>
      <c r="NIX108" s="9"/>
      <c r="NIY108" s="9"/>
      <c r="NIZ108" s="9"/>
      <c r="NJA108" s="9"/>
      <c r="NJB108" s="9"/>
      <c r="NJC108" s="9"/>
      <c r="NJD108" s="9"/>
      <c r="NJE108" s="9"/>
      <c r="NJF108" s="9"/>
      <c r="NJG108" s="9"/>
      <c r="NJH108" s="9"/>
      <c r="NJI108" s="9"/>
      <c r="NJJ108" s="9"/>
      <c r="NJK108" s="9"/>
      <c r="NJL108" s="9"/>
      <c r="NJM108" s="9"/>
      <c r="NJN108" s="9"/>
      <c r="NJO108" s="9"/>
      <c r="NJP108" s="9"/>
      <c r="NJQ108" s="9"/>
      <c r="NJR108" s="9"/>
      <c r="NJS108" s="9"/>
      <c r="NJT108" s="9"/>
      <c r="NJU108" s="9"/>
      <c r="NJV108" s="9"/>
      <c r="NJW108" s="9"/>
      <c r="NJX108" s="9"/>
      <c r="NJY108" s="9"/>
      <c r="NJZ108" s="9"/>
      <c r="NKA108" s="9"/>
      <c r="NKB108" s="9"/>
      <c r="NKC108" s="9"/>
      <c r="NKD108" s="9"/>
      <c r="NKE108" s="9"/>
      <c r="NKF108" s="9"/>
      <c r="NKG108" s="9"/>
      <c r="NKH108" s="9"/>
      <c r="NKI108" s="9"/>
      <c r="NKJ108" s="9"/>
      <c r="NKK108" s="9"/>
      <c r="NKL108" s="9"/>
      <c r="NKM108" s="9"/>
      <c r="NKN108" s="9"/>
      <c r="NKO108" s="9"/>
      <c r="NKP108" s="9"/>
      <c r="NKQ108" s="9"/>
      <c r="NKR108" s="9"/>
      <c r="NKS108" s="9"/>
      <c r="NKT108" s="9"/>
      <c r="NKU108" s="9"/>
      <c r="NKV108" s="9"/>
      <c r="NKW108" s="9"/>
      <c r="NKX108" s="9"/>
      <c r="NKY108" s="9"/>
      <c r="NKZ108" s="9"/>
      <c r="NLA108" s="9"/>
      <c r="NLB108" s="9"/>
      <c r="NLC108" s="9"/>
      <c r="NLD108" s="9"/>
      <c r="NLE108" s="9"/>
      <c r="NLF108" s="9"/>
      <c r="NLG108" s="9"/>
      <c r="NLH108" s="9"/>
      <c r="NLI108" s="9"/>
      <c r="NLJ108" s="9"/>
      <c r="NLK108" s="9"/>
      <c r="NLL108" s="9"/>
      <c r="NLM108" s="9"/>
      <c r="NLN108" s="9"/>
      <c r="NLO108" s="9"/>
      <c r="NLP108" s="9"/>
      <c r="NLQ108" s="9"/>
      <c r="NLR108" s="9"/>
      <c r="NLS108" s="9"/>
      <c r="NLT108" s="9"/>
      <c r="NLU108" s="9"/>
      <c r="NLV108" s="9"/>
      <c r="NLW108" s="9"/>
      <c r="NLX108" s="9"/>
      <c r="NLY108" s="9"/>
      <c r="NLZ108" s="9"/>
      <c r="NMA108" s="9"/>
      <c r="NMB108" s="9"/>
      <c r="NMC108" s="9"/>
      <c r="NMD108" s="9"/>
      <c r="NME108" s="9"/>
      <c r="NMF108" s="9"/>
      <c r="NMG108" s="9"/>
      <c r="NMH108" s="9"/>
      <c r="NMI108" s="9"/>
      <c r="NMJ108" s="9"/>
      <c r="NMK108" s="9"/>
      <c r="NML108" s="9"/>
      <c r="NMM108" s="9"/>
      <c r="NMN108" s="9"/>
      <c r="NMO108" s="9"/>
      <c r="NMP108" s="9"/>
      <c r="NMQ108" s="9"/>
      <c r="NMR108" s="9"/>
      <c r="NMS108" s="9"/>
      <c r="NMT108" s="9"/>
      <c r="NMU108" s="9"/>
      <c r="NMV108" s="9"/>
      <c r="NMW108" s="9"/>
      <c r="NMX108" s="9"/>
      <c r="NMY108" s="9"/>
      <c r="NMZ108" s="9"/>
      <c r="NNA108" s="9"/>
      <c r="NNB108" s="9"/>
      <c r="NNC108" s="9"/>
      <c r="NND108" s="9"/>
      <c r="NNE108" s="9"/>
      <c r="NNF108" s="9"/>
      <c r="NNG108" s="9"/>
      <c r="NNH108" s="9"/>
      <c r="NNI108" s="9"/>
      <c r="NNJ108" s="9"/>
      <c r="NNK108" s="9"/>
      <c r="NNL108" s="9"/>
      <c r="NNM108" s="9"/>
      <c r="NNN108" s="9"/>
      <c r="NNO108" s="9"/>
      <c r="NNP108" s="9"/>
      <c r="NNQ108" s="9"/>
      <c r="NNR108" s="9"/>
      <c r="NNS108" s="9"/>
      <c r="NNT108" s="9"/>
      <c r="NNU108" s="9"/>
      <c r="NNV108" s="9"/>
      <c r="NNW108" s="9"/>
      <c r="NNX108" s="9"/>
      <c r="NNY108" s="9"/>
      <c r="NNZ108" s="9"/>
      <c r="NOA108" s="9"/>
      <c r="NOB108" s="9"/>
      <c r="NOC108" s="9"/>
      <c r="NOD108" s="9"/>
      <c r="NOE108" s="9"/>
      <c r="NOF108" s="9"/>
      <c r="NOG108" s="9"/>
      <c r="NOH108" s="9"/>
      <c r="NOI108" s="9"/>
      <c r="NOJ108" s="9"/>
      <c r="NOK108" s="9"/>
      <c r="NOL108" s="9"/>
      <c r="NOM108" s="9"/>
      <c r="NON108" s="9"/>
      <c r="NOO108" s="9"/>
      <c r="NOP108" s="9"/>
      <c r="NOQ108" s="9"/>
      <c r="NOR108" s="9"/>
      <c r="NOS108" s="9"/>
      <c r="NOT108" s="9"/>
      <c r="NOU108" s="9"/>
      <c r="NOV108" s="9"/>
      <c r="NOW108" s="9"/>
      <c r="NOX108" s="9"/>
      <c r="NOY108" s="9"/>
      <c r="NOZ108" s="9"/>
      <c r="NPA108" s="9"/>
      <c r="NPB108" s="9"/>
      <c r="NPC108" s="9"/>
      <c r="NPD108" s="9"/>
      <c r="NPE108" s="9"/>
      <c r="NPF108" s="9"/>
      <c r="NPG108" s="9"/>
      <c r="NPH108" s="9"/>
      <c r="NPI108" s="9"/>
      <c r="NPJ108" s="9"/>
      <c r="NPK108" s="9"/>
      <c r="NPL108" s="9"/>
      <c r="NPM108" s="9"/>
      <c r="NPN108" s="9"/>
      <c r="NPO108" s="9"/>
      <c r="NPP108" s="9"/>
      <c r="NPQ108" s="9"/>
      <c r="NPR108" s="9"/>
      <c r="NPS108" s="9"/>
      <c r="NPT108" s="9"/>
      <c r="NPU108" s="9"/>
      <c r="NPV108" s="9"/>
      <c r="NPW108" s="9"/>
      <c r="NPX108" s="9"/>
      <c r="NPY108" s="9"/>
      <c r="NPZ108" s="9"/>
      <c r="NQA108" s="9"/>
      <c r="NQB108" s="9"/>
      <c r="NQC108" s="9"/>
      <c r="NQD108" s="9"/>
      <c r="NQE108" s="9"/>
      <c r="NQF108" s="9"/>
      <c r="NQG108" s="9"/>
      <c r="NQH108" s="9"/>
      <c r="NQI108" s="9"/>
      <c r="NQJ108" s="9"/>
      <c r="NQK108" s="9"/>
      <c r="NQL108" s="9"/>
      <c r="NQM108" s="9"/>
      <c r="NQN108" s="9"/>
      <c r="NQO108" s="9"/>
      <c r="NQP108" s="9"/>
      <c r="NQQ108" s="9"/>
      <c r="NQR108" s="9"/>
      <c r="NQS108" s="9"/>
      <c r="NQT108" s="9"/>
      <c r="NQU108" s="9"/>
      <c r="NQV108" s="9"/>
      <c r="NQW108" s="9"/>
      <c r="NQX108" s="9"/>
      <c r="NQY108" s="9"/>
      <c r="NQZ108" s="9"/>
      <c r="NRA108" s="9"/>
      <c r="NRB108" s="9"/>
      <c r="NRC108" s="9"/>
      <c r="NRD108" s="9"/>
      <c r="NRE108" s="9"/>
      <c r="NRF108" s="9"/>
      <c r="NRG108" s="9"/>
      <c r="NRH108" s="9"/>
      <c r="NRI108" s="9"/>
      <c r="NRJ108" s="9"/>
      <c r="NRK108" s="9"/>
      <c r="NRL108" s="9"/>
      <c r="NRM108" s="9"/>
      <c r="NRN108" s="9"/>
      <c r="NRO108" s="9"/>
      <c r="NRP108" s="9"/>
      <c r="NRQ108" s="9"/>
      <c r="NRR108" s="9"/>
      <c r="NRS108" s="9"/>
      <c r="NRT108" s="9"/>
      <c r="NRU108" s="9"/>
      <c r="NRV108" s="9"/>
      <c r="NRW108" s="9"/>
      <c r="NRX108" s="9"/>
      <c r="NRY108" s="9"/>
      <c r="NRZ108" s="9"/>
      <c r="NSA108" s="9"/>
      <c r="NSB108" s="9"/>
      <c r="NSC108" s="9"/>
      <c r="NSD108" s="9"/>
      <c r="NSE108" s="9"/>
      <c r="NSF108" s="9"/>
      <c r="NSG108" s="9"/>
      <c r="NSH108" s="9"/>
      <c r="NSI108" s="9"/>
      <c r="NSJ108" s="9"/>
      <c r="NSK108" s="9"/>
      <c r="NSL108" s="9"/>
      <c r="NSM108" s="9"/>
      <c r="NSN108" s="9"/>
      <c r="NSO108" s="9"/>
      <c r="NSP108" s="9"/>
      <c r="NSQ108" s="9"/>
      <c r="NSR108" s="9"/>
      <c r="NSS108" s="9"/>
      <c r="NST108" s="9"/>
      <c r="NSU108" s="9"/>
      <c r="NSV108" s="9"/>
      <c r="NSW108" s="9"/>
      <c r="NSX108" s="9"/>
      <c r="NSY108" s="9"/>
      <c r="NSZ108" s="9"/>
      <c r="NTA108" s="9"/>
      <c r="NTB108" s="9"/>
      <c r="NTC108" s="9"/>
      <c r="NTD108" s="9"/>
      <c r="NTE108" s="9"/>
      <c r="NTF108" s="9"/>
      <c r="NTG108" s="9"/>
      <c r="NTH108" s="9"/>
      <c r="NTI108" s="9"/>
      <c r="NTJ108" s="9"/>
      <c r="NTK108" s="9"/>
      <c r="NTL108" s="9"/>
      <c r="NTM108" s="9"/>
      <c r="NTN108" s="9"/>
      <c r="NTO108" s="9"/>
      <c r="NTP108" s="9"/>
      <c r="NTQ108" s="9"/>
      <c r="NTR108" s="9"/>
      <c r="NTS108" s="9"/>
      <c r="NTT108" s="9"/>
      <c r="NTU108" s="9"/>
      <c r="NTV108" s="9"/>
      <c r="NTW108" s="9"/>
      <c r="NTX108" s="9"/>
      <c r="NTY108" s="9"/>
      <c r="NTZ108" s="9"/>
      <c r="NUA108" s="9"/>
      <c r="NUB108" s="9"/>
      <c r="NUC108" s="9"/>
      <c r="NUD108" s="9"/>
      <c r="NUE108" s="9"/>
      <c r="NUF108" s="9"/>
      <c r="NUG108" s="9"/>
      <c r="NUH108" s="9"/>
      <c r="NUI108" s="9"/>
      <c r="NUJ108" s="9"/>
      <c r="NUK108" s="9"/>
      <c r="NUL108" s="9"/>
      <c r="NUM108" s="9"/>
      <c r="NUN108" s="9"/>
      <c r="NUO108" s="9"/>
      <c r="NUP108" s="9"/>
      <c r="NUQ108" s="9"/>
      <c r="NUR108" s="9"/>
      <c r="NUS108" s="9"/>
      <c r="NUT108" s="9"/>
      <c r="NUU108" s="9"/>
      <c r="NUV108" s="9"/>
      <c r="NUW108" s="9"/>
      <c r="NUX108" s="9"/>
      <c r="NUY108" s="9"/>
      <c r="NUZ108" s="9"/>
      <c r="NVA108" s="9"/>
      <c r="NVB108" s="9"/>
      <c r="NVC108" s="9"/>
      <c r="NVD108" s="9"/>
      <c r="NVE108" s="9"/>
      <c r="NVF108" s="9"/>
      <c r="NVG108" s="9"/>
      <c r="NVH108" s="9"/>
      <c r="NVI108" s="9"/>
      <c r="NVJ108" s="9"/>
      <c r="NVK108" s="9"/>
      <c r="NVL108" s="9"/>
      <c r="NVM108" s="9"/>
      <c r="NVN108" s="9"/>
      <c r="NVO108" s="9"/>
      <c r="NVP108" s="9"/>
      <c r="NVQ108" s="9"/>
      <c r="NVR108" s="9"/>
      <c r="NVS108" s="9"/>
      <c r="NVT108" s="9"/>
      <c r="NVU108" s="9"/>
      <c r="NVV108" s="9"/>
      <c r="NVW108" s="9"/>
      <c r="NVX108" s="9"/>
      <c r="NVY108" s="9"/>
      <c r="NVZ108" s="9"/>
      <c r="NWA108" s="9"/>
      <c r="NWB108" s="9"/>
      <c r="NWC108" s="9"/>
      <c r="NWD108" s="9"/>
      <c r="NWE108" s="9"/>
      <c r="NWF108" s="9"/>
      <c r="NWG108" s="9"/>
      <c r="NWH108" s="9"/>
      <c r="NWI108" s="9"/>
      <c r="NWJ108" s="9"/>
      <c r="NWK108" s="9"/>
      <c r="NWL108" s="9"/>
      <c r="NWM108" s="9"/>
      <c r="NWN108" s="9"/>
      <c r="NWO108" s="9"/>
      <c r="NWP108" s="9"/>
      <c r="NWQ108" s="9"/>
      <c r="NWR108" s="9"/>
      <c r="NWS108" s="9"/>
      <c r="NWT108" s="9"/>
      <c r="NWU108" s="9"/>
      <c r="NWV108" s="9"/>
      <c r="NWW108" s="9"/>
      <c r="NWX108" s="9"/>
      <c r="NWY108" s="9"/>
      <c r="NWZ108" s="9"/>
      <c r="NXA108" s="9"/>
      <c r="NXB108" s="9"/>
      <c r="NXC108" s="9"/>
      <c r="NXD108" s="9"/>
      <c r="NXE108" s="9"/>
      <c r="NXF108" s="9"/>
      <c r="NXG108" s="9"/>
      <c r="NXH108" s="9"/>
      <c r="NXI108" s="9"/>
      <c r="NXJ108" s="9"/>
      <c r="NXK108" s="9"/>
      <c r="NXL108" s="9"/>
      <c r="NXM108" s="9"/>
      <c r="NXN108" s="9"/>
      <c r="NXO108" s="9"/>
      <c r="NXP108" s="9"/>
      <c r="NXQ108" s="9"/>
      <c r="NXR108" s="9"/>
      <c r="NXS108" s="9"/>
      <c r="NXT108" s="9"/>
      <c r="NXU108" s="9"/>
      <c r="NXV108" s="9"/>
      <c r="NXW108" s="9"/>
      <c r="NXX108" s="9"/>
      <c r="NXY108" s="9"/>
      <c r="NXZ108" s="9"/>
      <c r="NYA108" s="9"/>
      <c r="NYB108" s="9"/>
      <c r="NYC108" s="9"/>
      <c r="NYD108" s="9"/>
      <c r="NYE108" s="9"/>
      <c r="NYF108" s="9"/>
      <c r="NYG108" s="9"/>
      <c r="NYH108" s="9"/>
      <c r="NYI108" s="9"/>
      <c r="NYJ108" s="9"/>
      <c r="NYK108" s="9"/>
      <c r="NYL108" s="9"/>
      <c r="NYM108" s="9"/>
      <c r="NYN108" s="9"/>
      <c r="NYO108" s="9"/>
      <c r="NYP108" s="9"/>
      <c r="NYQ108" s="9"/>
      <c r="NYR108" s="9"/>
      <c r="NYS108" s="9"/>
      <c r="NYT108" s="9"/>
      <c r="NYU108" s="9"/>
      <c r="NYV108" s="9"/>
      <c r="NYW108" s="9"/>
      <c r="NYX108" s="9"/>
      <c r="NYY108" s="9"/>
      <c r="NYZ108" s="9"/>
      <c r="NZA108" s="9"/>
      <c r="NZB108" s="9"/>
      <c r="NZC108" s="9"/>
      <c r="NZD108" s="9"/>
      <c r="NZE108" s="9"/>
      <c r="NZF108" s="9"/>
      <c r="NZG108" s="9"/>
      <c r="NZH108" s="9"/>
      <c r="NZI108" s="9"/>
      <c r="NZJ108" s="9"/>
      <c r="NZK108" s="9"/>
      <c r="NZL108" s="9"/>
      <c r="NZM108" s="9"/>
      <c r="NZN108" s="9"/>
      <c r="NZO108" s="9"/>
      <c r="NZP108" s="9"/>
      <c r="NZQ108" s="9"/>
      <c r="NZR108" s="9"/>
      <c r="NZS108" s="9"/>
      <c r="NZT108" s="9"/>
      <c r="NZU108" s="9"/>
      <c r="NZV108" s="9"/>
      <c r="NZW108" s="9"/>
      <c r="NZX108" s="9"/>
      <c r="NZY108" s="9"/>
      <c r="NZZ108" s="9"/>
      <c r="OAA108" s="9"/>
      <c r="OAB108" s="9"/>
      <c r="OAC108" s="9"/>
      <c r="OAD108" s="9"/>
      <c r="OAE108" s="9"/>
      <c r="OAF108" s="9"/>
      <c r="OAG108" s="9"/>
      <c r="OAH108" s="9"/>
      <c r="OAI108" s="9"/>
      <c r="OAJ108" s="9"/>
      <c r="OAK108" s="9"/>
      <c r="OAL108" s="9"/>
      <c r="OAM108" s="9"/>
      <c r="OAN108" s="9"/>
      <c r="OAO108" s="9"/>
      <c r="OAP108" s="9"/>
      <c r="OAQ108" s="9"/>
      <c r="OAR108" s="9"/>
      <c r="OAS108" s="9"/>
      <c r="OAT108" s="9"/>
      <c r="OAU108" s="9"/>
      <c r="OAV108" s="9"/>
      <c r="OAW108" s="9"/>
      <c r="OAX108" s="9"/>
      <c r="OAY108" s="9"/>
      <c r="OAZ108" s="9"/>
      <c r="OBA108" s="9"/>
      <c r="OBB108" s="9"/>
      <c r="OBC108" s="9"/>
      <c r="OBD108" s="9"/>
      <c r="OBE108" s="9"/>
      <c r="OBF108" s="9"/>
      <c r="OBG108" s="9"/>
      <c r="OBH108" s="9"/>
      <c r="OBI108" s="9"/>
      <c r="OBJ108" s="9"/>
      <c r="OBK108" s="9"/>
      <c r="OBL108" s="9"/>
      <c r="OBM108" s="9"/>
      <c r="OBN108" s="9"/>
      <c r="OBO108" s="9"/>
      <c r="OBP108" s="9"/>
      <c r="OBQ108" s="9"/>
      <c r="OBR108" s="9"/>
      <c r="OBS108" s="9"/>
      <c r="OBT108" s="9"/>
      <c r="OBU108" s="9"/>
      <c r="OBV108" s="9"/>
      <c r="OBW108" s="9"/>
      <c r="OBX108" s="9"/>
      <c r="OBY108" s="9"/>
      <c r="OBZ108" s="9"/>
      <c r="OCA108" s="9"/>
      <c r="OCB108" s="9"/>
      <c r="OCC108" s="9"/>
      <c r="OCD108" s="9"/>
      <c r="OCE108" s="9"/>
      <c r="OCF108" s="9"/>
      <c r="OCG108" s="9"/>
      <c r="OCH108" s="9"/>
      <c r="OCI108" s="9"/>
      <c r="OCJ108" s="9"/>
      <c r="OCK108" s="9"/>
      <c r="OCL108" s="9"/>
      <c r="OCM108" s="9"/>
      <c r="OCN108" s="9"/>
      <c r="OCO108" s="9"/>
      <c r="OCP108" s="9"/>
      <c r="OCQ108" s="9"/>
      <c r="OCR108" s="9"/>
      <c r="OCS108" s="9"/>
      <c r="OCT108" s="9"/>
      <c r="OCU108" s="9"/>
      <c r="OCV108" s="9"/>
      <c r="OCW108" s="9"/>
      <c r="OCX108" s="9"/>
      <c r="OCY108" s="9"/>
      <c r="OCZ108" s="9"/>
      <c r="ODA108" s="9"/>
      <c r="ODB108" s="9"/>
      <c r="ODC108" s="9"/>
      <c r="ODD108" s="9"/>
      <c r="ODE108" s="9"/>
      <c r="ODF108" s="9"/>
      <c r="ODG108" s="9"/>
      <c r="ODH108" s="9"/>
      <c r="ODI108" s="9"/>
      <c r="ODJ108" s="9"/>
      <c r="ODK108" s="9"/>
      <c r="ODL108" s="9"/>
      <c r="ODM108" s="9"/>
      <c r="ODN108" s="9"/>
      <c r="ODO108" s="9"/>
      <c r="ODP108" s="9"/>
      <c r="ODQ108" s="9"/>
      <c r="ODR108" s="9"/>
      <c r="ODS108" s="9"/>
      <c r="ODT108" s="9"/>
      <c r="ODU108" s="9"/>
      <c r="ODV108" s="9"/>
      <c r="ODW108" s="9"/>
      <c r="ODX108" s="9"/>
      <c r="ODY108" s="9"/>
      <c r="ODZ108" s="9"/>
      <c r="OEA108" s="9"/>
      <c r="OEB108" s="9"/>
      <c r="OEC108" s="9"/>
      <c r="OED108" s="9"/>
      <c r="OEE108" s="9"/>
      <c r="OEF108" s="9"/>
      <c r="OEG108" s="9"/>
      <c r="OEH108" s="9"/>
      <c r="OEI108" s="9"/>
      <c r="OEJ108" s="9"/>
      <c r="OEK108" s="9"/>
      <c r="OEL108" s="9"/>
      <c r="OEM108" s="9"/>
      <c r="OEN108" s="9"/>
      <c r="OEO108" s="9"/>
      <c r="OEP108" s="9"/>
      <c r="OEQ108" s="9"/>
      <c r="OER108" s="9"/>
      <c r="OES108" s="9"/>
      <c r="OET108" s="9"/>
      <c r="OEU108" s="9"/>
      <c r="OEV108" s="9"/>
      <c r="OEW108" s="9"/>
      <c r="OEX108" s="9"/>
      <c r="OEY108" s="9"/>
      <c r="OEZ108" s="9"/>
      <c r="OFA108" s="9"/>
      <c r="OFB108" s="9"/>
      <c r="OFC108" s="9"/>
      <c r="OFD108" s="9"/>
      <c r="OFE108" s="9"/>
      <c r="OFF108" s="9"/>
      <c r="OFG108" s="9"/>
      <c r="OFH108" s="9"/>
      <c r="OFI108" s="9"/>
      <c r="OFJ108" s="9"/>
      <c r="OFK108" s="9"/>
      <c r="OFL108" s="9"/>
      <c r="OFM108" s="9"/>
      <c r="OFN108" s="9"/>
      <c r="OFO108" s="9"/>
      <c r="OFP108" s="9"/>
      <c r="OFQ108" s="9"/>
      <c r="OFR108" s="9"/>
      <c r="OFS108" s="9"/>
      <c r="OFT108" s="9"/>
      <c r="OFU108" s="9"/>
      <c r="OFV108" s="9"/>
      <c r="OFW108" s="9"/>
      <c r="OFX108" s="9"/>
      <c r="OFY108" s="9"/>
      <c r="OFZ108" s="9"/>
      <c r="OGA108" s="9"/>
      <c r="OGB108" s="9"/>
      <c r="OGC108" s="9"/>
      <c r="OGD108" s="9"/>
      <c r="OGE108" s="9"/>
      <c r="OGF108" s="9"/>
      <c r="OGG108" s="9"/>
      <c r="OGH108" s="9"/>
      <c r="OGI108" s="9"/>
      <c r="OGJ108" s="9"/>
      <c r="OGK108" s="9"/>
      <c r="OGL108" s="9"/>
      <c r="OGM108" s="9"/>
      <c r="OGN108" s="9"/>
      <c r="OGO108" s="9"/>
      <c r="OGP108" s="9"/>
      <c r="OGQ108" s="9"/>
      <c r="OGR108" s="9"/>
      <c r="OGS108" s="9"/>
      <c r="OGT108" s="9"/>
      <c r="OGU108" s="9"/>
      <c r="OGV108" s="9"/>
      <c r="OGW108" s="9"/>
      <c r="OGX108" s="9"/>
      <c r="OGY108" s="9"/>
      <c r="OGZ108" s="9"/>
      <c r="OHA108" s="9"/>
      <c r="OHB108" s="9"/>
      <c r="OHC108" s="9"/>
      <c r="OHD108" s="9"/>
      <c r="OHE108" s="9"/>
      <c r="OHF108" s="9"/>
      <c r="OHG108" s="9"/>
      <c r="OHH108" s="9"/>
      <c r="OHI108" s="9"/>
      <c r="OHJ108" s="9"/>
      <c r="OHK108" s="9"/>
      <c r="OHL108" s="9"/>
      <c r="OHM108" s="9"/>
      <c r="OHN108" s="9"/>
      <c r="OHO108" s="9"/>
      <c r="OHP108" s="9"/>
      <c r="OHQ108" s="9"/>
      <c r="OHR108" s="9"/>
      <c r="OHS108" s="9"/>
      <c r="OHT108" s="9"/>
      <c r="OHU108" s="9"/>
      <c r="OHV108" s="9"/>
      <c r="OHW108" s="9"/>
      <c r="OHX108" s="9"/>
      <c r="OHY108" s="9"/>
      <c r="OHZ108" s="9"/>
      <c r="OIA108" s="9"/>
      <c r="OIB108" s="9"/>
      <c r="OIC108" s="9"/>
      <c r="OID108" s="9"/>
      <c r="OIE108" s="9"/>
      <c r="OIF108" s="9"/>
      <c r="OIG108" s="9"/>
      <c r="OIH108" s="9"/>
      <c r="OII108" s="9"/>
      <c r="OIJ108" s="9"/>
      <c r="OIK108" s="9"/>
      <c r="OIL108" s="9"/>
      <c r="OIM108" s="9"/>
      <c r="OIN108" s="9"/>
      <c r="OIO108" s="9"/>
      <c r="OIP108" s="9"/>
      <c r="OIQ108" s="9"/>
      <c r="OIR108" s="9"/>
      <c r="OIS108" s="9"/>
      <c r="OIT108" s="9"/>
      <c r="OIU108" s="9"/>
      <c r="OIV108" s="9"/>
      <c r="OIW108" s="9"/>
      <c r="OIX108" s="9"/>
      <c r="OIY108" s="9"/>
      <c r="OIZ108" s="9"/>
      <c r="OJA108" s="9"/>
      <c r="OJB108" s="9"/>
      <c r="OJC108" s="9"/>
      <c r="OJD108" s="9"/>
      <c r="OJE108" s="9"/>
      <c r="OJF108" s="9"/>
      <c r="OJG108" s="9"/>
      <c r="OJH108" s="9"/>
      <c r="OJI108" s="9"/>
      <c r="OJJ108" s="9"/>
      <c r="OJK108" s="9"/>
      <c r="OJL108" s="9"/>
      <c r="OJM108" s="9"/>
      <c r="OJN108" s="9"/>
      <c r="OJO108" s="9"/>
      <c r="OJP108" s="9"/>
      <c r="OJQ108" s="9"/>
      <c r="OJR108" s="9"/>
      <c r="OJS108" s="9"/>
      <c r="OJT108" s="9"/>
      <c r="OJU108" s="9"/>
      <c r="OJV108" s="9"/>
      <c r="OJW108" s="9"/>
      <c r="OJX108" s="9"/>
      <c r="OJY108" s="9"/>
      <c r="OJZ108" s="9"/>
      <c r="OKA108" s="9"/>
      <c r="OKB108" s="9"/>
      <c r="OKC108" s="9"/>
      <c r="OKD108" s="9"/>
      <c r="OKE108" s="9"/>
      <c r="OKF108" s="9"/>
      <c r="OKG108" s="9"/>
      <c r="OKH108" s="9"/>
      <c r="OKI108" s="9"/>
      <c r="OKJ108" s="9"/>
      <c r="OKK108" s="9"/>
      <c r="OKL108" s="9"/>
      <c r="OKM108" s="9"/>
      <c r="OKN108" s="9"/>
      <c r="OKO108" s="9"/>
      <c r="OKP108" s="9"/>
      <c r="OKQ108" s="9"/>
      <c r="OKR108" s="9"/>
      <c r="OKS108" s="9"/>
      <c r="OKT108" s="9"/>
      <c r="OKU108" s="9"/>
      <c r="OKV108" s="9"/>
      <c r="OKW108" s="9"/>
      <c r="OKX108" s="9"/>
      <c r="OKY108" s="9"/>
      <c r="OKZ108" s="9"/>
      <c r="OLA108" s="9"/>
      <c r="OLB108" s="9"/>
      <c r="OLC108" s="9"/>
      <c r="OLD108" s="9"/>
      <c r="OLE108" s="9"/>
      <c r="OLF108" s="9"/>
      <c r="OLG108" s="9"/>
      <c r="OLH108" s="9"/>
      <c r="OLI108" s="9"/>
      <c r="OLJ108" s="9"/>
      <c r="OLK108" s="9"/>
      <c r="OLL108" s="9"/>
      <c r="OLM108" s="9"/>
      <c r="OLN108" s="9"/>
      <c r="OLO108" s="9"/>
      <c r="OLP108" s="9"/>
      <c r="OLQ108" s="9"/>
      <c r="OLR108" s="9"/>
      <c r="OLS108" s="9"/>
      <c r="OLT108" s="9"/>
      <c r="OLU108" s="9"/>
      <c r="OLV108" s="9"/>
      <c r="OLW108" s="9"/>
      <c r="OLX108" s="9"/>
      <c r="OLY108" s="9"/>
      <c r="OLZ108" s="9"/>
      <c r="OMA108" s="9"/>
      <c r="OMB108" s="9"/>
      <c r="OMC108" s="9"/>
      <c r="OMD108" s="9"/>
      <c r="OME108" s="9"/>
      <c r="OMF108" s="9"/>
      <c r="OMG108" s="9"/>
      <c r="OMH108" s="9"/>
      <c r="OMI108" s="9"/>
      <c r="OMJ108" s="9"/>
      <c r="OMK108" s="9"/>
      <c r="OML108" s="9"/>
      <c r="OMM108" s="9"/>
      <c r="OMN108" s="9"/>
      <c r="OMO108" s="9"/>
      <c r="OMP108" s="9"/>
      <c r="OMQ108" s="9"/>
      <c r="OMR108" s="9"/>
      <c r="OMS108" s="9"/>
      <c r="OMT108" s="9"/>
      <c r="OMU108" s="9"/>
      <c r="OMV108" s="9"/>
      <c r="OMW108" s="9"/>
      <c r="OMX108" s="9"/>
      <c r="OMY108" s="9"/>
      <c r="OMZ108" s="9"/>
      <c r="ONA108" s="9"/>
      <c r="ONB108" s="9"/>
      <c r="ONC108" s="9"/>
      <c r="OND108" s="9"/>
      <c r="ONE108" s="9"/>
      <c r="ONF108" s="9"/>
      <c r="ONG108" s="9"/>
      <c r="ONH108" s="9"/>
      <c r="ONI108" s="9"/>
      <c r="ONJ108" s="9"/>
      <c r="ONK108" s="9"/>
      <c r="ONL108" s="9"/>
      <c r="ONM108" s="9"/>
      <c r="ONN108" s="9"/>
      <c r="ONO108" s="9"/>
      <c r="ONP108" s="9"/>
      <c r="ONQ108" s="9"/>
      <c r="ONR108" s="9"/>
      <c r="ONS108" s="9"/>
      <c r="ONT108" s="9"/>
      <c r="ONU108" s="9"/>
      <c r="ONV108" s="9"/>
      <c r="ONW108" s="9"/>
      <c r="ONX108" s="9"/>
      <c r="ONY108" s="9"/>
      <c r="ONZ108" s="9"/>
      <c r="OOA108" s="9"/>
      <c r="OOB108" s="9"/>
      <c r="OOC108" s="9"/>
      <c r="OOD108" s="9"/>
      <c r="OOE108" s="9"/>
      <c r="OOF108" s="9"/>
      <c r="OOG108" s="9"/>
      <c r="OOH108" s="9"/>
      <c r="OOI108" s="9"/>
      <c r="OOJ108" s="9"/>
      <c r="OOK108" s="9"/>
      <c r="OOL108" s="9"/>
      <c r="OOM108" s="9"/>
      <c r="OON108" s="9"/>
      <c r="OOO108" s="9"/>
      <c r="OOP108" s="9"/>
      <c r="OOQ108" s="9"/>
      <c r="OOR108" s="9"/>
      <c r="OOS108" s="9"/>
      <c r="OOT108" s="9"/>
      <c r="OOU108" s="9"/>
      <c r="OOV108" s="9"/>
      <c r="OOW108" s="9"/>
      <c r="OOX108" s="9"/>
      <c r="OOY108" s="9"/>
      <c r="OOZ108" s="9"/>
      <c r="OPA108" s="9"/>
      <c r="OPB108" s="9"/>
      <c r="OPC108" s="9"/>
      <c r="OPD108" s="9"/>
      <c r="OPE108" s="9"/>
      <c r="OPF108" s="9"/>
      <c r="OPG108" s="9"/>
      <c r="OPH108" s="9"/>
      <c r="OPI108" s="9"/>
      <c r="OPJ108" s="9"/>
      <c r="OPK108" s="9"/>
      <c r="OPL108" s="9"/>
      <c r="OPM108" s="9"/>
      <c r="OPN108" s="9"/>
      <c r="OPO108" s="9"/>
      <c r="OPP108" s="9"/>
      <c r="OPQ108" s="9"/>
      <c r="OPR108" s="9"/>
      <c r="OPS108" s="9"/>
      <c r="OPT108" s="9"/>
      <c r="OPU108" s="9"/>
      <c r="OPV108" s="9"/>
      <c r="OPW108" s="9"/>
      <c r="OPX108" s="9"/>
      <c r="OPY108" s="9"/>
      <c r="OPZ108" s="9"/>
      <c r="OQA108" s="9"/>
      <c r="OQB108" s="9"/>
      <c r="OQC108" s="9"/>
      <c r="OQD108" s="9"/>
      <c r="OQE108" s="9"/>
      <c r="OQF108" s="9"/>
      <c r="OQG108" s="9"/>
      <c r="OQH108" s="9"/>
      <c r="OQI108" s="9"/>
      <c r="OQJ108" s="9"/>
      <c r="OQK108" s="9"/>
      <c r="OQL108" s="9"/>
      <c r="OQM108" s="9"/>
      <c r="OQN108" s="9"/>
      <c r="OQO108" s="9"/>
      <c r="OQP108" s="9"/>
      <c r="OQQ108" s="9"/>
      <c r="OQR108" s="9"/>
      <c r="OQS108" s="9"/>
      <c r="OQT108" s="9"/>
      <c r="OQU108" s="9"/>
      <c r="OQV108" s="9"/>
      <c r="OQW108" s="9"/>
      <c r="OQX108" s="9"/>
      <c r="OQY108" s="9"/>
      <c r="OQZ108" s="9"/>
      <c r="ORA108" s="9"/>
      <c r="ORB108" s="9"/>
      <c r="ORC108" s="9"/>
      <c r="ORD108" s="9"/>
      <c r="ORE108" s="9"/>
      <c r="ORF108" s="9"/>
      <c r="ORG108" s="9"/>
      <c r="ORH108" s="9"/>
      <c r="ORI108" s="9"/>
      <c r="ORJ108" s="9"/>
      <c r="ORK108" s="9"/>
      <c r="ORL108" s="9"/>
      <c r="ORM108" s="9"/>
      <c r="ORN108" s="9"/>
      <c r="ORO108" s="9"/>
      <c r="ORP108" s="9"/>
      <c r="ORQ108" s="9"/>
      <c r="ORR108" s="9"/>
      <c r="ORS108" s="9"/>
      <c r="ORT108" s="9"/>
      <c r="ORU108" s="9"/>
      <c r="ORV108" s="9"/>
      <c r="ORW108" s="9"/>
      <c r="ORX108" s="9"/>
      <c r="ORY108" s="9"/>
      <c r="ORZ108" s="9"/>
      <c r="OSA108" s="9"/>
      <c r="OSB108" s="9"/>
      <c r="OSC108" s="9"/>
      <c r="OSD108" s="9"/>
      <c r="OSE108" s="9"/>
      <c r="OSF108" s="9"/>
      <c r="OSG108" s="9"/>
      <c r="OSH108" s="9"/>
      <c r="OSI108" s="9"/>
      <c r="OSJ108" s="9"/>
      <c r="OSK108" s="9"/>
      <c r="OSL108" s="9"/>
      <c r="OSM108" s="9"/>
      <c r="OSN108" s="9"/>
      <c r="OSO108" s="9"/>
      <c r="OSP108" s="9"/>
      <c r="OSQ108" s="9"/>
      <c r="OSR108" s="9"/>
      <c r="OSS108" s="9"/>
      <c r="OST108" s="9"/>
      <c r="OSU108" s="9"/>
      <c r="OSV108" s="9"/>
      <c r="OSW108" s="9"/>
      <c r="OSX108" s="9"/>
      <c r="OSY108" s="9"/>
      <c r="OSZ108" s="9"/>
      <c r="OTA108" s="9"/>
      <c r="OTB108" s="9"/>
      <c r="OTC108" s="9"/>
      <c r="OTD108" s="9"/>
      <c r="OTE108" s="9"/>
      <c r="OTF108" s="9"/>
      <c r="OTG108" s="9"/>
      <c r="OTH108" s="9"/>
      <c r="OTI108" s="9"/>
      <c r="OTJ108" s="9"/>
      <c r="OTK108" s="9"/>
      <c r="OTL108" s="9"/>
      <c r="OTM108" s="9"/>
      <c r="OTN108" s="9"/>
      <c r="OTO108" s="9"/>
      <c r="OTP108" s="9"/>
      <c r="OTQ108" s="9"/>
      <c r="OTR108" s="9"/>
      <c r="OTS108" s="9"/>
      <c r="OTT108" s="9"/>
      <c r="OTU108" s="9"/>
      <c r="OTV108" s="9"/>
      <c r="OTW108" s="9"/>
      <c r="OTX108" s="9"/>
      <c r="OTY108" s="9"/>
      <c r="OTZ108" s="9"/>
      <c r="OUA108" s="9"/>
      <c r="OUB108" s="9"/>
      <c r="OUC108" s="9"/>
      <c r="OUD108" s="9"/>
      <c r="OUE108" s="9"/>
      <c r="OUF108" s="9"/>
      <c r="OUG108" s="9"/>
      <c r="OUH108" s="9"/>
      <c r="OUI108" s="9"/>
      <c r="OUJ108" s="9"/>
      <c r="OUK108" s="9"/>
      <c r="OUL108" s="9"/>
      <c r="OUM108" s="9"/>
      <c r="OUN108" s="9"/>
      <c r="OUO108" s="9"/>
      <c r="OUP108" s="9"/>
      <c r="OUQ108" s="9"/>
      <c r="OUR108" s="9"/>
      <c r="OUS108" s="9"/>
      <c r="OUT108" s="9"/>
      <c r="OUU108" s="9"/>
      <c r="OUV108" s="9"/>
      <c r="OUW108" s="9"/>
      <c r="OUX108" s="9"/>
      <c r="OUY108" s="9"/>
      <c r="OUZ108" s="9"/>
      <c r="OVA108" s="9"/>
      <c r="OVB108" s="9"/>
      <c r="OVC108" s="9"/>
      <c r="OVD108" s="9"/>
      <c r="OVE108" s="9"/>
      <c r="OVF108" s="9"/>
      <c r="OVG108" s="9"/>
      <c r="OVH108" s="9"/>
      <c r="OVI108" s="9"/>
      <c r="OVJ108" s="9"/>
      <c r="OVK108" s="9"/>
      <c r="OVL108" s="9"/>
      <c r="OVM108" s="9"/>
      <c r="OVN108" s="9"/>
      <c r="OVO108" s="9"/>
      <c r="OVP108" s="9"/>
      <c r="OVQ108" s="9"/>
      <c r="OVR108" s="9"/>
      <c r="OVS108" s="9"/>
      <c r="OVT108" s="9"/>
      <c r="OVU108" s="9"/>
      <c r="OVV108" s="9"/>
      <c r="OVW108" s="9"/>
      <c r="OVX108" s="9"/>
      <c r="OVY108" s="9"/>
      <c r="OVZ108" s="9"/>
      <c r="OWA108" s="9"/>
      <c r="OWB108" s="9"/>
      <c r="OWC108" s="9"/>
      <c r="OWD108" s="9"/>
      <c r="OWE108" s="9"/>
      <c r="OWF108" s="9"/>
      <c r="OWG108" s="9"/>
      <c r="OWH108" s="9"/>
      <c r="OWI108" s="9"/>
      <c r="OWJ108" s="9"/>
      <c r="OWK108" s="9"/>
      <c r="OWL108" s="9"/>
      <c r="OWM108" s="9"/>
      <c r="OWN108" s="9"/>
      <c r="OWO108" s="9"/>
      <c r="OWP108" s="9"/>
      <c r="OWQ108" s="9"/>
      <c r="OWR108" s="9"/>
      <c r="OWS108" s="9"/>
      <c r="OWT108" s="9"/>
      <c r="OWU108" s="9"/>
      <c r="OWV108" s="9"/>
      <c r="OWW108" s="9"/>
      <c r="OWX108" s="9"/>
      <c r="OWY108" s="9"/>
      <c r="OWZ108" s="9"/>
      <c r="OXA108" s="9"/>
      <c r="OXB108" s="9"/>
      <c r="OXC108" s="9"/>
      <c r="OXD108" s="9"/>
      <c r="OXE108" s="9"/>
      <c r="OXF108" s="9"/>
      <c r="OXG108" s="9"/>
      <c r="OXH108" s="9"/>
      <c r="OXI108" s="9"/>
      <c r="OXJ108" s="9"/>
      <c r="OXK108" s="9"/>
      <c r="OXL108" s="9"/>
      <c r="OXM108" s="9"/>
      <c r="OXN108" s="9"/>
      <c r="OXO108" s="9"/>
      <c r="OXP108" s="9"/>
      <c r="OXQ108" s="9"/>
      <c r="OXR108" s="9"/>
      <c r="OXS108" s="9"/>
      <c r="OXT108" s="9"/>
      <c r="OXU108" s="9"/>
      <c r="OXV108" s="9"/>
      <c r="OXW108" s="9"/>
      <c r="OXX108" s="9"/>
      <c r="OXY108" s="9"/>
      <c r="OXZ108" s="9"/>
      <c r="OYA108" s="9"/>
      <c r="OYB108" s="9"/>
      <c r="OYC108" s="9"/>
      <c r="OYD108" s="9"/>
      <c r="OYE108" s="9"/>
      <c r="OYF108" s="9"/>
      <c r="OYG108" s="9"/>
      <c r="OYH108" s="9"/>
      <c r="OYI108" s="9"/>
      <c r="OYJ108" s="9"/>
      <c r="OYK108" s="9"/>
      <c r="OYL108" s="9"/>
      <c r="OYM108" s="9"/>
      <c r="OYN108" s="9"/>
      <c r="OYO108" s="9"/>
      <c r="OYP108" s="9"/>
      <c r="OYQ108" s="9"/>
      <c r="OYR108" s="9"/>
      <c r="OYS108" s="9"/>
      <c r="OYT108" s="9"/>
      <c r="OYU108" s="9"/>
      <c r="OYV108" s="9"/>
      <c r="OYW108" s="9"/>
      <c r="OYX108" s="9"/>
      <c r="OYY108" s="9"/>
      <c r="OYZ108" s="9"/>
      <c r="OZA108" s="9"/>
      <c r="OZB108" s="9"/>
      <c r="OZC108" s="9"/>
      <c r="OZD108" s="9"/>
      <c r="OZE108" s="9"/>
      <c r="OZF108" s="9"/>
      <c r="OZG108" s="9"/>
      <c r="OZH108" s="9"/>
      <c r="OZI108" s="9"/>
      <c r="OZJ108" s="9"/>
      <c r="OZK108" s="9"/>
      <c r="OZL108" s="9"/>
      <c r="OZM108" s="9"/>
      <c r="OZN108" s="9"/>
      <c r="OZO108" s="9"/>
      <c r="OZP108" s="9"/>
      <c r="OZQ108" s="9"/>
      <c r="OZR108" s="9"/>
      <c r="OZS108" s="9"/>
      <c r="OZT108" s="9"/>
      <c r="OZU108" s="9"/>
      <c r="OZV108" s="9"/>
      <c r="OZW108" s="9"/>
      <c r="OZX108" s="9"/>
      <c r="OZY108" s="9"/>
      <c r="OZZ108" s="9"/>
      <c r="PAA108" s="9"/>
      <c r="PAB108" s="9"/>
      <c r="PAC108" s="9"/>
      <c r="PAD108" s="9"/>
      <c r="PAE108" s="9"/>
      <c r="PAF108" s="9"/>
      <c r="PAG108" s="9"/>
      <c r="PAH108" s="9"/>
      <c r="PAI108" s="9"/>
      <c r="PAJ108" s="9"/>
      <c r="PAK108" s="9"/>
      <c r="PAL108" s="9"/>
      <c r="PAM108" s="9"/>
      <c r="PAN108" s="9"/>
      <c r="PAO108" s="9"/>
      <c r="PAP108" s="9"/>
      <c r="PAQ108" s="9"/>
      <c r="PAR108" s="9"/>
      <c r="PAS108" s="9"/>
      <c r="PAT108" s="9"/>
      <c r="PAU108" s="9"/>
      <c r="PAV108" s="9"/>
      <c r="PAW108" s="9"/>
      <c r="PAX108" s="9"/>
      <c r="PAY108" s="9"/>
      <c r="PAZ108" s="9"/>
      <c r="PBA108" s="9"/>
      <c r="PBB108" s="9"/>
      <c r="PBC108" s="9"/>
      <c r="PBD108" s="9"/>
      <c r="PBE108" s="9"/>
      <c r="PBF108" s="9"/>
      <c r="PBG108" s="9"/>
      <c r="PBH108" s="9"/>
      <c r="PBI108" s="9"/>
      <c r="PBJ108" s="9"/>
      <c r="PBK108" s="9"/>
      <c r="PBL108" s="9"/>
      <c r="PBM108" s="9"/>
      <c r="PBN108" s="9"/>
      <c r="PBO108" s="9"/>
      <c r="PBP108" s="9"/>
      <c r="PBQ108" s="9"/>
      <c r="PBR108" s="9"/>
      <c r="PBS108" s="9"/>
      <c r="PBT108" s="9"/>
      <c r="PBU108" s="9"/>
      <c r="PBV108" s="9"/>
      <c r="PBW108" s="9"/>
      <c r="PBX108" s="9"/>
      <c r="PBY108" s="9"/>
      <c r="PBZ108" s="9"/>
      <c r="PCA108" s="9"/>
      <c r="PCB108" s="9"/>
      <c r="PCC108" s="9"/>
      <c r="PCD108" s="9"/>
      <c r="PCE108" s="9"/>
      <c r="PCF108" s="9"/>
      <c r="PCG108" s="9"/>
      <c r="PCH108" s="9"/>
      <c r="PCI108" s="9"/>
      <c r="PCJ108" s="9"/>
      <c r="PCK108" s="9"/>
      <c r="PCL108" s="9"/>
      <c r="PCM108" s="9"/>
      <c r="PCN108" s="9"/>
      <c r="PCO108" s="9"/>
      <c r="PCP108" s="9"/>
      <c r="PCQ108" s="9"/>
      <c r="PCR108" s="9"/>
      <c r="PCS108" s="9"/>
      <c r="PCT108" s="9"/>
      <c r="PCU108" s="9"/>
      <c r="PCV108" s="9"/>
      <c r="PCW108" s="9"/>
      <c r="PCX108" s="9"/>
      <c r="PCY108" s="9"/>
      <c r="PCZ108" s="9"/>
      <c r="PDA108" s="9"/>
      <c r="PDB108" s="9"/>
      <c r="PDC108" s="9"/>
      <c r="PDD108" s="9"/>
      <c r="PDE108" s="9"/>
      <c r="PDF108" s="9"/>
      <c r="PDG108" s="9"/>
      <c r="PDH108" s="9"/>
      <c r="PDI108" s="9"/>
      <c r="PDJ108" s="9"/>
      <c r="PDK108" s="9"/>
      <c r="PDL108" s="9"/>
      <c r="PDM108" s="9"/>
      <c r="PDN108" s="9"/>
      <c r="PDO108" s="9"/>
      <c r="PDP108" s="9"/>
      <c r="PDQ108" s="9"/>
      <c r="PDR108" s="9"/>
      <c r="PDS108" s="9"/>
      <c r="PDT108" s="9"/>
      <c r="PDU108" s="9"/>
      <c r="PDV108" s="9"/>
      <c r="PDW108" s="9"/>
      <c r="PDX108" s="9"/>
      <c r="PDY108" s="9"/>
      <c r="PDZ108" s="9"/>
      <c r="PEA108" s="9"/>
      <c r="PEB108" s="9"/>
      <c r="PEC108" s="9"/>
      <c r="PED108" s="9"/>
      <c r="PEE108" s="9"/>
      <c r="PEF108" s="9"/>
      <c r="PEG108" s="9"/>
      <c r="PEH108" s="9"/>
      <c r="PEI108" s="9"/>
      <c r="PEJ108" s="9"/>
      <c r="PEK108" s="9"/>
      <c r="PEL108" s="9"/>
      <c r="PEM108" s="9"/>
      <c r="PEN108" s="9"/>
      <c r="PEO108" s="9"/>
      <c r="PEP108" s="9"/>
      <c r="PEQ108" s="9"/>
      <c r="PER108" s="9"/>
      <c r="PES108" s="9"/>
      <c r="PET108" s="9"/>
      <c r="PEU108" s="9"/>
      <c r="PEV108" s="9"/>
      <c r="PEW108" s="9"/>
      <c r="PEX108" s="9"/>
      <c r="PEY108" s="9"/>
      <c r="PEZ108" s="9"/>
      <c r="PFA108" s="9"/>
      <c r="PFB108" s="9"/>
      <c r="PFC108" s="9"/>
      <c r="PFD108" s="9"/>
      <c r="PFE108" s="9"/>
      <c r="PFF108" s="9"/>
      <c r="PFG108" s="9"/>
      <c r="PFH108" s="9"/>
      <c r="PFI108" s="9"/>
      <c r="PFJ108" s="9"/>
      <c r="PFK108" s="9"/>
      <c r="PFL108" s="9"/>
      <c r="PFM108" s="9"/>
      <c r="PFN108" s="9"/>
      <c r="PFO108" s="9"/>
      <c r="PFP108" s="9"/>
      <c r="PFQ108" s="9"/>
      <c r="PFR108" s="9"/>
      <c r="PFS108" s="9"/>
      <c r="PFT108" s="9"/>
      <c r="PFU108" s="9"/>
      <c r="PFV108" s="9"/>
      <c r="PFW108" s="9"/>
      <c r="PFX108" s="9"/>
      <c r="PFY108" s="9"/>
      <c r="PFZ108" s="9"/>
      <c r="PGA108" s="9"/>
      <c r="PGB108" s="9"/>
      <c r="PGC108" s="9"/>
      <c r="PGD108" s="9"/>
      <c r="PGE108" s="9"/>
      <c r="PGF108" s="9"/>
      <c r="PGG108" s="9"/>
      <c r="PGH108" s="9"/>
      <c r="PGI108" s="9"/>
      <c r="PGJ108" s="9"/>
      <c r="PGK108" s="9"/>
      <c r="PGL108" s="9"/>
      <c r="PGM108" s="9"/>
      <c r="PGN108" s="9"/>
      <c r="PGO108" s="9"/>
      <c r="PGP108" s="9"/>
      <c r="PGQ108" s="9"/>
      <c r="PGR108" s="9"/>
      <c r="PGS108" s="9"/>
      <c r="PGT108" s="9"/>
      <c r="PGU108" s="9"/>
      <c r="PGV108" s="9"/>
      <c r="PGW108" s="9"/>
      <c r="PGX108" s="9"/>
      <c r="PGY108" s="9"/>
      <c r="PGZ108" s="9"/>
      <c r="PHA108" s="9"/>
      <c r="PHB108" s="9"/>
      <c r="PHC108" s="9"/>
      <c r="PHD108" s="9"/>
      <c r="PHE108" s="9"/>
      <c r="PHF108" s="9"/>
      <c r="PHG108" s="9"/>
      <c r="PHH108" s="9"/>
      <c r="PHI108" s="9"/>
      <c r="PHJ108" s="9"/>
      <c r="PHK108" s="9"/>
      <c r="PHL108" s="9"/>
      <c r="PHM108" s="9"/>
      <c r="PHN108" s="9"/>
      <c r="PHO108" s="9"/>
      <c r="PHP108" s="9"/>
      <c r="PHQ108" s="9"/>
      <c r="PHR108" s="9"/>
      <c r="PHS108" s="9"/>
      <c r="PHT108" s="9"/>
      <c r="PHU108" s="9"/>
      <c r="PHV108" s="9"/>
      <c r="PHW108" s="9"/>
      <c r="PHX108" s="9"/>
      <c r="PHY108" s="9"/>
      <c r="PHZ108" s="9"/>
      <c r="PIA108" s="9"/>
      <c r="PIB108" s="9"/>
      <c r="PIC108" s="9"/>
      <c r="PID108" s="9"/>
      <c r="PIE108" s="9"/>
      <c r="PIF108" s="9"/>
      <c r="PIG108" s="9"/>
      <c r="PIH108" s="9"/>
      <c r="PII108" s="9"/>
      <c r="PIJ108" s="9"/>
      <c r="PIK108" s="9"/>
      <c r="PIL108" s="9"/>
      <c r="PIM108" s="9"/>
      <c r="PIN108" s="9"/>
      <c r="PIO108" s="9"/>
      <c r="PIP108" s="9"/>
      <c r="PIQ108" s="9"/>
      <c r="PIR108" s="9"/>
      <c r="PIS108" s="9"/>
      <c r="PIT108" s="9"/>
      <c r="PIU108" s="9"/>
      <c r="PIV108" s="9"/>
      <c r="PIW108" s="9"/>
      <c r="PIX108" s="9"/>
      <c r="PIY108" s="9"/>
      <c r="PIZ108" s="9"/>
      <c r="PJA108" s="9"/>
      <c r="PJB108" s="9"/>
      <c r="PJC108" s="9"/>
      <c r="PJD108" s="9"/>
      <c r="PJE108" s="9"/>
      <c r="PJF108" s="9"/>
      <c r="PJG108" s="9"/>
      <c r="PJH108" s="9"/>
      <c r="PJI108" s="9"/>
      <c r="PJJ108" s="9"/>
      <c r="PJK108" s="9"/>
      <c r="PJL108" s="9"/>
      <c r="PJM108" s="9"/>
      <c r="PJN108" s="9"/>
      <c r="PJO108" s="9"/>
      <c r="PJP108" s="9"/>
      <c r="PJQ108" s="9"/>
      <c r="PJR108" s="9"/>
      <c r="PJS108" s="9"/>
      <c r="PJT108" s="9"/>
      <c r="PJU108" s="9"/>
      <c r="PJV108" s="9"/>
      <c r="PJW108" s="9"/>
      <c r="PJX108" s="9"/>
      <c r="PJY108" s="9"/>
      <c r="PJZ108" s="9"/>
      <c r="PKA108" s="9"/>
      <c r="PKB108" s="9"/>
      <c r="PKC108" s="9"/>
      <c r="PKD108" s="9"/>
      <c r="PKE108" s="9"/>
      <c r="PKF108" s="9"/>
      <c r="PKG108" s="9"/>
      <c r="PKH108" s="9"/>
      <c r="PKI108" s="9"/>
      <c r="PKJ108" s="9"/>
      <c r="PKK108" s="9"/>
      <c r="PKL108" s="9"/>
      <c r="PKM108" s="9"/>
      <c r="PKN108" s="9"/>
      <c r="PKO108" s="9"/>
      <c r="PKP108" s="9"/>
      <c r="PKQ108" s="9"/>
      <c r="PKR108" s="9"/>
      <c r="PKS108" s="9"/>
      <c r="PKT108" s="9"/>
      <c r="PKU108" s="9"/>
      <c r="PKV108" s="9"/>
      <c r="PKW108" s="9"/>
      <c r="PKX108" s="9"/>
      <c r="PKY108" s="9"/>
      <c r="PKZ108" s="9"/>
      <c r="PLA108" s="9"/>
      <c r="PLB108" s="9"/>
      <c r="PLC108" s="9"/>
      <c r="PLD108" s="9"/>
      <c r="PLE108" s="9"/>
      <c r="PLF108" s="9"/>
      <c r="PLG108" s="9"/>
      <c r="PLH108" s="9"/>
      <c r="PLI108" s="9"/>
      <c r="PLJ108" s="9"/>
      <c r="PLK108" s="9"/>
      <c r="PLL108" s="9"/>
      <c r="PLM108" s="9"/>
      <c r="PLN108" s="9"/>
      <c r="PLO108" s="9"/>
      <c r="PLP108" s="9"/>
      <c r="PLQ108" s="9"/>
      <c r="PLR108" s="9"/>
      <c r="PLS108" s="9"/>
      <c r="PLT108" s="9"/>
      <c r="PLU108" s="9"/>
      <c r="PLV108" s="9"/>
      <c r="PLW108" s="9"/>
      <c r="PLX108" s="9"/>
      <c r="PLY108" s="9"/>
      <c r="PLZ108" s="9"/>
      <c r="PMA108" s="9"/>
      <c r="PMB108" s="9"/>
      <c r="PMC108" s="9"/>
      <c r="PMD108" s="9"/>
      <c r="PME108" s="9"/>
      <c r="PMF108" s="9"/>
      <c r="PMG108" s="9"/>
      <c r="PMH108" s="9"/>
      <c r="PMI108" s="9"/>
      <c r="PMJ108" s="9"/>
      <c r="PMK108" s="9"/>
      <c r="PML108" s="9"/>
      <c r="PMM108" s="9"/>
      <c r="PMN108" s="9"/>
      <c r="PMO108" s="9"/>
      <c r="PMP108" s="9"/>
      <c r="PMQ108" s="9"/>
      <c r="PMR108" s="9"/>
      <c r="PMS108" s="9"/>
      <c r="PMT108" s="9"/>
      <c r="PMU108" s="9"/>
      <c r="PMV108" s="9"/>
      <c r="PMW108" s="9"/>
      <c r="PMX108" s="9"/>
      <c r="PMY108" s="9"/>
      <c r="PMZ108" s="9"/>
      <c r="PNA108" s="9"/>
      <c r="PNB108" s="9"/>
      <c r="PNC108" s="9"/>
      <c r="PND108" s="9"/>
      <c r="PNE108" s="9"/>
      <c r="PNF108" s="9"/>
      <c r="PNG108" s="9"/>
      <c r="PNH108" s="9"/>
      <c r="PNI108" s="9"/>
      <c r="PNJ108" s="9"/>
      <c r="PNK108" s="9"/>
      <c r="PNL108" s="9"/>
      <c r="PNM108" s="9"/>
      <c r="PNN108" s="9"/>
      <c r="PNO108" s="9"/>
      <c r="PNP108" s="9"/>
      <c r="PNQ108" s="9"/>
      <c r="PNR108" s="9"/>
      <c r="PNS108" s="9"/>
      <c r="PNT108" s="9"/>
      <c r="PNU108" s="9"/>
      <c r="PNV108" s="9"/>
      <c r="PNW108" s="9"/>
      <c r="PNX108" s="9"/>
      <c r="PNY108" s="9"/>
      <c r="PNZ108" s="9"/>
      <c r="POA108" s="9"/>
      <c r="POB108" s="9"/>
      <c r="POC108" s="9"/>
      <c r="POD108" s="9"/>
      <c r="POE108" s="9"/>
      <c r="POF108" s="9"/>
      <c r="POG108" s="9"/>
      <c r="POH108" s="9"/>
      <c r="POI108" s="9"/>
      <c r="POJ108" s="9"/>
      <c r="POK108" s="9"/>
      <c r="POL108" s="9"/>
      <c r="POM108" s="9"/>
      <c r="PON108" s="9"/>
      <c r="POO108" s="9"/>
      <c r="POP108" s="9"/>
      <c r="POQ108" s="9"/>
      <c r="POR108" s="9"/>
      <c r="POS108" s="9"/>
      <c r="POT108" s="9"/>
      <c r="POU108" s="9"/>
      <c r="POV108" s="9"/>
      <c r="POW108" s="9"/>
      <c r="POX108" s="9"/>
      <c r="POY108" s="9"/>
      <c r="POZ108" s="9"/>
      <c r="PPA108" s="9"/>
      <c r="PPB108" s="9"/>
      <c r="PPC108" s="9"/>
      <c r="PPD108" s="9"/>
      <c r="PPE108" s="9"/>
      <c r="PPF108" s="9"/>
      <c r="PPG108" s="9"/>
      <c r="PPH108" s="9"/>
      <c r="PPI108" s="9"/>
      <c r="PPJ108" s="9"/>
      <c r="PPK108" s="9"/>
      <c r="PPL108" s="9"/>
      <c r="PPM108" s="9"/>
      <c r="PPN108" s="9"/>
      <c r="PPO108" s="9"/>
      <c r="PPP108" s="9"/>
      <c r="PPQ108" s="9"/>
      <c r="PPR108" s="9"/>
      <c r="PPS108" s="9"/>
      <c r="PPT108" s="9"/>
      <c r="PPU108" s="9"/>
      <c r="PPV108" s="9"/>
      <c r="PPW108" s="9"/>
      <c r="PPX108" s="9"/>
      <c r="PPY108" s="9"/>
      <c r="PPZ108" s="9"/>
      <c r="PQA108" s="9"/>
      <c r="PQB108" s="9"/>
      <c r="PQC108" s="9"/>
      <c r="PQD108" s="9"/>
      <c r="PQE108" s="9"/>
      <c r="PQF108" s="9"/>
      <c r="PQG108" s="9"/>
      <c r="PQH108" s="9"/>
      <c r="PQI108" s="9"/>
      <c r="PQJ108" s="9"/>
      <c r="PQK108" s="9"/>
      <c r="PQL108" s="9"/>
      <c r="PQM108" s="9"/>
      <c r="PQN108" s="9"/>
      <c r="PQO108" s="9"/>
      <c r="PQP108" s="9"/>
      <c r="PQQ108" s="9"/>
      <c r="PQR108" s="9"/>
      <c r="PQS108" s="9"/>
      <c r="PQT108" s="9"/>
      <c r="PQU108" s="9"/>
      <c r="PQV108" s="9"/>
      <c r="PQW108" s="9"/>
      <c r="PQX108" s="9"/>
      <c r="PQY108" s="9"/>
      <c r="PQZ108" s="9"/>
      <c r="PRA108" s="9"/>
      <c r="PRB108" s="9"/>
      <c r="PRC108" s="9"/>
      <c r="PRD108" s="9"/>
      <c r="PRE108" s="9"/>
      <c r="PRF108" s="9"/>
      <c r="PRG108" s="9"/>
      <c r="PRH108" s="9"/>
      <c r="PRI108" s="9"/>
      <c r="PRJ108" s="9"/>
      <c r="PRK108" s="9"/>
      <c r="PRL108" s="9"/>
      <c r="PRM108" s="9"/>
      <c r="PRN108" s="9"/>
      <c r="PRO108" s="9"/>
      <c r="PRP108" s="9"/>
      <c r="PRQ108" s="9"/>
      <c r="PRR108" s="9"/>
      <c r="PRS108" s="9"/>
      <c r="PRT108" s="9"/>
      <c r="PRU108" s="9"/>
      <c r="PRV108" s="9"/>
      <c r="PRW108" s="9"/>
      <c r="PRX108" s="9"/>
      <c r="PRY108" s="9"/>
      <c r="PRZ108" s="9"/>
      <c r="PSA108" s="9"/>
      <c r="PSB108" s="9"/>
      <c r="PSC108" s="9"/>
      <c r="PSD108" s="9"/>
      <c r="PSE108" s="9"/>
      <c r="PSF108" s="9"/>
      <c r="PSG108" s="9"/>
      <c r="PSH108" s="9"/>
      <c r="PSI108" s="9"/>
      <c r="PSJ108" s="9"/>
      <c r="PSK108" s="9"/>
      <c r="PSL108" s="9"/>
      <c r="PSM108" s="9"/>
      <c r="PSN108" s="9"/>
      <c r="PSO108" s="9"/>
      <c r="PSP108" s="9"/>
      <c r="PSQ108" s="9"/>
      <c r="PSR108" s="9"/>
      <c r="PSS108" s="9"/>
      <c r="PST108" s="9"/>
      <c r="PSU108" s="9"/>
      <c r="PSV108" s="9"/>
      <c r="PSW108" s="9"/>
      <c r="PSX108" s="9"/>
      <c r="PSY108" s="9"/>
      <c r="PSZ108" s="9"/>
      <c r="PTA108" s="9"/>
      <c r="PTB108" s="9"/>
      <c r="PTC108" s="9"/>
      <c r="PTD108" s="9"/>
      <c r="PTE108" s="9"/>
      <c r="PTF108" s="9"/>
      <c r="PTG108" s="9"/>
      <c r="PTH108" s="9"/>
      <c r="PTI108" s="9"/>
      <c r="PTJ108" s="9"/>
      <c r="PTK108" s="9"/>
      <c r="PTL108" s="9"/>
      <c r="PTM108" s="9"/>
      <c r="PTN108" s="9"/>
      <c r="PTO108" s="9"/>
      <c r="PTP108" s="9"/>
      <c r="PTQ108" s="9"/>
      <c r="PTR108" s="9"/>
      <c r="PTS108" s="9"/>
      <c r="PTT108" s="9"/>
      <c r="PTU108" s="9"/>
      <c r="PTV108" s="9"/>
      <c r="PTW108" s="9"/>
      <c r="PTX108" s="9"/>
      <c r="PTY108" s="9"/>
      <c r="PTZ108" s="9"/>
      <c r="PUA108" s="9"/>
      <c r="PUB108" s="9"/>
      <c r="PUC108" s="9"/>
      <c r="PUD108" s="9"/>
      <c r="PUE108" s="9"/>
      <c r="PUF108" s="9"/>
      <c r="PUG108" s="9"/>
      <c r="PUH108" s="9"/>
      <c r="PUI108" s="9"/>
      <c r="PUJ108" s="9"/>
      <c r="PUK108" s="9"/>
      <c r="PUL108" s="9"/>
      <c r="PUM108" s="9"/>
      <c r="PUN108" s="9"/>
      <c r="PUO108" s="9"/>
      <c r="PUP108" s="9"/>
      <c r="PUQ108" s="9"/>
      <c r="PUR108" s="9"/>
      <c r="PUS108" s="9"/>
      <c r="PUT108" s="9"/>
      <c r="PUU108" s="9"/>
      <c r="PUV108" s="9"/>
      <c r="PUW108" s="9"/>
      <c r="PUX108" s="9"/>
      <c r="PUY108" s="9"/>
      <c r="PUZ108" s="9"/>
      <c r="PVA108" s="9"/>
      <c r="PVB108" s="9"/>
      <c r="PVC108" s="9"/>
      <c r="PVD108" s="9"/>
      <c r="PVE108" s="9"/>
      <c r="PVF108" s="9"/>
      <c r="PVG108" s="9"/>
      <c r="PVH108" s="9"/>
      <c r="PVI108" s="9"/>
      <c r="PVJ108" s="9"/>
      <c r="PVK108" s="9"/>
      <c r="PVL108" s="9"/>
      <c r="PVM108" s="9"/>
      <c r="PVN108" s="9"/>
      <c r="PVO108" s="9"/>
      <c r="PVP108" s="9"/>
      <c r="PVQ108" s="9"/>
      <c r="PVR108" s="9"/>
      <c r="PVS108" s="9"/>
      <c r="PVT108" s="9"/>
      <c r="PVU108" s="9"/>
      <c r="PVV108" s="9"/>
      <c r="PVW108" s="9"/>
      <c r="PVX108" s="9"/>
      <c r="PVY108" s="9"/>
      <c r="PVZ108" s="9"/>
      <c r="PWA108" s="9"/>
      <c r="PWB108" s="9"/>
      <c r="PWC108" s="9"/>
      <c r="PWD108" s="9"/>
      <c r="PWE108" s="9"/>
      <c r="PWF108" s="9"/>
      <c r="PWG108" s="9"/>
      <c r="PWH108" s="9"/>
      <c r="PWI108" s="9"/>
      <c r="PWJ108" s="9"/>
      <c r="PWK108" s="9"/>
      <c r="PWL108" s="9"/>
      <c r="PWM108" s="9"/>
      <c r="PWN108" s="9"/>
      <c r="PWO108" s="9"/>
      <c r="PWP108" s="9"/>
      <c r="PWQ108" s="9"/>
      <c r="PWR108" s="9"/>
      <c r="PWS108" s="9"/>
      <c r="PWT108" s="9"/>
      <c r="PWU108" s="9"/>
      <c r="PWV108" s="9"/>
      <c r="PWW108" s="9"/>
      <c r="PWX108" s="9"/>
      <c r="PWY108" s="9"/>
      <c r="PWZ108" s="9"/>
      <c r="PXA108" s="9"/>
      <c r="PXB108" s="9"/>
      <c r="PXC108" s="9"/>
      <c r="PXD108" s="9"/>
      <c r="PXE108" s="9"/>
      <c r="PXF108" s="9"/>
      <c r="PXG108" s="9"/>
      <c r="PXH108" s="9"/>
      <c r="PXI108" s="9"/>
      <c r="PXJ108" s="9"/>
      <c r="PXK108" s="9"/>
      <c r="PXL108" s="9"/>
      <c r="PXM108" s="9"/>
      <c r="PXN108" s="9"/>
      <c r="PXO108" s="9"/>
      <c r="PXP108" s="9"/>
      <c r="PXQ108" s="9"/>
      <c r="PXR108" s="9"/>
      <c r="PXS108" s="9"/>
      <c r="PXT108" s="9"/>
      <c r="PXU108" s="9"/>
      <c r="PXV108" s="9"/>
      <c r="PXW108" s="9"/>
      <c r="PXX108" s="9"/>
      <c r="PXY108" s="9"/>
      <c r="PXZ108" s="9"/>
      <c r="PYA108" s="9"/>
      <c r="PYB108" s="9"/>
      <c r="PYC108" s="9"/>
      <c r="PYD108" s="9"/>
      <c r="PYE108" s="9"/>
      <c r="PYF108" s="9"/>
      <c r="PYG108" s="9"/>
      <c r="PYH108" s="9"/>
      <c r="PYI108" s="9"/>
      <c r="PYJ108" s="9"/>
      <c r="PYK108" s="9"/>
      <c r="PYL108" s="9"/>
      <c r="PYM108" s="9"/>
      <c r="PYN108" s="9"/>
      <c r="PYO108" s="9"/>
      <c r="PYP108" s="9"/>
      <c r="PYQ108" s="9"/>
      <c r="PYR108" s="9"/>
      <c r="PYS108" s="9"/>
      <c r="PYT108" s="9"/>
      <c r="PYU108" s="9"/>
      <c r="PYV108" s="9"/>
      <c r="PYW108" s="9"/>
      <c r="PYX108" s="9"/>
      <c r="PYY108" s="9"/>
      <c r="PYZ108" s="9"/>
      <c r="PZA108" s="9"/>
      <c r="PZB108" s="9"/>
      <c r="PZC108" s="9"/>
      <c r="PZD108" s="9"/>
      <c r="PZE108" s="9"/>
      <c r="PZF108" s="9"/>
      <c r="PZG108" s="9"/>
      <c r="PZH108" s="9"/>
      <c r="PZI108" s="9"/>
      <c r="PZJ108" s="9"/>
      <c r="PZK108" s="9"/>
      <c r="PZL108" s="9"/>
      <c r="PZM108" s="9"/>
      <c r="PZN108" s="9"/>
      <c r="PZO108" s="9"/>
      <c r="PZP108" s="9"/>
      <c r="PZQ108" s="9"/>
      <c r="PZR108" s="9"/>
      <c r="PZS108" s="9"/>
      <c r="PZT108" s="9"/>
      <c r="PZU108" s="9"/>
      <c r="PZV108" s="9"/>
      <c r="PZW108" s="9"/>
      <c r="PZX108" s="9"/>
      <c r="PZY108" s="9"/>
      <c r="PZZ108" s="9"/>
      <c r="QAA108" s="9"/>
      <c r="QAB108" s="9"/>
      <c r="QAC108" s="9"/>
      <c r="QAD108" s="9"/>
      <c r="QAE108" s="9"/>
      <c r="QAF108" s="9"/>
      <c r="QAG108" s="9"/>
      <c r="QAH108" s="9"/>
      <c r="QAI108" s="9"/>
      <c r="QAJ108" s="9"/>
      <c r="QAK108" s="9"/>
      <c r="QAL108" s="9"/>
      <c r="QAM108" s="9"/>
      <c r="QAN108" s="9"/>
      <c r="QAO108" s="9"/>
      <c r="QAP108" s="9"/>
      <c r="QAQ108" s="9"/>
      <c r="QAR108" s="9"/>
      <c r="QAS108" s="9"/>
      <c r="QAT108" s="9"/>
      <c r="QAU108" s="9"/>
      <c r="QAV108" s="9"/>
      <c r="QAW108" s="9"/>
      <c r="QAX108" s="9"/>
      <c r="QAY108" s="9"/>
      <c r="QAZ108" s="9"/>
      <c r="QBA108" s="9"/>
      <c r="QBB108" s="9"/>
      <c r="QBC108" s="9"/>
      <c r="QBD108" s="9"/>
      <c r="QBE108" s="9"/>
      <c r="QBF108" s="9"/>
      <c r="QBG108" s="9"/>
      <c r="QBH108" s="9"/>
      <c r="QBI108" s="9"/>
      <c r="QBJ108" s="9"/>
      <c r="QBK108" s="9"/>
      <c r="QBL108" s="9"/>
      <c r="QBM108" s="9"/>
      <c r="QBN108" s="9"/>
      <c r="QBO108" s="9"/>
      <c r="QBP108" s="9"/>
      <c r="QBQ108" s="9"/>
      <c r="QBR108" s="9"/>
      <c r="QBS108" s="9"/>
      <c r="QBT108" s="9"/>
      <c r="QBU108" s="9"/>
      <c r="QBV108" s="9"/>
      <c r="QBW108" s="9"/>
      <c r="QBX108" s="9"/>
      <c r="QBY108" s="9"/>
      <c r="QBZ108" s="9"/>
      <c r="QCA108" s="9"/>
      <c r="QCB108" s="9"/>
      <c r="QCC108" s="9"/>
      <c r="QCD108" s="9"/>
      <c r="QCE108" s="9"/>
      <c r="QCF108" s="9"/>
      <c r="QCG108" s="9"/>
      <c r="QCH108" s="9"/>
      <c r="QCI108" s="9"/>
      <c r="QCJ108" s="9"/>
      <c r="QCK108" s="9"/>
      <c r="QCL108" s="9"/>
      <c r="QCM108" s="9"/>
      <c r="QCN108" s="9"/>
      <c r="QCO108" s="9"/>
      <c r="QCP108" s="9"/>
      <c r="QCQ108" s="9"/>
      <c r="QCR108" s="9"/>
      <c r="QCS108" s="9"/>
      <c r="QCT108" s="9"/>
      <c r="QCU108" s="9"/>
      <c r="QCV108" s="9"/>
      <c r="QCW108" s="9"/>
      <c r="QCX108" s="9"/>
      <c r="QCY108" s="9"/>
      <c r="QCZ108" s="9"/>
      <c r="QDA108" s="9"/>
      <c r="QDB108" s="9"/>
      <c r="QDC108" s="9"/>
      <c r="QDD108" s="9"/>
      <c r="QDE108" s="9"/>
      <c r="QDF108" s="9"/>
      <c r="QDG108" s="9"/>
      <c r="QDH108" s="9"/>
      <c r="QDI108" s="9"/>
      <c r="QDJ108" s="9"/>
      <c r="QDK108" s="9"/>
      <c r="QDL108" s="9"/>
      <c r="QDM108" s="9"/>
      <c r="QDN108" s="9"/>
      <c r="QDO108" s="9"/>
      <c r="QDP108" s="9"/>
      <c r="QDQ108" s="9"/>
      <c r="QDR108" s="9"/>
      <c r="QDS108" s="9"/>
      <c r="QDT108" s="9"/>
      <c r="QDU108" s="9"/>
      <c r="QDV108" s="9"/>
      <c r="QDW108" s="9"/>
      <c r="QDX108" s="9"/>
      <c r="QDY108" s="9"/>
      <c r="QDZ108" s="9"/>
      <c r="QEA108" s="9"/>
      <c r="QEB108" s="9"/>
      <c r="QEC108" s="9"/>
      <c r="QED108" s="9"/>
      <c r="QEE108" s="9"/>
      <c r="QEF108" s="9"/>
      <c r="QEG108" s="9"/>
      <c r="QEH108" s="9"/>
      <c r="QEI108" s="9"/>
      <c r="QEJ108" s="9"/>
      <c r="QEK108" s="9"/>
      <c r="QEL108" s="9"/>
      <c r="QEM108" s="9"/>
      <c r="QEN108" s="9"/>
      <c r="QEO108" s="9"/>
      <c r="QEP108" s="9"/>
      <c r="QEQ108" s="9"/>
      <c r="QER108" s="9"/>
      <c r="QES108" s="9"/>
      <c r="QET108" s="9"/>
      <c r="QEU108" s="9"/>
      <c r="QEV108" s="9"/>
      <c r="QEW108" s="9"/>
      <c r="QEX108" s="9"/>
      <c r="QEY108" s="9"/>
      <c r="QEZ108" s="9"/>
      <c r="QFA108" s="9"/>
      <c r="QFB108" s="9"/>
      <c r="QFC108" s="9"/>
      <c r="QFD108" s="9"/>
      <c r="QFE108" s="9"/>
      <c r="QFF108" s="9"/>
      <c r="QFG108" s="9"/>
      <c r="QFH108" s="9"/>
      <c r="QFI108" s="9"/>
      <c r="QFJ108" s="9"/>
      <c r="QFK108" s="9"/>
      <c r="QFL108" s="9"/>
      <c r="QFM108" s="9"/>
      <c r="QFN108" s="9"/>
      <c r="QFO108" s="9"/>
      <c r="QFP108" s="9"/>
      <c r="QFQ108" s="9"/>
      <c r="QFR108" s="9"/>
      <c r="QFS108" s="9"/>
      <c r="QFT108" s="9"/>
      <c r="QFU108" s="9"/>
      <c r="QFV108" s="9"/>
      <c r="QFW108" s="9"/>
      <c r="QFX108" s="9"/>
      <c r="QFY108" s="9"/>
      <c r="QFZ108" s="9"/>
      <c r="QGA108" s="9"/>
      <c r="QGB108" s="9"/>
      <c r="QGC108" s="9"/>
      <c r="QGD108" s="9"/>
      <c r="QGE108" s="9"/>
      <c r="QGF108" s="9"/>
      <c r="QGG108" s="9"/>
      <c r="QGH108" s="9"/>
      <c r="QGI108" s="9"/>
      <c r="QGJ108" s="9"/>
      <c r="QGK108" s="9"/>
      <c r="QGL108" s="9"/>
      <c r="QGM108" s="9"/>
      <c r="QGN108" s="9"/>
      <c r="QGO108" s="9"/>
      <c r="QGP108" s="9"/>
      <c r="QGQ108" s="9"/>
      <c r="QGR108" s="9"/>
      <c r="QGS108" s="9"/>
      <c r="QGT108" s="9"/>
      <c r="QGU108" s="9"/>
      <c r="QGV108" s="9"/>
      <c r="QGW108" s="9"/>
      <c r="QGX108" s="9"/>
      <c r="QGY108" s="9"/>
      <c r="QGZ108" s="9"/>
      <c r="QHA108" s="9"/>
      <c r="QHB108" s="9"/>
      <c r="QHC108" s="9"/>
      <c r="QHD108" s="9"/>
      <c r="QHE108" s="9"/>
      <c r="QHF108" s="9"/>
      <c r="QHG108" s="9"/>
      <c r="QHH108" s="9"/>
      <c r="QHI108" s="9"/>
      <c r="QHJ108" s="9"/>
      <c r="QHK108" s="9"/>
      <c r="QHL108" s="9"/>
      <c r="QHM108" s="9"/>
      <c r="QHN108" s="9"/>
      <c r="QHO108" s="9"/>
      <c r="QHP108" s="9"/>
      <c r="QHQ108" s="9"/>
      <c r="QHR108" s="9"/>
      <c r="QHS108" s="9"/>
      <c r="QHT108" s="9"/>
      <c r="QHU108" s="9"/>
      <c r="QHV108" s="9"/>
      <c r="QHW108" s="9"/>
      <c r="QHX108" s="9"/>
      <c r="QHY108" s="9"/>
      <c r="QHZ108" s="9"/>
      <c r="QIA108" s="9"/>
      <c r="QIB108" s="9"/>
      <c r="QIC108" s="9"/>
      <c r="QID108" s="9"/>
      <c r="QIE108" s="9"/>
      <c r="QIF108" s="9"/>
      <c r="QIG108" s="9"/>
      <c r="QIH108" s="9"/>
      <c r="QII108" s="9"/>
      <c r="QIJ108" s="9"/>
      <c r="QIK108" s="9"/>
      <c r="QIL108" s="9"/>
      <c r="QIM108" s="9"/>
      <c r="QIN108" s="9"/>
      <c r="QIO108" s="9"/>
      <c r="QIP108" s="9"/>
      <c r="QIQ108" s="9"/>
      <c r="QIR108" s="9"/>
      <c r="QIS108" s="9"/>
      <c r="QIT108" s="9"/>
      <c r="QIU108" s="9"/>
      <c r="QIV108" s="9"/>
      <c r="QIW108" s="9"/>
      <c r="QIX108" s="9"/>
      <c r="QIY108" s="9"/>
      <c r="QIZ108" s="9"/>
      <c r="QJA108" s="9"/>
      <c r="QJB108" s="9"/>
      <c r="QJC108" s="9"/>
      <c r="QJD108" s="9"/>
      <c r="QJE108" s="9"/>
      <c r="QJF108" s="9"/>
      <c r="QJG108" s="9"/>
      <c r="QJH108" s="9"/>
      <c r="QJI108" s="9"/>
      <c r="QJJ108" s="9"/>
      <c r="QJK108" s="9"/>
      <c r="QJL108" s="9"/>
      <c r="QJM108" s="9"/>
      <c r="QJN108" s="9"/>
      <c r="QJO108" s="9"/>
      <c r="QJP108" s="9"/>
      <c r="QJQ108" s="9"/>
      <c r="QJR108" s="9"/>
      <c r="QJS108" s="9"/>
      <c r="QJT108" s="9"/>
      <c r="QJU108" s="9"/>
      <c r="QJV108" s="9"/>
      <c r="QJW108" s="9"/>
      <c r="QJX108" s="9"/>
      <c r="QJY108" s="9"/>
      <c r="QJZ108" s="9"/>
      <c r="QKA108" s="9"/>
      <c r="QKB108" s="9"/>
      <c r="QKC108" s="9"/>
      <c r="QKD108" s="9"/>
      <c r="QKE108" s="9"/>
      <c r="QKF108" s="9"/>
      <c r="QKG108" s="9"/>
      <c r="QKH108" s="9"/>
      <c r="QKI108" s="9"/>
      <c r="QKJ108" s="9"/>
      <c r="QKK108" s="9"/>
      <c r="QKL108" s="9"/>
      <c r="QKM108" s="9"/>
      <c r="QKN108" s="9"/>
      <c r="QKO108" s="9"/>
      <c r="QKP108" s="9"/>
      <c r="QKQ108" s="9"/>
      <c r="QKR108" s="9"/>
      <c r="QKS108" s="9"/>
      <c r="QKT108" s="9"/>
      <c r="QKU108" s="9"/>
      <c r="QKV108" s="9"/>
      <c r="QKW108" s="9"/>
      <c r="QKX108" s="9"/>
      <c r="QKY108" s="9"/>
      <c r="QKZ108" s="9"/>
      <c r="QLA108" s="9"/>
      <c r="QLB108" s="9"/>
      <c r="QLC108" s="9"/>
      <c r="QLD108" s="9"/>
      <c r="QLE108" s="9"/>
      <c r="QLF108" s="9"/>
      <c r="QLG108" s="9"/>
      <c r="QLH108" s="9"/>
      <c r="QLI108" s="9"/>
      <c r="QLJ108" s="9"/>
      <c r="QLK108" s="9"/>
      <c r="QLL108" s="9"/>
      <c r="QLM108" s="9"/>
      <c r="QLN108" s="9"/>
      <c r="QLO108" s="9"/>
      <c r="QLP108" s="9"/>
      <c r="QLQ108" s="9"/>
      <c r="QLR108" s="9"/>
      <c r="QLS108" s="9"/>
      <c r="QLT108" s="9"/>
      <c r="QLU108" s="9"/>
      <c r="QLV108" s="9"/>
      <c r="QLW108" s="9"/>
      <c r="QLX108" s="9"/>
      <c r="QLY108" s="9"/>
      <c r="QLZ108" s="9"/>
      <c r="QMA108" s="9"/>
      <c r="QMB108" s="9"/>
      <c r="QMC108" s="9"/>
      <c r="QMD108" s="9"/>
      <c r="QME108" s="9"/>
      <c r="QMF108" s="9"/>
      <c r="QMG108" s="9"/>
      <c r="QMH108" s="9"/>
      <c r="QMI108" s="9"/>
      <c r="QMJ108" s="9"/>
      <c r="QMK108" s="9"/>
      <c r="QML108" s="9"/>
      <c r="QMM108" s="9"/>
      <c r="QMN108" s="9"/>
      <c r="QMO108" s="9"/>
      <c r="QMP108" s="9"/>
      <c r="QMQ108" s="9"/>
      <c r="QMR108" s="9"/>
      <c r="QMS108" s="9"/>
      <c r="QMT108" s="9"/>
      <c r="QMU108" s="9"/>
      <c r="QMV108" s="9"/>
      <c r="QMW108" s="9"/>
      <c r="QMX108" s="9"/>
      <c r="QMY108" s="9"/>
      <c r="QMZ108" s="9"/>
      <c r="QNA108" s="9"/>
      <c r="QNB108" s="9"/>
      <c r="QNC108" s="9"/>
      <c r="QND108" s="9"/>
      <c r="QNE108" s="9"/>
      <c r="QNF108" s="9"/>
      <c r="QNG108" s="9"/>
      <c r="QNH108" s="9"/>
      <c r="QNI108" s="9"/>
      <c r="QNJ108" s="9"/>
      <c r="QNK108" s="9"/>
      <c r="QNL108" s="9"/>
      <c r="QNM108" s="9"/>
      <c r="QNN108" s="9"/>
      <c r="QNO108" s="9"/>
      <c r="QNP108" s="9"/>
      <c r="QNQ108" s="9"/>
      <c r="QNR108" s="9"/>
      <c r="QNS108" s="9"/>
      <c r="QNT108" s="9"/>
      <c r="QNU108" s="9"/>
      <c r="QNV108" s="9"/>
      <c r="QNW108" s="9"/>
      <c r="QNX108" s="9"/>
      <c r="QNY108" s="9"/>
      <c r="QNZ108" s="9"/>
      <c r="QOA108" s="9"/>
      <c r="QOB108" s="9"/>
      <c r="QOC108" s="9"/>
      <c r="QOD108" s="9"/>
      <c r="QOE108" s="9"/>
      <c r="QOF108" s="9"/>
      <c r="QOG108" s="9"/>
      <c r="QOH108" s="9"/>
      <c r="QOI108" s="9"/>
      <c r="QOJ108" s="9"/>
      <c r="QOK108" s="9"/>
      <c r="QOL108" s="9"/>
      <c r="QOM108" s="9"/>
      <c r="QON108" s="9"/>
      <c r="QOO108" s="9"/>
      <c r="QOP108" s="9"/>
      <c r="QOQ108" s="9"/>
      <c r="QOR108" s="9"/>
      <c r="QOS108" s="9"/>
      <c r="QOT108" s="9"/>
      <c r="QOU108" s="9"/>
      <c r="QOV108" s="9"/>
      <c r="QOW108" s="9"/>
      <c r="QOX108" s="9"/>
      <c r="QOY108" s="9"/>
      <c r="QOZ108" s="9"/>
      <c r="QPA108" s="9"/>
      <c r="QPB108" s="9"/>
      <c r="QPC108" s="9"/>
      <c r="QPD108" s="9"/>
      <c r="QPE108" s="9"/>
      <c r="QPF108" s="9"/>
      <c r="QPG108" s="9"/>
      <c r="QPH108" s="9"/>
      <c r="QPI108" s="9"/>
      <c r="QPJ108" s="9"/>
      <c r="QPK108" s="9"/>
      <c r="QPL108" s="9"/>
      <c r="QPM108" s="9"/>
      <c r="QPN108" s="9"/>
      <c r="QPO108" s="9"/>
      <c r="QPP108" s="9"/>
      <c r="QPQ108" s="9"/>
      <c r="QPR108" s="9"/>
      <c r="QPS108" s="9"/>
      <c r="QPT108" s="9"/>
      <c r="QPU108" s="9"/>
      <c r="QPV108" s="9"/>
      <c r="QPW108" s="9"/>
      <c r="QPX108" s="9"/>
      <c r="QPY108" s="9"/>
      <c r="QPZ108" s="9"/>
      <c r="QQA108" s="9"/>
      <c r="QQB108" s="9"/>
      <c r="QQC108" s="9"/>
      <c r="QQD108" s="9"/>
      <c r="QQE108" s="9"/>
      <c r="QQF108" s="9"/>
      <c r="QQG108" s="9"/>
      <c r="QQH108" s="9"/>
      <c r="QQI108" s="9"/>
      <c r="QQJ108" s="9"/>
      <c r="QQK108" s="9"/>
      <c r="QQL108" s="9"/>
      <c r="QQM108" s="9"/>
      <c r="QQN108" s="9"/>
      <c r="QQO108" s="9"/>
      <c r="QQP108" s="9"/>
      <c r="QQQ108" s="9"/>
      <c r="QQR108" s="9"/>
      <c r="QQS108" s="9"/>
      <c r="QQT108" s="9"/>
      <c r="QQU108" s="9"/>
      <c r="QQV108" s="9"/>
      <c r="QQW108" s="9"/>
      <c r="QQX108" s="9"/>
      <c r="QQY108" s="9"/>
      <c r="QQZ108" s="9"/>
      <c r="QRA108" s="9"/>
      <c r="QRB108" s="9"/>
      <c r="QRC108" s="9"/>
      <c r="QRD108" s="9"/>
      <c r="QRE108" s="9"/>
      <c r="QRF108" s="9"/>
      <c r="QRG108" s="9"/>
      <c r="QRH108" s="9"/>
      <c r="QRI108" s="9"/>
      <c r="QRJ108" s="9"/>
      <c r="QRK108" s="9"/>
      <c r="QRL108" s="9"/>
      <c r="QRM108" s="9"/>
      <c r="QRN108" s="9"/>
      <c r="QRO108" s="9"/>
      <c r="QRP108" s="9"/>
      <c r="QRQ108" s="9"/>
      <c r="QRR108" s="9"/>
      <c r="QRS108" s="9"/>
      <c r="QRT108" s="9"/>
      <c r="QRU108" s="9"/>
      <c r="QRV108" s="9"/>
      <c r="QRW108" s="9"/>
      <c r="QRX108" s="9"/>
      <c r="QRY108" s="9"/>
      <c r="QRZ108" s="9"/>
      <c r="QSA108" s="9"/>
      <c r="QSB108" s="9"/>
      <c r="QSC108" s="9"/>
      <c r="QSD108" s="9"/>
      <c r="QSE108" s="9"/>
      <c r="QSF108" s="9"/>
      <c r="QSG108" s="9"/>
      <c r="QSH108" s="9"/>
      <c r="QSI108" s="9"/>
      <c r="QSJ108" s="9"/>
      <c r="QSK108" s="9"/>
      <c r="QSL108" s="9"/>
      <c r="QSM108" s="9"/>
      <c r="QSN108" s="9"/>
      <c r="QSO108" s="9"/>
      <c r="QSP108" s="9"/>
      <c r="QSQ108" s="9"/>
      <c r="QSR108" s="9"/>
      <c r="QSS108" s="9"/>
      <c r="QST108" s="9"/>
      <c r="QSU108" s="9"/>
      <c r="QSV108" s="9"/>
      <c r="QSW108" s="9"/>
      <c r="QSX108" s="9"/>
      <c r="QSY108" s="9"/>
      <c r="QSZ108" s="9"/>
      <c r="QTA108" s="9"/>
      <c r="QTB108" s="9"/>
      <c r="QTC108" s="9"/>
      <c r="QTD108" s="9"/>
      <c r="QTE108" s="9"/>
      <c r="QTF108" s="9"/>
      <c r="QTG108" s="9"/>
      <c r="QTH108" s="9"/>
      <c r="QTI108" s="9"/>
      <c r="QTJ108" s="9"/>
      <c r="QTK108" s="9"/>
      <c r="QTL108" s="9"/>
      <c r="QTM108" s="9"/>
      <c r="QTN108" s="9"/>
      <c r="QTO108" s="9"/>
      <c r="QTP108" s="9"/>
      <c r="QTQ108" s="9"/>
      <c r="QTR108" s="9"/>
      <c r="QTS108" s="9"/>
      <c r="QTT108" s="9"/>
      <c r="QTU108" s="9"/>
      <c r="QTV108" s="9"/>
      <c r="QTW108" s="9"/>
      <c r="QTX108" s="9"/>
      <c r="QTY108" s="9"/>
      <c r="QTZ108" s="9"/>
      <c r="QUA108" s="9"/>
      <c r="QUB108" s="9"/>
      <c r="QUC108" s="9"/>
      <c r="QUD108" s="9"/>
      <c r="QUE108" s="9"/>
      <c r="QUF108" s="9"/>
      <c r="QUG108" s="9"/>
      <c r="QUH108" s="9"/>
      <c r="QUI108" s="9"/>
      <c r="QUJ108" s="9"/>
      <c r="QUK108" s="9"/>
      <c r="QUL108" s="9"/>
      <c r="QUM108" s="9"/>
      <c r="QUN108" s="9"/>
      <c r="QUO108" s="9"/>
      <c r="QUP108" s="9"/>
      <c r="QUQ108" s="9"/>
      <c r="QUR108" s="9"/>
      <c r="QUS108" s="9"/>
      <c r="QUT108" s="9"/>
      <c r="QUU108" s="9"/>
      <c r="QUV108" s="9"/>
      <c r="QUW108" s="9"/>
      <c r="QUX108" s="9"/>
      <c r="QUY108" s="9"/>
      <c r="QUZ108" s="9"/>
      <c r="QVA108" s="9"/>
      <c r="QVB108" s="9"/>
      <c r="QVC108" s="9"/>
      <c r="QVD108" s="9"/>
      <c r="QVE108" s="9"/>
      <c r="QVF108" s="9"/>
      <c r="QVG108" s="9"/>
      <c r="QVH108" s="9"/>
      <c r="QVI108" s="9"/>
      <c r="QVJ108" s="9"/>
      <c r="QVK108" s="9"/>
      <c r="QVL108" s="9"/>
      <c r="QVM108" s="9"/>
      <c r="QVN108" s="9"/>
      <c r="QVO108" s="9"/>
      <c r="QVP108" s="9"/>
      <c r="QVQ108" s="9"/>
      <c r="QVR108" s="9"/>
      <c r="QVS108" s="9"/>
      <c r="QVT108" s="9"/>
      <c r="QVU108" s="9"/>
      <c r="QVV108" s="9"/>
      <c r="QVW108" s="9"/>
      <c r="QVX108" s="9"/>
      <c r="QVY108" s="9"/>
      <c r="QVZ108" s="9"/>
      <c r="QWA108" s="9"/>
      <c r="QWB108" s="9"/>
      <c r="QWC108" s="9"/>
      <c r="QWD108" s="9"/>
      <c r="QWE108" s="9"/>
      <c r="QWF108" s="9"/>
      <c r="QWG108" s="9"/>
      <c r="QWH108" s="9"/>
      <c r="QWI108" s="9"/>
      <c r="QWJ108" s="9"/>
      <c r="QWK108" s="9"/>
      <c r="QWL108" s="9"/>
      <c r="QWM108" s="9"/>
      <c r="QWN108" s="9"/>
      <c r="QWO108" s="9"/>
      <c r="QWP108" s="9"/>
      <c r="QWQ108" s="9"/>
      <c r="QWR108" s="9"/>
      <c r="QWS108" s="9"/>
      <c r="QWT108" s="9"/>
      <c r="QWU108" s="9"/>
      <c r="QWV108" s="9"/>
      <c r="QWW108" s="9"/>
      <c r="QWX108" s="9"/>
      <c r="QWY108" s="9"/>
      <c r="QWZ108" s="9"/>
      <c r="QXA108" s="9"/>
      <c r="QXB108" s="9"/>
      <c r="QXC108" s="9"/>
      <c r="QXD108" s="9"/>
      <c r="QXE108" s="9"/>
      <c r="QXF108" s="9"/>
      <c r="QXG108" s="9"/>
      <c r="QXH108" s="9"/>
      <c r="QXI108" s="9"/>
      <c r="QXJ108" s="9"/>
      <c r="QXK108" s="9"/>
      <c r="QXL108" s="9"/>
      <c r="QXM108" s="9"/>
      <c r="QXN108" s="9"/>
      <c r="QXO108" s="9"/>
      <c r="QXP108" s="9"/>
      <c r="QXQ108" s="9"/>
      <c r="QXR108" s="9"/>
      <c r="QXS108" s="9"/>
      <c r="QXT108" s="9"/>
      <c r="QXU108" s="9"/>
      <c r="QXV108" s="9"/>
      <c r="QXW108" s="9"/>
      <c r="QXX108" s="9"/>
      <c r="QXY108" s="9"/>
      <c r="QXZ108" s="9"/>
      <c r="QYA108" s="9"/>
      <c r="QYB108" s="9"/>
      <c r="QYC108" s="9"/>
      <c r="QYD108" s="9"/>
      <c r="QYE108" s="9"/>
      <c r="QYF108" s="9"/>
      <c r="QYG108" s="9"/>
      <c r="QYH108" s="9"/>
      <c r="QYI108" s="9"/>
      <c r="QYJ108" s="9"/>
      <c r="QYK108" s="9"/>
      <c r="QYL108" s="9"/>
      <c r="QYM108" s="9"/>
      <c r="QYN108" s="9"/>
      <c r="QYO108" s="9"/>
      <c r="QYP108" s="9"/>
      <c r="QYQ108" s="9"/>
      <c r="QYR108" s="9"/>
      <c r="QYS108" s="9"/>
      <c r="QYT108" s="9"/>
      <c r="QYU108" s="9"/>
      <c r="QYV108" s="9"/>
      <c r="QYW108" s="9"/>
      <c r="QYX108" s="9"/>
      <c r="QYY108" s="9"/>
      <c r="QYZ108" s="9"/>
      <c r="QZA108" s="9"/>
      <c r="QZB108" s="9"/>
      <c r="QZC108" s="9"/>
      <c r="QZD108" s="9"/>
      <c r="QZE108" s="9"/>
      <c r="QZF108" s="9"/>
      <c r="QZG108" s="9"/>
      <c r="QZH108" s="9"/>
      <c r="QZI108" s="9"/>
      <c r="QZJ108" s="9"/>
      <c r="QZK108" s="9"/>
      <c r="QZL108" s="9"/>
      <c r="QZM108" s="9"/>
      <c r="QZN108" s="9"/>
      <c r="QZO108" s="9"/>
      <c r="QZP108" s="9"/>
      <c r="QZQ108" s="9"/>
      <c r="QZR108" s="9"/>
      <c r="QZS108" s="9"/>
      <c r="QZT108" s="9"/>
      <c r="QZU108" s="9"/>
      <c r="QZV108" s="9"/>
      <c r="QZW108" s="9"/>
      <c r="QZX108" s="9"/>
      <c r="QZY108" s="9"/>
      <c r="QZZ108" s="9"/>
      <c r="RAA108" s="9"/>
      <c r="RAB108" s="9"/>
      <c r="RAC108" s="9"/>
      <c r="RAD108" s="9"/>
      <c r="RAE108" s="9"/>
      <c r="RAF108" s="9"/>
      <c r="RAG108" s="9"/>
      <c r="RAH108" s="9"/>
      <c r="RAI108" s="9"/>
      <c r="RAJ108" s="9"/>
      <c r="RAK108" s="9"/>
      <c r="RAL108" s="9"/>
      <c r="RAM108" s="9"/>
      <c r="RAN108" s="9"/>
      <c r="RAO108" s="9"/>
      <c r="RAP108" s="9"/>
      <c r="RAQ108" s="9"/>
      <c r="RAR108" s="9"/>
      <c r="RAS108" s="9"/>
      <c r="RAT108" s="9"/>
      <c r="RAU108" s="9"/>
      <c r="RAV108" s="9"/>
      <c r="RAW108" s="9"/>
      <c r="RAX108" s="9"/>
      <c r="RAY108" s="9"/>
      <c r="RAZ108" s="9"/>
      <c r="RBA108" s="9"/>
      <c r="RBB108" s="9"/>
      <c r="RBC108" s="9"/>
      <c r="RBD108" s="9"/>
      <c r="RBE108" s="9"/>
      <c r="RBF108" s="9"/>
      <c r="RBG108" s="9"/>
      <c r="RBH108" s="9"/>
      <c r="RBI108" s="9"/>
      <c r="RBJ108" s="9"/>
      <c r="RBK108" s="9"/>
      <c r="RBL108" s="9"/>
      <c r="RBM108" s="9"/>
      <c r="RBN108" s="9"/>
      <c r="RBO108" s="9"/>
      <c r="RBP108" s="9"/>
      <c r="RBQ108" s="9"/>
      <c r="RBR108" s="9"/>
      <c r="RBS108" s="9"/>
      <c r="RBT108" s="9"/>
      <c r="RBU108" s="9"/>
      <c r="RBV108" s="9"/>
      <c r="RBW108" s="9"/>
      <c r="RBX108" s="9"/>
      <c r="RBY108" s="9"/>
      <c r="RBZ108" s="9"/>
      <c r="RCA108" s="9"/>
      <c r="RCB108" s="9"/>
      <c r="RCC108" s="9"/>
      <c r="RCD108" s="9"/>
      <c r="RCE108" s="9"/>
      <c r="RCF108" s="9"/>
      <c r="RCG108" s="9"/>
      <c r="RCH108" s="9"/>
      <c r="RCI108" s="9"/>
      <c r="RCJ108" s="9"/>
      <c r="RCK108" s="9"/>
      <c r="RCL108" s="9"/>
      <c r="RCM108" s="9"/>
      <c r="RCN108" s="9"/>
      <c r="RCO108" s="9"/>
      <c r="RCP108" s="9"/>
      <c r="RCQ108" s="9"/>
      <c r="RCR108" s="9"/>
      <c r="RCS108" s="9"/>
      <c r="RCT108" s="9"/>
      <c r="RCU108" s="9"/>
      <c r="RCV108" s="9"/>
      <c r="RCW108" s="9"/>
      <c r="RCX108" s="9"/>
      <c r="RCY108" s="9"/>
      <c r="RCZ108" s="9"/>
      <c r="RDA108" s="9"/>
      <c r="RDB108" s="9"/>
      <c r="RDC108" s="9"/>
      <c r="RDD108" s="9"/>
      <c r="RDE108" s="9"/>
      <c r="RDF108" s="9"/>
      <c r="RDG108" s="9"/>
      <c r="RDH108" s="9"/>
      <c r="RDI108" s="9"/>
      <c r="RDJ108" s="9"/>
      <c r="RDK108" s="9"/>
      <c r="RDL108" s="9"/>
      <c r="RDM108" s="9"/>
      <c r="RDN108" s="9"/>
      <c r="RDO108" s="9"/>
      <c r="RDP108" s="9"/>
      <c r="RDQ108" s="9"/>
      <c r="RDR108" s="9"/>
      <c r="RDS108" s="9"/>
      <c r="RDT108" s="9"/>
      <c r="RDU108" s="9"/>
      <c r="RDV108" s="9"/>
      <c r="RDW108" s="9"/>
      <c r="RDX108" s="9"/>
      <c r="RDY108" s="9"/>
      <c r="RDZ108" s="9"/>
      <c r="REA108" s="9"/>
      <c r="REB108" s="9"/>
      <c r="REC108" s="9"/>
      <c r="RED108" s="9"/>
      <c r="REE108" s="9"/>
      <c r="REF108" s="9"/>
      <c r="REG108" s="9"/>
      <c r="REH108" s="9"/>
      <c r="REI108" s="9"/>
      <c r="REJ108" s="9"/>
      <c r="REK108" s="9"/>
      <c r="REL108" s="9"/>
      <c r="REM108" s="9"/>
      <c r="REN108" s="9"/>
      <c r="REO108" s="9"/>
      <c r="REP108" s="9"/>
      <c r="REQ108" s="9"/>
      <c r="RER108" s="9"/>
      <c r="RES108" s="9"/>
      <c r="RET108" s="9"/>
      <c r="REU108" s="9"/>
      <c r="REV108" s="9"/>
      <c r="REW108" s="9"/>
      <c r="REX108" s="9"/>
      <c r="REY108" s="9"/>
      <c r="REZ108" s="9"/>
      <c r="RFA108" s="9"/>
      <c r="RFB108" s="9"/>
      <c r="RFC108" s="9"/>
      <c r="RFD108" s="9"/>
      <c r="RFE108" s="9"/>
      <c r="RFF108" s="9"/>
      <c r="RFG108" s="9"/>
      <c r="RFH108" s="9"/>
      <c r="RFI108" s="9"/>
      <c r="RFJ108" s="9"/>
      <c r="RFK108" s="9"/>
      <c r="RFL108" s="9"/>
      <c r="RFM108" s="9"/>
      <c r="RFN108" s="9"/>
      <c r="RFO108" s="9"/>
      <c r="RFP108" s="9"/>
      <c r="RFQ108" s="9"/>
      <c r="RFR108" s="9"/>
      <c r="RFS108" s="9"/>
      <c r="RFT108" s="9"/>
      <c r="RFU108" s="9"/>
      <c r="RFV108" s="9"/>
      <c r="RFW108" s="9"/>
      <c r="RFX108" s="9"/>
      <c r="RFY108" s="9"/>
      <c r="RFZ108" s="9"/>
      <c r="RGA108" s="9"/>
      <c r="RGB108" s="9"/>
      <c r="RGC108" s="9"/>
      <c r="RGD108" s="9"/>
      <c r="RGE108" s="9"/>
      <c r="RGF108" s="9"/>
      <c r="RGG108" s="9"/>
      <c r="RGH108" s="9"/>
      <c r="RGI108" s="9"/>
      <c r="RGJ108" s="9"/>
      <c r="RGK108" s="9"/>
      <c r="RGL108" s="9"/>
      <c r="RGM108" s="9"/>
      <c r="RGN108" s="9"/>
      <c r="RGO108" s="9"/>
      <c r="RGP108" s="9"/>
      <c r="RGQ108" s="9"/>
      <c r="RGR108" s="9"/>
      <c r="RGS108" s="9"/>
      <c r="RGT108" s="9"/>
      <c r="RGU108" s="9"/>
      <c r="RGV108" s="9"/>
      <c r="RGW108" s="9"/>
      <c r="RGX108" s="9"/>
      <c r="RGY108" s="9"/>
      <c r="RGZ108" s="9"/>
      <c r="RHA108" s="9"/>
      <c r="RHB108" s="9"/>
      <c r="RHC108" s="9"/>
      <c r="RHD108" s="9"/>
      <c r="RHE108" s="9"/>
      <c r="RHF108" s="9"/>
      <c r="RHG108" s="9"/>
      <c r="RHH108" s="9"/>
      <c r="RHI108" s="9"/>
      <c r="RHJ108" s="9"/>
      <c r="RHK108" s="9"/>
      <c r="RHL108" s="9"/>
      <c r="RHM108" s="9"/>
      <c r="RHN108" s="9"/>
      <c r="RHO108" s="9"/>
      <c r="RHP108" s="9"/>
      <c r="RHQ108" s="9"/>
      <c r="RHR108" s="9"/>
      <c r="RHS108" s="9"/>
      <c r="RHT108" s="9"/>
      <c r="RHU108" s="9"/>
      <c r="RHV108" s="9"/>
      <c r="RHW108" s="9"/>
      <c r="RHX108" s="9"/>
      <c r="RHY108" s="9"/>
      <c r="RHZ108" s="9"/>
      <c r="RIA108" s="9"/>
      <c r="RIB108" s="9"/>
      <c r="RIC108" s="9"/>
      <c r="RID108" s="9"/>
      <c r="RIE108" s="9"/>
      <c r="RIF108" s="9"/>
      <c r="RIG108" s="9"/>
      <c r="RIH108" s="9"/>
      <c r="RII108" s="9"/>
      <c r="RIJ108" s="9"/>
      <c r="RIK108" s="9"/>
      <c r="RIL108" s="9"/>
      <c r="RIM108" s="9"/>
      <c r="RIN108" s="9"/>
      <c r="RIO108" s="9"/>
      <c r="RIP108" s="9"/>
      <c r="RIQ108" s="9"/>
      <c r="RIR108" s="9"/>
      <c r="RIS108" s="9"/>
      <c r="RIT108" s="9"/>
      <c r="RIU108" s="9"/>
      <c r="RIV108" s="9"/>
      <c r="RIW108" s="9"/>
      <c r="RIX108" s="9"/>
      <c r="RIY108" s="9"/>
      <c r="RIZ108" s="9"/>
      <c r="RJA108" s="9"/>
      <c r="RJB108" s="9"/>
      <c r="RJC108" s="9"/>
      <c r="RJD108" s="9"/>
      <c r="RJE108" s="9"/>
      <c r="RJF108" s="9"/>
      <c r="RJG108" s="9"/>
      <c r="RJH108" s="9"/>
      <c r="RJI108" s="9"/>
      <c r="RJJ108" s="9"/>
      <c r="RJK108" s="9"/>
      <c r="RJL108" s="9"/>
      <c r="RJM108" s="9"/>
      <c r="RJN108" s="9"/>
      <c r="RJO108" s="9"/>
      <c r="RJP108" s="9"/>
      <c r="RJQ108" s="9"/>
      <c r="RJR108" s="9"/>
      <c r="RJS108" s="9"/>
      <c r="RJT108" s="9"/>
      <c r="RJU108" s="9"/>
      <c r="RJV108" s="9"/>
      <c r="RJW108" s="9"/>
      <c r="RJX108" s="9"/>
      <c r="RJY108" s="9"/>
      <c r="RJZ108" s="9"/>
      <c r="RKA108" s="9"/>
      <c r="RKB108" s="9"/>
      <c r="RKC108" s="9"/>
      <c r="RKD108" s="9"/>
      <c r="RKE108" s="9"/>
      <c r="RKF108" s="9"/>
      <c r="RKG108" s="9"/>
      <c r="RKH108" s="9"/>
      <c r="RKI108" s="9"/>
      <c r="RKJ108" s="9"/>
      <c r="RKK108" s="9"/>
      <c r="RKL108" s="9"/>
      <c r="RKM108" s="9"/>
      <c r="RKN108" s="9"/>
      <c r="RKO108" s="9"/>
      <c r="RKP108" s="9"/>
      <c r="RKQ108" s="9"/>
      <c r="RKR108" s="9"/>
      <c r="RKS108" s="9"/>
      <c r="RKT108" s="9"/>
      <c r="RKU108" s="9"/>
      <c r="RKV108" s="9"/>
      <c r="RKW108" s="9"/>
      <c r="RKX108" s="9"/>
      <c r="RKY108" s="9"/>
      <c r="RKZ108" s="9"/>
      <c r="RLA108" s="9"/>
      <c r="RLB108" s="9"/>
      <c r="RLC108" s="9"/>
      <c r="RLD108" s="9"/>
      <c r="RLE108" s="9"/>
      <c r="RLF108" s="9"/>
      <c r="RLG108" s="9"/>
      <c r="RLH108" s="9"/>
      <c r="RLI108" s="9"/>
      <c r="RLJ108" s="9"/>
      <c r="RLK108" s="9"/>
      <c r="RLL108" s="9"/>
      <c r="RLM108" s="9"/>
      <c r="RLN108" s="9"/>
      <c r="RLO108" s="9"/>
      <c r="RLP108" s="9"/>
      <c r="RLQ108" s="9"/>
      <c r="RLR108" s="9"/>
      <c r="RLS108" s="9"/>
      <c r="RLT108" s="9"/>
      <c r="RLU108" s="9"/>
      <c r="RLV108" s="9"/>
      <c r="RLW108" s="9"/>
      <c r="RLX108" s="9"/>
      <c r="RLY108" s="9"/>
      <c r="RLZ108" s="9"/>
      <c r="RMA108" s="9"/>
      <c r="RMB108" s="9"/>
      <c r="RMC108" s="9"/>
      <c r="RMD108" s="9"/>
      <c r="RME108" s="9"/>
      <c r="RMF108" s="9"/>
      <c r="RMG108" s="9"/>
      <c r="RMH108" s="9"/>
      <c r="RMI108" s="9"/>
      <c r="RMJ108" s="9"/>
      <c r="RMK108" s="9"/>
      <c r="RML108" s="9"/>
      <c r="RMM108" s="9"/>
      <c r="RMN108" s="9"/>
      <c r="RMO108" s="9"/>
      <c r="RMP108" s="9"/>
      <c r="RMQ108" s="9"/>
      <c r="RMR108" s="9"/>
      <c r="RMS108" s="9"/>
      <c r="RMT108" s="9"/>
      <c r="RMU108" s="9"/>
      <c r="RMV108" s="9"/>
      <c r="RMW108" s="9"/>
      <c r="RMX108" s="9"/>
      <c r="RMY108" s="9"/>
      <c r="RMZ108" s="9"/>
      <c r="RNA108" s="9"/>
      <c r="RNB108" s="9"/>
      <c r="RNC108" s="9"/>
      <c r="RND108" s="9"/>
      <c r="RNE108" s="9"/>
      <c r="RNF108" s="9"/>
      <c r="RNG108" s="9"/>
      <c r="RNH108" s="9"/>
      <c r="RNI108" s="9"/>
      <c r="RNJ108" s="9"/>
      <c r="RNK108" s="9"/>
      <c r="RNL108" s="9"/>
      <c r="RNM108" s="9"/>
      <c r="RNN108" s="9"/>
      <c r="RNO108" s="9"/>
      <c r="RNP108" s="9"/>
      <c r="RNQ108" s="9"/>
      <c r="RNR108" s="9"/>
      <c r="RNS108" s="9"/>
      <c r="RNT108" s="9"/>
      <c r="RNU108" s="9"/>
      <c r="RNV108" s="9"/>
      <c r="RNW108" s="9"/>
      <c r="RNX108" s="9"/>
      <c r="RNY108" s="9"/>
      <c r="RNZ108" s="9"/>
      <c r="ROA108" s="9"/>
      <c r="ROB108" s="9"/>
      <c r="ROC108" s="9"/>
      <c r="ROD108" s="9"/>
      <c r="ROE108" s="9"/>
      <c r="ROF108" s="9"/>
      <c r="ROG108" s="9"/>
      <c r="ROH108" s="9"/>
      <c r="ROI108" s="9"/>
      <c r="ROJ108" s="9"/>
      <c r="ROK108" s="9"/>
      <c r="ROL108" s="9"/>
      <c r="ROM108" s="9"/>
      <c r="RON108" s="9"/>
      <c r="ROO108" s="9"/>
      <c r="ROP108" s="9"/>
      <c r="ROQ108" s="9"/>
      <c r="ROR108" s="9"/>
      <c r="ROS108" s="9"/>
      <c r="ROT108" s="9"/>
      <c r="ROU108" s="9"/>
      <c r="ROV108" s="9"/>
      <c r="ROW108" s="9"/>
      <c r="ROX108" s="9"/>
      <c r="ROY108" s="9"/>
      <c r="ROZ108" s="9"/>
      <c r="RPA108" s="9"/>
      <c r="RPB108" s="9"/>
      <c r="RPC108" s="9"/>
      <c r="RPD108" s="9"/>
      <c r="RPE108" s="9"/>
      <c r="RPF108" s="9"/>
      <c r="RPG108" s="9"/>
      <c r="RPH108" s="9"/>
      <c r="RPI108" s="9"/>
      <c r="RPJ108" s="9"/>
      <c r="RPK108" s="9"/>
      <c r="RPL108" s="9"/>
      <c r="RPM108" s="9"/>
      <c r="RPN108" s="9"/>
      <c r="RPO108" s="9"/>
      <c r="RPP108" s="9"/>
      <c r="RPQ108" s="9"/>
      <c r="RPR108" s="9"/>
      <c r="RPS108" s="9"/>
      <c r="RPT108" s="9"/>
      <c r="RPU108" s="9"/>
      <c r="RPV108" s="9"/>
      <c r="RPW108" s="9"/>
      <c r="RPX108" s="9"/>
      <c r="RPY108" s="9"/>
      <c r="RPZ108" s="9"/>
      <c r="RQA108" s="9"/>
      <c r="RQB108" s="9"/>
      <c r="RQC108" s="9"/>
      <c r="RQD108" s="9"/>
      <c r="RQE108" s="9"/>
      <c r="RQF108" s="9"/>
      <c r="RQG108" s="9"/>
      <c r="RQH108" s="9"/>
      <c r="RQI108" s="9"/>
      <c r="RQJ108" s="9"/>
      <c r="RQK108" s="9"/>
      <c r="RQL108" s="9"/>
      <c r="RQM108" s="9"/>
      <c r="RQN108" s="9"/>
      <c r="RQO108" s="9"/>
      <c r="RQP108" s="9"/>
      <c r="RQQ108" s="9"/>
      <c r="RQR108" s="9"/>
      <c r="RQS108" s="9"/>
      <c r="RQT108" s="9"/>
      <c r="RQU108" s="9"/>
      <c r="RQV108" s="9"/>
      <c r="RQW108" s="9"/>
      <c r="RQX108" s="9"/>
      <c r="RQY108" s="9"/>
      <c r="RQZ108" s="9"/>
      <c r="RRA108" s="9"/>
      <c r="RRB108" s="9"/>
      <c r="RRC108" s="9"/>
      <c r="RRD108" s="9"/>
      <c r="RRE108" s="9"/>
      <c r="RRF108" s="9"/>
      <c r="RRG108" s="9"/>
      <c r="RRH108" s="9"/>
      <c r="RRI108" s="9"/>
      <c r="RRJ108" s="9"/>
      <c r="RRK108" s="9"/>
      <c r="RRL108" s="9"/>
      <c r="RRM108" s="9"/>
      <c r="RRN108" s="9"/>
      <c r="RRO108" s="9"/>
      <c r="RRP108" s="9"/>
      <c r="RRQ108" s="9"/>
      <c r="RRR108" s="9"/>
      <c r="RRS108" s="9"/>
      <c r="RRT108" s="9"/>
      <c r="RRU108" s="9"/>
      <c r="RRV108" s="9"/>
      <c r="RRW108" s="9"/>
      <c r="RRX108" s="9"/>
      <c r="RRY108" s="9"/>
      <c r="RRZ108" s="9"/>
      <c r="RSA108" s="9"/>
      <c r="RSB108" s="9"/>
      <c r="RSC108" s="9"/>
      <c r="RSD108" s="9"/>
      <c r="RSE108" s="9"/>
      <c r="RSF108" s="9"/>
      <c r="RSG108" s="9"/>
      <c r="RSH108" s="9"/>
      <c r="RSI108" s="9"/>
      <c r="RSJ108" s="9"/>
      <c r="RSK108" s="9"/>
      <c r="RSL108" s="9"/>
      <c r="RSM108" s="9"/>
      <c r="RSN108" s="9"/>
      <c r="RSO108" s="9"/>
      <c r="RSP108" s="9"/>
      <c r="RSQ108" s="9"/>
      <c r="RSR108" s="9"/>
      <c r="RSS108" s="9"/>
      <c r="RST108" s="9"/>
      <c r="RSU108" s="9"/>
      <c r="RSV108" s="9"/>
      <c r="RSW108" s="9"/>
      <c r="RSX108" s="9"/>
      <c r="RSY108" s="9"/>
      <c r="RSZ108" s="9"/>
      <c r="RTA108" s="9"/>
      <c r="RTB108" s="9"/>
      <c r="RTC108" s="9"/>
      <c r="RTD108" s="9"/>
      <c r="RTE108" s="9"/>
      <c r="RTF108" s="9"/>
      <c r="RTG108" s="9"/>
      <c r="RTH108" s="9"/>
      <c r="RTI108" s="9"/>
      <c r="RTJ108" s="9"/>
      <c r="RTK108" s="9"/>
      <c r="RTL108" s="9"/>
      <c r="RTM108" s="9"/>
      <c r="RTN108" s="9"/>
      <c r="RTO108" s="9"/>
      <c r="RTP108" s="9"/>
      <c r="RTQ108" s="9"/>
      <c r="RTR108" s="9"/>
      <c r="RTS108" s="9"/>
      <c r="RTT108" s="9"/>
      <c r="RTU108" s="9"/>
      <c r="RTV108" s="9"/>
      <c r="RTW108" s="9"/>
      <c r="RTX108" s="9"/>
      <c r="RTY108" s="9"/>
      <c r="RTZ108" s="9"/>
      <c r="RUA108" s="9"/>
      <c r="RUB108" s="9"/>
      <c r="RUC108" s="9"/>
      <c r="RUD108" s="9"/>
      <c r="RUE108" s="9"/>
      <c r="RUF108" s="9"/>
      <c r="RUG108" s="9"/>
      <c r="RUH108" s="9"/>
      <c r="RUI108" s="9"/>
      <c r="RUJ108" s="9"/>
      <c r="RUK108" s="9"/>
      <c r="RUL108" s="9"/>
      <c r="RUM108" s="9"/>
      <c r="RUN108" s="9"/>
      <c r="RUO108" s="9"/>
      <c r="RUP108" s="9"/>
      <c r="RUQ108" s="9"/>
      <c r="RUR108" s="9"/>
      <c r="RUS108" s="9"/>
      <c r="RUT108" s="9"/>
      <c r="RUU108" s="9"/>
      <c r="RUV108" s="9"/>
      <c r="RUW108" s="9"/>
      <c r="RUX108" s="9"/>
      <c r="RUY108" s="9"/>
      <c r="RUZ108" s="9"/>
      <c r="RVA108" s="9"/>
      <c r="RVB108" s="9"/>
      <c r="RVC108" s="9"/>
      <c r="RVD108" s="9"/>
      <c r="RVE108" s="9"/>
      <c r="RVF108" s="9"/>
      <c r="RVG108" s="9"/>
      <c r="RVH108" s="9"/>
      <c r="RVI108" s="9"/>
      <c r="RVJ108" s="9"/>
      <c r="RVK108" s="9"/>
      <c r="RVL108" s="9"/>
      <c r="RVM108" s="9"/>
      <c r="RVN108" s="9"/>
      <c r="RVO108" s="9"/>
      <c r="RVP108" s="9"/>
      <c r="RVQ108" s="9"/>
      <c r="RVR108" s="9"/>
      <c r="RVS108" s="9"/>
      <c r="RVT108" s="9"/>
      <c r="RVU108" s="9"/>
      <c r="RVV108" s="9"/>
      <c r="RVW108" s="9"/>
      <c r="RVX108" s="9"/>
      <c r="RVY108" s="9"/>
      <c r="RVZ108" s="9"/>
      <c r="RWA108" s="9"/>
      <c r="RWB108" s="9"/>
      <c r="RWC108" s="9"/>
      <c r="RWD108" s="9"/>
      <c r="RWE108" s="9"/>
      <c r="RWF108" s="9"/>
      <c r="RWG108" s="9"/>
      <c r="RWH108" s="9"/>
      <c r="RWI108" s="9"/>
      <c r="RWJ108" s="9"/>
      <c r="RWK108" s="9"/>
      <c r="RWL108" s="9"/>
      <c r="RWM108" s="9"/>
      <c r="RWN108" s="9"/>
      <c r="RWO108" s="9"/>
      <c r="RWP108" s="9"/>
      <c r="RWQ108" s="9"/>
      <c r="RWR108" s="9"/>
      <c r="RWS108" s="9"/>
      <c r="RWT108" s="9"/>
      <c r="RWU108" s="9"/>
      <c r="RWV108" s="9"/>
      <c r="RWW108" s="9"/>
      <c r="RWX108" s="9"/>
      <c r="RWY108" s="9"/>
      <c r="RWZ108" s="9"/>
      <c r="RXA108" s="9"/>
      <c r="RXB108" s="9"/>
      <c r="RXC108" s="9"/>
      <c r="RXD108" s="9"/>
      <c r="RXE108" s="9"/>
      <c r="RXF108" s="9"/>
      <c r="RXG108" s="9"/>
      <c r="RXH108" s="9"/>
      <c r="RXI108" s="9"/>
      <c r="RXJ108" s="9"/>
      <c r="RXK108" s="9"/>
      <c r="RXL108" s="9"/>
      <c r="RXM108" s="9"/>
      <c r="RXN108" s="9"/>
      <c r="RXO108" s="9"/>
      <c r="RXP108" s="9"/>
      <c r="RXQ108" s="9"/>
      <c r="RXR108" s="9"/>
      <c r="RXS108" s="9"/>
      <c r="RXT108" s="9"/>
      <c r="RXU108" s="9"/>
      <c r="RXV108" s="9"/>
      <c r="RXW108" s="9"/>
      <c r="RXX108" s="9"/>
      <c r="RXY108" s="9"/>
      <c r="RXZ108" s="9"/>
      <c r="RYA108" s="9"/>
      <c r="RYB108" s="9"/>
      <c r="RYC108" s="9"/>
      <c r="RYD108" s="9"/>
      <c r="RYE108" s="9"/>
      <c r="RYF108" s="9"/>
      <c r="RYG108" s="9"/>
      <c r="RYH108" s="9"/>
      <c r="RYI108" s="9"/>
      <c r="RYJ108" s="9"/>
      <c r="RYK108" s="9"/>
      <c r="RYL108" s="9"/>
      <c r="RYM108" s="9"/>
      <c r="RYN108" s="9"/>
      <c r="RYO108" s="9"/>
      <c r="RYP108" s="9"/>
      <c r="RYQ108" s="9"/>
      <c r="RYR108" s="9"/>
      <c r="RYS108" s="9"/>
      <c r="RYT108" s="9"/>
      <c r="RYU108" s="9"/>
      <c r="RYV108" s="9"/>
      <c r="RYW108" s="9"/>
      <c r="RYX108" s="9"/>
      <c r="RYY108" s="9"/>
      <c r="RYZ108" s="9"/>
      <c r="RZA108" s="9"/>
      <c r="RZB108" s="9"/>
      <c r="RZC108" s="9"/>
      <c r="RZD108" s="9"/>
      <c r="RZE108" s="9"/>
      <c r="RZF108" s="9"/>
      <c r="RZG108" s="9"/>
      <c r="RZH108" s="9"/>
      <c r="RZI108" s="9"/>
      <c r="RZJ108" s="9"/>
      <c r="RZK108" s="9"/>
      <c r="RZL108" s="9"/>
      <c r="RZM108" s="9"/>
      <c r="RZN108" s="9"/>
      <c r="RZO108" s="9"/>
      <c r="RZP108" s="9"/>
      <c r="RZQ108" s="9"/>
      <c r="RZR108" s="9"/>
      <c r="RZS108" s="9"/>
      <c r="RZT108" s="9"/>
      <c r="RZU108" s="9"/>
      <c r="RZV108" s="9"/>
      <c r="RZW108" s="9"/>
      <c r="RZX108" s="9"/>
      <c r="RZY108" s="9"/>
      <c r="RZZ108" s="9"/>
      <c r="SAA108" s="9"/>
      <c r="SAB108" s="9"/>
      <c r="SAC108" s="9"/>
      <c r="SAD108" s="9"/>
      <c r="SAE108" s="9"/>
      <c r="SAF108" s="9"/>
      <c r="SAG108" s="9"/>
      <c r="SAH108" s="9"/>
      <c r="SAI108" s="9"/>
      <c r="SAJ108" s="9"/>
      <c r="SAK108" s="9"/>
      <c r="SAL108" s="9"/>
      <c r="SAM108" s="9"/>
      <c r="SAN108" s="9"/>
      <c r="SAO108" s="9"/>
      <c r="SAP108" s="9"/>
      <c r="SAQ108" s="9"/>
      <c r="SAR108" s="9"/>
      <c r="SAS108" s="9"/>
      <c r="SAT108" s="9"/>
      <c r="SAU108" s="9"/>
      <c r="SAV108" s="9"/>
      <c r="SAW108" s="9"/>
      <c r="SAX108" s="9"/>
      <c r="SAY108" s="9"/>
      <c r="SAZ108" s="9"/>
      <c r="SBA108" s="9"/>
      <c r="SBB108" s="9"/>
      <c r="SBC108" s="9"/>
      <c r="SBD108" s="9"/>
      <c r="SBE108" s="9"/>
      <c r="SBF108" s="9"/>
      <c r="SBG108" s="9"/>
      <c r="SBH108" s="9"/>
      <c r="SBI108" s="9"/>
      <c r="SBJ108" s="9"/>
      <c r="SBK108" s="9"/>
      <c r="SBL108" s="9"/>
      <c r="SBM108" s="9"/>
      <c r="SBN108" s="9"/>
      <c r="SBO108" s="9"/>
      <c r="SBP108" s="9"/>
      <c r="SBQ108" s="9"/>
      <c r="SBR108" s="9"/>
      <c r="SBS108" s="9"/>
      <c r="SBT108" s="9"/>
      <c r="SBU108" s="9"/>
      <c r="SBV108" s="9"/>
      <c r="SBW108" s="9"/>
      <c r="SBX108" s="9"/>
      <c r="SBY108" s="9"/>
      <c r="SBZ108" s="9"/>
      <c r="SCA108" s="9"/>
      <c r="SCB108" s="9"/>
      <c r="SCC108" s="9"/>
      <c r="SCD108" s="9"/>
      <c r="SCE108" s="9"/>
      <c r="SCF108" s="9"/>
      <c r="SCG108" s="9"/>
      <c r="SCH108" s="9"/>
      <c r="SCI108" s="9"/>
      <c r="SCJ108" s="9"/>
      <c r="SCK108" s="9"/>
      <c r="SCL108" s="9"/>
      <c r="SCM108" s="9"/>
      <c r="SCN108" s="9"/>
      <c r="SCO108" s="9"/>
      <c r="SCP108" s="9"/>
      <c r="SCQ108" s="9"/>
      <c r="SCR108" s="9"/>
      <c r="SCS108" s="9"/>
      <c r="SCT108" s="9"/>
      <c r="SCU108" s="9"/>
      <c r="SCV108" s="9"/>
      <c r="SCW108" s="9"/>
      <c r="SCX108" s="9"/>
      <c r="SCY108" s="9"/>
      <c r="SCZ108" s="9"/>
      <c r="SDA108" s="9"/>
      <c r="SDB108" s="9"/>
      <c r="SDC108" s="9"/>
      <c r="SDD108" s="9"/>
      <c r="SDE108" s="9"/>
      <c r="SDF108" s="9"/>
      <c r="SDG108" s="9"/>
      <c r="SDH108" s="9"/>
      <c r="SDI108" s="9"/>
      <c r="SDJ108" s="9"/>
      <c r="SDK108" s="9"/>
      <c r="SDL108" s="9"/>
      <c r="SDM108" s="9"/>
      <c r="SDN108" s="9"/>
      <c r="SDO108" s="9"/>
      <c r="SDP108" s="9"/>
      <c r="SDQ108" s="9"/>
      <c r="SDR108" s="9"/>
      <c r="SDS108" s="9"/>
      <c r="SDT108" s="9"/>
      <c r="SDU108" s="9"/>
      <c r="SDV108" s="9"/>
      <c r="SDW108" s="9"/>
      <c r="SDX108" s="9"/>
      <c r="SDY108" s="9"/>
      <c r="SDZ108" s="9"/>
      <c r="SEA108" s="9"/>
      <c r="SEB108" s="9"/>
      <c r="SEC108" s="9"/>
      <c r="SED108" s="9"/>
      <c r="SEE108" s="9"/>
      <c r="SEF108" s="9"/>
      <c r="SEG108" s="9"/>
      <c r="SEH108" s="9"/>
      <c r="SEI108" s="9"/>
      <c r="SEJ108" s="9"/>
      <c r="SEK108" s="9"/>
      <c r="SEL108" s="9"/>
      <c r="SEM108" s="9"/>
      <c r="SEN108" s="9"/>
      <c r="SEO108" s="9"/>
      <c r="SEP108" s="9"/>
      <c r="SEQ108" s="9"/>
      <c r="SER108" s="9"/>
      <c r="SES108" s="9"/>
      <c r="SET108" s="9"/>
      <c r="SEU108" s="9"/>
      <c r="SEV108" s="9"/>
      <c r="SEW108" s="9"/>
      <c r="SEX108" s="9"/>
      <c r="SEY108" s="9"/>
      <c r="SEZ108" s="9"/>
      <c r="SFA108" s="9"/>
      <c r="SFB108" s="9"/>
      <c r="SFC108" s="9"/>
      <c r="SFD108" s="9"/>
      <c r="SFE108" s="9"/>
      <c r="SFF108" s="9"/>
      <c r="SFG108" s="9"/>
      <c r="SFH108" s="9"/>
      <c r="SFI108" s="9"/>
      <c r="SFJ108" s="9"/>
      <c r="SFK108" s="9"/>
      <c r="SFL108" s="9"/>
      <c r="SFM108" s="9"/>
      <c r="SFN108" s="9"/>
      <c r="SFO108" s="9"/>
      <c r="SFP108" s="9"/>
      <c r="SFQ108" s="9"/>
      <c r="SFR108" s="9"/>
      <c r="SFS108" s="9"/>
      <c r="SFT108" s="9"/>
      <c r="SFU108" s="9"/>
      <c r="SFV108" s="9"/>
      <c r="SFW108" s="9"/>
      <c r="SFX108" s="9"/>
      <c r="SFY108" s="9"/>
      <c r="SFZ108" s="9"/>
      <c r="SGA108" s="9"/>
      <c r="SGB108" s="9"/>
      <c r="SGC108" s="9"/>
      <c r="SGD108" s="9"/>
      <c r="SGE108" s="9"/>
      <c r="SGF108" s="9"/>
      <c r="SGG108" s="9"/>
      <c r="SGH108" s="9"/>
      <c r="SGI108" s="9"/>
      <c r="SGJ108" s="9"/>
      <c r="SGK108" s="9"/>
      <c r="SGL108" s="9"/>
      <c r="SGM108" s="9"/>
      <c r="SGN108" s="9"/>
      <c r="SGO108" s="9"/>
      <c r="SGP108" s="9"/>
      <c r="SGQ108" s="9"/>
      <c r="SGR108" s="9"/>
      <c r="SGS108" s="9"/>
      <c r="SGT108" s="9"/>
      <c r="SGU108" s="9"/>
      <c r="SGV108" s="9"/>
      <c r="SGW108" s="9"/>
      <c r="SGX108" s="9"/>
      <c r="SGY108" s="9"/>
      <c r="SGZ108" s="9"/>
      <c r="SHA108" s="9"/>
      <c r="SHB108" s="9"/>
      <c r="SHC108" s="9"/>
      <c r="SHD108" s="9"/>
      <c r="SHE108" s="9"/>
      <c r="SHF108" s="9"/>
      <c r="SHG108" s="9"/>
      <c r="SHH108" s="9"/>
      <c r="SHI108" s="9"/>
      <c r="SHJ108" s="9"/>
      <c r="SHK108" s="9"/>
      <c r="SHL108" s="9"/>
      <c r="SHM108" s="9"/>
      <c r="SHN108" s="9"/>
      <c r="SHO108" s="9"/>
      <c r="SHP108" s="9"/>
      <c r="SHQ108" s="9"/>
      <c r="SHR108" s="9"/>
      <c r="SHS108" s="9"/>
      <c r="SHT108" s="9"/>
      <c r="SHU108" s="9"/>
      <c r="SHV108" s="9"/>
      <c r="SHW108" s="9"/>
      <c r="SHX108" s="9"/>
      <c r="SHY108" s="9"/>
      <c r="SHZ108" s="9"/>
      <c r="SIA108" s="9"/>
      <c r="SIB108" s="9"/>
      <c r="SIC108" s="9"/>
      <c r="SID108" s="9"/>
      <c r="SIE108" s="9"/>
      <c r="SIF108" s="9"/>
      <c r="SIG108" s="9"/>
      <c r="SIH108" s="9"/>
      <c r="SII108" s="9"/>
      <c r="SIJ108" s="9"/>
      <c r="SIK108" s="9"/>
      <c r="SIL108" s="9"/>
      <c r="SIM108" s="9"/>
      <c r="SIN108" s="9"/>
      <c r="SIO108" s="9"/>
      <c r="SIP108" s="9"/>
      <c r="SIQ108" s="9"/>
      <c r="SIR108" s="9"/>
      <c r="SIS108" s="9"/>
      <c r="SIT108" s="9"/>
      <c r="SIU108" s="9"/>
      <c r="SIV108" s="9"/>
      <c r="SIW108" s="9"/>
      <c r="SIX108" s="9"/>
      <c r="SIY108" s="9"/>
      <c r="SIZ108" s="9"/>
      <c r="SJA108" s="9"/>
      <c r="SJB108" s="9"/>
      <c r="SJC108" s="9"/>
      <c r="SJD108" s="9"/>
      <c r="SJE108" s="9"/>
      <c r="SJF108" s="9"/>
      <c r="SJG108" s="9"/>
      <c r="SJH108" s="9"/>
      <c r="SJI108" s="9"/>
      <c r="SJJ108" s="9"/>
      <c r="SJK108" s="9"/>
      <c r="SJL108" s="9"/>
      <c r="SJM108" s="9"/>
      <c r="SJN108" s="9"/>
      <c r="SJO108" s="9"/>
      <c r="SJP108" s="9"/>
      <c r="SJQ108" s="9"/>
      <c r="SJR108" s="9"/>
      <c r="SJS108" s="9"/>
      <c r="SJT108" s="9"/>
      <c r="SJU108" s="9"/>
      <c r="SJV108" s="9"/>
      <c r="SJW108" s="9"/>
      <c r="SJX108" s="9"/>
      <c r="SJY108" s="9"/>
      <c r="SJZ108" s="9"/>
      <c r="SKA108" s="9"/>
      <c r="SKB108" s="9"/>
      <c r="SKC108" s="9"/>
      <c r="SKD108" s="9"/>
      <c r="SKE108" s="9"/>
      <c r="SKF108" s="9"/>
      <c r="SKG108" s="9"/>
      <c r="SKH108" s="9"/>
      <c r="SKI108" s="9"/>
      <c r="SKJ108" s="9"/>
      <c r="SKK108" s="9"/>
      <c r="SKL108" s="9"/>
      <c r="SKM108" s="9"/>
      <c r="SKN108" s="9"/>
      <c r="SKO108" s="9"/>
      <c r="SKP108" s="9"/>
      <c r="SKQ108" s="9"/>
      <c r="SKR108" s="9"/>
      <c r="SKS108" s="9"/>
      <c r="SKT108" s="9"/>
      <c r="SKU108" s="9"/>
      <c r="SKV108" s="9"/>
      <c r="SKW108" s="9"/>
      <c r="SKX108" s="9"/>
      <c r="SKY108" s="9"/>
      <c r="SKZ108" s="9"/>
      <c r="SLA108" s="9"/>
      <c r="SLB108" s="9"/>
      <c r="SLC108" s="9"/>
      <c r="SLD108" s="9"/>
      <c r="SLE108" s="9"/>
      <c r="SLF108" s="9"/>
      <c r="SLG108" s="9"/>
      <c r="SLH108" s="9"/>
      <c r="SLI108" s="9"/>
      <c r="SLJ108" s="9"/>
      <c r="SLK108" s="9"/>
      <c r="SLL108" s="9"/>
      <c r="SLM108" s="9"/>
      <c r="SLN108" s="9"/>
      <c r="SLO108" s="9"/>
      <c r="SLP108" s="9"/>
      <c r="SLQ108" s="9"/>
      <c r="SLR108" s="9"/>
      <c r="SLS108" s="9"/>
      <c r="SLT108" s="9"/>
      <c r="SLU108" s="9"/>
      <c r="SLV108" s="9"/>
      <c r="SLW108" s="9"/>
      <c r="SLX108" s="9"/>
      <c r="SLY108" s="9"/>
      <c r="SLZ108" s="9"/>
      <c r="SMA108" s="9"/>
      <c r="SMB108" s="9"/>
      <c r="SMC108" s="9"/>
      <c r="SMD108" s="9"/>
      <c r="SME108" s="9"/>
      <c r="SMF108" s="9"/>
      <c r="SMG108" s="9"/>
      <c r="SMH108" s="9"/>
      <c r="SMI108" s="9"/>
      <c r="SMJ108" s="9"/>
      <c r="SMK108" s="9"/>
      <c r="SML108" s="9"/>
      <c r="SMM108" s="9"/>
      <c r="SMN108" s="9"/>
      <c r="SMO108" s="9"/>
      <c r="SMP108" s="9"/>
      <c r="SMQ108" s="9"/>
      <c r="SMR108" s="9"/>
      <c r="SMS108" s="9"/>
      <c r="SMT108" s="9"/>
      <c r="SMU108" s="9"/>
      <c r="SMV108" s="9"/>
      <c r="SMW108" s="9"/>
      <c r="SMX108" s="9"/>
      <c r="SMY108" s="9"/>
      <c r="SMZ108" s="9"/>
      <c r="SNA108" s="9"/>
      <c r="SNB108" s="9"/>
      <c r="SNC108" s="9"/>
      <c r="SND108" s="9"/>
      <c r="SNE108" s="9"/>
      <c r="SNF108" s="9"/>
      <c r="SNG108" s="9"/>
      <c r="SNH108" s="9"/>
      <c r="SNI108" s="9"/>
      <c r="SNJ108" s="9"/>
      <c r="SNK108" s="9"/>
      <c r="SNL108" s="9"/>
      <c r="SNM108" s="9"/>
      <c r="SNN108" s="9"/>
      <c r="SNO108" s="9"/>
      <c r="SNP108" s="9"/>
      <c r="SNQ108" s="9"/>
      <c r="SNR108" s="9"/>
      <c r="SNS108" s="9"/>
      <c r="SNT108" s="9"/>
      <c r="SNU108" s="9"/>
      <c r="SNV108" s="9"/>
      <c r="SNW108" s="9"/>
      <c r="SNX108" s="9"/>
      <c r="SNY108" s="9"/>
      <c r="SNZ108" s="9"/>
      <c r="SOA108" s="9"/>
      <c r="SOB108" s="9"/>
      <c r="SOC108" s="9"/>
      <c r="SOD108" s="9"/>
      <c r="SOE108" s="9"/>
      <c r="SOF108" s="9"/>
      <c r="SOG108" s="9"/>
      <c r="SOH108" s="9"/>
      <c r="SOI108" s="9"/>
      <c r="SOJ108" s="9"/>
      <c r="SOK108" s="9"/>
      <c r="SOL108" s="9"/>
      <c r="SOM108" s="9"/>
      <c r="SON108" s="9"/>
      <c r="SOO108" s="9"/>
      <c r="SOP108" s="9"/>
      <c r="SOQ108" s="9"/>
      <c r="SOR108" s="9"/>
      <c r="SOS108" s="9"/>
      <c r="SOT108" s="9"/>
      <c r="SOU108" s="9"/>
      <c r="SOV108" s="9"/>
      <c r="SOW108" s="9"/>
      <c r="SOX108" s="9"/>
      <c r="SOY108" s="9"/>
      <c r="SOZ108" s="9"/>
      <c r="SPA108" s="9"/>
      <c r="SPB108" s="9"/>
      <c r="SPC108" s="9"/>
      <c r="SPD108" s="9"/>
      <c r="SPE108" s="9"/>
      <c r="SPF108" s="9"/>
      <c r="SPG108" s="9"/>
      <c r="SPH108" s="9"/>
      <c r="SPI108" s="9"/>
      <c r="SPJ108" s="9"/>
      <c r="SPK108" s="9"/>
      <c r="SPL108" s="9"/>
      <c r="SPM108" s="9"/>
      <c r="SPN108" s="9"/>
      <c r="SPO108" s="9"/>
      <c r="SPP108" s="9"/>
      <c r="SPQ108" s="9"/>
      <c r="SPR108" s="9"/>
      <c r="SPS108" s="9"/>
      <c r="SPT108" s="9"/>
      <c r="SPU108" s="9"/>
      <c r="SPV108" s="9"/>
      <c r="SPW108" s="9"/>
      <c r="SPX108" s="9"/>
      <c r="SPY108" s="9"/>
      <c r="SPZ108" s="9"/>
      <c r="SQA108" s="9"/>
      <c r="SQB108" s="9"/>
      <c r="SQC108" s="9"/>
      <c r="SQD108" s="9"/>
      <c r="SQE108" s="9"/>
      <c r="SQF108" s="9"/>
      <c r="SQG108" s="9"/>
      <c r="SQH108" s="9"/>
      <c r="SQI108" s="9"/>
      <c r="SQJ108" s="9"/>
      <c r="SQK108" s="9"/>
      <c r="SQL108" s="9"/>
      <c r="SQM108" s="9"/>
      <c r="SQN108" s="9"/>
      <c r="SQO108" s="9"/>
      <c r="SQP108" s="9"/>
      <c r="SQQ108" s="9"/>
      <c r="SQR108" s="9"/>
      <c r="SQS108" s="9"/>
      <c r="SQT108" s="9"/>
      <c r="SQU108" s="9"/>
      <c r="SQV108" s="9"/>
      <c r="SQW108" s="9"/>
      <c r="SQX108" s="9"/>
      <c r="SQY108" s="9"/>
      <c r="SQZ108" s="9"/>
      <c r="SRA108" s="9"/>
      <c r="SRB108" s="9"/>
      <c r="SRC108" s="9"/>
      <c r="SRD108" s="9"/>
      <c r="SRE108" s="9"/>
      <c r="SRF108" s="9"/>
      <c r="SRG108" s="9"/>
      <c r="SRH108" s="9"/>
      <c r="SRI108" s="9"/>
      <c r="SRJ108" s="9"/>
      <c r="SRK108" s="9"/>
      <c r="SRL108" s="9"/>
      <c r="SRM108" s="9"/>
      <c r="SRN108" s="9"/>
      <c r="SRO108" s="9"/>
      <c r="SRP108" s="9"/>
      <c r="SRQ108" s="9"/>
      <c r="SRR108" s="9"/>
      <c r="SRS108" s="9"/>
      <c r="SRT108" s="9"/>
      <c r="SRU108" s="9"/>
      <c r="SRV108" s="9"/>
      <c r="SRW108" s="9"/>
      <c r="SRX108" s="9"/>
      <c r="SRY108" s="9"/>
      <c r="SRZ108" s="9"/>
      <c r="SSA108" s="9"/>
      <c r="SSB108" s="9"/>
      <c r="SSC108" s="9"/>
      <c r="SSD108" s="9"/>
      <c r="SSE108" s="9"/>
      <c r="SSF108" s="9"/>
      <c r="SSG108" s="9"/>
      <c r="SSH108" s="9"/>
      <c r="SSI108" s="9"/>
      <c r="SSJ108" s="9"/>
      <c r="SSK108" s="9"/>
      <c r="SSL108" s="9"/>
      <c r="SSM108" s="9"/>
      <c r="SSN108" s="9"/>
      <c r="SSO108" s="9"/>
      <c r="SSP108" s="9"/>
      <c r="SSQ108" s="9"/>
      <c r="SSR108" s="9"/>
      <c r="SSS108" s="9"/>
      <c r="SST108" s="9"/>
      <c r="SSU108" s="9"/>
      <c r="SSV108" s="9"/>
      <c r="SSW108" s="9"/>
      <c r="SSX108" s="9"/>
      <c r="SSY108" s="9"/>
      <c r="SSZ108" s="9"/>
      <c r="STA108" s="9"/>
      <c r="STB108" s="9"/>
      <c r="STC108" s="9"/>
      <c r="STD108" s="9"/>
      <c r="STE108" s="9"/>
      <c r="STF108" s="9"/>
      <c r="STG108" s="9"/>
      <c r="STH108" s="9"/>
      <c r="STI108" s="9"/>
      <c r="STJ108" s="9"/>
      <c r="STK108" s="9"/>
      <c r="STL108" s="9"/>
      <c r="STM108" s="9"/>
      <c r="STN108" s="9"/>
      <c r="STO108" s="9"/>
      <c r="STP108" s="9"/>
      <c r="STQ108" s="9"/>
      <c r="STR108" s="9"/>
      <c r="STS108" s="9"/>
      <c r="STT108" s="9"/>
      <c r="STU108" s="9"/>
      <c r="STV108" s="9"/>
      <c r="STW108" s="9"/>
      <c r="STX108" s="9"/>
      <c r="STY108" s="9"/>
      <c r="STZ108" s="9"/>
      <c r="SUA108" s="9"/>
      <c r="SUB108" s="9"/>
      <c r="SUC108" s="9"/>
      <c r="SUD108" s="9"/>
      <c r="SUE108" s="9"/>
      <c r="SUF108" s="9"/>
      <c r="SUG108" s="9"/>
      <c r="SUH108" s="9"/>
      <c r="SUI108" s="9"/>
      <c r="SUJ108" s="9"/>
      <c r="SUK108" s="9"/>
      <c r="SUL108" s="9"/>
      <c r="SUM108" s="9"/>
      <c r="SUN108" s="9"/>
      <c r="SUO108" s="9"/>
      <c r="SUP108" s="9"/>
      <c r="SUQ108" s="9"/>
      <c r="SUR108" s="9"/>
      <c r="SUS108" s="9"/>
      <c r="SUT108" s="9"/>
      <c r="SUU108" s="9"/>
      <c r="SUV108" s="9"/>
      <c r="SUW108" s="9"/>
      <c r="SUX108" s="9"/>
      <c r="SUY108" s="9"/>
      <c r="SUZ108" s="9"/>
      <c r="SVA108" s="9"/>
      <c r="SVB108" s="9"/>
      <c r="SVC108" s="9"/>
      <c r="SVD108" s="9"/>
      <c r="SVE108" s="9"/>
      <c r="SVF108" s="9"/>
      <c r="SVG108" s="9"/>
      <c r="SVH108" s="9"/>
      <c r="SVI108" s="9"/>
      <c r="SVJ108" s="9"/>
      <c r="SVK108" s="9"/>
      <c r="SVL108" s="9"/>
      <c r="SVM108" s="9"/>
      <c r="SVN108" s="9"/>
      <c r="SVO108" s="9"/>
      <c r="SVP108" s="9"/>
      <c r="SVQ108" s="9"/>
      <c r="SVR108" s="9"/>
      <c r="SVS108" s="9"/>
      <c r="SVT108" s="9"/>
      <c r="SVU108" s="9"/>
      <c r="SVV108" s="9"/>
      <c r="SVW108" s="9"/>
      <c r="SVX108" s="9"/>
      <c r="SVY108" s="9"/>
      <c r="SVZ108" s="9"/>
      <c r="SWA108" s="9"/>
      <c r="SWB108" s="9"/>
      <c r="SWC108" s="9"/>
      <c r="SWD108" s="9"/>
      <c r="SWE108" s="9"/>
      <c r="SWF108" s="9"/>
      <c r="SWG108" s="9"/>
      <c r="SWH108" s="9"/>
      <c r="SWI108" s="9"/>
      <c r="SWJ108" s="9"/>
      <c r="SWK108" s="9"/>
      <c r="SWL108" s="9"/>
      <c r="SWM108" s="9"/>
      <c r="SWN108" s="9"/>
      <c r="SWO108" s="9"/>
      <c r="SWP108" s="9"/>
      <c r="SWQ108" s="9"/>
      <c r="SWR108" s="9"/>
      <c r="SWS108" s="9"/>
      <c r="SWT108" s="9"/>
      <c r="SWU108" s="9"/>
      <c r="SWV108" s="9"/>
      <c r="SWW108" s="9"/>
      <c r="SWX108" s="9"/>
      <c r="SWY108" s="9"/>
      <c r="SWZ108" s="9"/>
      <c r="SXA108" s="9"/>
      <c r="SXB108" s="9"/>
      <c r="SXC108" s="9"/>
      <c r="SXD108" s="9"/>
      <c r="SXE108" s="9"/>
      <c r="SXF108" s="9"/>
      <c r="SXG108" s="9"/>
      <c r="SXH108" s="9"/>
      <c r="SXI108" s="9"/>
      <c r="SXJ108" s="9"/>
      <c r="SXK108" s="9"/>
      <c r="SXL108" s="9"/>
      <c r="SXM108" s="9"/>
      <c r="SXN108" s="9"/>
      <c r="SXO108" s="9"/>
      <c r="SXP108" s="9"/>
      <c r="SXQ108" s="9"/>
      <c r="SXR108" s="9"/>
      <c r="SXS108" s="9"/>
      <c r="SXT108" s="9"/>
      <c r="SXU108" s="9"/>
      <c r="SXV108" s="9"/>
      <c r="SXW108" s="9"/>
      <c r="SXX108" s="9"/>
      <c r="SXY108" s="9"/>
      <c r="SXZ108" s="9"/>
      <c r="SYA108" s="9"/>
      <c r="SYB108" s="9"/>
      <c r="SYC108" s="9"/>
      <c r="SYD108" s="9"/>
      <c r="SYE108" s="9"/>
      <c r="SYF108" s="9"/>
      <c r="SYG108" s="9"/>
      <c r="SYH108" s="9"/>
      <c r="SYI108" s="9"/>
      <c r="SYJ108" s="9"/>
      <c r="SYK108" s="9"/>
      <c r="SYL108" s="9"/>
      <c r="SYM108" s="9"/>
      <c r="SYN108" s="9"/>
      <c r="SYO108" s="9"/>
      <c r="SYP108" s="9"/>
      <c r="SYQ108" s="9"/>
      <c r="SYR108" s="9"/>
      <c r="SYS108" s="9"/>
      <c r="SYT108" s="9"/>
      <c r="SYU108" s="9"/>
      <c r="SYV108" s="9"/>
      <c r="SYW108" s="9"/>
      <c r="SYX108" s="9"/>
      <c r="SYY108" s="9"/>
      <c r="SYZ108" s="9"/>
      <c r="SZA108" s="9"/>
      <c r="SZB108" s="9"/>
      <c r="SZC108" s="9"/>
      <c r="SZD108" s="9"/>
      <c r="SZE108" s="9"/>
      <c r="SZF108" s="9"/>
      <c r="SZG108" s="9"/>
      <c r="SZH108" s="9"/>
      <c r="SZI108" s="9"/>
      <c r="SZJ108" s="9"/>
      <c r="SZK108" s="9"/>
      <c r="SZL108" s="9"/>
      <c r="SZM108" s="9"/>
      <c r="SZN108" s="9"/>
      <c r="SZO108" s="9"/>
      <c r="SZP108" s="9"/>
      <c r="SZQ108" s="9"/>
      <c r="SZR108" s="9"/>
      <c r="SZS108" s="9"/>
      <c r="SZT108" s="9"/>
      <c r="SZU108" s="9"/>
      <c r="SZV108" s="9"/>
      <c r="SZW108" s="9"/>
      <c r="SZX108" s="9"/>
      <c r="SZY108" s="9"/>
      <c r="SZZ108" s="9"/>
      <c r="TAA108" s="9"/>
      <c r="TAB108" s="9"/>
      <c r="TAC108" s="9"/>
      <c r="TAD108" s="9"/>
      <c r="TAE108" s="9"/>
      <c r="TAF108" s="9"/>
      <c r="TAG108" s="9"/>
      <c r="TAH108" s="9"/>
      <c r="TAI108" s="9"/>
      <c r="TAJ108" s="9"/>
      <c r="TAK108" s="9"/>
      <c r="TAL108" s="9"/>
      <c r="TAM108" s="9"/>
      <c r="TAN108" s="9"/>
      <c r="TAO108" s="9"/>
      <c r="TAP108" s="9"/>
      <c r="TAQ108" s="9"/>
      <c r="TAR108" s="9"/>
      <c r="TAS108" s="9"/>
      <c r="TAT108" s="9"/>
      <c r="TAU108" s="9"/>
      <c r="TAV108" s="9"/>
      <c r="TAW108" s="9"/>
      <c r="TAX108" s="9"/>
      <c r="TAY108" s="9"/>
      <c r="TAZ108" s="9"/>
      <c r="TBA108" s="9"/>
      <c r="TBB108" s="9"/>
      <c r="TBC108" s="9"/>
      <c r="TBD108" s="9"/>
      <c r="TBE108" s="9"/>
      <c r="TBF108" s="9"/>
      <c r="TBG108" s="9"/>
      <c r="TBH108" s="9"/>
      <c r="TBI108" s="9"/>
      <c r="TBJ108" s="9"/>
      <c r="TBK108" s="9"/>
      <c r="TBL108" s="9"/>
      <c r="TBM108" s="9"/>
      <c r="TBN108" s="9"/>
      <c r="TBO108" s="9"/>
      <c r="TBP108" s="9"/>
      <c r="TBQ108" s="9"/>
      <c r="TBR108" s="9"/>
      <c r="TBS108" s="9"/>
      <c r="TBT108" s="9"/>
      <c r="TBU108" s="9"/>
      <c r="TBV108" s="9"/>
      <c r="TBW108" s="9"/>
      <c r="TBX108" s="9"/>
      <c r="TBY108" s="9"/>
      <c r="TBZ108" s="9"/>
      <c r="TCA108" s="9"/>
      <c r="TCB108" s="9"/>
      <c r="TCC108" s="9"/>
      <c r="TCD108" s="9"/>
      <c r="TCE108" s="9"/>
      <c r="TCF108" s="9"/>
      <c r="TCG108" s="9"/>
      <c r="TCH108" s="9"/>
      <c r="TCI108" s="9"/>
      <c r="TCJ108" s="9"/>
      <c r="TCK108" s="9"/>
      <c r="TCL108" s="9"/>
      <c r="TCM108" s="9"/>
      <c r="TCN108" s="9"/>
      <c r="TCO108" s="9"/>
      <c r="TCP108" s="9"/>
      <c r="TCQ108" s="9"/>
      <c r="TCR108" s="9"/>
      <c r="TCS108" s="9"/>
      <c r="TCT108" s="9"/>
      <c r="TCU108" s="9"/>
      <c r="TCV108" s="9"/>
      <c r="TCW108" s="9"/>
      <c r="TCX108" s="9"/>
      <c r="TCY108" s="9"/>
      <c r="TCZ108" s="9"/>
      <c r="TDA108" s="9"/>
      <c r="TDB108" s="9"/>
      <c r="TDC108" s="9"/>
      <c r="TDD108" s="9"/>
      <c r="TDE108" s="9"/>
      <c r="TDF108" s="9"/>
      <c r="TDG108" s="9"/>
      <c r="TDH108" s="9"/>
      <c r="TDI108" s="9"/>
      <c r="TDJ108" s="9"/>
      <c r="TDK108" s="9"/>
      <c r="TDL108" s="9"/>
      <c r="TDM108" s="9"/>
      <c r="TDN108" s="9"/>
      <c r="TDO108" s="9"/>
      <c r="TDP108" s="9"/>
      <c r="TDQ108" s="9"/>
      <c r="TDR108" s="9"/>
      <c r="TDS108" s="9"/>
      <c r="TDT108" s="9"/>
      <c r="TDU108" s="9"/>
      <c r="TDV108" s="9"/>
      <c r="TDW108" s="9"/>
      <c r="TDX108" s="9"/>
      <c r="TDY108" s="9"/>
      <c r="TDZ108" s="9"/>
      <c r="TEA108" s="9"/>
      <c r="TEB108" s="9"/>
      <c r="TEC108" s="9"/>
      <c r="TED108" s="9"/>
      <c r="TEE108" s="9"/>
      <c r="TEF108" s="9"/>
      <c r="TEG108" s="9"/>
      <c r="TEH108" s="9"/>
      <c r="TEI108" s="9"/>
      <c r="TEJ108" s="9"/>
      <c r="TEK108" s="9"/>
      <c r="TEL108" s="9"/>
      <c r="TEM108" s="9"/>
      <c r="TEN108" s="9"/>
      <c r="TEO108" s="9"/>
      <c r="TEP108" s="9"/>
      <c r="TEQ108" s="9"/>
      <c r="TER108" s="9"/>
      <c r="TES108" s="9"/>
      <c r="TET108" s="9"/>
      <c r="TEU108" s="9"/>
      <c r="TEV108" s="9"/>
      <c r="TEW108" s="9"/>
      <c r="TEX108" s="9"/>
      <c r="TEY108" s="9"/>
      <c r="TEZ108" s="9"/>
      <c r="TFA108" s="9"/>
      <c r="TFB108" s="9"/>
      <c r="TFC108" s="9"/>
      <c r="TFD108" s="9"/>
      <c r="TFE108" s="9"/>
      <c r="TFF108" s="9"/>
      <c r="TFG108" s="9"/>
      <c r="TFH108" s="9"/>
      <c r="TFI108" s="9"/>
      <c r="TFJ108" s="9"/>
      <c r="TFK108" s="9"/>
      <c r="TFL108" s="9"/>
      <c r="TFM108" s="9"/>
      <c r="TFN108" s="9"/>
      <c r="TFO108" s="9"/>
      <c r="TFP108" s="9"/>
      <c r="TFQ108" s="9"/>
      <c r="TFR108" s="9"/>
      <c r="TFS108" s="9"/>
      <c r="TFT108" s="9"/>
      <c r="TFU108" s="9"/>
      <c r="TFV108" s="9"/>
      <c r="TFW108" s="9"/>
      <c r="TFX108" s="9"/>
      <c r="TFY108" s="9"/>
      <c r="TFZ108" s="9"/>
      <c r="TGA108" s="9"/>
      <c r="TGB108" s="9"/>
      <c r="TGC108" s="9"/>
      <c r="TGD108" s="9"/>
      <c r="TGE108" s="9"/>
      <c r="TGF108" s="9"/>
      <c r="TGG108" s="9"/>
      <c r="TGH108" s="9"/>
      <c r="TGI108" s="9"/>
      <c r="TGJ108" s="9"/>
      <c r="TGK108" s="9"/>
      <c r="TGL108" s="9"/>
      <c r="TGM108" s="9"/>
      <c r="TGN108" s="9"/>
      <c r="TGO108" s="9"/>
      <c r="TGP108" s="9"/>
      <c r="TGQ108" s="9"/>
      <c r="TGR108" s="9"/>
      <c r="TGS108" s="9"/>
      <c r="TGT108" s="9"/>
      <c r="TGU108" s="9"/>
      <c r="TGV108" s="9"/>
      <c r="TGW108" s="9"/>
      <c r="TGX108" s="9"/>
      <c r="TGY108" s="9"/>
      <c r="TGZ108" s="9"/>
      <c r="THA108" s="9"/>
      <c r="THB108" s="9"/>
      <c r="THC108" s="9"/>
      <c r="THD108" s="9"/>
      <c r="THE108" s="9"/>
      <c r="THF108" s="9"/>
      <c r="THG108" s="9"/>
      <c r="THH108" s="9"/>
      <c r="THI108" s="9"/>
      <c r="THJ108" s="9"/>
      <c r="THK108" s="9"/>
      <c r="THL108" s="9"/>
      <c r="THM108" s="9"/>
      <c r="THN108" s="9"/>
      <c r="THO108" s="9"/>
      <c r="THP108" s="9"/>
      <c r="THQ108" s="9"/>
      <c r="THR108" s="9"/>
      <c r="THS108" s="9"/>
      <c r="THT108" s="9"/>
      <c r="THU108" s="9"/>
      <c r="THV108" s="9"/>
      <c r="THW108" s="9"/>
      <c r="THX108" s="9"/>
      <c r="THY108" s="9"/>
      <c r="THZ108" s="9"/>
      <c r="TIA108" s="9"/>
      <c r="TIB108" s="9"/>
      <c r="TIC108" s="9"/>
      <c r="TID108" s="9"/>
      <c r="TIE108" s="9"/>
      <c r="TIF108" s="9"/>
      <c r="TIG108" s="9"/>
      <c r="TIH108" s="9"/>
      <c r="TII108" s="9"/>
      <c r="TIJ108" s="9"/>
      <c r="TIK108" s="9"/>
      <c r="TIL108" s="9"/>
      <c r="TIM108" s="9"/>
      <c r="TIN108" s="9"/>
      <c r="TIO108" s="9"/>
      <c r="TIP108" s="9"/>
      <c r="TIQ108" s="9"/>
      <c r="TIR108" s="9"/>
      <c r="TIS108" s="9"/>
      <c r="TIT108" s="9"/>
      <c r="TIU108" s="9"/>
      <c r="TIV108" s="9"/>
      <c r="TIW108" s="9"/>
      <c r="TIX108" s="9"/>
      <c r="TIY108" s="9"/>
      <c r="TIZ108" s="9"/>
      <c r="TJA108" s="9"/>
      <c r="TJB108" s="9"/>
      <c r="TJC108" s="9"/>
      <c r="TJD108" s="9"/>
      <c r="TJE108" s="9"/>
      <c r="TJF108" s="9"/>
      <c r="TJG108" s="9"/>
      <c r="TJH108" s="9"/>
      <c r="TJI108" s="9"/>
      <c r="TJJ108" s="9"/>
      <c r="TJK108" s="9"/>
      <c r="TJL108" s="9"/>
      <c r="TJM108" s="9"/>
      <c r="TJN108" s="9"/>
      <c r="TJO108" s="9"/>
      <c r="TJP108" s="9"/>
      <c r="TJQ108" s="9"/>
      <c r="TJR108" s="9"/>
      <c r="TJS108" s="9"/>
      <c r="TJT108" s="9"/>
      <c r="TJU108" s="9"/>
      <c r="TJV108" s="9"/>
      <c r="TJW108" s="9"/>
      <c r="TJX108" s="9"/>
      <c r="TJY108" s="9"/>
      <c r="TJZ108" s="9"/>
      <c r="TKA108" s="9"/>
      <c r="TKB108" s="9"/>
      <c r="TKC108" s="9"/>
      <c r="TKD108" s="9"/>
      <c r="TKE108" s="9"/>
      <c r="TKF108" s="9"/>
      <c r="TKG108" s="9"/>
      <c r="TKH108" s="9"/>
      <c r="TKI108" s="9"/>
      <c r="TKJ108" s="9"/>
      <c r="TKK108" s="9"/>
      <c r="TKL108" s="9"/>
      <c r="TKM108" s="9"/>
      <c r="TKN108" s="9"/>
      <c r="TKO108" s="9"/>
      <c r="TKP108" s="9"/>
      <c r="TKQ108" s="9"/>
      <c r="TKR108" s="9"/>
      <c r="TKS108" s="9"/>
      <c r="TKT108" s="9"/>
      <c r="TKU108" s="9"/>
      <c r="TKV108" s="9"/>
      <c r="TKW108" s="9"/>
      <c r="TKX108" s="9"/>
      <c r="TKY108" s="9"/>
      <c r="TKZ108" s="9"/>
      <c r="TLA108" s="9"/>
      <c r="TLB108" s="9"/>
      <c r="TLC108" s="9"/>
      <c r="TLD108" s="9"/>
      <c r="TLE108" s="9"/>
      <c r="TLF108" s="9"/>
      <c r="TLG108" s="9"/>
      <c r="TLH108" s="9"/>
      <c r="TLI108" s="9"/>
      <c r="TLJ108" s="9"/>
      <c r="TLK108" s="9"/>
      <c r="TLL108" s="9"/>
      <c r="TLM108" s="9"/>
      <c r="TLN108" s="9"/>
      <c r="TLO108" s="9"/>
      <c r="TLP108" s="9"/>
      <c r="TLQ108" s="9"/>
      <c r="TLR108" s="9"/>
      <c r="TLS108" s="9"/>
      <c r="TLT108" s="9"/>
      <c r="TLU108" s="9"/>
      <c r="TLV108" s="9"/>
      <c r="TLW108" s="9"/>
      <c r="TLX108" s="9"/>
      <c r="TLY108" s="9"/>
      <c r="TLZ108" s="9"/>
      <c r="TMA108" s="9"/>
      <c r="TMB108" s="9"/>
      <c r="TMC108" s="9"/>
      <c r="TMD108" s="9"/>
      <c r="TME108" s="9"/>
      <c r="TMF108" s="9"/>
      <c r="TMG108" s="9"/>
      <c r="TMH108" s="9"/>
      <c r="TMI108" s="9"/>
      <c r="TMJ108" s="9"/>
      <c r="TMK108" s="9"/>
      <c r="TML108" s="9"/>
      <c r="TMM108" s="9"/>
      <c r="TMN108" s="9"/>
      <c r="TMO108" s="9"/>
      <c r="TMP108" s="9"/>
      <c r="TMQ108" s="9"/>
      <c r="TMR108" s="9"/>
      <c r="TMS108" s="9"/>
      <c r="TMT108" s="9"/>
      <c r="TMU108" s="9"/>
      <c r="TMV108" s="9"/>
      <c r="TMW108" s="9"/>
      <c r="TMX108" s="9"/>
      <c r="TMY108" s="9"/>
      <c r="TMZ108" s="9"/>
      <c r="TNA108" s="9"/>
      <c r="TNB108" s="9"/>
      <c r="TNC108" s="9"/>
      <c r="TND108" s="9"/>
      <c r="TNE108" s="9"/>
      <c r="TNF108" s="9"/>
      <c r="TNG108" s="9"/>
      <c r="TNH108" s="9"/>
      <c r="TNI108" s="9"/>
      <c r="TNJ108" s="9"/>
      <c r="TNK108" s="9"/>
      <c r="TNL108" s="9"/>
      <c r="TNM108" s="9"/>
      <c r="TNN108" s="9"/>
      <c r="TNO108" s="9"/>
      <c r="TNP108" s="9"/>
      <c r="TNQ108" s="9"/>
      <c r="TNR108" s="9"/>
      <c r="TNS108" s="9"/>
      <c r="TNT108" s="9"/>
      <c r="TNU108" s="9"/>
      <c r="TNV108" s="9"/>
      <c r="TNW108" s="9"/>
      <c r="TNX108" s="9"/>
      <c r="TNY108" s="9"/>
      <c r="TNZ108" s="9"/>
      <c r="TOA108" s="9"/>
      <c r="TOB108" s="9"/>
      <c r="TOC108" s="9"/>
      <c r="TOD108" s="9"/>
      <c r="TOE108" s="9"/>
      <c r="TOF108" s="9"/>
      <c r="TOG108" s="9"/>
      <c r="TOH108" s="9"/>
      <c r="TOI108" s="9"/>
      <c r="TOJ108" s="9"/>
      <c r="TOK108" s="9"/>
      <c r="TOL108" s="9"/>
      <c r="TOM108" s="9"/>
      <c r="TON108" s="9"/>
      <c r="TOO108" s="9"/>
      <c r="TOP108" s="9"/>
      <c r="TOQ108" s="9"/>
      <c r="TOR108" s="9"/>
      <c r="TOS108" s="9"/>
      <c r="TOT108" s="9"/>
      <c r="TOU108" s="9"/>
      <c r="TOV108" s="9"/>
      <c r="TOW108" s="9"/>
      <c r="TOX108" s="9"/>
      <c r="TOY108" s="9"/>
      <c r="TOZ108" s="9"/>
      <c r="TPA108" s="9"/>
      <c r="TPB108" s="9"/>
      <c r="TPC108" s="9"/>
      <c r="TPD108" s="9"/>
      <c r="TPE108" s="9"/>
      <c r="TPF108" s="9"/>
      <c r="TPG108" s="9"/>
      <c r="TPH108" s="9"/>
      <c r="TPI108" s="9"/>
      <c r="TPJ108" s="9"/>
      <c r="TPK108" s="9"/>
      <c r="TPL108" s="9"/>
      <c r="TPM108" s="9"/>
      <c r="TPN108" s="9"/>
      <c r="TPO108" s="9"/>
      <c r="TPP108" s="9"/>
      <c r="TPQ108" s="9"/>
      <c r="TPR108" s="9"/>
      <c r="TPS108" s="9"/>
      <c r="TPT108" s="9"/>
      <c r="TPU108" s="9"/>
      <c r="TPV108" s="9"/>
      <c r="TPW108" s="9"/>
      <c r="TPX108" s="9"/>
      <c r="TPY108" s="9"/>
      <c r="TPZ108" s="9"/>
      <c r="TQA108" s="9"/>
      <c r="TQB108" s="9"/>
      <c r="TQC108" s="9"/>
      <c r="TQD108" s="9"/>
      <c r="TQE108" s="9"/>
      <c r="TQF108" s="9"/>
      <c r="TQG108" s="9"/>
      <c r="TQH108" s="9"/>
      <c r="TQI108" s="9"/>
      <c r="TQJ108" s="9"/>
      <c r="TQK108" s="9"/>
      <c r="TQL108" s="9"/>
      <c r="TQM108" s="9"/>
      <c r="TQN108" s="9"/>
      <c r="TQO108" s="9"/>
      <c r="TQP108" s="9"/>
      <c r="TQQ108" s="9"/>
      <c r="TQR108" s="9"/>
      <c r="TQS108" s="9"/>
      <c r="TQT108" s="9"/>
      <c r="TQU108" s="9"/>
      <c r="TQV108" s="9"/>
      <c r="TQW108" s="9"/>
      <c r="TQX108" s="9"/>
      <c r="TQY108" s="9"/>
      <c r="TQZ108" s="9"/>
      <c r="TRA108" s="9"/>
      <c r="TRB108" s="9"/>
      <c r="TRC108" s="9"/>
      <c r="TRD108" s="9"/>
      <c r="TRE108" s="9"/>
      <c r="TRF108" s="9"/>
      <c r="TRG108" s="9"/>
      <c r="TRH108" s="9"/>
      <c r="TRI108" s="9"/>
      <c r="TRJ108" s="9"/>
      <c r="TRK108" s="9"/>
      <c r="TRL108" s="9"/>
      <c r="TRM108" s="9"/>
      <c r="TRN108" s="9"/>
      <c r="TRO108" s="9"/>
      <c r="TRP108" s="9"/>
      <c r="TRQ108" s="9"/>
      <c r="TRR108" s="9"/>
      <c r="TRS108" s="9"/>
      <c r="TRT108" s="9"/>
      <c r="TRU108" s="9"/>
      <c r="TRV108" s="9"/>
      <c r="TRW108" s="9"/>
      <c r="TRX108" s="9"/>
      <c r="TRY108" s="9"/>
      <c r="TRZ108" s="9"/>
      <c r="TSA108" s="9"/>
      <c r="TSB108" s="9"/>
      <c r="TSC108" s="9"/>
      <c r="TSD108" s="9"/>
      <c r="TSE108" s="9"/>
      <c r="TSF108" s="9"/>
      <c r="TSG108" s="9"/>
      <c r="TSH108" s="9"/>
      <c r="TSI108" s="9"/>
      <c r="TSJ108" s="9"/>
      <c r="TSK108" s="9"/>
      <c r="TSL108" s="9"/>
      <c r="TSM108" s="9"/>
      <c r="TSN108" s="9"/>
      <c r="TSO108" s="9"/>
      <c r="TSP108" s="9"/>
      <c r="TSQ108" s="9"/>
      <c r="TSR108" s="9"/>
      <c r="TSS108" s="9"/>
      <c r="TST108" s="9"/>
      <c r="TSU108" s="9"/>
      <c r="TSV108" s="9"/>
      <c r="TSW108" s="9"/>
      <c r="TSX108" s="9"/>
      <c r="TSY108" s="9"/>
      <c r="TSZ108" s="9"/>
      <c r="TTA108" s="9"/>
      <c r="TTB108" s="9"/>
      <c r="TTC108" s="9"/>
      <c r="TTD108" s="9"/>
      <c r="TTE108" s="9"/>
      <c r="TTF108" s="9"/>
      <c r="TTG108" s="9"/>
      <c r="TTH108" s="9"/>
      <c r="TTI108" s="9"/>
      <c r="TTJ108" s="9"/>
      <c r="TTK108" s="9"/>
      <c r="TTL108" s="9"/>
      <c r="TTM108" s="9"/>
      <c r="TTN108" s="9"/>
      <c r="TTO108" s="9"/>
      <c r="TTP108" s="9"/>
      <c r="TTQ108" s="9"/>
      <c r="TTR108" s="9"/>
      <c r="TTS108" s="9"/>
      <c r="TTT108" s="9"/>
      <c r="TTU108" s="9"/>
      <c r="TTV108" s="9"/>
      <c r="TTW108" s="9"/>
      <c r="TTX108" s="9"/>
      <c r="TTY108" s="9"/>
      <c r="TTZ108" s="9"/>
      <c r="TUA108" s="9"/>
      <c r="TUB108" s="9"/>
      <c r="TUC108" s="9"/>
      <c r="TUD108" s="9"/>
      <c r="TUE108" s="9"/>
      <c r="TUF108" s="9"/>
      <c r="TUG108" s="9"/>
      <c r="TUH108" s="9"/>
      <c r="TUI108" s="9"/>
      <c r="TUJ108" s="9"/>
      <c r="TUK108" s="9"/>
      <c r="TUL108" s="9"/>
      <c r="TUM108" s="9"/>
      <c r="TUN108" s="9"/>
      <c r="TUO108" s="9"/>
      <c r="TUP108" s="9"/>
      <c r="TUQ108" s="9"/>
      <c r="TUR108" s="9"/>
      <c r="TUS108" s="9"/>
      <c r="TUT108" s="9"/>
      <c r="TUU108" s="9"/>
      <c r="TUV108" s="9"/>
      <c r="TUW108" s="9"/>
      <c r="TUX108" s="9"/>
      <c r="TUY108" s="9"/>
      <c r="TUZ108" s="9"/>
      <c r="TVA108" s="9"/>
      <c r="TVB108" s="9"/>
      <c r="TVC108" s="9"/>
      <c r="TVD108" s="9"/>
      <c r="TVE108" s="9"/>
      <c r="TVF108" s="9"/>
      <c r="TVG108" s="9"/>
      <c r="TVH108" s="9"/>
      <c r="TVI108" s="9"/>
      <c r="TVJ108" s="9"/>
      <c r="TVK108" s="9"/>
      <c r="TVL108" s="9"/>
      <c r="TVM108" s="9"/>
      <c r="TVN108" s="9"/>
      <c r="TVO108" s="9"/>
      <c r="TVP108" s="9"/>
      <c r="TVQ108" s="9"/>
      <c r="TVR108" s="9"/>
      <c r="TVS108" s="9"/>
      <c r="TVT108" s="9"/>
      <c r="TVU108" s="9"/>
      <c r="TVV108" s="9"/>
      <c r="TVW108" s="9"/>
      <c r="TVX108" s="9"/>
      <c r="TVY108" s="9"/>
      <c r="TVZ108" s="9"/>
      <c r="TWA108" s="9"/>
      <c r="TWB108" s="9"/>
      <c r="TWC108" s="9"/>
      <c r="TWD108" s="9"/>
      <c r="TWE108" s="9"/>
      <c r="TWF108" s="9"/>
      <c r="TWG108" s="9"/>
      <c r="TWH108" s="9"/>
      <c r="TWI108" s="9"/>
      <c r="TWJ108" s="9"/>
      <c r="TWK108" s="9"/>
      <c r="TWL108" s="9"/>
      <c r="TWM108" s="9"/>
      <c r="TWN108" s="9"/>
      <c r="TWO108" s="9"/>
      <c r="TWP108" s="9"/>
      <c r="TWQ108" s="9"/>
      <c r="TWR108" s="9"/>
      <c r="TWS108" s="9"/>
      <c r="TWT108" s="9"/>
      <c r="TWU108" s="9"/>
      <c r="TWV108" s="9"/>
      <c r="TWW108" s="9"/>
      <c r="TWX108" s="9"/>
      <c r="TWY108" s="9"/>
      <c r="TWZ108" s="9"/>
      <c r="TXA108" s="9"/>
      <c r="TXB108" s="9"/>
      <c r="TXC108" s="9"/>
      <c r="TXD108" s="9"/>
      <c r="TXE108" s="9"/>
      <c r="TXF108" s="9"/>
      <c r="TXG108" s="9"/>
      <c r="TXH108" s="9"/>
      <c r="TXI108" s="9"/>
      <c r="TXJ108" s="9"/>
      <c r="TXK108" s="9"/>
      <c r="TXL108" s="9"/>
      <c r="TXM108" s="9"/>
      <c r="TXN108" s="9"/>
      <c r="TXO108" s="9"/>
      <c r="TXP108" s="9"/>
      <c r="TXQ108" s="9"/>
      <c r="TXR108" s="9"/>
      <c r="TXS108" s="9"/>
      <c r="TXT108" s="9"/>
      <c r="TXU108" s="9"/>
      <c r="TXV108" s="9"/>
      <c r="TXW108" s="9"/>
      <c r="TXX108" s="9"/>
      <c r="TXY108" s="9"/>
      <c r="TXZ108" s="9"/>
      <c r="TYA108" s="9"/>
      <c r="TYB108" s="9"/>
      <c r="TYC108" s="9"/>
      <c r="TYD108" s="9"/>
      <c r="TYE108" s="9"/>
      <c r="TYF108" s="9"/>
      <c r="TYG108" s="9"/>
      <c r="TYH108" s="9"/>
      <c r="TYI108" s="9"/>
      <c r="TYJ108" s="9"/>
      <c r="TYK108" s="9"/>
      <c r="TYL108" s="9"/>
      <c r="TYM108" s="9"/>
      <c r="TYN108" s="9"/>
      <c r="TYO108" s="9"/>
      <c r="TYP108" s="9"/>
      <c r="TYQ108" s="9"/>
      <c r="TYR108" s="9"/>
      <c r="TYS108" s="9"/>
      <c r="TYT108" s="9"/>
      <c r="TYU108" s="9"/>
      <c r="TYV108" s="9"/>
      <c r="TYW108" s="9"/>
      <c r="TYX108" s="9"/>
      <c r="TYY108" s="9"/>
      <c r="TYZ108" s="9"/>
      <c r="TZA108" s="9"/>
      <c r="TZB108" s="9"/>
      <c r="TZC108" s="9"/>
      <c r="TZD108" s="9"/>
      <c r="TZE108" s="9"/>
      <c r="TZF108" s="9"/>
      <c r="TZG108" s="9"/>
      <c r="TZH108" s="9"/>
      <c r="TZI108" s="9"/>
      <c r="TZJ108" s="9"/>
      <c r="TZK108" s="9"/>
      <c r="TZL108" s="9"/>
      <c r="TZM108" s="9"/>
      <c r="TZN108" s="9"/>
      <c r="TZO108" s="9"/>
      <c r="TZP108" s="9"/>
      <c r="TZQ108" s="9"/>
      <c r="TZR108" s="9"/>
      <c r="TZS108" s="9"/>
      <c r="TZT108" s="9"/>
      <c r="TZU108" s="9"/>
      <c r="TZV108" s="9"/>
      <c r="TZW108" s="9"/>
      <c r="TZX108" s="9"/>
      <c r="TZY108" s="9"/>
      <c r="TZZ108" s="9"/>
      <c r="UAA108" s="9"/>
      <c r="UAB108" s="9"/>
      <c r="UAC108" s="9"/>
      <c r="UAD108" s="9"/>
      <c r="UAE108" s="9"/>
      <c r="UAF108" s="9"/>
      <c r="UAG108" s="9"/>
      <c r="UAH108" s="9"/>
      <c r="UAI108" s="9"/>
      <c r="UAJ108" s="9"/>
      <c r="UAK108" s="9"/>
      <c r="UAL108" s="9"/>
      <c r="UAM108" s="9"/>
      <c r="UAN108" s="9"/>
      <c r="UAO108" s="9"/>
      <c r="UAP108" s="9"/>
      <c r="UAQ108" s="9"/>
      <c r="UAR108" s="9"/>
      <c r="UAS108" s="9"/>
      <c r="UAT108" s="9"/>
      <c r="UAU108" s="9"/>
      <c r="UAV108" s="9"/>
      <c r="UAW108" s="9"/>
      <c r="UAX108" s="9"/>
      <c r="UAY108" s="9"/>
      <c r="UAZ108" s="9"/>
      <c r="UBA108" s="9"/>
      <c r="UBB108" s="9"/>
      <c r="UBC108" s="9"/>
      <c r="UBD108" s="9"/>
      <c r="UBE108" s="9"/>
      <c r="UBF108" s="9"/>
      <c r="UBG108" s="9"/>
      <c r="UBH108" s="9"/>
      <c r="UBI108" s="9"/>
      <c r="UBJ108" s="9"/>
      <c r="UBK108" s="9"/>
      <c r="UBL108" s="9"/>
      <c r="UBM108" s="9"/>
      <c r="UBN108" s="9"/>
      <c r="UBO108" s="9"/>
      <c r="UBP108" s="9"/>
      <c r="UBQ108" s="9"/>
      <c r="UBR108" s="9"/>
      <c r="UBS108" s="9"/>
      <c r="UBT108" s="9"/>
      <c r="UBU108" s="9"/>
      <c r="UBV108" s="9"/>
      <c r="UBW108" s="9"/>
      <c r="UBX108" s="9"/>
      <c r="UBY108" s="9"/>
      <c r="UBZ108" s="9"/>
      <c r="UCA108" s="9"/>
      <c r="UCB108" s="9"/>
      <c r="UCC108" s="9"/>
      <c r="UCD108" s="9"/>
      <c r="UCE108" s="9"/>
      <c r="UCF108" s="9"/>
      <c r="UCG108" s="9"/>
      <c r="UCH108" s="9"/>
      <c r="UCI108" s="9"/>
      <c r="UCJ108" s="9"/>
      <c r="UCK108" s="9"/>
      <c r="UCL108" s="9"/>
      <c r="UCM108" s="9"/>
      <c r="UCN108" s="9"/>
      <c r="UCO108" s="9"/>
      <c r="UCP108" s="9"/>
      <c r="UCQ108" s="9"/>
      <c r="UCR108" s="9"/>
      <c r="UCS108" s="9"/>
      <c r="UCT108" s="9"/>
      <c r="UCU108" s="9"/>
      <c r="UCV108" s="9"/>
      <c r="UCW108" s="9"/>
      <c r="UCX108" s="9"/>
      <c r="UCY108" s="9"/>
      <c r="UCZ108" s="9"/>
      <c r="UDA108" s="9"/>
      <c r="UDB108" s="9"/>
      <c r="UDC108" s="9"/>
      <c r="UDD108" s="9"/>
      <c r="UDE108" s="9"/>
      <c r="UDF108" s="9"/>
      <c r="UDG108" s="9"/>
      <c r="UDH108" s="9"/>
      <c r="UDI108" s="9"/>
      <c r="UDJ108" s="9"/>
      <c r="UDK108" s="9"/>
      <c r="UDL108" s="9"/>
      <c r="UDM108" s="9"/>
      <c r="UDN108" s="9"/>
      <c r="UDO108" s="9"/>
      <c r="UDP108" s="9"/>
      <c r="UDQ108" s="9"/>
      <c r="UDR108" s="9"/>
      <c r="UDS108" s="9"/>
      <c r="UDT108" s="9"/>
      <c r="UDU108" s="9"/>
      <c r="UDV108" s="9"/>
      <c r="UDW108" s="9"/>
      <c r="UDX108" s="9"/>
      <c r="UDY108" s="9"/>
      <c r="UDZ108" s="9"/>
      <c r="UEA108" s="9"/>
      <c r="UEB108" s="9"/>
      <c r="UEC108" s="9"/>
      <c r="UED108" s="9"/>
      <c r="UEE108" s="9"/>
      <c r="UEF108" s="9"/>
      <c r="UEG108" s="9"/>
      <c r="UEH108" s="9"/>
      <c r="UEI108" s="9"/>
      <c r="UEJ108" s="9"/>
      <c r="UEK108" s="9"/>
      <c r="UEL108" s="9"/>
      <c r="UEM108" s="9"/>
      <c r="UEN108" s="9"/>
      <c r="UEO108" s="9"/>
      <c r="UEP108" s="9"/>
      <c r="UEQ108" s="9"/>
      <c r="UER108" s="9"/>
      <c r="UES108" s="9"/>
      <c r="UET108" s="9"/>
      <c r="UEU108" s="9"/>
      <c r="UEV108" s="9"/>
      <c r="UEW108" s="9"/>
      <c r="UEX108" s="9"/>
      <c r="UEY108" s="9"/>
      <c r="UEZ108" s="9"/>
      <c r="UFA108" s="9"/>
      <c r="UFB108" s="9"/>
      <c r="UFC108" s="9"/>
      <c r="UFD108" s="9"/>
      <c r="UFE108" s="9"/>
      <c r="UFF108" s="9"/>
      <c r="UFG108" s="9"/>
      <c r="UFH108" s="9"/>
      <c r="UFI108" s="9"/>
      <c r="UFJ108" s="9"/>
      <c r="UFK108" s="9"/>
      <c r="UFL108" s="9"/>
      <c r="UFM108" s="9"/>
      <c r="UFN108" s="9"/>
      <c r="UFO108" s="9"/>
      <c r="UFP108" s="9"/>
      <c r="UFQ108" s="9"/>
      <c r="UFR108" s="9"/>
      <c r="UFS108" s="9"/>
      <c r="UFT108" s="9"/>
      <c r="UFU108" s="9"/>
      <c r="UFV108" s="9"/>
      <c r="UFW108" s="9"/>
      <c r="UFX108" s="9"/>
      <c r="UFY108" s="9"/>
      <c r="UFZ108" s="9"/>
      <c r="UGA108" s="9"/>
      <c r="UGB108" s="9"/>
      <c r="UGC108" s="9"/>
      <c r="UGD108" s="9"/>
      <c r="UGE108" s="9"/>
      <c r="UGF108" s="9"/>
      <c r="UGG108" s="9"/>
      <c r="UGH108" s="9"/>
      <c r="UGI108" s="9"/>
      <c r="UGJ108" s="9"/>
      <c r="UGK108" s="9"/>
      <c r="UGL108" s="9"/>
      <c r="UGM108" s="9"/>
      <c r="UGN108" s="9"/>
      <c r="UGO108" s="9"/>
      <c r="UGP108" s="9"/>
      <c r="UGQ108" s="9"/>
      <c r="UGR108" s="9"/>
      <c r="UGS108" s="9"/>
      <c r="UGT108" s="9"/>
      <c r="UGU108" s="9"/>
      <c r="UGV108" s="9"/>
      <c r="UGW108" s="9"/>
      <c r="UGX108" s="9"/>
      <c r="UGY108" s="9"/>
      <c r="UGZ108" s="9"/>
      <c r="UHA108" s="9"/>
      <c r="UHB108" s="9"/>
      <c r="UHC108" s="9"/>
      <c r="UHD108" s="9"/>
      <c r="UHE108" s="9"/>
      <c r="UHF108" s="9"/>
      <c r="UHG108" s="9"/>
      <c r="UHH108" s="9"/>
      <c r="UHI108" s="9"/>
      <c r="UHJ108" s="9"/>
      <c r="UHK108" s="9"/>
      <c r="UHL108" s="9"/>
      <c r="UHM108" s="9"/>
      <c r="UHN108" s="9"/>
      <c r="UHO108" s="9"/>
      <c r="UHP108" s="9"/>
      <c r="UHQ108" s="9"/>
      <c r="UHR108" s="9"/>
      <c r="UHS108" s="9"/>
      <c r="UHT108" s="9"/>
      <c r="UHU108" s="9"/>
      <c r="UHV108" s="9"/>
      <c r="UHW108" s="9"/>
      <c r="UHX108" s="9"/>
      <c r="UHY108" s="9"/>
      <c r="UHZ108" s="9"/>
      <c r="UIA108" s="9"/>
      <c r="UIB108" s="9"/>
      <c r="UIC108" s="9"/>
      <c r="UID108" s="9"/>
      <c r="UIE108" s="9"/>
      <c r="UIF108" s="9"/>
      <c r="UIG108" s="9"/>
      <c r="UIH108" s="9"/>
      <c r="UII108" s="9"/>
      <c r="UIJ108" s="9"/>
      <c r="UIK108" s="9"/>
      <c r="UIL108" s="9"/>
      <c r="UIM108" s="9"/>
      <c r="UIN108" s="9"/>
      <c r="UIO108" s="9"/>
      <c r="UIP108" s="9"/>
      <c r="UIQ108" s="9"/>
      <c r="UIR108" s="9"/>
      <c r="UIS108" s="9"/>
      <c r="UIT108" s="9"/>
      <c r="UIU108" s="9"/>
      <c r="UIV108" s="9"/>
      <c r="UIW108" s="9"/>
      <c r="UIX108" s="9"/>
      <c r="UIY108" s="9"/>
      <c r="UIZ108" s="9"/>
      <c r="UJA108" s="9"/>
      <c r="UJB108" s="9"/>
      <c r="UJC108" s="9"/>
      <c r="UJD108" s="9"/>
      <c r="UJE108" s="9"/>
      <c r="UJF108" s="9"/>
      <c r="UJG108" s="9"/>
      <c r="UJH108" s="9"/>
      <c r="UJI108" s="9"/>
      <c r="UJJ108" s="9"/>
      <c r="UJK108" s="9"/>
      <c r="UJL108" s="9"/>
      <c r="UJM108" s="9"/>
      <c r="UJN108" s="9"/>
      <c r="UJO108" s="9"/>
      <c r="UJP108" s="9"/>
      <c r="UJQ108" s="9"/>
      <c r="UJR108" s="9"/>
      <c r="UJS108" s="9"/>
      <c r="UJT108" s="9"/>
      <c r="UJU108" s="9"/>
      <c r="UJV108" s="9"/>
      <c r="UJW108" s="9"/>
      <c r="UJX108" s="9"/>
      <c r="UJY108" s="9"/>
      <c r="UJZ108" s="9"/>
      <c r="UKA108" s="9"/>
      <c r="UKB108" s="9"/>
      <c r="UKC108" s="9"/>
      <c r="UKD108" s="9"/>
      <c r="UKE108" s="9"/>
      <c r="UKF108" s="9"/>
      <c r="UKG108" s="9"/>
      <c r="UKH108" s="9"/>
      <c r="UKI108" s="9"/>
      <c r="UKJ108" s="9"/>
      <c r="UKK108" s="9"/>
      <c r="UKL108" s="9"/>
      <c r="UKM108" s="9"/>
      <c r="UKN108" s="9"/>
      <c r="UKO108" s="9"/>
      <c r="UKP108" s="9"/>
      <c r="UKQ108" s="9"/>
      <c r="UKR108" s="9"/>
      <c r="UKS108" s="9"/>
      <c r="UKT108" s="9"/>
      <c r="UKU108" s="9"/>
      <c r="UKV108" s="9"/>
      <c r="UKW108" s="9"/>
      <c r="UKX108" s="9"/>
      <c r="UKY108" s="9"/>
      <c r="UKZ108" s="9"/>
      <c r="ULA108" s="9"/>
      <c r="ULB108" s="9"/>
      <c r="ULC108" s="9"/>
      <c r="ULD108" s="9"/>
      <c r="ULE108" s="9"/>
      <c r="ULF108" s="9"/>
      <c r="ULG108" s="9"/>
      <c r="ULH108" s="9"/>
      <c r="ULI108" s="9"/>
      <c r="ULJ108" s="9"/>
      <c r="ULK108" s="9"/>
      <c r="ULL108" s="9"/>
      <c r="ULM108" s="9"/>
      <c r="ULN108" s="9"/>
      <c r="ULO108" s="9"/>
      <c r="ULP108" s="9"/>
      <c r="ULQ108" s="9"/>
      <c r="ULR108" s="9"/>
      <c r="ULS108" s="9"/>
      <c r="ULT108" s="9"/>
      <c r="ULU108" s="9"/>
      <c r="ULV108" s="9"/>
      <c r="ULW108" s="9"/>
      <c r="ULX108" s="9"/>
      <c r="ULY108" s="9"/>
      <c r="ULZ108" s="9"/>
      <c r="UMA108" s="9"/>
      <c r="UMB108" s="9"/>
      <c r="UMC108" s="9"/>
      <c r="UMD108" s="9"/>
      <c r="UME108" s="9"/>
      <c r="UMF108" s="9"/>
      <c r="UMG108" s="9"/>
      <c r="UMH108" s="9"/>
      <c r="UMI108" s="9"/>
      <c r="UMJ108" s="9"/>
      <c r="UMK108" s="9"/>
      <c r="UML108" s="9"/>
      <c r="UMM108" s="9"/>
      <c r="UMN108" s="9"/>
      <c r="UMO108" s="9"/>
      <c r="UMP108" s="9"/>
      <c r="UMQ108" s="9"/>
      <c r="UMR108" s="9"/>
      <c r="UMS108" s="9"/>
      <c r="UMT108" s="9"/>
      <c r="UMU108" s="9"/>
      <c r="UMV108" s="9"/>
      <c r="UMW108" s="9"/>
      <c r="UMX108" s="9"/>
      <c r="UMY108" s="9"/>
      <c r="UMZ108" s="9"/>
      <c r="UNA108" s="9"/>
      <c r="UNB108" s="9"/>
      <c r="UNC108" s="9"/>
      <c r="UND108" s="9"/>
      <c r="UNE108" s="9"/>
      <c r="UNF108" s="9"/>
      <c r="UNG108" s="9"/>
      <c r="UNH108" s="9"/>
      <c r="UNI108" s="9"/>
      <c r="UNJ108" s="9"/>
      <c r="UNK108" s="9"/>
      <c r="UNL108" s="9"/>
      <c r="UNM108" s="9"/>
      <c r="UNN108" s="9"/>
      <c r="UNO108" s="9"/>
      <c r="UNP108" s="9"/>
      <c r="UNQ108" s="9"/>
      <c r="UNR108" s="9"/>
      <c r="UNS108" s="9"/>
      <c r="UNT108" s="9"/>
      <c r="UNU108" s="9"/>
      <c r="UNV108" s="9"/>
      <c r="UNW108" s="9"/>
      <c r="UNX108" s="9"/>
      <c r="UNY108" s="9"/>
      <c r="UNZ108" s="9"/>
      <c r="UOA108" s="9"/>
      <c r="UOB108" s="9"/>
      <c r="UOC108" s="9"/>
      <c r="UOD108" s="9"/>
      <c r="UOE108" s="9"/>
      <c r="UOF108" s="9"/>
      <c r="UOG108" s="9"/>
      <c r="UOH108" s="9"/>
      <c r="UOI108" s="9"/>
      <c r="UOJ108" s="9"/>
      <c r="UOK108" s="9"/>
      <c r="UOL108" s="9"/>
      <c r="UOM108" s="9"/>
      <c r="UON108" s="9"/>
      <c r="UOO108" s="9"/>
      <c r="UOP108" s="9"/>
      <c r="UOQ108" s="9"/>
      <c r="UOR108" s="9"/>
      <c r="UOS108" s="9"/>
      <c r="UOT108" s="9"/>
      <c r="UOU108" s="9"/>
      <c r="UOV108" s="9"/>
      <c r="UOW108" s="9"/>
      <c r="UOX108" s="9"/>
      <c r="UOY108" s="9"/>
      <c r="UOZ108" s="9"/>
      <c r="UPA108" s="9"/>
      <c r="UPB108" s="9"/>
      <c r="UPC108" s="9"/>
      <c r="UPD108" s="9"/>
      <c r="UPE108" s="9"/>
      <c r="UPF108" s="9"/>
      <c r="UPG108" s="9"/>
      <c r="UPH108" s="9"/>
      <c r="UPI108" s="9"/>
      <c r="UPJ108" s="9"/>
      <c r="UPK108" s="9"/>
      <c r="UPL108" s="9"/>
      <c r="UPM108" s="9"/>
      <c r="UPN108" s="9"/>
      <c r="UPO108" s="9"/>
      <c r="UPP108" s="9"/>
      <c r="UPQ108" s="9"/>
      <c r="UPR108" s="9"/>
      <c r="UPS108" s="9"/>
      <c r="UPT108" s="9"/>
      <c r="UPU108" s="9"/>
      <c r="UPV108" s="9"/>
      <c r="UPW108" s="9"/>
      <c r="UPX108" s="9"/>
      <c r="UPY108" s="9"/>
      <c r="UPZ108" s="9"/>
      <c r="UQA108" s="9"/>
      <c r="UQB108" s="9"/>
      <c r="UQC108" s="9"/>
      <c r="UQD108" s="9"/>
      <c r="UQE108" s="9"/>
      <c r="UQF108" s="9"/>
      <c r="UQG108" s="9"/>
      <c r="UQH108" s="9"/>
      <c r="UQI108" s="9"/>
      <c r="UQJ108" s="9"/>
      <c r="UQK108" s="9"/>
      <c r="UQL108" s="9"/>
      <c r="UQM108" s="9"/>
      <c r="UQN108" s="9"/>
      <c r="UQO108" s="9"/>
      <c r="UQP108" s="9"/>
      <c r="UQQ108" s="9"/>
      <c r="UQR108" s="9"/>
      <c r="UQS108" s="9"/>
      <c r="UQT108" s="9"/>
      <c r="UQU108" s="9"/>
      <c r="UQV108" s="9"/>
      <c r="UQW108" s="9"/>
      <c r="UQX108" s="9"/>
      <c r="UQY108" s="9"/>
      <c r="UQZ108" s="9"/>
      <c r="URA108" s="9"/>
      <c r="URB108" s="9"/>
      <c r="URC108" s="9"/>
      <c r="URD108" s="9"/>
      <c r="URE108" s="9"/>
      <c r="URF108" s="9"/>
      <c r="URG108" s="9"/>
      <c r="URH108" s="9"/>
      <c r="URI108" s="9"/>
      <c r="URJ108" s="9"/>
      <c r="URK108" s="9"/>
      <c r="URL108" s="9"/>
      <c r="URM108" s="9"/>
      <c r="URN108" s="9"/>
      <c r="URO108" s="9"/>
      <c r="URP108" s="9"/>
      <c r="URQ108" s="9"/>
      <c r="URR108" s="9"/>
      <c r="URS108" s="9"/>
      <c r="URT108" s="9"/>
      <c r="URU108" s="9"/>
      <c r="URV108" s="9"/>
      <c r="URW108" s="9"/>
      <c r="URX108" s="9"/>
      <c r="URY108" s="9"/>
      <c r="URZ108" s="9"/>
      <c r="USA108" s="9"/>
      <c r="USB108" s="9"/>
      <c r="USC108" s="9"/>
      <c r="USD108" s="9"/>
      <c r="USE108" s="9"/>
      <c r="USF108" s="9"/>
      <c r="USG108" s="9"/>
      <c r="USH108" s="9"/>
      <c r="USI108" s="9"/>
      <c r="USJ108" s="9"/>
      <c r="USK108" s="9"/>
      <c r="USL108" s="9"/>
      <c r="USM108" s="9"/>
      <c r="USN108" s="9"/>
      <c r="USO108" s="9"/>
      <c r="USP108" s="9"/>
      <c r="USQ108" s="9"/>
      <c r="USR108" s="9"/>
      <c r="USS108" s="9"/>
      <c r="UST108" s="9"/>
      <c r="USU108" s="9"/>
      <c r="USV108" s="9"/>
      <c r="USW108" s="9"/>
      <c r="USX108" s="9"/>
      <c r="USY108" s="9"/>
      <c r="USZ108" s="9"/>
      <c r="UTA108" s="9"/>
      <c r="UTB108" s="9"/>
      <c r="UTC108" s="9"/>
      <c r="UTD108" s="9"/>
      <c r="UTE108" s="9"/>
      <c r="UTF108" s="9"/>
      <c r="UTG108" s="9"/>
      <c r="UTH108" s="9"/>
      <c r="UTI108" s="9"/>
      <c r="UTJ108" s="9"/>
      <c r="UTK108" s="9"/>
      <c r="UTL108" s="9"/>
      <c r="UTM108" s="9"/>
      <c r="UTN108" s="9"/>
      <c r="UTO108" s="9"/>
      <c r="UTP108" s="9"/>
      <c r="UTQ108" s="9"/>
      <c r="UTR108" s="9"/>
      <c r="UTS108" s="9"/>
      <c r="UTT108" s="9"/>
      <c r="UTU108" s="9"/>
      <c r="UTV108" s="9"/>
      <c r="UTW108" s="9"/>
      <c r="UTX108" s="9"/>
      <c r="UTY108" s="9"/>
      <c r="UTZ108" s="9"/>
      <c r="UUA108" s="9"/>
      <c r="UUB108" s="9"/>
      <c r="UUC108" s="9"/>
      <c r="UUD108" s="9"/>
      <c r="UUE108" s="9"/>
      <c r="UUF108" s="9"/>
      <c r="UUG108" s="9"/>
      <c r="UUH108" s="9"/>
      <c r="UUI108" s="9"/>
      <c r="UUJ108" s="9"/>
      <c r="UUK108" s="9"/>
      <c r="UUL108" s="9"/>
      <c r="UUM108" s="9"/>
      <c r="UUN108" s="9"/>
      <c r="UUO108" s="9"/>
      <c r="UUP108" s="9"/>
      <c r="UUQ108" s="9"/>
      <c r="UUR108" s="9"/>
      <c r="UUS108" s="9"/>
      <c r="UUT108" s="9"/>
      <c r="UUU108" s="9"/>
      <c r="UUV108" s="9"/>
      <c r="UUW108" s="9"/>
      <c r="UUX108" s="9"/>
      <c r="UUY108" s="9"/>
      <c r="UUZ108" s="9"/>
      <c r="UVA108" s="9"/>
      <c r="UVB108" s="9"/>
      <c r="UVC108" s="9"/>
      <c r="UVD108" s="9"/>
      <c r="UVE108" s="9"/>
      <c r="UVF108" s="9"/>
      <c r="UVG108" s="9"/>
      <c r="UVH108" s="9"/>
      <c r="UVI108" s="9"/>
      <c r="UVJ108" s="9"/>
      <c r="UVK108" s="9"/>
      <c r="UVL108" s="9"/>
      <c r="UVM108" s="9"/>
      <c r="UVN108" s="9"/>
      <c r="UVO108" s="9"/>
      <c r="UVP108" s="9"/>
      <c r="UVQ108" s="9"/>
      <c r="UVR108" s="9"/>
      <c r="UVS108" s="9"/>
      <c r="UVT108" s="9"/>
      <c r="UVU108" s="9"/>
      <c r="UVV108" s="9"/>
      <c r="UVW108" s="9"/>
      <c r="UVX108" s="9"/>
      <c r="UVY108" s="9"/>
      <c r="UVZ108" s="9"/>
      <c r="UWA108" s="9"/>
      <c r="UWB108" s="9"/>
      <c r="UWC108" s="9"/>
      <c r="UWD108" s="9"/>
      <c r="UWE108" s="9"/>
      <c r="UWF108" s="9"/>
      <c r="UWG108" s="9"/>
      <c r="UWH108" s="9"/>
      <c r="UWI108" s="9"/>
      <c r="UWJ108" s="9"/>
      <c r="UWK108" s="9"/>
      <c r="UWL108" s="9"/>
      <c r="UWM108" s="9"/>
      <c r="UWN108" s="9"/>
      <c r="UWO108" s="9"/>
      <c r="UWP108" s="9"/>
      <c r="UWQ108" s="9"/>
      <c r="UWR108" s="9"/>
      <c r="UWS108" s="9"/>
      <c r="UWT108" s="9"/>
      <c r="UWU108" s="9"/>
      <c r="UWV108" s="9"/>
      <c r="UWW108" s="9"/>
      <c r="UWX108" s="9"/>
      <c r="UWY108" s="9"/>
      <c r="UWZ108" s="9"/>
      <c r="UXA108" s="9"/>
      <c r="UXB108" s="9"/>
      <c r="UXC108" s="9"/>
      <c r="UXD108" s="9"/>
      <c r="UXE108" s="9"/>
      <c r="UXF108" s="9"/>
      <c r="UXG108" s="9"/>
      <c r="UXH108" s="9"/>
      <c r="UXI108" s="9"/>
      <c r="UXJ108" s="9"/>
      <c r="UXK108" s="9"/>
      <c r="UXL108" s="9"/>
      <c r="UXM108" s="9"/>
      <c r="UXN108" s="9"/>
      <c r="UXO108" s="9"/>
      <c r="UXP108" s="9"/>
      <c r="UXQ108" s="9"/>
      <c r="UXR108" s="9"/>
      <c r="UXS108" s="9"/>
      <c r="UXT108" s="9"/>
      <c r="UXU108" s="9"/>
      <c r="UXV108" s="9"/>
      <c r="UXW108" s="9"/>
      <c r="UXX108" s="9"/>
      <c r="UXY108" s="9"/>
      <c r="UXZ108" s="9"/>
      <c r="UYA108" s="9"/>
      <c r="UYB108" s="9"/>
      <c r="UYC108" s="9"/>
      <c r="UYD108" s="9"/>
      <c r="UYE108" s="9"/>
      <c r="UYF108" s="9"/>
      <c r="UYG108" s="9"/>
      <c r="UYH108" s="9"/>
      <c r="UYI108" s="9"/>
      <c r="UYJ108" s="9"/>
      <c r="UYK108" s="9"/>
      <c r="UYL108" s="9"/>
      <c r="UYM108" s="9"/>
      <c r="UYN108" s="9"/>
      <c r="UYO108" s="9"/>
      <c r="UYP108" s="9"/>
      <c r="UYQ108" s="9"/>
      <c r="UYR108" s="9"/>
      <c r="UYS108" s="9"/>
      <c r="UYT108" s="9"/>
      <c r="UYU108" s="9"/>
      <c r="UYV108" s="9"/>
      <c r="UYW108" s="9"/>
      <c r="UYX108" s="9"/>
      <c r="UYY108" s="9"/>
      <c r="UYZ108" s="9"/>
      <c r="UZA108" s="9"/>
      <c r="UZB108" s="9"/>
      <c r="UZC108" s="9"/>
      <c r="UZD108" s="9"/>
      <c r="UZE108" s="9"/>
      <c r="UZF108" s="9"/>
      <c r="UZG108" s="9"/>
      <c r="UZH108" s="9"/>
      <c r="UZI108" s="9"/>
      <c r="UZJ108" s="9"/>
      <c r="UZK108" s="9"/>
      <c r="UZL108" s="9"/>
      <c r="UZM108" s="9"/>
      <c r="UZN108" s="9"/>
      <c r="UZO108" s="9"/>
      <c r="UZP108" s="9"/>
      <c r="UZQ108" s="9"/>
      <c r="UZR108" s="9"/>
      <c r="UZS108" s="9"/>
      <c r="UZT108" s="9"/>
      <c r="UZU108" s="9"/>
      <c r="UZV108" s="9"/>
      <c r="UZW108" s="9"/>
      <c r="UZX108" s="9"/>
      <c r="UZY108" s="9"/>
      <c r="UZZ108" s="9"/>
      <c r="VAA108" s="9"/>
      <c r="VAB108" s="9"/>
      <c r="VAC108" s="9"/>
      <c r="VAD108" s="9"/>
      <c r="VAE108" s="9"/>
      <c r="VAF108" s="9"/>
      <c r="VAG108" s="9"/>
      <c r="VAH108" s="9"/>
      <c r="VAI108" s="9"/>
      <c r="VAJ108" s="9"/>
      <c r="VAK108" s="9"/>
      <c r="VAL108" s="9"/>
      <c r="VAM108" s="9"/>
      <c r="VAN108" s="9"/>
      <c r="VAO108" s="9"/>
      <c r="VAP108" s="9"/>
      <c r="VAQ108" s="9"/>
      <c r="VAR108" s="9"/>
      <c r="VAS108" s="9"/>
      <c r="VAT108" s="9"/>
      <c r="VAU108" s="9"/>
      <c r="VAV108" s="9"/>
      <c r="VAW108" s="9"/>
      <c r="VAX108" s="9"/>
      <c r="VAY108" s="9"/>
      <c r="VAZ108" s="9"/>
      <c r="VBA108" s="9"/>
      <c r="VBB108" s="9"/>
      <c r="VBC108" s="9"/>
      <c r="VBD108" s="9"/>
      <c r="VBE108" s="9"/>
      <c r="VBF108" s="9"/>
      <c r="VBG108" s="9"/>
      <c r="VBH108" s="9"/>
      <c r="VBI108" s="9"/>
      <c r="VBJ108" s="9"/>
      <c r="VBK108" s="9"/>
      <c r="VBL108" s="9"/>
      <c r="VBM108" s="9"/>
      <c r="VBN108" s="9"/>
      <c r="VBO108" s="9"/>
      <c r="VBP108" s="9"/>
      <c r="VBQ108" s="9"/>
      <c r="VBR108" s="9"/>
      <c r="VBS108" s="9"/>
      <c r="VBT108" s="9"/>
      <c r="VBU108" s="9"/>
      <c r="VBV108" s="9"/>
      <c r="VBW108" s="9"/>
      <c r="VBX108" s="9"/>
      <c r="VBY108" s="9"/>
      <c r="VBZ108" s="9"/>
      <c r="VCA108" s="9"/>
      <c r="VCB108" s="9"/>
      <c r="VCC108" s="9"/>
      <c r="VCD108" s="9"/>
      <c r="VCE108" s="9"/>
      <c r="VCF108" s="9"/>
      <c r="VCG108" s="9"/>
      <c r="VCH108" s="9"/>
      <c r="VCI108" s="9"/>
      <c r="VCJ108" s="9"/>
      <c r="VCK108" s="9"/>
      <c r="VCL108" s="9"/>
      <c r="VCM108" s="9"/>
      <c r="VCN108" s="9"/>
      <c r="VCO108" s="9"/>
      <c r="VCP108" s="9"/>
      <c r="VCQ108" s="9"/>
      <c r="VCR108" s="9"/>
      <c r="VCS108" s="9"/>
      <c r="VCT108" s="9"/>
      <c r="VCU108" s="9"/>
      <c r="VCV108" s="9"/>
      <c r="VCW108" s="9"/>
      <c r="VCX108" s="9"/>
      <c r="VCY108" s="9"/>
      <c r="VCZ108" s="9"/>
      <c r="VDA108" s="9"/>
      <c r="VDB108" s="9"/>
      <c r="VDC108" s="9"/>
      <c r="VDD108" s="9"/>
      <c r="VDE108" s="9"/>
      <c r="VDF108" s="9"/>
      <c r="VDG108" s="9"/>
      <c r="VDH108" s="9"/>
      <c r="VDI108" s="9"/>
      <c r="VDJ108" s="9"/>
      <c r="VDK108" s="9"/>
      <c r="VDL108" s="9"/>
      <c r="VDM108" s="9"/>
      <c r="VDN108" s="9"/>
      <c r="VDO108" s="9"/>
      <c r="VDP108" s="9"/>
      <c r="VDQ108" s="9"/>
      <c r="VDR108" s="9"/>
      <c r="VDS108" s="9"/>
      <c r="VDT108" s="9"/>
      <c r="VDU108" s="9"/>
      <c r="VDV108" s="9"/>
      <c r="VDW108" s="9"/>
      <c r="VDX108" s="9"/>
      <c r="VDY108" s="9"/>
      <c r="VDZ108" s="9"/>
      <c r="VEA108" s="9"/>
      <c r="VEB108" s="9"/>
      <c r="VEC108" s="9"/>
      <c r="VED108" s="9"/>
      <c r="VEE108" s="9"/>
      <c r="VEF108" s="9"/>
      <c r="VEG108" s="9"/>
      <c r="VEH108" s="9"/>
      <c r="VEI108" s="9"/>
      <c r="VEJ108" s="9"/>
      <c r="VEK108" s="9"/>
      <c r="VEL108" s="9"/>
      <c r="VEM108" s="9"/>
      <c r="VEN108" s="9"/>
      <c r="VEO108" s="9"/>
      <c r="VEP108" s="9"/>
      <c r="VEQ108" s="9"/>
      <c r="VER108" s="9"/>
      <c r="VES108" s="9"/>
      <c r="VET108" s="9"/>
      <c r="VEU108" s="9"/>
      <c r="VEV108" s="9"/>
      <c r="VEW108" s="9"/>
      <c r="VEX108" s="9"/>
      <c r="VEY108" s="9"/>
      <c r="VEZ108" s="9"/>
      <c r="VFA108" s="9"/>
      <c r="VFB108" s="9"/>
      <c r="VFC108" s="9"/>
      <c r="VFD108" s="9"/>
      <c r="VFE108" s="9"/>
      <c r="VFF108" s="9"/>
      <c r="VFG108" s="9"/>
      <c r="VFH108" s="9"/>
      <c r="VFI108" s="9"/>
      <c r="VFJ108" s="9"/>
      <c r="VFK108" s="9"/>
      <c r="VFL108" s="9"/>
      <c r="VFM108" s="9"/>
      <c r="VFN108" s="9"/>
      <c r="VFO108" s="9"/>
      <c r="VFP108" s="9"/>
      <c r="VFQ108" s="9"/>
      <c r="VFR108" s="9"/>
      <c r="VFS108" s="9"/>
      <c r="VFT108" s="9"/>
      <c r="VFU108" s="9"/>
      <c r="VFV108" s="9"/>
      <c r="VFW108" s="9"/>
      <c r="VFX108" s="9"/>
      <c r="VFY108" s="9"/>
      <c r="VFZ108" s="9"/>
      <c r="VGA108" s="9"/>
      <c r="VGB108" s="9"/>
      <c r="VGC108" s="9"/>
      <c r="VGD108" s="9"/>
      <c r="VGE108" s="9"/>
      <c r="VGF108" s="9"/>
      <c r="VGG108" s="9"/>
      <c r="VGH108" s="9"/>
      <c r="VGI108" s="9"/>
      <c r="VGJ108" s="9"/>
      <c r="VGK108" s="9"/>
      <c r="VGL108" s="9"/>
      <c r="VGM108" s="9"/>
      <c r="VGN108" s="9"/>
      <c r="VGO108" s="9"/>
      <c r="VGP108" s="9"/>
      <c r="VGQ108" s="9"/>
      <c r="VGR108" s="9"/>
      <c r="VGS108" s="9"/>
      <c r="VGT108" s="9"/>
      <c r="VGU108" s="9"/>
      <c r="VGV108" s="9"/>
      <c r="VGW108" s="9"/>
      <c r="VGX108" s="9"/>
      <c r="VGY108" s="9"/>
      <c r="VGZ108" s="9"/>
      <c r="VHA108" s="9"/>
      <c r="VHB108" s="9"/>
      <c r="VHC108" s="9"/>
      <c r="VHD108" s="9"/>
      <c r="VHE108" s="9"/>
      <c r="VHF108" s="9"/>
      <c r="VHG108" s="9"/>
      <c r="VHH108" s="9"/>
      <c r="VHI108" s="9"/>
      <c r="VHJ108" s="9"/>
      <c r="VHK108" s="9"/>
      <c r="VHL108" s="9"/>
      <c r="VHM108" s="9"/>
      <c r="VHN108" s="9"/>
      <c r="VHO108" s="9"/>
      <c r="VHP108" s="9"/>
      <c r="VHQ108" s="9"/>
      <c r="VHR108" s="9"/>
      <c r="VHS108" s="9"/>
      <c r="VHT108" s="9"/>
      <c r="VHU108" s="9"/>
      <c r="VHV108" s="9"/>
      <c r="VHW108" s="9"/>
      <c r="VHX108" s="9"/>
      <c r="VHY108" s="9"/>
      <c r="VHZ108" s="9"/>
      <c r="VIA108" s="9"/>
      <c r="VIB108" s="9"/>
      <c r="VIC108" s="9"/>
      <c r="VID108" s="9"/>
      <c r="VIE108" s="9"/>
      <c r="VIF108" s="9"/>
      <c r="VIG108" s="9"/>
      <c r="VIH108" s="9"/>
      <c r="VII108" s="9"/>
      <c r="VIJ108" s="9"/>
      <c r="VIK108" s="9"/>
      <c r="VIL108" s="9"/>
      <c r="VIM108" s="9"/>
      <c r="VIN108" s="9"/>
      <c r="VIO108" s="9"/>
      <c r="VIP108" s="9"/>
      <c r="VIQ108" s="9"/>
      <c r="VIR108" s="9"/>
      <c r="VIS108" s="9"/>
      <c r="VIT108" s="9"/>
      <c r="VIU108" s="9"/>
      <c r="VIV108" s="9"/>
      <c r="VIW108" s="9"/>
      <c r="VIX108" s="9"/>
      <c r="VIY108" s="9"/>
      <c r="VIZ108" s="9"/>
      <c r="VJA108" s="9"/>
      <c r="VJB108" s="9"/>
      <c r="VJC108" s="9"/>
      <c r="VJD108" s="9"/>
      <c r="VJE108" s="9"/>
      <c r="VJF108" s="9"/>
      <c r="VJG108" s="9"/>
      <c r="VJH108" s="9"/>
      <c r="VJI108" s="9"/>
      <c r="VJJ108" s="9"/>
      <c r="VJK108" s="9"/>
      <c r="VJL108" s="9"/>
      <c r="VJM108" s="9"/>
      <c r="VJN108" s="9"/>
      <c r="VJO108" s="9"/>
      <c r="VJP108" s="9"/>
      <c r="VJQ108" s="9"/>
      <c r="VJR108" s="9"/>
      <c r="VJS108" s="9"/>
      <c r="VJT108" s="9"/>
      <c r="VJU108" s="9"/>
      <c r="VJV108" s="9"/>
      <c r="VJW108" s="9"/>
      <c r="VJX108" s="9"/>
      <c r="VJY108" s="9"/>
      <c r="VJZ108" s="9"/>
      <c r="VKA108" s="9"/>
      <c r="VKB108" s="9"/>
      <c r="VKC108" s="9"/>
      <c r="VKD108" s="9"/>
      <c r="VKE108" s="9"/>
      <c r="VKF108" s="9"/>
      <c r="VKG108" s="9"/>
      <c r="VKH108" s="9"/>
      <c r="VKI108" s="9"/>
      <c r="VKJ108" s="9"/>
      <c r="VKK108" s="9"/>
      <c r="VKL108" s="9"/>
      <c r="VKM108" s="9"/>
      <c r="VKN108" s="9"/>
      <c r="VKO108" s="9"/>
      <c r="VKP108" s="9"/>
      <c r="VKQ108" s="9"/>
      <c r="VKR108" s="9"/>
      <c r="VKS108" s="9"/>
      <c r="VKT108" s="9"/>
      <c r="VKU108" s="9"/>
      <c r="VKV108" s="9"/>
      <c r="VKW108" s="9"/>
      <c r="VKX108" s="9"/>
      <c r="VKY108" s="9"/>
      <c r="VKZ108" s="9"/>
      <c r="VLA108" s="9"/>
      <c r="VLB108" s="9"/>
      <c r="VLC108" s="9"/>
      <c r="VLD108" s="9"/>
      <c r="VLE108" s="9"/>
      <c r="VLF108" s="9"/>
      <c r="VLG108" s="9"/>
      <c r="VLH108" s="9"/>
      <c r="VLI108" s="9"/>
      <c r="VLJ108" s="9"/>
      <c r="VLK108" s="9"/>
      <c r="VLL108" s="9"/>
      <c r="VLM108" s="9"/>
      <c r="VLN108" s="9"/>
      <c r="VLO108" s="9"/>
      <c r="VLP108" s="9"/>
      <c r="VLQ108" s="9"/>
      <c r="VLR108" s="9"/>
      <c r="VLS108" s="9"/>
      <c r="VLT108" s="9"/>
      <c r="VLU108" s="9"/>
      <c r="VLV108" s="9"/>
      <c r="VLW108" s="9"/>
      <c r="VLX108" s="9"/>
      <c r="VLY108" s="9"/>
      <c r="VLZ108" s="9"/>
      <c r="VMA108" s="9"/>
      <c r="VMB108" s="9"/>
      <c r="VMC108" s="9"/>
      <c r="VMD108" s="9"/>
      <c r="VME108" s="9"/>
      <c r="VMF108" s="9"/>
      <c r="VMG108" s="9"/>
      <c r="VMH108" s="9"/>
      <c r="VMI108" s="9"/>
      <c r="VMJ108" s="9"/>
      <c r="VMK108" s="9"/>
      <c r="VML108" s="9"/>
      <c r="VMM108" s="9"/>
      <c r="VMN108" s="9"/>
      <c r="VMO108" s="9"/>
      <c r="VMP108" s="9"/>
      <c r="VMQ108" s="9"/>
      <c r="VMR108" s="9"/>
      <c r="VMS108" s="9"/>
      <c r="VMT108" s="9"/>
      <c r="VMU108" s="9"/>
      <c r="VMV108" s="9"/>
      <c r="VMW108" s="9"/>
      <c r="VMX108" s="9"/>
      <c r="VMY108" s="9"/>
      <c r="VMZ108" s="9"/>
      <c r="VNA108" s="9"/>
      <c r="VNB108" s="9"/>
      <c r="VNC108" s="9"/>
      <c r="VND108" s="9"/>
      <c r="VNE108" s="9"/>
      <c r="VNF108" s="9"/>
      <c r="VNG108" s="9"/>
      <c r="VNH108" s="9"/>
      <c r="VNI108" s="9"/>
      <c r="VNJ108" s="9"/>
      <c r="VNK108" s="9"/>
      <c r="VNL108" s="9"/>
      <c r="VNM108" s="9"/>
      <c r="VNN108" s="9"/>
      <c r="VNO108" s="9"/>
      <c r="VNP108" s="9"/>
      <c r="VNQ108" s="9"/>
      <c r="VNR108" s="9"/>
      <c r="VNS108" s="9"/>
      <c r="VNT108" s="9"/>
      <c r="VNU108" s="9"/>
      <c r="VNV108" s="9"/>
      <c r="VNW108" s="9"/>
      <c r="VNX108" s="9"/>
      <c r="VNY108" s="9"/>
      <c r="VNZ108" s="9"/>
      <c r="VOA108" s="9"/>
      <c r="VOB108" s="9"/>
      <c r="VOC108" s="9"/>
      <c r="VOD108" s="9"/>
      <c r="VOE108" s="9"/>
      <c r="VOF108" s="9"/>
      <c r="VOG108" s="9"/>
      <c r="VOH108" s="9"/>
      <c r="VOI108" s="9"/>
      <c r="VOJ108" s="9"/>
      <c r="VOK108" s="9"/>
      <c r="VOL108" s="9"/>
      <c r="VOM108" s="9"/>
      <c r="VON108" s="9"/>
      <c r="VOO108" s="9"/>
      <c r="VOP108" s="9"/>
      <c r="VOQ108" s="9"/>
      <c r="VOR108" s="9"/>
      <c r="VOS108" s="9"/>
      <c r="VOT108" s="9"/>
      <c r="VOU108" s="9"/>
      <c r="VOV108" s="9"/>
      <c r="VOW108" s="9"/>
      <c r="VOX108" s="9"/>
      <c r="VOY108" s="9"/>
      <c r="VOZ108" s="9"/>
      <c r="VPA108" s="9"/>
      <c r="VPB108" s="9"/>
      <c r="VPC108" s="9"/>
      <c r="VPD108" s="9"/>
      <c r="VPE108" s="9"/>
      <c r="VPF108" s="9"/>
      <c r="VPG108" s="9"/>
      <c r="VPH108" s="9"/>
      <c r="VPI108" s="9"/>
      <c r="VPJ108" s="9"/>
      <c r="VPK108" s="9"/>
      <c r="VPL108" s="9"/>
      <c r="VPM108" s="9"/>
      <c r="VPN108" s="9"/>
      <c r="VPO108" s="9"/>
      <c r="VPP108" s="9"/>
      <c r="VPQ108" s="9"/>
      <c r="VPR108" s="9"/>
      <c r="VPS108" s="9"/>
      <c r="VPT108" s="9"/>
      <c r="VPU108" s="9"/>
      <c r="VPV108" s="9"/>
      <c r="VPW108" s="9"/>
      <c r="VPX108" s="9"/>
      <c r="VPY108" s="9"/>
      <c r="VPZ108" s="9"/>
      <c r="VQA108" s="9"/>
      <c r="VQB108" s="9"/>
      <c r="VQC108" s="9"/>
      <c r="VQD108" s="9"/>
      <c r="VQE108" s="9"/>
      <c r="VQF108" s="9"/>
      <c r="VQG108" s="9"/>
      <c r="VQH108" s="9"/>
      <c r="VQI108" s="9"/>
      <c r="VQJ108" s="9"/>
      <c r="VQK108" s="9"/>
      <c r="VQL108" s="9"/>
      <c r="VQM108" s="9"/>
      <c r="VQN108" s="9"/>
      <c r="VQO108" s="9"/>
      <c r="VQP108" s="9"/>
      <c r="VQQ108" s="9"/>
      <c r="VQR108" s="9"/>
      <c r="VQS108" s="9"/>
      <c r="VQT108" s="9"/>
      <c r="VQU108" s="9"/>
      <c r="VQV108" s="9"/>
      <c r="VQW108" s="9"/>
      <c r="VQX108" s="9"/>
      <c r="VQY108" s="9"/>
      <c r="VQZ108" s="9"/>
      <c r="VRA108" s="9"/>
      <c r="VRB108" s="9"/>
      <c r="VRC108" s="9"/>
      <c r="VRD108" s="9"/>
      <c r="VRE108" s="9"/>
      <c r="VRF108" s="9"/>
      <c r="VRG108" s="9"/>
      <c r="VRH108" s="9"/>
      <c r="VRI108" s="9"/>
      <c r="VRJ108" s="9"/>
      <c r="VRK108" s="9"/>
      <c r="VRL108" s="9"/>
      <c r="VRM108" s="9"/>
      <c r="VRN108" s="9"/>
      <c r="VRO108" s="9"/>
      <c r="VRP108" s="9"/>
      <c r="VRQ108" s="9"/>
      <c r="VRR108" s="9"/>
      <c r="VRS108" s="9"/>
      <c r="VRT108" s="9"/>
      <c r="VRU108" s="9"/>
      <c r="VRV108" s="9"/>
      <c r="VRW108" s="9"/>
      <c r="VRX108" s="9"/>
      <c r="VRY108" s="9"/>
      <c r="VRZ108" s="9"/>
      <c r="VSA108" s="9"/>
      <c r="VSB108" s="9"/>
      <c r="VSC108" s="9"/>
      <c r="VSD108" s="9"/>
      <c r="VSE108" s="9"/>
      <c r="VSF108" s="9"/>
      <c r="VSG108" s="9"/>
      <c r="VSH108" s="9"/>
      <c r="VSI108" s="9"/>
      <c r="VSJ108" s="9"/>
      <c r="VSK108" s="9"/>
      <c r="VSL108" s="9"/>
      <c r="VSM108" s="9"/>
      <c r="VSN108" s="9"/>
      <c r="VSO108" s="9"/>
      <c r="VSP108" s="9"/>
      <c r="VSQ108" s="9"/>
      <c r="VSR108" s="9"/>
      <c r="VSS108" s="9"/>
      <c r="VST108" s="9"/>
      <c r="VSU108" s="9"/>
      <c r="VSV108" s="9"/>
      <c r="VSW108" s="9"/>
      <c r="VSX108" s="9"/>
      <c r="VSY108" s="9"/>
      <c r="VSZ108" s="9"/>
      <c r="VTA108" s="9"/>
      <c r="VTB108" s="9"/>
      <c r="VTC108" s="9"/>
      <c r="VTD108" s="9"/>
      <c r="VTE108" s="9"/>
      <c r="VTF108" s="9"/>
      <c r="VTG108" s="9"/>
      <c r="VTH108" s="9"/>
      <c r="VTI108" s="9"/>
      <c r="VTJ108" s="9"/>
      <c r="VTK108" s="9"/>
      <c r="VTL108" s="9"/>
      <c r="VTM108" s="9"/>
      <c r="VTN108" s="9"/>
      <c r="VTO108" s="9"/>
      <c r="VTP108" s="9"/>
      <c r="VTQ108" s="9"/>
      <c r="VTR108" s="9"/>
      <c r="VTS108" s="9"/>
      <c r="VTT108" s="9"/>
      <c r="VTU108" s="9"/>
      <c r="VTV108" s="9"/>
      <c r="VTW108" s="9"/>
      <c r="VTX108" s="9"/>
      <c r="VTY108" s="9"/>
      <c r="VTZ108" s="9"/>
      <c r="VUA108" s="9"/>
      <c r="VUB108" s="9"/>
      <c r="VUC108" s="9"/>
      <c r="VUD108" s="9"/>
      <c r="VUE108" s="9"/>
      <c r="VUF108" s="9"/>
      <c r="VUG108" s="9"/>
      <c r="VUH108" s="9"/>
      <c r="VUI108" s="9"/>
      <c r="VUJ108" s="9"/>
      <c r="VUK108" s="9"/>
      <c r="VUL108" s="9"/>
      <c r="VUM108" s="9"/>
      <c r="VUN108" s="9"/>
      <c r="VUO108" s="9"/>
      <c r="VUP108" s="9"/>
      <c r="VUQ108" s="9"/>
      <c r="VUR108" s="9"/>
      <c r="VUS108" s="9"/>
      <c r="VUT108" s="9"/>
      <c r="VUU108" s="9"/>
      <c r="VUV108" s="9"/>
      <c r="VUW108" s="9"/>
      <c r="VUX108" s="9"/>
      <c r="VUY108" s="9"/>
      <c r="VUZ108" s="9"/>
      <c r="VVA108" s="9"/>
      <c r="VVB108" s="9"/>
      <c r="VVC108" s="9"/>
      <c r="VVD108" s="9"/>
      <c r="VVE108" s="9"/>
      <c r="VVF108" s="9"/>
      <c r="VVG108" s="9"/>
      <c r="VVH108" s="9"/>
      <c r="VVI108" s="9"/>
      <c r="VVJ108" s="9"/>
      <c r="VVK108" s="9"/>
      <c r="VVL108" s="9"/>
      <c r="VVM108" s="9"/>
      <c r="VVN108" s="9"/>
      <c r="VVO108" s="9"/>
      <c r="VVP108" s="9"/>
      <c r="VVQ108" s="9"/>
      <c r="VVR108" s="9"/>
      <c r="VVS108" s="9"/>
      <c r="VVT108" s="9"/>
      <c r="VVU108" s="9"/>
      <c r="VVV108" s="9"/>
      <c r="VVW108" s="9"/>
      <c r="VVX108" s="9"/>
      <c r="VVY108" s="9"/>
      <c r="VVZ108" s="9"/>
      <c r="VWA108" s="9"/>
      <c r="VWB108" s="9"/>
      <c r="VWC108" s="9"/>
      <c r="VWD108" s="9"/>
      <c r="VWE108" s="9"/>
      <c r="VWF108" s="9"/>
      <c r="VWG108" s="9"/>
      <c r="VWH108" s="9"/>
      <c r="VWI108" s="9"/>
      <c r="VWJ108" s="9"/>
      <c r="VWK108" s="9"/>
      <c r="VWL108" s="9"/>
      <c r="VWM108" s="9"/>
      <c r="VWN108" s="9"/>
      <c r="VWO108" s="9"/>
      <c r="VWP108" s="9"/>
      <c r="VWQ108" s="9"/>
      <c r="VWR108" s="9"/>
      <c r="VWS108" s="9"/>
      <c r="VWT108" s="9"/>
      <c r="VWU108" s="9"/>
      <c r="VWV108" s="9"/>
      <c r="VWW108" s="9"/>
      <c r="VWX108" s="9"/>
      <c r="VWY108" s="9"/>
      <c r="VWZ108" s="9"/>
      <c r="VXA108" s="9"/>
      <c r="VXB108" s="9"/>
      <c r="VXC108" s="9"/>
      <c r="VXD108" s="9"/>
      <c r="VXE108" s="9"/>
      <c r="VXF108" s="9"/>
      <c r="VXG108" s="9"/>
      <c r="VXH108" s="9"/>
      <c r="VXI108" s="9"/>
      <c r="VXJ108" s="9"/>
      <c r="VXK108" s="9"/>
      <c r="VXL108" s="9"/>
      <c r="VXM108" s="9"/>
      <c r="VXN108" s="9"/>
      <c r="VXO108" s="9"/>
      <c r="VXP108" s="9"/>
      <c r="VXQ108" s="9"/>
      <c r="VXR108" s="9"/>
      <c r="VXS108" s="9"/>
      <c r="VXT108" s="9"/>
      <c r="VXU108" s="9"/>
      <c r="VXV108" s="9"/>
      <c r="VXW108" s="9"/>
      <c r="VXX108" s="9"/>
      <c r="VXY108" s="9"/>
      <c r="VXZ108" s="9"/>
      <c r="VYA108" s="9"/>
      <c r="VYB108" s="9"/>
      <c r="VYC108" s="9"/>
      <c r="VYD108" s="9"/>
      <c r="VYE108" s="9"/>
      <c r="VYF108" s="9"/>
      <c r="VYG108" s="9"/>
      <c r="VYH108" s="9"/>
      <c r="VYI108" s="9"/>
      <c r="VYJ108" s="9"/>
      <c r="VYK108" s="9"/>
      <c r="VYL108" s="9"/>
      <c r="VYM108" s="9"/>
      <c r="VYN108" s="9"/>
      <c r="VYO108" s="9"/>
      <c r="VYP108" s="9"/>
      <c r="VYQ108" s="9"/>
      <c r="VYR108" s="9"/>
      <c r="VYS108" s="9"/>
      <c r="VYT108" s="9"/>
      <c r="VYU108" s="9"/>
      <c r="VYV108" s="9"/>
      <c r="VYW108" s="9"/>
      <c r="VYX108" s="9"/>
      <c r="VYY108" s="9"/>
      <c r="VYZ108" s="9"/>
      <c r="VZA108" s="9"/>
      <c r="VZB108" s="9"/>
      <c r="VZC108" s="9"/>
      <c r="VZD108" s="9"/>
      <c r="VZE108" s="9"/>
      <c r="VZF108" s="9"/>
      <c r="VZG108" s="9"/>
      <c r="VZH108" s="9"/>
      <c r="VZI108" s="9"/>
      <c r="VZJ108" s="9"/>
      <c r="VZK108" s="9"/>
      <c r="VZL108" s="9"/>
      <c r="VZM108" s="9"/>
      <c r="VZN108" s="9"/>
      <c r="VZO108" s="9"/>
      <c r="VZP108" s="9"/>
      <c r="VZQ108" s="9"/>
      <c r="VZR108" s="9"/>
      <c r="VZS108" s="9"/>
      <c r="VZT108" s="9"/>
      <c r="VZU108" s="9"/>
      <c r="VZV108" s="9"/>
      <c r="VZW108" s="9"/>
      <c r="VZX108" s="9"/>
      <c r="VZY108" s="9"/>
      <c r="VZZ108" s="9"/>
      <c r="WAA108" s="9"/>
      <c r="WAB108" s="9"/>
      <c r="WAC108" s="9"/>
      <c r="WAD108" s="9"/>
      <c r="WAE108" s="9"/>
      <c r="WAF108" s="9"/>
      <c r="WAG108" s="9"/>
      <c r="WAH108" s="9"/>
      <c r="WAI108" s="9"/>
      <c r="WAJ108" s="9"/>
      <c r="WAK108" s="9"/>
      <c r="WAL108" s="9"/>
      <c r="WAM108" s="9"/>
      <c r="WAN108" s="9"/>
      <c r="WAO108" s="9"/>
      <c r="WAP108" s="9"/>
      <c r="WAQ108" s="9"/>
      <c r="WAR108" s="9"/>
      <c r="WAS108" s="9"/>
      <c r="WAT108" s="9"/>
      <c r="WAU108" s="9"/>
      <c r="WAV108" s="9"/>
      <c r="WAW108" s="9"/>
      <c r="WAX108" s="9"/>
      <c r="WAY108" s="9"/>
      <c r="WAZ108" s="9"/>
      <c r="WBA108" s="9"/>
      <c r="WBB108" s="9"/>
      <c r="WBC108" s="9"/>
      <c r="WBD108" s="9"/>
      <c r="WBE108" s="9"/>
      <c r="WBF108" s="9"/>
      <c r="WBG108" s="9"/>
      <c r="WBH108" s="9"/>
      <c r="WBI108" s="9"/>
      <c r="WBJ108" s="9"/>
      <c r="WBK108" s="9"/>
      <c r="WBL108" s="9"/>
      <c r="WBM108" s="9"/>
      <c r="WBN108" s="9"/>
      <c r="WBO108" s="9"/>
      <c r="WBP108" s="9"/>
      <c r="WBQ108" s="9"/>
      <c r="WBR108" s="9"/>
      <c r="WBS108" s="9"/>
      <c r="WBT108" s="9"/>
      <c r="WBU108" s="9"/>
      <c r="WBV108" s="9"/>
      <c r="WBW108" s="9"/>
      <c r="WBX108" s="9"/>
      <c r="WBY108" s="9"/>
      <c r="WBZ108" s="9"/>
      <c r="WCA108" s="9"/>
      <c r="WCB108" s="9"/>
      <c r="WCC108" s="9"/>
      <c r="WCD108" s="9"/>
      <c r="WCE108" s="9"/>
      <c r="WCF108" s="9"/>
      <c r="WCG108" s="9"/>
      <c r="WCH108" s="9"/>
      <c r="WCI108" s="9"/>
      <c r="WCJ108" s="9"/>
      <c r="WCK108" s="9"/>
      <c r="WCL108" s="9"/>
      <c r="WCM108" s="9"/>
      <c r="WCN108" s="9"/>
      <c r="WCO108" s="9"/>
      <c r="WCP108" s="9"/>
      <c r="WCQ108" s="9"/>
      <c r="WCR108" s="9"/>
      <c r="WCS108" s="9"/>
      <c r="WCT108" s="9"/>
      <c r="WCU108" s="9"/>
      <c r="WCV108" s="9"/>
      <c r="WCW108" s="9"/>
      <c r="WCX108" s="9"/>
      <c r="WCY108" s="9"/>
      <c r="WCZ108" s="9"/>
      <c r="WDA108" s="9"/>
      <c r="WDB108" s="9"/>
      <c r="WDC108" s="9"/>
      <c r="WDD108" s="9"/>
      <c r="WDE108" s="9"/>
      <c r="WDF108" s="9"/>
      <c r="WDG108" s="9"/>
      <c r="WDH108" s="9"/>
      <c r="WDI108" s="9"/>
      <c r="WDJ108" s="9"/>
      <c r="WDK108" s="9"/>
      <c r="WDL108" s="9"/>
      <c r="WDM108" s="9"/>
      <c r="WDN108" s="9"/>
      <c r="WDO108" s="9"/>
      <c r="WDP108" s="9"/>
      <c r="WDQ108" s="9"/>
      <c r="WDR108" s="9"/>
      <c r="WDS108" s="9"/>
      <c r="WDT108" s="9"/>
      <c r="WDU108" s="9"/>
      <c r="WDV108" s="9"/>
      <c r="WDW108" s="9"/>
      <c r="WDX108" s="9"/>
      <c r="WDY108" s="9"/>
      <c r="WDZ108" s="9"/>
      <c r="WEA108" s="9"/>
      <c r="WEB108" s="9"/>
      <c r="WEC108" s="9"/>
      <c r="WED108" s="9"/>
      <c r="WEE108" s="9"/>
      <c r="WEF108" s="9"/>
      <c r="WEG108" s="9"/>
      <c r="WEH108" s="9"/>
      <c r="WEI108" s="9"/>
      <c r="WEJ108" s="9"/>
      <c r="WEK108" s="9"/>
      <c r="WEL108" s="9"/>
      <c r="WEM108" s="9"/>
      <c r="WEN108" s="9"/>
      <c r="WEO108" s="9"/>
      <c r="WEP108" s="9"/>
      <c r="WEQ108" s="9"/>
      <c r="WER108" s="9"/>
      <c r="WES108" s="9"/>
      <c r="WET108" s="9"/>
      <c r="WEU108" s="9"/>
      <c r="WEV108" s="9"/>
      <c r="WEW108" s="9"/>
      <c r="WEX108" s="9"/>
      <c r="WEY108" s="9"/>
      <c r="WEZ108" s="9"/>
      <c r="WFA108" s="9"/>
      <c r="WFB108" s="9"/>
      <c r="WFC108" s="9"/>
      <c r="WFD108" s="9"/>
      <c r="WFE108" s="9"/>
      <c r="WFF108" s="9"/>
      <c r="WFG108" s="9"/>
      <c r="WFH108" s="9"/>
      <c r="WFI108" s="9"/>
      <c r="WFJ108" s="9"/>
      <c r="WFK108" s="9"/>
      <c r="WFL108" s="9"/>
      <c r="WFM108" s="9"/>
      <c r="WFN108" s="9"/>
      <c r="WFO108" s="9"/>
      <c r="WFP108" s="9"/>
      <c r="WFQ108" s="9"/>
      <c r="WFR108" s="9"/>
      <c r="WFS108" s="9"/>
      <c r="WFT108" s="9"/>
      <c r="WFU108" s="9"/>
      <c r="WFV108" s="9"/>
      <c r="WFW108" s="9"/>
      <c r="WFX108" s="9"/>
      <c r="WFY108" s="9"/>
      <c r="WFZ108" s="9"/>
      <c r="WGA108" s="9"/>
      <c r="WGB108" s="9"/>
      <c r="WGC108" s="9"/>
      <c r="WGD108" s="9"/>
      <c r="WGE108" s="9"/>
      <c r="WGF108" s="9"/>
      <c r="WGG108" s="9"/>
      <c r="WGH108" s="9"/>
      <c r="WGI108" s="9"/>
      <c r="WGJ108" s="9"/>
      <c r="WGK108" s="9"/>
      <c r="WGL108" s="9"/>
      <c r="WGM108" s="9"/>
      <c r="WGN108" s="9"/>
      <c r="WGO108" s="9"/>
      <c r="WGP108" s="9"/>
      <c r="WGQ108" s="9"/>
      <c r="WGR108" s="9"/>
      <c r="WGS108" s="9"/>
      <c r="WGT108" s="9"/>
      <c r="WGU108" s="9"/>
      <c r="WGV108" s="9"/>
      <c r="WGW108" s="9"/>
      <c r="WGX108" s="9"/>
      <c r="WGY108" s="9"/>
      <c r="WGZ108" s="9"/>
      <c r="WHA108" s="9"/>
      <c r="WHB108" s="9"/>
      <c r="WHC108" s="9"/>
      <c r="WHD108" s="9"/>
      <c r="WHE108" s="9"/>
      <c r="WHF108" s="9"/>
      <c r="WHG108" s="9"/>
      <c r="WHH108" s="9"/>
      <c r="WHI108" s="9"/>
      <c r="WHJ108" s="9"/>
      <c r="WHK108" s="9"/>
      <c r="WHL108" s="9"/>
      <c r="WHM108" s="9"/>
      <c r="WHN108" s="9"/>
      <c r="WHO108" s="9"/>
      <c r="WHP108" s="9"/>
      <c r="WHQ108" s="9"/>
      <c r="WHR108" s="9"/>
      <c r="WHS108" s="9"/>
      <c r="WHT108" s="9"/>
      <c r="WHU108" s="9"/>
      <c r="WHV108" s="9"/>
      <c r="WHW108" s="9"/>
      <c r="WHX108" s="9"/>
      <c r="WHY108" s="9"/>
      <c r="WHZ108" s="9"/>
      <c r="WIA108" s="9"/>
      <c r="WIB108" s="9"/>
      <c r="WIC108" s="9"/>
      <c r="WID108" s="9"/>
      <c r="WIE108" s="9"/>
      <c r="WIF108" s="9"/>
      <c r="WIG108" s="9"/>
      <c r="WIH108" s="9"/>
      <c r="WII108" s="9"/>
      <c r="WIJ108" s="9"/>
      <c r="WIK108" s="9"/>
      <c r="WIL108" s="9"/>
      <c r="WIM108" s="9"/>
      <c r="WIN108" s="9"/>
      <c r="WIO108" s="9"/>
      <c r="WIP108" s="9"/>
      <c r="WIQ108" s="9"/>
      <c r="WIR108" s="9"/>
      <c r="WIS108" s="9"/>
      <c r="WIT108" s="9"/>
      <c r="WIU108" s="9"/>
      <c r="WIV108" s="9"/>
      <c r="WIW108" s="9"/>
      <c r="WIX108" s="9"/>
      <c r="WIY108" s="9"/>
      <c r="WIZ108" s="9"/>
      <c r="WJA108" s="9"/>
      <c r="WJB108" s="9"/>
      <c r="WJC108" s="9"/>
      <c r="WJD108" s="9"/>
      <c r="WJE108" s="9"/>
      <c r="WJF108" s="9"/>
      <c r="WJG108" s="9"/>
      <c r="WJH108" s="9"/>
      <c r="WJI108" s="9"/>
      <c r="WJJ108" s="9"/>
      <c r="WJK108" s="9"/>
      <c r="WJL108" s="9"/>
      <c r="WJM108" s="9"/>
      <c r="WJN108" s="9"/>
      <c r="WJO108" s="9"/>
      <c r="WJP108" s="9"/>
      <c r="WJQ108" s="9"/>
      <c r="WJR108" s="9"/>
      <c r="WJS108" s="9"/>
      <c r="WJT108" s="9"/>
      <c r="WJU108" s="9"/>
      <c r="WJV108" s="9"/>
      <c r="WJW108" s="9"/>
      <c r="WJX108" s="9"/>
      <c r="WJY108" s="9"/>
      <c r="WJZ108" s="9"/>
      <c r="WKA108" s="9"/>
      <c r="WKB108" s="9"/>
      <c r="WKC108" s="9"/>
      <c r="WKD108" s="9"/>
      <c r="WKE108" s="9"/>
      <c r="WKF108" s="9"/>
      <c r="WKG108" s="9"/>
      <c r="WKH108" s="9"/>
      <c r="WKI108" s="9"/>
      <c r="WKJ108" s="9"/>
      <c r="WKK108" s="9"/>
      <c r="WKL108" s="9"/>
      <c r="WKM108" s="9"/>
      <c r="WKN108" s="9"/>
      <c r="WKO108" s="9"/>
      <c r="WKP108" s="9"/>
      <c r="WKQ108" s="9"/>
      <c r="WKR108" s="9"/>
      <c r="WKS108" s="9"/>
      <c r="WKT108" s="9"/>
      <c r="WKU108" s="9"/>
      <c r="WKV108" s="9"/>
      <c r="WKW108" s="9"/>
      <c r="WKX108" s="9"/>
      <c r="WKY108" s="9"/>
      <c r="WKZ108" s="9"/>
      <c r="WLA108" s="9"/>
      <c r="WLB108" s="9"/>
      <c r="WLC108" s="9"/>
      <c r="WLD108" s="9"/>
      <c r="WLE108" s="9"/>
      <c r="WLF108" s="9"/>
      <c r="WLG108" s="9"/>
      <c r="WLH108" s="9"/>
      <c r="WLI108" s="9"/>
      <c r="WLJ108" s="9"/>
      <c r="WLK108" s="9"/>
      <c r="WLL108" s="9"/>
      <c r="WLM108" s="9"/>
      <c r="WLN108" s="9"/>
      <c r="WLO108" s="9"/>
      <c r="WLP108" s="9"/>
      <c r="WLQ108" s="9"/>
      <c r="WLR108" s="9"/>
      <c r="WLS108" s="9"/>
      <c r="WLT108" s="9"/>
      <c r="WLU108" s="9"/>
      <c r="WLV108" s="9"/>
      <c r="WLW108" s="9"/>
      <c r="WLX108" s="9"/>
      <c r="WLY108" s="9"/>
      <c r="WLZ108" s="9"/>
      <c r="WMA108" s="9"/>
      <c r="WMB108" s="9"/>
      <c r="WMC108" s="9"/>
      <c r="WMD108" s="9"/>
      <c r="WME108" s="9"/>
      <c r="WMF108" s="9"/>
      <c r="WMG108" s="9"/>
      <c r="WMH108" s="9"/>
      <c r="WMI108" s="9"/>
      <c r="WMJ108" s="9"/>
      <c r="WMK108" s="9"/>
      <c r="WML108" s="9"/>
      <c r="WMM108" s="9"/>
      <c r="WMN108" s="9"/>
      <c r="WMO108" s="9"/>
      <c r="WMP108" s="9"/>
      <c r="WMQ108" s="9"/>
      <c r="WMR108" s="9"/>
      <c r="WMS108" s="9"/>
      <c r="WMT108" s="9"/>
      <c r="WMU108" s="9"/>
      <c r="WMV108" s="9"/>
      <c r="WMW108" s="9"/>
      <c r="WMX108" s="9"/>
      <c r="WMY108" s="9"/>
      <c r="WMZ108" s="9"/>
      <c r="WNA108" s="9"/>
      <c r="WNB108" s="9"/>
      <c r="WNC108" s="9"/>
      <c r="WND108" s="9"/>
      <c r="WNE108" s="9"/>
      <c r="WNF108" s="9"/>
      <c r="WNG108" s="9"/>
      <c r="WNH108" s="9"/>
      <c r="WNI108" s="9"/>
      <c r="WNJ108" s="9"/>
      <c r="WNK108" s="9"/>
      <c r="WNL108" s="9"/>
      <c r="WNM108" s="9"/>
      <c r="WNN108" s="9"/>
      <c r="WNO108" s="9"/>
      <c r="WNP108" s="9"/>
      <c r="WNQ108" s="9"/>
      <c r="WNR108" s="9"/>
      <c r="WNS108" s="9"/>
      <c r="WNT108" s="9"/>
      <c r="WNU108" s="9"/>
      <c r="WNV108" s="9"/>
      <c r="WNW108" s="9"/>
      <c r="WNX108" s="9"/>
      <c r="WNY108" s="9"/>
      <c r="WNZ108" s="9"/>
      <c r="WOA108" s="9"/>
      <c r="WOB108" s="9"/>
      <c r="WOC108" s="9"/>
      <c r="WOD108" s="9"/>
      <c r="WOE108" s="9"/>
      <c r="WOF108" s="9"/>
      <c r="WOG108" s="9"/>
      <c r="WOH108" s="9"/>
      <c r="WOI108" s="9"/>
      <c r="WOJ108" s="9"/>
      <c r="WOK108" s="9"/>
      <c r="WOL108" s="9"/>
      <c r="WOM108" s="9"/>
      <c r="WON108" s="9"/>
      <c r="WOO108" s="9"/>
      <c r="WOP108" s="9"/>
      <c r="WOQ108" s="9"/>
      <c r="WOR108" s="9"/>
      <c r="WOS108" s="9"/>
      <c r="WOT108" s="9"/>
      <c r="WOU108" s="9"/>
      <c r="WOV108" s="9"/>
      <c r="WOW108" s="9"/>
      <c r="WOX108" s="9"/>
      <c r="WOY108" s="9"/>
      <c r="WOZ108" s="9"/>
      <c r="WPA108" s="9"/>
      <c r="WPB108" s="9"/>
      <c r="WPC108" s="9"/>
      <c r="WPD108" s="9"/>
      <c r="WPE108" s="9"/>
      <c r="WPF108" s="9"/>
      <c r="WPG108" s="9"/>
      <c r="WPH108" s="9"/>
      <c r="WPI108" s="9"/>
      <c r="WPJ108" s="9"/>
      <c r="WPK108" s="9"/>
      <c r="WPL108" s="9"/>
      <c r="WPM108" s="9"/>
      <c r="WPN108" s="9"/>
      <c r="WPO108" s="9"/>
      <c r="WPP108" s="9"/>
      <c r="WPQ108" s="9"/>
      <c r="WPR108" s="9"/>
      <c r="WPS108" s="9"/>
      <c r="WPT108" s="9"/>
      <c r="WPU108" s="9"/>
      <c r="WPV108" s="9"/>
      <c r="WPW108" s="9"/>
      <c r="WPX108" s="9"/>
      <c r="WPY108" s="9"/>
      <c r="WPZ108" s="9"/>
      <c r="WQA108" s="9"/>
      <c r="WQB108" s="9"/>
      <c r="WQC108" s="9"/>
      <c r="WQD108" s="9"/>
      <c r="WQE108" s="9"/>
      <c r="WQF108" s="9"/>
      <c r="WQG108" s="9"/>
      <c r="WQH108" s="9"/>
      <c r="WQI108" s="9"/>
      <c r="WQJ108" s="9"/>
      <c r="WQK108" s="9"/>
      <c r="WQL108" s="9"/>
      <c r="WQM108" s="9"/>
      <c r="WQN108" s="9"/>
      <c r="WQO108" s="9"/>
      <c r="WQP108" s="9"/>
      <c r="WQQ108" s="9"/>
      <c r="WQR108" s="9"/>
      <c r="WQS108" s="9"/>
      <c r="WQT108" s="9"/>
      <c r="WQU108" s="9"/>
      <c r="WQV108" s="9"/>
      <c r="WQW108" s="9"/>
      <c r="WQX108" s="9"/>
      <c r="WQY108" s="9"/>
      <c r="WQZ108" s="9"/>
      <c r="WRA108" s="9"/>
      <c r="WRB108" s="9"/>
      <c r="WRC108" s="9"/>
      <c r="WRD108" s="9"/>
      <c r="WRE108" s="9"/>
      <c r="WRF108" s="9"/>
      <c r="WRG108" s="9"/>
      <c r="WRH108" s="9"/>
      <c r="WRI108" s="9"/>
      <c r="WRJ108" s="9"/>
      <c r="WRK108" s="9"/>
      <c r="WRL108" s="9"/>
      <c r="WRM108" s="9"/>
      <c r="WRN108" s="9"/>
      <c r="WRO108" s="9"/>
      <c r="WRP108" s="9"/>
      <c r="WRQ108" s="9"/>
      <c r="WRR108" s="9"/>
      <c r="WRS108" s="9"/>
      <c r="WRT108" s="9"/>
      <c r="WRU108" s="9"/>
      <c r="WRV108" s="9"/>
      <c r="WRW108" s="9"/>
      <c r="WRX108" s="9"/>
      <c r="WRY108" s="9"/>
      <c r="WRZ108" s="9"/>
      <c r="WSA108" s="9"/>
      <c r="WSB108" s="9"/>
      <c r="WSC108" s="9"/>
      <c r="WSD108" s="9"/>
      <c r="WSE108" s="9"/>
      <c r="WSF108" s="9"/>
      <c r="WSG108" s="9"/>
      <c r="WSH108" s="9"/>
      <c r="WSI108" s="9"/>
      <c r="WSJ108" s="9"/>
      <c r="WSK108" s="9"/>
      <c r="WSL108" s="9"/>
      <c r="WSM108" s="9"/>
      <c r="WSN108" s="9"/>
      <c r="WSO108" s="9"/>
      <c r="WSP108" s="9"/>
      <c r="WSQ108" s="9"/>
      <c r="WSR108" s="9"/>
      <c r="WSS108" s="9"/>
      <c r="WST108" s="9"/>
      <c r="WSU108" s="9"/>
      <c r="WSV108" s="9"/>
      <c r="WSW108" s="9"/>
      <c r="WSX108" s="9"/>
      <c r="WSY108" s="9"/>
      <c r="WSZ108" s="9"/>
      <c r="WTA108" s="9"/>
      <c r="WTB108" s="9"/>
      <c r="WTC108" s="9"/>
      <c r="WTD108" s="9"/>
      <c r="WTE108" s="9"/>
      <c r="WTF108" s="9"/>
      <c r="WTG108" s="9"/>
      <c r="WTH108" s="9"/>
      <c r="WTI108" s="9"/>
      <c r="WTJ108" s="9"/>
      <c r="WTK108" s="9"/>
      <c r="WTL108" s="9"/>
      <c r="WTM108" s="9"/>
      <c r="WTN108" s="9"/>
      <c r="WTO108" s="9"/>
      <c r="WTP108" s="9"/>
      <c r="WTQ108" s="9"/>
      <c r="WTR108" s="9"/>
      <c r="WTS108" s="9"/>
      <c r="WTT108" s="9"/>
      <c r="WTU108" s="9"/>
      <c r="WTV108" s="9"/>
      <c r="WTW108" s="9"/>
      <c r="WTX108" s="9"/>
      <c r="WTY108" s="9"/>
      <c r="WTZ108" s="9"/>
      <c r="WUA108" s="9"/>
      <c r="WUB108" s="9"/>
      <c r="WUC108" s="9"/>
      <c r="WUD108" s="9"/>
      <c r="WUE108" s="9"/>
      <c r="WUF108" s="9"/>
      <c r="WUG108" s="9"/>
      <c r="WUH108" s="9"/>
      <c r="WUI108" s="9"/>
      <c r="WUJ108" s="9"/>
      <c r="WUK108" s="9"/>
      <c r="WUL108" s="9"/>
      <c r="WUM108" s="9"/>
      <c r="WUN108" s="9"/>
      <c r="WUO108" s="9"/>
      <c r="WUP108" s="9"/>
      <c r="WUQ108" s="9"/>
      <c r="WUR108" s="9"/>
      <c r="WUS108" s="9"/>
      <c r="WUT108" s="9"/>
      <c r="WUU108" s="9"/>
      <c r="WUV108" s="9"/>
      <c r="WUW108" s="9"/>
      <c r="WUX108" s="9"/>
      <c r="WUY108" s="9"/>
      <c r="WUZ108" s="9"/>
      <c r="WVA108" s="9"/>
      <c r="WVB108" s="9"/>
      <c r="WVC108" s="9"/>
      <c r="WVD108" s="9"/>
      <c r="WVE108" s="9"/>
      <c r="WVF108" s="9"/>
      <c r="WVG108" s="9"/>
      <c r="WVH108" s="9"/>
      <c r="WVI108" s="9"/>
      <c r="WVJ108" s="9"/>
      <c r="WVK108" s="9"/>
      <c r="WVL108" s="9"/>
      <c r="WVM108" s="9"/>
      <c r="WVN108" s="9"/>
      <c r="WVO108" s="9"/>
      <c r="WVP108" s="9"/>
      <c r="WVQ108" s="9"/>
      <c r="WVR108" s="9"/>
      <c r="WVS108" s="9"/>
      <c r="WVT108" s="9"/>
      <c r="WVU108" s="9"/>
    </row>
    <row r="109" spans="1:16141">
      <c r="B109" s="346"/>
      <c r="C109" s="371"/>
      <c r="D109" s="371"/>
      <c r="E109" s="372"/>
      <c r="F109" s="372"/>
      <c r="G109" s="1045"/>
      <c r="H109" s="946"/>
      <c r="I109" s="877"/>
      <c r="J109" s="878"/>
      <c r="K109" s="546"/>
      <c r="L109" s="596"/>
      <c r="M109" s="331"/>
      <c r="N109" s="331"/>
      <c r="O109" s="59"/>
      <c r="P109" s="59"/>
      <c r="Q109" s="399">
        <f>K109</f>
        <v>0</v>
      </c>
      <c r="R109" s="59"/>
      <c r="S109" s="1689"/>
      <c r="T109" s="1689"/>
    </row>
    <row r="110" spans="1:16141">
      <c r="B110" s="427">
        <v>5</v>
      </c>
      <c r="C110" s="2918">
        <v>2</v>
      </c>
      <c r="D110" s="2918">
        <v>2</v>
      </c>
      <c r="E110" s="428" t="s">
        <v>44</v>
      </c>
      <c r="F110" s="2918"/>
      <c r="G110" s="366" t="s">
        <v>45</v>
      </c>
      <c r="H110" s="956"/>
      <c r="I110" s="2918"/>
      <c r="J110" s="820"/>
      <c r="K110" s="370">
        <f>K111+K114+K117+K120+K123</f>
        <v>287400000</v>
      </c>
      <c r="L110" s="596"/>
      <c r="M110" s="331"/>
      <c r="N110" s="331"/>
      <c r="O110" s="332"/>
      <c r="P110" s="332"/>
      <c r="Q110" s="399"/>
      <c r="R110" s="59"/>
      <c r="S110" s="1689"/>
      <c r="T110" s="1689"/>
    </row>
    <row r="111" spans="1:16141">
      <c r="B111" s="36">
        <v>5</v>
      </c>
      <c r="C111" s="37">
        <v>2</v>
      </c>
      <c r="D111" s="37">
        <v>2</v>
      </c>
      <c r="E111" s="38" t="s">
        <v>44</v>
      </c>
      <c r="F111" s="65" t="s">
        <v>81</v>
      </c>
      <c r="G111" s="48" t="s">
        <v>135</v>
      </c>
      <c r="H111" s="856"/>
      <c r="I111" s="17"/>
      <c r="J111" s="454"/>
      <c r="K111" s="47">
        <f>SUM(K112:K113)</f>
        <v>18000000</v>
      </c>
      <c r="L111" s="822"/>
      <c r="M111" s="831"/>
      <c r="N111" s="835"/>
      <c r="O111" s="824"/>
      <c r="P111" s="824"/>
      <c r="Q111" s="824"/>
      <c r="R111" s="824"/>
      <c r="S111" s="1693"/>
      <c r="T111" s="1693"/>
    </row>
    <row r="112" spans="1:16141">
      <c r="B112" s="1192"/>
      <c r="C112" s="40"/>
      <c r="D112" s="40"/>
      <c r="E112" s="1193"/>
      <c r="F112" s="863"/>
      <c r="G112" s="108" t="s">
        <v>2124</v>
      </c>
      <c r="H112" s="862">
        <v>1</v>
      </c>
      <c r="I112" s="102" t="s">
        <v>147</v>
      </c>
      <c r="J112" s="1194">
        <v>18000000</v>
      </c>
      <c r="K112" s="130">
        <f t="shared" ref="K112" si="16">H112*J112</f>
        <v>18000000</v>
      </c>
      <c r="L112" s="822"/>
      <c r="M112" s="834"/>
      <c r="N112" s="835"/>
      <c r="O112" s="824"/>
      <c r="P112" s="824"/>
      <c r="Q112" s="2901">
        <f>K112</f>
        <v>18000000</v>
      </c>
      <c r="R112" s="824"/>
      <c r="S112" s="2908">
        <f t="shared" ref="S112" si="17">Q112</f>
        <v>18000000</v>
      </c>
      <c r="T112" s="1693"/>
    </row>
    <row r="113" spans="2:21">
      <c r="B113" s="970"/>
      <c r="C113" s="383"/>
      <c r="D113" s="383"/>
      <c r="E113" s="968"/>
      <c r="F113" s="855"/>
      <c r="G113" s="108"/>
      <c r="H113" s="862"/>
      <c r="I113" s="102"/>
      <c r="J113" s="1194"/>
      <c r="K113" s="130"/>
      <c r="L113" s="837"/>
      <c r="M113" s="834"/>
      <c r="N113" s="835"/>
      <c r="O113" s="838"/>
      <c r="P113" s="838"/>
      <c r="Q113" s="838"/>
      <c r="R113" s="838"/>
      <c r="S113" s="1693"/>
      <c r="T113" s="1693"/>
    </row>
    <row r="114" spans="2:21">
      <c r="B114" s="427">
        <v>5</v>
      </c>
      <c r="C114" s="2918">
        <v>2</v>
      </c>
      <c r="D114" s="2918">
        <v>2</v>
      </c>
      <c r="E114" s="428" t="s">
        <v>44</v>
      </c>
      <c r="F114" s="430" t="s">
        <v>79</v>
      </c>
      <c r="G114" s="366" t="s">
        <v>649</v>
      </c>
      <c r="H114" s="956"/>
      <c r="I114" s="2918"/>
      <c r="J114" s="820"/>
      <c r="K114" s="370">
        <f>SUM(K115)</f>
        <v>5000000</v>
      </c>
      <c r="L114" s="596"/>
      <c r="M114" s="331"/>
      <c r="N114" s="331"/>
      <c r="O114" s="332"/>
      <c r="P114" s="332"/>
      <c r="Q114" s="399"/>
      <c r="R114" s="59"/>
      <c r="S114" s="1689"/>
      <c r="T114" s="1689"/>
    </row>
    <row r="115" spans="2:21">
      <c r="B115" s="427"/>
      <c r="C115" s="2918"/>
      <c r="D115" s="2918"/>
      <c r="E115" s="428"/>
      <c r="F115" s="2918"/>
      <c r="G115" s="2923" t="s">
        <v>650</v>
      </c>
      <c r="H115" s="933">
        <v>1</v>
      </c>
      <c r="I115" s="383" t="s">
        <v>29</v>
      </c>
      <c r="J115" s="456">
        <v>5000000</v>
      </c>
      <c r="K115" s="457">
        <f>H115*J115</f>
        <v>5000000</v>
      </c>
      <c r="L115" s="596"/>
      <c r="M115" s="331"/>
      <c r="N115" s="331"/>
      <c r="O115" s="332"/>
      <c r="P115" s="332"/>
      <c r="Q115" s="399">
        <f>K115</f>
        <v>5000000</v>
      </c>
      <c r="R115" s="59"/>
      <c r="S115" s="1689"/>
      <c r="T115" s="1689">
        <f t="shared" ref="T115" si="18">Q115</f>
        <v>5000000</v>
      </c>
    </row>
    <row r="116" spans="2:21">
      <c r="B116" s="427"/>
      <c r="C116" s="2918"/>
      <c r="D116" s="2918"/>
      <c r="E116" s="428"/>
      <c r="F116" s="2918"/>
      <c r="G116" s="2923"/>
      <c r="H116" s="933"/>
      <c r="I116" s="383"/>
      <c r="J116" s="456"/>
      <c r="K116" s="457"/>
      <c r="L116" s="596"/>
      <c r="M116" s="596"/>
      <c r="N116" s="471"/>
      <c r="O116" s="472"/>
      <c r="P116" s="472"/>
      <c r="Q116" s="473"/>
      <c r="R116" s="474"/>
      <c r="S116" s="1689"/>
      <c r="T116" s="1689"/>
    </row>
    <row r="117" spans="2:21">
      <c r="B117" s="427">
        <v>5</v>
      </c>
      <c r="C117" s="2918">
        <v>2</v>
      </c>
      <c r="D117" s="2918">
        <v>2</v>
      </c>
      <c r="E117" s="428" t="s">
        <v>44</v>
      </c>
      <c r="F117" s="430">
        <v>12</v>
      </c>
      <c r="G117" s="366" t="s">
        <v>1993</v>
      </c>
      <c r="H117" s="956"/>
      <c r="I117" s="2918"/>
      <c r="J117" s="820"/>
      <c r="K117" s="370">
        <f>SUM(K118)</f>
        <v>115000000</v>
      </c>
      <c r="L117" s="596"/>
      <c r="M117" s="331"/>
      <c r="N117" s="331"/>
      <c r="O117" s="332"/>
      <c r="P117" s="332"/>
      <c r="Q117" s="399"/>
      <c r="R117" s="59"/>
      <c r="S117" s="1689"/>
      <c r="T117" s="1689"/>
    </row>
    <row r="118" spans="2:21" ht="15">
      <c r="B118" s="1652"/>
      <c r="C118" s="1653"/>
      <c r="D118" s="1653"/>
      <c r="E118" s="2004"/>
      <c r="F118" s="2004"/>
      <c r="G118" s="1654" t="s">
        <v>2127</v>
      </c>
      <c r="H118" s="1663">
        <v>1</v>
      </c>
      <c r="I118" s="1653" t="s">
        <v>29</v>
      </c>
      <c r="J118" s="1655">
        <v>115000000</v>
      </c>
      <c r="K118" s="93">
        <f>H118*J118</f>
        <v>115000000</v>
      </c>
      <c r="L118" s="305"/>
      <c r="M118" s="928"/>
      <c r="N118" s="309"/>
      <c r="O118" s="306"/>
      <c r="P118" s="306"/>
      <c r="Q118" s="399">
        <f t="shared" ref="Q118" si="19">K118</f>
        <v>115000000</v>
      </c>
      <c r="R118" s="1687"/>
      <c r="S118" s="2908">
        <f t="shared" ref="S118" si="20">Q118</f>
        <v>115000000</v>
      </c>
      <c r="T118" s="1689"/>
      <c r="U118" s="41"/>
    </row>
    <row r="119" spans="2:21" ht="15">
      <c r="B119" s="1652"/>
      <c r="C119" s="1653"/>
      <c r="D119" s="1653"/>
      <c r="E119" s="2004"/>
      <c r="F119" s="2004"/>
      <c r="G119" s="1654"/>
      <c r="H119" s="1663"/>
      <c r="I119" s="1653"/>
      <c r="J119" s="1655"/>
      <c r="K119" s="2276"/>
      <c r="L119" s="564"/>
      <c r="M119" s="809"/>
      <c r="N119" s="1822"/>
      <c r="O119" s="1668"/>
      <c r="P119" s="1668"/>
      <c r="Q119" s="1658"/>
      <c r="R119" s="1687"/>
      <c r="S119" s="1689"/>
      <c r="T119" s="1689"/>
      <c r="U119" s="41"/>
    </row>
    <row r="120" spans="2:21" s="76" customFormat="1" ht="15">
      <c r="B120" s="429">
        <v>5</v>
      </c>
      <c r="C120" s="2920">
        <v>2</v>
      </c>
      <c r="D120" s="2920">
        <v>2</v>
      </c>
      <c r="E120" s="430" t="s">
        <v>44</v>
      </c>
      <c r="F120" s="430">
        <v>13</v>
      </c>
      <c r="G120" s="958" t="s">
        <v>127</v>
      </c>
      <c r="H120" s="646"/>
      <c r="I120" s="1100"/>
      <c r="J120" s="456"/>
      <c r="K120" s="1046">
        <f>SUM(K121:K122)</f>
        <v>2800000</v>
      </c>
      <c r="L120" s="564"/>
      <c r="M120" s="569"/>
      <c r="N120" s="378"/>
      <c r="O120" s="378"/>
      <c r="P120" s="378"/>
      <c r="Q120" s="810"/>
      <c r="R120" s="378"/>
      <c r="S120" s="1971"/>
      <c r="T120" s="1971"/>
    </row>
    <row r="121" spans="2:21" s="76" customFormat="1" ht="15">
      <c r="B121" s="429"/>
      <c r="C121" s="2920"/>
      <c r="D121" s="2920"/>
      <c r="E121" s="430"/>
      <c r="F121" s="430"/>
      <c r="G121" s="851" t="s">
        <v>996</v>
      </c>
      <c r="H121" s="646">
        <v>28</v>
      </c>
      <c r="I121" s="1100" t="s">
        <v>107</v>
      </c>
      <c r="J121" s="456">
        <v>100000</v>
      </c>
      <c r="K121" s="465">
        <f>J121*H121</f>
        <v>2800000</v>
      </c>
      <c r="L121" s="564"/>
      <c r="M121" s="569"/>
      <c r="N121" s="378"/>
      <c r="O121" s="378"/>
      <c r="P121" s="378"/>
      <c r="Q121" s="415">
        <f>K121</f>
        <v>2800000</v>
      </c>
      <c r="R121" s="378"/>
      <c r="S121" s="1971"/>
      <c r="T121" s="1689">
        <f t="shared" ref="T121" si="21">Q121</f>
        <v>2800000</v>
      </c>
    </row>
    <row r="122" spans="2:21" s="76" customFormat="1" ht="15">
      <c r="B122" s="1713"/>
      <c r="C122" s="1706"/>
      <c r="D122" s="1706"/>
      <c r="E122" s="1707"/>
      <c r="F122" s="1707"/>
      <c r="G122" s="869"/>
      <c r="H122" s="867"/>
      <c r="I122" s="868"/>
      <c r="J122" s="926"/>
      <c r="K122" s="633"/>
      <c r="L122" s="564"/>
      <c r="M122" s="569"/>
      <c r="N122" s="1668"/>
      <c r="O122" s="1668"/>
      <c r="P122" s="1668"/>
      <c r="Q122" s="2190"/>
      <c r="R122" s="1668"/>
      <c r="S122" s="1971"/>
      <c r="T122" s="1971"/>
    </row>
    <row r="123" spans="2:21">
      <c r="B123" s="427">
        <v>5</v>
      </c>
      <c r="C123" s="2918">
        <v>2</v>
      </c>
      <c r="D123" s="2918">
        <v>2</v>
      </c>
      <c r="E123" s="428" t="s">
        <v>44</v>
      </c>
      <c r="F123" s="2918" t="s">
        <v>994</v>
      </c>
      <c r="G123" s="366" t="s">
        <v>2141</v>
      </c>
      <c r="H123" s="933"/>
      <c r="I123" s="383"/>
      <c r="J123" s="456"/>
      <c r="K123" s="370">
        <f>SUM(K124:K127)</f>
        <v>146600000</v>
      </c>
      <c r="L123" s="596"/>
      <c r="M123" s="596"/>
      <c r="N123" s="471"/>
      <c r="O123" s="472"/>
      <c r="P123" s="472"/>
      <c r="Q123" s="473"/>
      <c r="R123" s="474"/>
      <c r="S123" s="1689"/>
      <c r="T123" s="1689"/>
    </row>
    <row r="124" spans="2:21" ht="25.5">
      <c r="B124" s="427"/>
      <c r="C124" s="2918"/>
      <c r="D124" s="2918"/>
      <c r="E124" s="428"/>
      <c r="F124" s="2918"/>
      <c r="G124" s="2923" t="s">
        <v>995</v>
      </c>
      <c r="H124" s="616">
        <v>1</v>
      </c>
      <c r="I124" s="383" t="s">
        <v>29</v>
      </c>
      <c r="J124" s="1101">
        <v>5000000</v>
      </c>
      <c r="K124" s="1047">
        <f>J124*H124</f>
        <v>5000000</v>
      </c>
      <c r="L124" s="596"/>
      <c r="M124" s="596"/>
      <c r="N124" s="471"/>
      <c r="O124" s="472"/>
      <c r="P124" s="472"/>
      <c r="Q124" s="1102">
        <f>K124</f>
        <v>5000000</v>
      </c>
      <c r="R124" s="474"/>
      <c r="S124" s="1689"/>
      <c r="T124" s="1689">
        <f t="shared" ref="T124:T125" si="22">Q124</f>
        <v>5000000</v>
      </c>
    </row>
    <row r="125" spans="2:21">
      <c r="B125" s="1694"/>
      <c r="C125" s="1682"/>
      <c r="D125" s="1682"/>
      <c r="E125" s="1695"/>
      <c r="F125" s="1682"/>
      <c r="G125" s="1654" t="s">
        <v>1862</v>
      </c>
      <c r="H125" s="1696">
        <v>1</v>
      </c>
      <c r="I125" s="2061" t="s">
        <v>29</v>
      </c>
      <c r="J125" s="2195">
        <v>6000000</v>
      </c>
      <c r="K125" s="633">
        <f>J125*H125</f>
        <v>6000000</v>
      </c>
      <c r="L125" s="842"/>
      <c r="M125" s="822"/>
      <c r="N125" s="822"/>
      <c r="O125" s="822"/>
      <c r="P125" s="822"/>
      <c r="Q125" s="830">
        <f>K125</f>
        <v>6000000</v>
      </c>
      <c r="R125" s="1693"/>
      <c r="S125" s="1689"/>
      <c r="T125" s="1689">
        <f t="shared" si="22"/>
        <v>6000000</v>
      </c>
    </row>
    <row r="126" spans="2:21">
      <c r="B126" s="1694"/>
      <c r="C126" s="1682"/>
      <c r="D126" s="1682"/>
      <c r="E126" s="1695"/>
      <c r="F126" s="1682"/>
      <c r="G126" s="1654" t="s">
        <v>2143</v>
      </c>
      <c r="H126" s="1696">
        <v>1</v>
      </c>
      <c r="I126" s="2061" t="s">
        <v>29</v>
      </c>
      <c r="J126" s="2195">
        <f>(20*9*30*25000)+600000</f>
        <v>135600000</v>
      </c>
      <c r="K126" s="633">
        <f>J126*H126</f>
        <v>135600000</v>
      </c>
      <c r="L126" s="842"/>
      <c r="M126" s="822"/>
      <c r="N126" s="822"/>
      <c r="O126" s="822"/>
      <c r="P126" s="822"/>
      <c r="Q126" s="830">
        <f>K126</f>
        <v>135600000</v>
      </c>
      <c r="R126" s="1693"/>
      <c r="S126" s="1689"/>
      <c r="T126" s="1689">
        <f t="shared" ref="T126" si="23">Q126</f>
        <v>135600000</v>
      </c>
    </row>
    <row r="127" spans="2:21">
      <c r="B127" s="1694"/>
      <c r="C127" s="1682"/>
      <c r="D127" s="1682"/>
      <c r="E127" s="1695"/>
      <c r="F127" s="1682"/>
      <c r="G127" s="1654"/>
      <c r="H127" s="1696"/>
      <c r="I127" s="2061"/>
      <c r="J127" s="2195"/>
      <c r="K127" s="633"/>
      <c r="L127" s="842"/>
      <c r="M127" s="842"/>
      <c r="N127" s="1686"/>
      <c r="O127" s="1686"/>
      <c r="P127" s="1686"/>
      <c r="Q127" s="2877"/>
      <c r="R127" s="1693"/>
      <c r="S127" s="1689"/>
      <c r="T127" s="1689"/>
    </row>
    <row r="128" spans="2:21">
      <c r="B128" s="43">
        <v>5</v>
      </c>
      <c r="C128" s="17">
        <v>2</v>
      </c>
      <c r="D128" s="17">
        <v>2</v>
      </c>
      <c r="E128" s="65" t="s">
        <v>66</v>
      </c>
      <c r="F128" s="17"/>
      <c r="G128" s="44" t="s">
        <v>101</v>
      </c>
      <c r="H128" s="1696"/>
      <c r="I128" s="2061"/>
      <c r="J128" s="2195"/>
      <c r="K128" s="629">
        <f>K129</f>
        <v>20000000</v>
      </c>
      <c r="L128" s="842"/>
      <c r="M128" s="842"/>
      <c r="N128" s="1686"/>
      <c r="O128" s="1686"/>
      <c r="P128" s="1686"/>
      <c r="Q128" s="2877"/>
      <c r="R128" s="1693"/>
      <c r="S128" s="1689"/>
      <c r="T128" s="1689"/>
    </row>
    <row r="129" spans="2:20">
      <c r="B129" s="19">
        <v>5</v>
      </c>
      <c r="C129" s="15">
        <v>2</v>
      </c>
      <c r="D129" s="15">
        <v>2</v>
      </c>
      <c r="E129" s="28" t="s">
        <v>66</v>
      </c>
      <c r="F129" s="28" t="s">
        <v>24</v>
      </c>
      <c r="G129" s="48" t="s">
        <v>102</v>
      </c>
      <c r="H129" s="1696"/>
      <c r="I129" s="2061"/>
      <c r="J129" s="2195"/>
      <c r="K129" s="629">
        <f>SUM(K130:K131)</f>
        <v>20000000</v>
      </c>
      <c r="L129" s="842"/>
      <c r="M129" s="842"/>
      <c r="N129" s="1686"/>
      <c r="O129" s="1686"/>
      <c r="P129" s="1686"/>
      <c r="Q129" s="2877"/>
      <c r="R129" s="1693"/>
      <c r="S129" s="1689"/>
      <c r="T129" s="1689"/>
    </row>
    <row r="130" spans="2:20">
      <c r="B130" s="1694"/>
      <c r="C130" s="1682"/>
      <c r="D130" s="1682"/>
      <c r="E130" s="1695"/>
      <c r="F130" s="1682"/>
      <c r="G130" s="1654" t="s">
        <v>2106</v>
      </c>
      <c r="H130" s="1696">
        <v>1000</v>
      </c>
      <c r="I130" s="2061" t="s">
        <v>1274</v>
      </c>
      <c r="J130" s="2195">
        <v>20000</v>
      </c>
      <c r="K130" s="633">
        <f>J130*H130</f>
        <v>20000000</v>
      </c>
      <c r="L130" s="842"/>
      <c r="M130" s="822"/>
      <c r="N130" s="822"/>
      <c r="O130" s="822"/>
      <c r="P130" s="822"/>
      <c r="Q130" s="830">
        <f>K130</f>
        <v>20000000</v>
      </c>
      <c r="R130" s="1693"/>
      <c r="S130" s="2908">
        <f t="shared" ref="S130" si="24">Q130</f>
        <v>20000000</v>
      </c>
      <c r="T130" s="1689"/>
    </row>
    <row r="131" spans="2:20">
      <c r="B131" s="1694"/>
      <c r="C131" s="1682"/>
      <c r="D131" s="1682"/>
      <c r="E131" s="1695"/>
      <c r="F131" s="1682"/>
      <c r="G131" s="1654"/>
      <c r="H131" s="1696"/>
      <c r="I131" s="2061"/>
      <c r="J131" s="2195"/>
      <c r="K131" s="633"/>
      <c r="L131" s="842"/>
      <c r="M131" s="842"/>
      <c r="N131" s="1686"/>
      <c r="O131" s="1686"/>
      <c r="P131" s="1686"/>
      <c r="Q131" s="2877"/>
      <c r="R131" s="1693"/>
      <c r="S131" s="1689"/>
      <c r="T131" s="1689"/>
    </row>
    <row r="132" spans="2:20" ht="15">
      <c r="B132" s="427">
        <v>5</v>
      </c>
      <c r="C132" s="2918">
        <v>2</v>
      </c>
      <c r="D132" s="2918">
        <v>2</v>
      </c>
      <c r="E132" s="428">
        <v>10</v>
      </c>
      <c r="F132" s="2918"/>
      <c r="G132" s="366" t="s">
        <v>1079</v>
      </c>
      <c r="H132" s="956"/>
      <c r="I132" s="2918"/>
      <c r="J132" s="820"/>
      <c r="K132" s="370">
        <f>K133</f>
        <v>18000000</v>
      </c>
      <c r="L132" s="564"/>
      <c r="M132" s="564"/>
      <c r="N132" s="377"/>
      <c r="O132" s="377"/>
      <c r="P132" s="377"/>
      <c r="Q132" s="810"/>
      <c r="R132" s="385"/>
      <c r="S132" s="1693"/>
      <c r="T132" s="1693"/>
    </row>
    <row r="133" spans="2:20" ht="15">
      <c r="B133" s="429">
        <v>5</v>
      </c>
      <c r="C133" s="2920">
        <v>2</v>
      </c>
      <c r="D133" s="2920">
        <v>2</v>
      </c>
      <c r="E133" s="430">
        <v>10</v>
      </c>
      <c r="F133" s="430" t="s">
        <v>25</v>
      </c>
      <c r="G133" s="381" t="s">
        <v>1080</v>
      </c>
      <c r="H133" s="593"/>
      <c r="I133" s="650"/>
      <c r="J133" s="1250"/>
      <c r="K133" s="431">
        <f>SUM(K134:K134)</f>
        <v>18000000</v>
      </c>
      <c r="L133" s="564"/>
      <c r="M133" s="564"/>
      <c r="N133" s="377"/>
      <c r="O133" s="377"/>
      <c r="P133" s="377"/>
      <c r="Q133" s="810"/>
      <c r="R133" s="385"/>
      <c r="S133" s="1693"/>
      <c r="T133" s="1693"/>
    </row>
    <row r="134" spans="2:20" ht="15">
      <c r="B134" s="458"/>
      <c r="C134" s="380"/>
      <c r="D134" s="380"/>
      <c r="E134" s="459"/>
      <c r="F134" s="459"/>
      <c r="G134" s="373" t="s">
        <v>1081</v>
      </c>
      <c r="H134" s="594">
        <v>6</v>
      </c>
      <c r="I134" s="932" t="s">
        <v>1082</v>
      </c>
      <c r="J134" s="1103">
        <v>3000000</v>
      </c>
      <c r="K134" s="578">
        <f>H134*J134</f>
        <v>18000000</v>
      </c>
      <c r="L134" s="564"/>
      <c r="M134" s="564"/>
      <c r="N134" s="377"/>
      <c r="O134" s="377"/>
      <c r="P134" s="377"/>
      <c r="Q134" s="415">
        <f>K134</f>
        <v>18000000</v>
      </c>
      <c r="R134" s="385"/>
      <c r="S134" s="1693"/>
      <c r="T134" s="1689">
        <f t="shared" ref="T134" si="25">Q134</f>
        <v>18000000</v>
      </c>
    </row>
    <row r="135" spans="2:20">
      <c r="B135" s="458"/>
      <c r="C135" s="380"/>
      <c r="D135" s="380"/>
      <c r="E135" s="459"/>
      <c r="F135" s="459"/>
      <c r="G135" s="373"/>
      <c r="H135" s="594"/>
      <c r="I135" s="932"/>
      <c r="J135" s="1103"/>
      <c r="K135" s="578"/>
      <c r="L135" s="564"/>
      <c r="M135" s="564"/>
      <c r="N135" s="377"/>
      <c r="O135" s="377"/>
      <c r="P135" s="377"/>
      <c r="Q135" s="385"/>
      <c r="R135" s="385"/>
      <c r="S135" s="1693"/>
      <c r="T135" s="1693"/>
    </row>
    <row r="136" spans="2:20" ht="15">
      <c r="B136" s="346">
        <v>5</v>
      </c>
      <c r="C136" s="371">
        <v>2</v>
      </c>
      <c r="D136" s="371">
        <v>2</v>
      </c>
      <c r="E136" s="372">
        <v>11</v>
      </c>
      <c r="F136" s="428"/>
      <c r="G136" s="381" t="s">
        <v>182</v>
      </c>
      <c r="H136" s="956"/>
      <c r="I136" s="2918"/>
      <c r="J136" s="820"/>
      <c r="K136" s="610">
        <f>K137+K144</f>
        <v>1882707850</v>
      </c>
      <c r="L136" s="596"/>
      <c r="M136" s="596"/>
      <c r="N136" s="471"/>
      <c r="O136" s="472"/>
      <c r="P136" s="472"/>
      <c r="Q136" s="810"/>
      <c r="R136" s="474"/>
      <c r="S136" s="1689"/>
      <c r="T136" s="1689"/>
    </row>
    <row r="137" spans="2:20" ht="15">
      <c r="B137" s="43">
        <v>5</v>
      </c>
      <c r="C137" s="17">
        <v>2</v>
      </c>
      <c r="D137" s="17">
        <v>2</v>
      </c>
      <c r="E137" s="65">
        <v>11</v>
      </c>
      <c r="F137" s="65" t="s">
        <v>65</v>
      </c>
      <c r="G137" s="916" t="s">
        <v>648</v>
      </c>
      <c r="H137" s="2024"/>
      <c r="I137" s="1682"/>
      <c r="J137" s="2188"/>
      <c r="K137" s="2189">
        <f>SUM(K138:K143)</f>
        <v>126576000</v>
      </c>
      <c r="L137" s="596"/>
      <c r="M137" s="596"/>
      <c r="N137" s="1689"/>
      <c r="O137" s="1692"/>
      <c r="P137" s="1692"/>
      <c r="Q137" s="2190"/>
      <c r="R137" s="1693"/>
      <c r="S137" s="1689"/>
      <c r="T137" s="1689"/>
    </row>
    <row r="138" spans="2:20" ht="25.5">
      <c r="B138" s="2067"/>
      <c r="C138" s="2061"/>
      <c r="D138" s="2061"/>
      <c r="E138" s="2068"/>
      <c r="F138" s="2004"/>
      <c r="G138" s="1683" t="s">
        <v>1804</v>
      </c>
      <c r="H138" s="1696">
        <f>30*2*1</f>
        <v>60</v>
      </c>
      <c r="I138" s="2061" t="s">
        <v>278</v>
      </c>
      <c r="J138" s="2195">
        <v>30000</v>
      </c>
      <c r="K138" s="2442">
        <f t="shared" ref="K138:K139" si="26">H138*J138</f>
        <v>1800000</v>
      </c>
      <c r="L138" s="596"/>
      <c r="M138" s="596"/>
      <c r="N138" s="1689"/>
      <c r="O138" s="1692"/>
      <c r="P138" s="1692"/>
      <c r="Q138" s="415">
        <f t="shared" ref="Q138:Q139" si="27">K138</f>
        <v>1800000</v>
      </c>
      <c r="R138" s="1693"/>
      <c r="S138" s="2908">
        <f t="shared" ref="S138:S140" si="28">Q138</f>
        <v>1800000</v>
      </c>
      <c r="T138" s="1689"/>
    </row>
    <row r="139" spans="2:20" ht="25.5">
      <c r="B139" s="2067"/>
      <c r="C139" s="2061"/>
      <c r="D139" s="2061"/>
      <c r="E139" s="2068"/>
      <c r="F139" s="2004"/>
      <c r="G139" s="1683" t="s">
        <v>1805</v>
      </c>
      <c r="H139" s="1696">
        <f>30*2*2</f>
        <v>120</v>
      </c>
      <c r="I139" s="2061" t="s">
        <v>278</v>
      </c>
      <c r="J139" s="2195">
        <v>15000</v>
      </c>
      <c r="K139" s="2442">
        <f t="shared" si="26"/>
        <v>1800000</v>
      </c>
      <c r="L139" s="596"/>
      <c r="M139" s="596"/>
      <c r="N139" s="1689"/>
      <c r="O139" s="1692"/>
      <c r="P139" s="1692"/>
      <c r="Q139" s="415">
        <f t="shared" si="27"/>
        <v>1800000</v>
      </c>
      <c r="R139" s="1693"/>
      <c r="S139" s="2908">
        <f t="shared" si="28"/>
        <v>1800000</v>
      </c>
      <c r="T139" s="1689"/>
    </row>
    <row r="140" spans="2:20" ht="15">
      <c r="B140" s="2067"/>
      <c r="C140" s="2061"/>
      <c r="D140" s="2061"/>
      <c r="E140" s="2068"/>
      <c r="F140" s="2004"/>
      <c r="G140" s="1683" t="s">
        <v>2038</v>
      </c>
      <c r="H140" s="1696">
        <f>15*50</f>
        <v>750</v>
      </c>
      <c r="I140" s="2061" t="s">
        <v>278</v>
      </c>
      <c r="J140" s="2195">
        <v>15000</v>
      </c>
      <c r="K140" s="2442">
        <f t="shared" ref="K140" si="29">H140*J140</f>
        <v>11250000</v>
      </c>
      <c r="L140" s="596"/>
      <c r="M140" s="596"/>
      <c r="N140" s="1689"/>
      <c r="O140" s="1692"/>
      <c r="P140" s="1692"/>
      <c r="Q140" s="415">
        <f t="shared" ref="Q140" si="30">K140</f>
        <v>11250000</v>
      </c>
      <c r="R140" s="1693"/>
      <c r="S140" s="2908">
        <f t="shared" si="28"/>
        <v>11250000</v>
      </c>
      <c r="T140" s="1689"/>
    </row>
    <row r="141" spans="2:20" ht="25.5">
      <c r="B141" s="2917"/>
      <c r="C141" s="59"/>
      <c r="D141" s="59"/>
      <c r="E141" s="60"/>
      <c r="F141" s="30"/>
      <c r="G141" s="32" t="s">
        <v>2132</v>
      </c>
      <c r="H141" s="857">
        <f>90*71</f>
        <v>6390</v>
      </c>
      <c r="I141" s="4" t="s">
        <v>278</v>
      </c>
      <c r="J141" s="61">
        <v>14400</v>
      </c>
      <c r="K141" s="55">
        <f>H141*J141</f>
        <v>92016000</v>
      </c>
      <c r="L141" s="404"/>
      <c r="M141" s="1076"/>
      <c r="N141" s="413"/>
      <c r="O141" s="405"/>
      <c r="P141" s="405"/>
      <c r="Q141" s="2913">
        <f>K141</f>
        <v>92016000</v>
      </c>
      <c r="R141" s="306"/>
      <c r="S141" s="1693"/>
      <c r="T141" s="1689">
        <f t="shared" ref="T141:T142" si="31">Q141</f>
        <v>92016000</v>
      </c>
    </row>
    <row r="142" spans="2:20" ht="25.5">
      <c r="B142" s="2917"/>
      <c r="C142" s="59"/>
      <c r="D142" s="59"/>
      <c r="E142" s="60"/>
      <c r="F142" s="30"/>
      <c r="G142" s="32" t="s">
        <v>2133</v>
      </c>
      <c r="H142" s="857">
        <f>365*3</f>
        <v>1095</v>
      </c>
      <c r="I142" s="4" t="s">
        <v>278</v>
      </c>
      <c r="J142" s="61">
        <v>18000</v>
      </c>
      <c r="K142" s="55">
        <f>H142*J142</f>
        <v>19710000</v>
      </c>
      <c r="L142" s="404"/>
      <c r="M142" s="1076"/>
      <c r="N142" s="413"/>
      <c r="O142" s="405"/>
      <c r="P142" s="405"/>
      <c r="Q142" s="2913">
        <f>K142</f>
        <v>19710000</v>
      </c>
      <c r="R142" s="306"/>
      <c r="S142" s="9"/>
      <c r="T142" s="1689">
        <f t="shared" si="31"/>
        <v>19710000</v>
      </c>
    </row>
    <row r="143" spans="2:20" ht="15">
      <c r="B143" s="2067"/>
      <c r="C143" s="2061"/>
      <c r="D143" s="2061"/>
      <c r="E143" s="2068"/>
      <c r="F143" s="2004"/>
      <c r="G143" s="1683"/>
      <c r="H143" s="1663"/>
      <c r="I143" s="1653"/>
      <c r="J143" s="1655"/>
      <c r="K143" s="2191"/>
      <c r="L143" s="596"/>
      <c r="M143" s="596"/>
      <c r="N143" s="1689"/>
      <c r="O143" s="1692"/>
      <c r="P143" s="1692"/>
      <c r="Q143" s="2192"/>
      <c r="R143" s="1693"/>
      <c r="S143" s="1689"/>
      <c r="T143" s="1689"/>
    </row>
    <row r="144" spans="2:20" ht="15">
      <c r="B144" s="346">
        <v>5</v>
      </c>
      <c r="C144" s="371">
        <v>2</v>
      </c>
      <c r="D144" s="371">
        <v>2</v>
      </c>
      <c r="E144" s="372">
        <v>11</v>
      </c>
      <c r="F144" s="372" t="s">
        <v>80</v>
      </c>
      <c r="G144" s="638" t="s">
        <v>517</v>
      </c>
      <c r="H144" s="2924"/>
      <c r="I144" s="380"/>
      <c r="J144" s="1199"/>
      <c r="K144" s="1038">
        <f>SUM(K145:K147)</f>
        <v>1756131850</v>
      </c>
      <c r="L144" s="596"/>
      <c r="M144" s="596"/>
      <c r="N144" s="471"/>
      <c r="O144" s="472"/>
      <c r="P144" s="472"/>
      <c r="Q144" s="810"/>
      <c r="R144" s="474"/>
      <c r="S144" s="1689"/>
      <c r="T144" s="1689"/>
    </row>
    <row r="145" spans="2:20" ht="15">
      <c r="B145" s="1679"/>
      <c r="C145" s="1680"/>
      <c r="D145" s="1680"/>
      <c r="E145" s="1681"/>
      <c r="F145" s="1681"/>
      <c r="G145" s="1688" t="s">
        <v>1576</v>
      </c>
      <c r="H145" s="1689">
        <v>55000</v>
      </c>
      <c r="I145" s="1660" t="s">
        <v>50</v>
      </c>
      <c r="J145" s="1690">
        <v>27000</v>
      </c>
      <c r="K145" s="660">
        <f t="shared" ref="K145:K146" si="32">H145*J145</f>
        <v>1485000000</v>
      </c>
      <c r="L145" s="1691"/>
      <c r="M145" s="1691"/>
      <c r="N145" s="1689"/>
      <c r="O145" s="1692"/>
      <c r="P145" s="1692"/>
      <c r="Q145" s="415">
        <f t="shared" ref="Q145:Q146" si="33">K145</f>
        <v>1485000000</v>
      </c>
      <c r="R145" s="1693"/>
      <c r="S145" s="1689"/>
      <c r="T145" s="1689">
        <f t="shared" ref="T145:T146" si="34">Q145</f>
        <v>1485000000</v>
      </c>
    </row>
    <row r="146" spans="2:20" ht="15">
      <c r="B146" s="1679"/>
      <c r="C146" s="1680"/>
      <c r="D146" s="1680"/>
      <c r="E146" s="1681"/>
      <c r="F146" s="1681"/>
      <c r="G146" s="1688" t="s">
        <v>1577</v>
      </c>
      <c r="H146" s="1689">
        <v>36500</v>
      </c>
      <c r="I146" s="1660" t="s">
        <v>50</v>
      </c>
      <c r="J146" s="1690">
        <v>5000</v>
      </c>
      <c r="K146" s="660">
        <f t="shared" si="32"/>
        <v>182500000</v>
      </c>
      <c r="L146" s="1691"/>
      <c r="M146" s="1691"/>
      <c r="N146" s="1689"/>
      <c r="O146" s="1692"/>
      <c r="P146" s="1692"/>
      <c r="Q146" s="415">
        <f t="shared" si="33"/>
        <v>182500000</v>
      </c>
      <c r="R146" s="1693"/>
      <c r="S146" s="1689"/>
      <c r="T146" s="1689">
        <f t="shared" si="34"/>
        <v>182500000</v>
      </c>
    </row>
    <row r="147" spans="2:20" ht="15">
      <c r="B147" s="346"/>
      <c r="C147" s="371"/>
      <c r="D147" s="371"/>
      <c r="E147" s="372"/>
      <c r="F147" s="372"/>
      <c r="G147" s="469" t="s">
        <v>1207</v>
      </c>
      <c r="H147" s="471">
        <v>1</v>
      </c>
      <c r="I147" s="380" t="s">
        <v>29</v>
      </c>
      <c r="J147" s="1199">
        <v>88631850</v>
      </c>
      <c r="K147" s="578">
        <f>H147*J147</f>
        <v>88631850</v>
      </c>
      <c r="L147" s="596"/>
      <c r="M147" s="596"/>
      <c r="N147" s="471"/>
      <c r="O147" s="472"/>
      <c r="P147" s="472"/>
      <c r="Q147" s="415">
        <f>K147</f>
        <v>88631850</v>
      </c>
      <c r="R147" s="474"/>
      <c r="S147" s="2908">
        <f>Q147</f>
        <v>88631850</v>
      </c>
      <c r="T147" s="1689"/>
    </row>
    <row r="148" spans="2:20" ht="15">
      <c r="B148" s="1679"/>
      <c r="C148" s="1680"/>
      <c r="D148" s="1680"/>
      <c r="E148" s="1681"/>
      <c r="F148" s="1681"/>
      <c r="G148" s="1688"/>
      <c r="H148" s="1689"/>
      <c r="I148" s="1660"/>
      <c r="J148" s="1690"/>
      <c r="K148" s="1945"/>
      <c r="L148" s="596"/>
      <c r="M148" s="596"/>
      <c r="N148" s="1689"/>
      <c r="O148" s="1692"/>
      <c r="P148" s="1692"/>
      <c r="Q148" s="2190"/>
      <c r="R148" s="1693"/>
      <c r="S148" s="1689"/>
      <c r="T148" s="1689"/>
    </row>
    <row r="149" spans="2:20">
      <c r="B149" s="427">
        <v>5</v>
      </c>
      <c r="C149" s="2918">
        <v>2</v>
      </c>
      <c r="D149" s="2918">
        <v>2</v>
      </c>
      <c r="E149" s="428">
        <v>15</v>
      </c>
      <c r="F149" s="2918"/>
      <c r="G149" s="366" t="s">
        <v>463</v>
      </c>
      <c r="H149" s="956"/>
      <c r="I149" s="2918"/>
      <c r="J149" s="820"/>
      <c r="K149" s="370">
        <f>K150+K153</f>
        <v>364200000</v>
      </c>
      <c r="L149" s="596"/>
      <c r="M149" s="331"/>
      <c r="N149" s="331"/>
      <c r="O149" s="332"/>
      <c r="P149" s="332"/>
      <c r="Q149" s="399"/>
      <c r="R149" s="59"/>
      <c r="S149" s="1689"/>
      <c r="T149" s="1689"/>
    </row>
    <row r="150" spans="2:20">
      <c r="B150" s="427">
        <v>5</v>
      </c>
      <c r="C150" s="2918">
        <v>2</v>
      </c>
      <c r="D150" s="2918">
        <v>2</v>
      </c>
      <c r="E150" s="428">
        <v>15</v>
      </c>
      <c r="F150" s="428" t="s">
        <v>24</v>
      </c>
      <c r="G150" s="366" t="s">
        <v>645</v>
      </c>
      <c r="H150" s="956"/>
      <c r="I150" s="2918"/>
      <c r="J150" s="820"/>
      <c r="K150" s="370">
        <f>SUM(K151:K151)</f>
        <v>15000000</v>
      </c>
      <c r="L150" s="596"/>
      <c r="M150" s="331"/>
      <c r="N150" s="331"/>
      <c r="O150" s="332"/>
      <c r="P150" s="332"/>
      <c r="Q150" s="399"/>
      <c r="R150" s="59"/>
      <c r="S150" s="1689"/>
      <c r="T150" s="1689"/>
    </row>
    <row r="151" spans="2:20" ht="15">
      <c r="B151" s="427"/>
      <c r="C151" s="2918"/>
      <c r="D151" s="2918"/>
      <c r="E151" s="2918"/>
      <c r="F151" s="2918"/>
      <c r="G151" s="2923" t="s">
        <v>644</v>
      </c>
      <c r="H151" s="652">
        <v>1</v>
      </c>
      <c r="I151" s="2922" t="s">
        <v>29</v>
      </c>
      <c r="J151" s="1169">
        <v>15000000</v>
      </c>
      <c r="K151" s="1945">
        <f>H151*J151</f>
        <v>15000000</v>
      </c>
      <c r="L151" s="596"/>
      <c r="M151" s="331"/>
      <c r="N151" s="331"/>
      <c r="O151" s="332"/>
      <c r="P151" s="332"/>
      <c r="Q151" s="415">
        <f t="shared" ref="Q151" si="35">K151</f>
        <v>15000000</v>
      </c>
      <c r="R151" s="59"/>
      <c r="S151" s="2908">
        <f t="shared" ref="S151" si="36">Q151</f>
        <v>15000000</v>
      </c>
      <c r="T151" s="1689"/>
    </row>
    <row r="152" spans="2:20" ht="6" customHeight="1">
      <c r="B152" s="1694"/>
      <c r="C152" s="1682"/>
      <c r="D152" s="1682"/>
      <c r="E152" s="1682"/>
      <c r="F152" s="1682"/>
      <c r="G152" s="1654"/>
      <c r="H152" s="2193"/>
      <c r="I152" s="1653"/>
      <c r="J152" s="2194"/>
      <c r="K152" s="1945"/>
      <c r="L152" s="596"/>
      <c r="M152" s="1689"/>
      <c r="N152" s="1689"/>
      <c r="O152" s="1692"/>
      <c r="P152" s="1692"/>
      <c r="Q152" s="2190"/>
      <c r="R152" s="1693"/>
      <c r="S152" s="1689"/>
      <c r="T152" s="1689"/>
    </row>
    <row r="153" spans="2:20" ht="15">
      <c r="B153" s="1679">
        <v>5</v>
      </c>
      <c r="C153" s="1680">
        <v>2</v>
      </c>
      <c r="D153" s="1680">
        <v>2</v>
      </c>
      <c r="E153" s="1681">
        <v>15</v>
      </c>
      <c r="F153" s="1681" t="s">
        <v>25</v>
      </c>
      <c r="G153" s="2319" t="s">
        <v>133</v>
      </c>
      <c r="H153" s="2024"/>
      <c r="I153" s="1682"/>
      <c r="J153" s="2025"/>
      <c r="K153" s="2326">
        <f>SUM(K154:K167)</f>
        <v>349200000</v>
      </c>
      <c r="L153" s="596"/>
      <c r="M153" s="1689"/>
      <c r="N153" s="1689"/>
      <c r="O153" s="1692"/>
      <c r="P153" s="1692"/>
      <c r="Q153" s="2190"/>
      <c r="R153" s="1693"/>
      <c r="S153" s="1689"/>
      <c r="T153" s="1689"/>
    </row>
    <row r="154" spans="2:20" ht="15">
      <c r="B154" s="346"/>
      <c r="C154" s="371"/>
      <c r="D154" s="371"/>
      <c r="E154" s="372"/>
      <c r="F154" s="372"/>
      <c r="G154" s="638" t="s">
        <v>1806</v>
      </c>
      <c r="H154" s="956"/>
      <c r="I154" s="2918"/>
      <c r="J154" s="2025"/>
      <c r="K154" s="2326"/>
      <c r="L154" s="596"/>
      <c r="M154" s="1689"/>
      <c r="N154" s="1689"/>
      <c r="O154" s="1692"/>
      <c r="P154" s="1692"/>
      <c r="Q154" s="2190"/>
      <c r="R154" s="1693"/>
      <c r="S154" s="1689"/>
      <c r="T154" s="1689"/>
    </row>
    <row r="155" spans="2:20" ht="15">
      <c r="B155" s="429"/>
      <c r="C155" s="2920"/>
      <c r="D155" s="2920"/>
      <c r="E155" s="430"/>
      <c r="F155" s="430"/>
      <c r="G155" s="1971" t="s">
        <v>1807</v>
      </c>
      <c r="H155" s="2000">
        <v>2</v>
      </c>
      <c r="I155" s="2001" t="s">
        <v>26</v>
      </c>
      <c r="J155" s="2002">
        <v>5500000</v>
      </c>
      <c r="K155" s="1163">
        <f t="shared" ref="K155:K157" si="37">H155*J155</f>
        <v>11000000</v>
      </c>
      <c r="L155" s="596"/>
      <c r="M155" s="1689"/>
      <c r="N155" s="1689"/>
      <c r="O155" s="1692"/>
      <c r="P155" s="1692"/>
      <c r="Q155" s="415">
        <f t="shared" ref="Q155:Q166" si="38">K155</f>
        <v>11000000</v>
      </c>
      <c r="R155" s="1693"/>
      <c r="S155" s="2908">
        <f t="shared" ref="S155:S158" si="39">Q155</f>
        <v>11000000</v>
      </c>
      <c r="T155" s="1689"/>
    </row>
    <row r="156" spans="2:20" ht="15">
      <c r="B156" s="429"/>
      <c r="C156" s="2920"/>
      <c r="D156" s="2920"/>
      <c r="E156" s="430"/>
      <c r="F156" s="430"/>
      <c r="G156" s="1971" t="s">
        <v>1977</v>
      </c>
      <c r="H156" s="2000">
        <f>2*4</f>
        <v>8</v>
      </c>
      <c r="I156" s="2001" t="s">
        <v>28</v>
      </c>
      <c r="J156" s="2003">
        <v>700000</v>
      </c>
      <c r="K156" s="1163">
        <f t="shared" si="37"/>
        <v>5600000</v>
      </c>
      <c r="L156" s="596"/>
      <c r="M156" s="1689"/>
      <c r="N156" s="1689"/>
      <c r="O156" s="1692"/>
      <c r="P156" s="1692"/>
      <c r="Q156" s="415">
        <f t="shared" si="38"/>
        <v>5600000</v>
      </c>
      <c r="R156" s="1693"/>
      <c r="S156" s="2908">
        <f t="shared" si="39"/>
        <v>5600000</v>
      </c>
      <c r="T156" s="1689"/>
    </row>
    <row r="157" spans="2:20" ht="15">
      <c r="B157" s="429"/>
      <c r="C157" s="2920"/>
      <c r="D157" s="2920"/>
      <c r="E157" s="430"/>
      <c r="F157" s="430"/>
      <c r="G157" s="1971" t="s">
        <v>1976</v>
      </c>
      <c r="H157" s="2000">
        <f>2*3</f>
        <v>6</v>
      </c>
      <c r="I157" s="2001" t="s">
        <v>27</v>
      </c>
      <c r="J157" s="2003">
        <v>850000</v>
      </c>
      <c r="K157" s="1163">
        <f t="shared" si="37"/>
        <v>5100000</v>
      </c>
      <c r="L157" s="596"/>
      <c r="M157" s="471"/>
      <c r="N157" s="471"/>
      <c r="O157" s="472"/>
      <c r="P157" s="472"/>
      <c r="Q157" s="415">
        <f t="shared" si="38"/>
        <v>5100000</v>
      </c>
      <c r="R157" s="474"/>
      <c r="S157" s="2908">
        <f t="shared" si="39"/>
        <v>5100000</v>
      </c>
      <c r="T157" s="1689"/>
    </row>
    <row r="158" spans="2:20" ht="15">
      <c r="B158" s="429"/>
      <c r="C158" s="2920"/>
      <c r="D158" s="2920"/>
      <c r="E158" s="430"/>
      <c r="F158" s="430"/>
      <c r="G158" s="1999" t="s">
        <v>2116</v>
      </c>
      <c r="H158" s="867"/>
      <c r="I158" s="1412"/>
      <c r="J158" s="1413"/>
      <c r="K158" s="1163"/>
      <c r="L158" s="1035"/>
      <c r="M158" s="377"/>
      <c r="N158" s="1067"/>
      <c r="O158" s="885"/>
      <c r="P158" s="885"/>
      <c r="Q158" s="415">
        <f t="shared" si="38"/>
        <v>0</v>
      </c>
      <c r="R158" s="886"/>
      <c r="S158" s="2908">
        <f t="shared" si="39"/>
        <v>0</v>
      </c>
      <c r="T158" s="1693"/>
    </row>
    <row r="159" spans="2:20" ht="15">
      <c r="B159" s="429"/>
      <c r="C159" s="2920"/>
      <c r="D159" s="2920"/>
      <c r="E159" s="430"/>
      <c r="F159" s="430"/>
      <c r="G159" s="1971" t="s">
        <v>364</v>
      </c>
      <c r="H159" s="2000">
        <v>30</v>
      </c>
      <c r="I159" s="2001" t="s">
        <v>26</v>
      </c>
      <c r="J159" s="2002">
        <v>5500000</v>
      </c>
      <c r="K159" s="595">
        <f t="shared" ref="K159:K164" si="40">H159*J159</f>
        <v>165000000</v>
      </c>
      <c r="L159" s="1035"/>
      <c r="M159" s="377"/>
      <c r="N159" s="1067"/>
      <c r="O159" s="885"/>
      <c r="P159" s="885"/>
      <c r="Q159" s="415">
        <f t="shared" si="38"/>
        <v>165000000</v>
      </c>
      <c r="R159" s="886"/>
      <c r="S159" s="2908">
        <f t="shared" ref="S159:S166" si="41">Q159</f>
        <v>165000000</v>
      </c>
      <c r="T159" s="1693"/>
    </row>
    <row r="160" spans="2:20" ht="15">
      <c r="B160" s="429"/>
      <c r="C160" s="2920"/>
      <c r="D160" s="2920"/>
      <c r="E160" s="430"/>
      <c r="F160" s="430"/>
      <c r="G160" s="1971" t="s">
        <v>2117</v>
      </c>
      <c r="H160" s="2000">
        <f>14*4</f>
        <v>56</v>
      </c>
      <c r="I160" s="2001" t="s">
        <v>28</v>
      </c>
      <c r="J160" s="2003">
        <v>600000</v>
      </c>
      <c r="K160" s="595">
        <f t="shared" si="40"/>
        <v>33600000</v>
      </c>
      <c r="L160" s="1035"/>
      <c r="M160" s="377"/>
      <c r="N160" s="1067"/>
      <c r="O160" s="885"/>
      <c r="P160" s="885"/>
      <c r="Q160" s="415">
        <f t="shared" si="38"/>
        <v>33600000</v>
      </c>
      <c r="R160" s="886"/>
      <c r="S160" s="2908">
        <f t="shared" si="41"/>
        <v>33600000</v>
      </c>
      <c r="T160" s="1693"/>
    </row>
    <row r="161" spans="2:20" ht="15">
      <c r="B161" s="1713"/>
      <c r="C161" s="1706"/>
      <c r="D161" s="1706"/>
      <c r="E161" s="1707"/>
      <c r="F161" s="1707"/>
      <c r="G161" s="1971" t="s">
        <v>2118</v>
      </c>
      <c r="H161" s="2000">
        <f>14*3</f>
        <v>42</v>
      </c>
      <c r="I161" s="2001" t="s">
        <v>27</v>
      </c>
      <c r="J161" s="2003">
        <v>750000</v>
      </c>
      <c r="K161" s="595">
        <f t="shared" si="40"/>
        <v>31500000</v>
      </c>
      <c r="L161" s="1035"/>
      <c r="M161" s="377"/>
      <c r="N161" s="1972"/>
      <c r="O161" s="1973"/>
      <c r="P161" s="1973"/>
      <c r="Q161" s="415">
        <f t="shared" si="38"/>
        <v>31500000</v>
      </c>
      <c r="R161" s="1974"/>
      <c r="S161" s="2908">
        <f t="shared" si="41"/>
        <v>31500000</v>
      </c>
      <c r="T161" s="1693"/>
    </row>
    <row r="162" spans="2:20" ht="15">
      <c r="B162" s="1713"/>
      <c r="C162" s="1706"/>
      <c r="D162" s="1706"/>
      <c r="E162" s="1707"/>
      <c r="F162" s="1707"/>
      <c r="G162" s="1971" t="s">
        <v>1988</v>
      </c>
      <c r="H162" s="2000">
        <f>12*4</f>
        <v>48</v>
      </c>
      <c r="I162" s="2001" t="s">
        <v>28</v>
      </c>
      <c r="J162" s="2003">
        <v>700000</v>
      </c>
      <c r="K162" s="595">
        <f t="shared" si="40"/>
        <v>33600000</v>
      </c>
      <c r="L162" s="1035"/>
      <c r="M162" s="377"/>
      <c r="N162" s="1972"/>
      <c r="O162" s="1973"/>
      <c r="P162" s="1973"/>
      <c r="Q162" s="415">
        <f t="shared" si="38"/>
        <v>33600000</v>
      </c>
      <c r="R162" s="1974"/>
      <c r="S162" s="2908">
        <f t="shared" si="41"/>
        <v>33600000</v>
      </c>
      <c r="T162" s="1693"/>
    </row>
    <row r="163" spans="2:20" ht="15">
      <c r="B163" s="1713"/>
      <c r="C163" s="1706"/>
      <c r="D163" s="1706"/>
      <c r="E163" s="1707"/>
      <c r="F163" s="1707"/>
      <c r="G163" s="1971" t="s">
        <v>1987</v>
      </c>
      <c r="H163" s="2000">
        <f>12*3</f>
        <v>36</v>
      </c>
      <c r="I163" s="2001" t="s">
        <v>27</v>
      </c>
      <c r="J163" s="2003">
        <v>850000</v>
      </c>
      <c r="K163" s="595">
        <f t="shared" si="40"/>
        <v>30600000</v>
      </c>
      <c r="L163" s="1035"/>
      <c r="M163" s="377"/>
      <c r="N163" s="1972"/>
      <c r="O163" s="1973"/>
      <c r="P163" s="1973"/>
      <c r="Q163" s="415">
        <f t="shared" si="38"/>
        <v>30600000</v>
      </c>
      <c r="R163" s="1974"/>
      <c r="S163" s="2908">
        <f t="shared" si="41"/>
        <v>30600000</v>
      </c>
      <c r="T163" s="1693"/>
    </row>
    <row r="164" spans="2:20" ht="15">
      <c r="B164" s="1713"/>
      <c r="C164" s="1706"/>
      <c r="D164" s="1706"/>
      <c r="E164" s="1707"/>
      <c r="F164" s="1707"/>
      <c r="G164" s="1971" t="s">
        <v>2119</v>
      </c>
      <c r="H164" s="2000">
        <f>1*4*4</f>
        <v>16</v>
      </c>
      <c r="I164" s="2001" t="s">
        <v>28</v>
      </c>
      <c r="J164" s="2003">
        <v>800000</v>
      </c>
      <c r="K164" s="595">
        <f t="shared" si="40"/>
        <v>12800000</v>
      </c>
      <c r="L164" s="1035"/>
      <c r="M164" s="377"/>
      <c r="N164" s="1972"/>
      <c r="O164" s="1973"/>
      <c r="P164" s="1973"/>
      <c r="Q164" s="415">
        <f t="shared" si="38"/>
        <v>12800000</v>
      </c>
      <c r="R164" s="1974"/>
      <c r="S164" s="2908">
        <f t="shared" si="41"/>
        <v>12800000</v>
      </c>
      <c r="T164" s="1693"/>
    </row>
    <row r="165" spans="2:20" ht="15">
      <c r="B165" s="1713"/>
      <c r="C165" s="1706"/>
      <c r="D165" s="1706"/>
      <c r="E165" s="1707"/>
      <c r="F165" s="1707"/>
      <c r="G165" s="1971" t="s">
        <v>2120</v>
      </c>
      <c r="H165" s="2000">
        <f>1*3*4</f>
        <v>12</v>
      </c>
      <c r="I165" s="2001" t="s">
        <v>27</v>
      </c>
      <c r="J165" s="2003">
        <v>1300000</v>
      </c>
      <c r="K165" s="595">
        <f>H165*J165</f>
        <v>15600000</v>
      </c>
      <c r="L165" s="1035"/>
      <c r="M165" s="377"/>
      <c r="N165" s="1972"/>
      <c r="O165" s="1973"/>
      <c r="P165" s="1973"/>
      <c r="Q165" s="415">
        <f t="shared" si="38"/>
        <v>15600000</v>
      </c>
      <c r="R165" s="1974"/>
      <c r="S165" s="2908">
        <f t="shared" si="41"/>
        <v>15600000</v>
      </c>
      <c r="T165" s="1693"/>
    </row>
    <row r="166" spans="2:20" ht="15">
      <c r="B166" s="1713"/>
      <c r="C166" s="1706"/>
      <c r="D166" s="1706"/>
      <c r="E166" s="1707"/>
      <c r="F166" s="1707"/>
      <c r="G166" s="1971" t="s">
        <v>2121</v>
      </c>
      <c r="H166" s="2000">
        <f>1*4*4</f>
        <v>16</v>
      </c>
      <c r="I166" s="2001" t="s">
        <v>27</v>
      </c>
      <c r="J166" s="2003">
        <v>300000</v>
      </c>
      <c r="K166" s="1945">
        <f>H166*J166</f>
        <v>4800000</v>
      </c>
      <c r="L166" s="1035"/>
      <c r="M166" s="377"/>
      <c r="N166" s="1972"/>
      <c r="O166" s="1973"/>
      <c r="P166" s="1973"/>
      <c r="Q166" s="415">
        <f t="shared" si="38"/>
        <v>4800000</v>
      </c>
      <c r="R166" s="1974"/>
      <c r="S166" s="2908">
        <f t="shared" si="41"/>
        <v>4800000</v>
      </c>
      <c r="T166" s="1693"/>
    </row>
    <row r="167" spans="2:20">
      <c r="B167" s="1713"/>
      <c r="C167" s="1706"/>
      <c r="D167" s="1706"/>
      <c r="E167" s="1707"/>
      <c r="F167" s="1707"/>
      <c r="G167" s="1971"/>
      <c r="H167" s="2000"/>
      <c r="I167" s="2001"/>
      <c r="J167" s="2003"/>
      <c r="K167" s="1163"/>
      <c r="L167" s="596"/>
      <c r="M167" s="1689"/>
      <c r="N167" s="1689"/>
      <c r="O167" s="1692"/>
      <c r="P167" s="1692"/>
      <c r="Q167" s="1658"/>
      <c r="R167" s="1693"/>
      <c r="S167" s="1689"/>
      <c r="T167" s="1689"/>
    </row>
    <row r="168" spans="2:20" ht="15">
      <c r="B168" s="429">
        <v>5</v>
      </c>
      <c r="C168" s="2920">
        <v>2</v>
      </c>
      <c r="D168" s="2920">
        <v>2</v>
      </c>
      <c r="E168" s="430">
        <v>18</v>
      </c>
      <c r="F168" s="2920"/>
      <c r="G168" s="957" t="s">
        <v>603</v>
      </c>
      <c r="H168" s="1105"/>
      <c r="I168" s="1106"/>
      <c r="J168" s="1251"/>
      <c r="K168" s="1085">
        <f>K169</f>
        <v>100000000</v>
      </c>
      <c r="L168" s="596"/>
      <c r="M168" s="471"/>
      <c r="N168" s="471"/>
      <c r="O168" s="472"/>
      <c r="P168" s="472"/>
      <c r="Q168" s="810"/>
      <c r="R168" s="474"/>
      <c r="S168" s="1689"/>
      <c r="T168" s="1689"/>
    </row>
    <row r="169" spans="2:20" ht="15">
      <c r="B169" s="429">
        <v>5</v>
      </c>
      <c r="C169" s="2920">
        <v>2</v>
      </c>
      <c r="D169" s="2920">
        <v>2</v>
      </c>
      <c r="E169" s="430">
        <v>18</v>
      </c>
      <c r="F169" s="430" t="s">
        <v>44</v>
      </c>
      <c r="G169" s="957" t="s">
        <v>604</v>
      </c>
      <c r="H169" s="1105"/>
      <c r="I169" s="1106"/>
      <c r="J169" s="1251"/>
      <c r="K169" s="1085">
        <f>K170</f>
        <v>100000000</v>
      </c>
      <c r="L169" s="596"/>
      <c r="M169" s="471"/>
      <c r="N169" s="471"/>
      <c r="O169" s="472"/>
      <c r="P169" s="472"/>
      <c r="Q169" s="810"/>
      <c r="R169" s="474"/>
      <c r="S169" s="1689"/>
      <c r="T169" s="1689"/>
    </row>
    <row r="170" spans="2:20" ht="15">
      <c r="B170" s="346"/>
      <c r="C170" s="371"/>
      <c r="D170" s="371"/>
      <c r="E170" s="372"/>
      <c r="F170" s="372"/>
      <c r="G170" s="462" t="s">
        <v>1083</v>
      </c>
      <c r="H170" s="646">
        <v>1</v>
      </c>
      <c r="I170" s="463" t="s">
        <v>29</v>
      </c>
      <c r="J170" s="647">
        <v>100000000</v>
      </c>
      <c r="K170" s="1104">
        <f>H170*J170</f>
        <v>100000000</v>
      </c>
      <c r="L170" s="596"/>
      <c r="M170" s="471"/>
      <c r="N170" s="471"/>
      <c r="O170" s="472"/>
      <c r="P170" s="472"/>
      <c r="Q170" s="415">
        <f>K170</f>
        <v>100000000</v>
      </c>
      <c r="R170" s="474"/>
      <c r="S170" s="2908">
        <f t="shared" ref="S170" si="42">Q170</f>
        <v>100000000</v>
      </c>
      <c r="T170" s="1689"/>
    </row>
    <row r="171" spans="2:20" ht="12.75" customHeight="1">
      <c r="B171" s="346"/>
      <c r="C171" s="371"/>
      <c r="D171" s="371"/>
      <c r="E171" s="372"/>
      <c r="F171" s="372"/>
      <c r="G171" s="462"/>
      <c r="H171" s="646"/>
      <c r="I171" s="463"/>
      <c r="J171" s="647"/>
      <c r="K171" s="1078"/>
      <c r="L171" s="596"/>
      <c r="M171" s="471"/>
      <c r="N171" s="471"/>
      <c r="O171" s="472"/>
      <c r="P171" s="472"/>
      <c r="Q171" s="810"/>
      <c r="R171" s="474"/>
      <c r="S171" s="1689"/>
      <c r="T171" s="1689"/>
    </row>
    <row r="172" spans="2:20" ht="15">
      <c r="B172" s="429">
        <v>5</v>
      </c>
      <c r="C172" s="2920">
        <v>2</v>
      </c>
      <c r="D172" s="2920">
        <v>2</v>
      </c>
      <c r="E172" s="430">
        <v>19</v>
      </c>
      <c r="F172" s="2920"/>
      <c r="G172" s="957" t="s">
        <v>1074</v>
      </c>
      <c r="H172" s="1105"/>
      <c r="I172" s="1106"/>
      <c r="J172" s="1251"/>
      <c r="K172" s="1085">
        <f>K173</f>
        <v>50000000</v>
      </c>
      <c r="L172" s="596"/>
      <c r="M172" s="471"/>
      <c r="N172" s="471"/>
      <c r="O172" s="472"/>
      <c r="P172" s="472"/>
      <c r="Q172" s="810"/>
      <c r="R172" s="474"/>
      <c r="S172" s="1689"/>
      <c r="T172" s="1689"/>
    </row>
    <row r="173" spans="2:20" ht="15">
      <c r="B173" s="429">
        <v>5</v>
      </c>
      <c r="C173" s="2920">
        <v>2</v>
      </c>
      <c r="D173" s="2920">
        <v>2</v>
      </c>
      <c r="E173" s="430">
        <v>19</v>
      </c>
      <c r="F173" s="430" t="s">
        <v>44</v>
      </c>
      <c r="G173" s="957" t="s">
        <v>1077</v>
      </c>
      <c r="H173" s="1105"/>
      <c r="I173" s="1106"/>
      <c r="J173" s="1251"/>
      <c r="K173" s="1085">
        <f>SUM(K174:K174)</f>
        <v>50000000</v>
      </c>
      <c r="L173" s="596"/>
      <c r="M173" s="471"/>
      <c r="N173" s="471"/>
      <c r="O173" s="472"/>
      <c r="P173" s="472"/>
      <c r="Q173" s="810"/>
      <c r="R173" s="474"/>
      <c r="S173" s="1689"/>
      <c r="T173" s="1689"/>
    </row>
    <row r="174" spans="2:20" ht="15">
      <c r="B174" s="346"/>
      <c r="C174" s="371"/>
      <c r="D174" s="371"/>
      <c r="E174" s="372"/>
      <c r="F174" s="372"/>
      <c r="G174" s="462" t="s">
        <v>1078</v>
      </c>
      <c r="H174" s="646">
        <v>1</v>
      </c>
      <c r="I174" s="463" t="s">
        <v>29</v>
      </c>
      <c r="J174" s="647">
        <v>50000000</v>
      </c>
      <c r="K174" s="1104">
        <f>H174*J174</f>
        <v>50000000</v>
      </c>
      <c r="L174" s="596"/>
      <c r="M174" s="471"/>
      <c r="N174" s="471"/>
      <c r="O174" s="472"/>
      <c r="P174" s="472"/>
      <c r="Q174" s="415">
        <f>K174</f>
        <v>50000000</v>
      </c>
      <c r="R174" s="474"/>
      <c r="S174" s="2908">
        <f t="shared" ref="S174" si="43">Q174</f>
        <v>50000000</v>
      </c>
      <c r="T174" s="1689"/>
    </row>
    <row r="175" spans="2:20" ht="12.75" customHeight="1">
      <c r="B175" s="1679"/>
      <c r="C175" s="1680"/>
      <c r="D175" s="1680"/>
      <c r="E175" s="1681"/>
      <c r="F175" s="1681"/>
      <c r="G175" s="1971"/>
      <c r="H175" s="2000"/>
      <c r="I175" s="2001"/>
      <c r="J175" s="2002"/>
      <c r="K175" s="1078"/>
      <c r="L175" s="596"/>
      <c r="M175" s="1689"/>
      <c r="N175" s="1689"/>
      <c r="O175" s="1692"/>
      <c r="P175" s="1692"/>
      <c r="Q175" s="2190"/>
      <c r="R175" s="1693"/>
      <c r="S175" s="1689"/>
      <c r="T175" s="1689"/>
    </row>
    <row r="176" spans="2:20" ht="25.5">
      <c r="B176" s="429">
        <v>5</v>
      </c>
      <c r="C176" s="2920">
        <v>2</v>
      </c>
      <c r="D176" s="2920">
        <v>2</v>
      </c>
      <c r="E176" s="430">
        <v>24</v>
      </c>
      <c r="F176" s="2920"/>
      <c r="G176" s="588" t="s">
        <v>518</v>
      </c>
      <c r="H176" s="2000"/>
      <c r="I176" s="2001"/>
      <c r="J176" s="2002"/>
      <c r="K176" s="1085">
        <f>K177</f>
        <v>190436700</v>
      </c>
      <c r="L176" s="596"/>
      <c r="M176" s="1689"/>
      <c r="N176" s="1689"/>
      <c r="O176" s="1692"/>
      <c r="P176" s="1692"/>
      <c r="Q176" s="2190"/>
      <c r="R176" s="1693"/>
      <c r="S176" s="1689"/>
      <c r="T176" s="1689"/>
    </row>
    <row r="177" spans="2:20" ht="15">
      <c r="B177" s="429">
        <v>5</v>
      </c>
      <c r="C177" s="2920">
        <v>2</v>
      </c>
      <c r="D177" s="2920">
        <v>2</v>
      </c>
      <c r="E177" s="430">
        <v>24</v>
      </c>
      <c r="F177" s="430" t="s">
        <v>24</v>
      </c>
      <c r="G177" s="588" t="s">
        <v>519</v>
      </c>
      <c r="H177" s="2000"/>
      <c r="I177" s="2001"/>
      <c r="J177" s="2002"/>
      <c r="K177" s="1085">
        <f>SUM(K178:K181)</f>
        <v>190436700</v>
      </c>
      <c r="L177" s="596"/>
      <c r="M177" s="1689"/>
      <c r="N177" s="1689"/>
      <c r="O177" s="1692"/>
      <c r="P177" s="1692"/>
      <c r="Q177" s="2190"/>
      <c r="R177" s="1693"/>
      <c r="S177" s="1689"/>
      <c r="T177" s="1689"/>
    </row>
    <row r="178" spans="2:20" ht="15">
      <c r="B178" s="1679"/>
      <c r="C178" s="1680"/>
      <c r="D178" s="1680"/>
      <c r="E178" s="1681"/>
      <c r="F178" s="1681"/>
      <c r="G178" s="1971" t="s">
        <v>1808</v>
      </c>
      <c r="H178" s="2000">
        <v>4</v>
      </c>
      <c r="I178" s="2001" t="s">
        <v>1809</v>
      </c>
      <c r="J178" s="2002">
        <v>6000000</v>
      </c>
      <c r="K178" s="1104">
        <f>H178*J178</f>
        <v>24000000</v>
      </c>
      <c r="L178" s="596"/>
      <c r="M178" s="471"/>
      <c r="N178" s="471"/>
      <c r="O178" s="472"/>
      <c r="P178" s="472"/>
      <c r="Q178" s="415">
        <f>K178</f>
        <v>24000000</v>
      </c>
      <c r="R178" s="1693"/>
      <c r="S178" s="2908">
        <f t="shared" ref="S178:S179" si="44">Q178</f>
        <v>24000000</v>
      </c>
      <c r="T178" s="1689"/>
    </row>
    <row r="179" spans="2:20" ht="15">
      <c r="B179" s="1679"/>
      <c r="C179" s="1680"/>
      <c r="D179" s="1680"/>
      <c r="E179" s="1681"/>
      <c r="F179" s="1681"/>
      <c r="G179" s="1971" t="s">
        <v>2037</v>
      </c>
      <c r="H179" s="2000">
        <f>50</f>
        <v>50</v>
      </c>
      <c r="I179" s="2001" t="s">
        <v>2039</v>
      </c>
      <c r="J179" s="2002">
        <v>300000</v>
      </c>
      <c r="K179" s="1104">
        <f>H179*J179</f>
        <v>15000000</v>
      </c>
      <c r="L179" s="596"/>
      <c r="M179" s="471"/>
      <c r="N179" s="471"/>
      <c r="O179" s="472"/>
      <c r="P179" s="472"/>
      <c r="Q179" s="415">
        <f>K179</f>
        <v>15000000</v>
      </c>
      <c r="R179" s="1693"/>
      <c r="S179" s="2908">
        <f t="shared" si="44"/>
        <v>15000000</v>
      </c>
      <c r="T179" s="1689"/>
    </row>
    <row r="180" spans="2:20" ht="15">
      <c r="B180" s="1679"/>
      <c r="C180" s="1680"/>
      <c r="D180" s="1680"/>
      <c r="E180" s="1681"/>
      <c r="F180" s="1681"/>
      <c r="G180" s="1971" t="s">
        <v>2108</v>
      </c>
      <c r="H180" s="2000">
        <v>1</v>
      </c>
      <c r="I180" s="2001" t="s">
        <v>29</v>
      </c>
      <c r="J180" s="2002">
        <f>30*3500000+(46436700)</f>
        <v>151436700</v>
      </c>
      <c r="K180" s="1104">
        <f>H180*J180</f>
        <v>151436700</v>
      </c>
      <c r="L180" s="596"/>
      <c r="M180" s="471"/>
      <c r="N180" s="471"/>
      <c r="O180" s="472"/>
      <c r="P180" s="472"/>
      <c r="Q180" s="415">
        <f>K180</f>
        <v>151436700</v>
      </c>
      <c r="R180" s="1693"/>
      <c r="S180" s="2908">
        <f>Q180</f>
        <v>151436700</v>
      </c>
      <c r="T180" s="1689"/>
    </row>
    <row r="181" spans="2:20" ht="12.75" customHeight="1">
      <c r="B181" s="1679"/>
      <c r="C181" s="1680"/>
      <c r="D181" s="1680"/>
      <c r="E181" s="1681"/>
      <c r="F181" s="1681"/>
      <c r="G181" s="1971"/>
      <c r="H181" s="2000"/>
      <c r="I181" s="2001"/>
      <c r="J181" s="2002"/>
      <c r="K181" s="1078"/>
      <c r="L181" s="596"/>
      <c r="M181" s="1689"/>
      <c r="N181" s="1689"/>
      <c r="O181" s="1692"/>
      <c r="P181" s="1692"/>
      <c r="Q181" s="2190"/>
      <c r="R181" s="1693"/>
      <c r="S181" s="1689"/>
      <c r="T181" s="1689"/>
    </row>
    <row r="182" spans="2:20">
      <c r="B182" s="429">
        <v>5</v>
      </c>
      <c r="C182" s="2920">
        <v>2</v>
      </c>
      <c r="D182" s="2920">
        <v>2</v>
      </c>
      <c r="E182" s="430">
        <v>29</v>
      </c>
      <c r="F182" s="2920"/>
      <c r="G182" s="588" t="s">
        <v>646</v>
      </c>
      <c r="H182" s="933"/>
      <c r="I182" s="2922"/>
      <c r="J182" s="1169"/>
      <c r="K182" s="737">
        <f>K183</f>
        <v>19141559881</v>
      </c>
      <c r="L182" s="596"/>
      <c r="M182" s="331"/>
      <c r="N182" s="331"/>
      <c r="O182" s="332"/>
      <c r="P182" s="332"/>
      <c r="Q182" s="399"/>
      <c r="R182" s="59"/>
      <c r="S182" s="1689"/>
      <c r="T182" s="1689"/>
    </row>
    <row r="183" spans="2:20">
      <c r="B183" s="429">
        <v>5</v>
      </c>
      <c r="C183" s="2920">
        <v>2</v>
      </c>
      <c r="D183" s="2920">
        <v>2</v>
      </c>
      <c r="E183" s="430">
        <v>29</v>
      </c>
      <c r="F183" s="430" t="s">
        <v>24</v>
      </c>
      <c r="G183" s="588" t="s">
        <v>647</v>
      </c>
      <c r="H183" s="933"/>
      <c r="I183" s="2922"/>
      <c r="J183" s="1169"/>
      <c r="K183" s="737">
        <f>SUM(K184:K185)</f>
        <v>19141559881</v>
      </c>
      <c r="L183" s="596"/>
      <c r="M183" s="331"/>
      <c r="N183" s="331"/>
      <c r="O183" s="332"/>
      <c r="P183" s="332"/>
      <c r="Q183" s="399"/>
      <c r="R183" s="59"/>
      <c r="S183" s="1689"/>
      <c r="T183" s="1689"/>
    </row>
    <row r="184" spans="2:20">
      <c r="B184" s="346"/>
      <c r="C184" s="615"/>
      <c r="D184" s="615"/>
      <c r="E184" s="615"/>
      <c r="F184" s="615"/>
      <c r="G184" s="373" t="s">
        <v>336</v>
      </c>
      <c r="H184" s="616">
        <v>1</v>
      </c>
      <c r="I184" s="383" t="s">
        <v>29</v>
      </c>
      <c r="J184" s="1101">
        <f>(27455000000*54%)-467212300-67400000-20000000-404700000+187251000-18000000+80000000-46436700-111726000-135600000</f>
        <v>13821876000.000002</v>
      </c>
      <c r="K184" s="543">
        <f>H184*J184</f>
        <v>13821876000.000002</v>
      </c>
      <c r="L184" s="596"/>
      <c r="M184" s="331"/>
      <c r="N184" s="331"/>
      <c r="O184" s="59"/>
      <c r="P184" s="59"/>
      <c r="Q184" s="399">
        <f>K184</f>
        <v>13821876000.000002</v>
      </c>
      <c r="R184" s="59"/>
      <c r="S184" s="1689"/>
      <c r="T184" s="1689">
        <f t="shared" ref="T184" si="45">Q184</f>
        <v>13821876000.000002</v>
      </c>
    </row>
    <row r="185" spans="2:20">
      <c r="B185" s="346"/>
      <c r="C185" s="615"/>
      <c r="D185" s="615"/>
      <c r="E185" s="615"/>
      <c r="F185" s="615"/>
      <c r="G185" s="373" t="s">
        <v>1712</v>
      </c>
      <c r="H185" s="616">
        <v>1</v>
      </c>
      <c r="I185" s="383" t="s">
        <v>29</v>
      </c>
      <c r="J185" s="1101">
        <f>1131637986+1341039564+1402466173+1444540158</f>
        <v>5319683881</v>
      </c>
      <c r="K185" s="543">
        <f>H185*J185</f>
        <v>5319683881</v>
      </c>
      <c r="L185" s="596"/>
      <c r="M185" s="331"/>
      <c r="N185" s="331"/>
      <c r="O185" s="59"/>
      <c r="P185" s="59"/>
      <c r="Q185" s="399">
        <f>K185</f>
        <v>5319683881</v>
      </c>
      <c r="R185" s="59"/>
      <c r="S185" s="2908">
        <f>Q185</f>
        <v>5319683881</v>
      </c>
      <c r="T185" s="1689"/>
    </row>
    <row r="186" spans="2:20">
      <c r="B186" s="346"/>
      <c r="C186" s="615"/>
      <c r="D186" s="615"/>
      <c r="E186" s="615"/>
      <c r="F186" s="615"/>
      <c r="G186" s="373"/>
      <c r="H186" s="616"/>
      <c r="I186" s="383"/>
      <c r="J186" s="1101"/>
      <c r="K186" s="947"/>
      <c r="L186" s="596"/>
      <c r="M186" s="471"/>
      <c r="N186" s="471"/>
      <c r="O186" s="474"/>
      <c r="P186" s="474"/>
      <c r="Q186" s="473"/>
      <c r="R186" s="474"/>
      <c r="S186" s="1689"/>
      <c r="T186" s="1689"/>
    </row>
    <row r="187" spans="2:20">
      <c r="B187" s="427">
        <v>5</v>
      </c>
      <c r="C187" s="2918">
        <v>2</v>
      </c>
      <c r="D187" s="2918">
        <v>3</v>
      </c>
      <c r="E187" s="2918"/>
      <c r="F187" s="2918"/>
      <c r="G187" s="366" t="s">
        <v>78</v>
      </c>
      <c r="H187" s="956"/>
      <c r="I187" s="2918"/>
      <c r="J187" s="1101"/>
      <c r="K187" s="550">
        <f>K188+K192+K200+K208+K214+K218+K231+K237</f>
        <v>1421794500</v>
      </c>
      <c r="L187" s="596"/>
      <c r="M187" s="331"/>
      <c r="N187" s="331"/>
      <c r="O187" s="59"/>
      <c r="P187" s="59"/>
      <c r="Q187" s="399"/>
      <c r="R187" s="59"/>
      <c r="S187" s="1689"/>
      <c r="T187" s="1689"/>
    </row>
    <row r="188" spans="2:20">
      <c r="B188" s="36">
        <v>5</v>
      </c>
      <c r="C188" s="37">
        <v>2</v>
      </c>
      <c r="D188" s="37">
        <v>3</v>
      </c>
      <c r="E188" s="38">
        <v>27</v>
      </c>
      <c r="F188" s="17"/>
      <c r="G188" s="48" t="s">
        <v>1810</v>
      </c>
      <c r="H188" s="2024"/>
      <c r="I188" s="1682"/>
      <c r="J188" s="2195"/>
      <c r="K188" s="2090">
        <f>K189</f>
        <v>65000000</v>
      </c>
      <c r="L188" s="596"/>
      <c r="M188" s="1689"/>
      <c r="N188" s="1689"/>
      <c r="O188" s="1693"/>
      <c r="P188" s="1693"/>
      <c r="Q188" s="1658"/>
      <c r="R188" s="1693"/>
      <c r="S188" s="1689"/>
      <c r="T188" s="1689"/>
    </row>
    <row r="189" spans="2:20">
      <c r="B189" s="36">
        <v>5</v>
      </c>
      <c r="C189" s="37">
        <v>2</v>
      </c>
      <c r="D189" s="37">
        <v>3</v>
      </c>
      <c r="E189" s="38">
        <v>27</v>
      </c>
      <c r="F189" s="38" t="s">
        <v>44</v>
      </c>
      <c r="G189" s="2196" t="s">
        <v>1811</v>
      </c>
      <c r="H189" s="2024"/>
      <c r="I189" s="1682"/>
      <c r="J189" s="2195"/>
      <c r="K189" s="2090">
        <f>K190</f>
        <v>65000000</v>
      </c>
      <c r="L189" s="596"/>
      <c r="M189" s="1689"/>
      <c r="N189" s="1689"/>
      <c r="O189" s="1693"/>
      <c r="P189" s="1693"/>
      <c r="Q189" s="1658"/>
      <c r="R189" s="1693"/>
      <c r="S189" s="1689"/>
      <c r="T189" s="1689"/>
    </row>
    <row r="190" spans="2:20">
      <c r="B190" s="1652"/>
      <c r="C190" s="1653"/>
      <c r="D190" s="1653"/>
      <c r="E190" s="1653"/>
      <c r="F190" s="1653"/>
      <c r="G190" s="1654" t="s">
        <v>1812</v>
      </c>
      <c r="H190" s="1663">
        <v>1</v>
      </c>
      <c r="I190" s="1653" t="s">
        <v>85</v>
      </c>
      <c r="J190" s="2195">
        <v>65000000</v>
      </c>
      <c r="K190" s="1667">
        <f>H190*J190</f>
        <v>65000000</v>
      </c>
      <c r="L190" s="596"/>
      <c r="M190" s="1689"/>
      <c r="N190" s="1689"/>
      <c r="O190" s="1693"/>
      <c r="P190" s="1693"/>
      <c r="Q190" s="1658">
        <f>K190</f>
        <v>65000000</v>
      </c>
      <c r="R190" s="1693"/>
      <c r="S190" s="2908">
        <f>Q190</f>
        <v>65000000</v>
      </c>
      <c r="T190" s="1689"/>
    </row>
    <row r="191" spans="2:20">
      <c r="B191" s="1652"/>
      <c r="C191" s="1653"/>
      <c r="D191" s="1653"/>
      <c r="E191" s="1653"/>
      <c r="F191" s="1653"/>
      <c r="G191" s="1654"/>
      <c r="H191" s="1663"/>
      <c r="I191" s="1653"/>
      <c r="J191" s="2195"/>
      <c r="K191" s="1667"/>
      <c r="L191" s="596"/>
      <c r="M191" s="1689"/>
      <c r="N191" s="1689"/>
      <c r="O191" s="1693"/>
      <c r="P191" s="1693"/>
      <c r="Q191" s="1658"/>
      <c r="R191" s="1693"/>
      <c r="S191" s="2908"/>
      <c r="T191" s="1689"/>
    </row>
    <row r="192" spans="2:20">
      <c r="B192" s="346">
        <v>5</v>
      </c>
      <c r="C192" s="371">
        <v>2</v>
      </c>
      <c r="D192" s="371">
        <v>3</v>
      </c>
      <c r="E192" s="372">
        <v>28</v>
      </c>
      <c r="F192" s="2918"/>
      <c r="G192" s="477" t="s">
        <v>506</v>
      </c>
      <c r="H192" s="1663"/>
      <c r="I192" s="1653"/>
      <c r="J192" s="2195"/>
      <c r="K192" s="2090">
        <f>K193+K196</f>
        <v>155466000</v>
      </c>
      <c r="L192" s="596"/>
      <c r="M192" s="1689"/>
      <c r="N192" s="1689"/>
      <c r="O192" s="1693"/>
      <c r="P192" s="1693"/>
      <c r="Q192" s="1658"/>
      <c r="R192" s="1693"/>
      <c r="S192" s="2908"/>
      <c r="T192" s="1689"/>
    </row>
    <row r="193" spans="2:21">
      <c r="B193" s="346">
        <v>5</v>
      </c>
      <c r="C193" s="371">
        <v>2</v>
      </c>
      <c r="D193" s="371">
        <v>3</v>
      </c>
      <c r="E193" s="372">
        <v>28</v>
      </c>
      <c r="F193" s="372" t="s">
        <v>44</v>
      </c>
      <c r="G193" s="381" t="s">
        <v>2146</v>
      </c>
      <c r="H193" s="1663"/>
      <c r="I193" s="1653"/>
      <c r="J193" s="2195"/>
      <c r="K193" s="2090">
        <f>SUM(K194:K195)</f>
        <v>15000000</v>
      </c>
      <c r="L193" s="596"/>
      <c r="M193" s="596"/>
      <c r="N193" s="1689"/>
      <c r="O193" s="1693"/>
      <c r="P193" s="1693"/>
      <c r="Q193" s="1658"/>
      <c r="R193" s="1693"/>
      <c r="S193" s="2908"/>
      <c r="T193" s="1689"/>
    </row>
    <row r="194" spans="2:21">
      <c r="B194" s="2067"/>
      <c r="C194" s="2061"/>
      <c r="D194" s="2061"/>
      <c r="E194" s="2068"/>
      <c r="F194" s="1653"/>
      <c r="G194" s="2929" t="s">
        <v>2147</v>
      </c>
      <c r="H194" s="1663">
        <v>1</v>
      </c>
      <c r="I194" s="1653" t="s">
        <v>85</v>
      </c>
      <c r="J194" s="2195">
        <v>15000000</v>
      </c>
      <c r="K194" s="476">
        <f>H194*J194</f>
        <v>15000000</v>
      </c>
      <c r="L194" s="842"/>
      <c r="M194" s="847"/>
      <c r="N194" s="838"/>
      <c r="O194" s="838"/>
      <c r="P194" s="838"/>
      <c r="Q194" s="1836">
        <f>K194</f>
        <v>15000000</v>
      </c>
      <c r="R194" s="838"/>
      <c r="S194" s="1689">
        <f>Q194</f>
        <v>15000000</v>
      </c>
      <c r="T194" s="1689"/>
    </row>
    <row r="195" spans="2:21">
      <c r="B195" s="2067"/>
      <c r="C195" s="2061"/>
      <c r="D195" s="2061"/>
      <c r="E195" s="2068"/>
      <c r="F195" s="1653"/>
      <c r="G195" s="2929"/>
      <c r="H195" s="1663"/>
      <c r="I195" s="1653"/>
      <c r="J195" s="2195"/>
      <c r="K195" s="1667"/>
      <c r="L195" s="596"/>
      <c r="M195" s="596"/>
      <c r="N195" s="1689"/>
      <c r="O195" s="1693"/>
      <c r="P195" s="1693"/>
      <c r="Q195" s="1658"/>
      <c r="R195" s="1693"/>
      <c r="S195" s="2908"/>
      <c r="T195" s="1689"/>
    </row>
    <row r="196" spans="2:21">
      <c r="B196" s="346">
        <v>5</v>
      </c>
      <c r="C196" s="371">
        <v>2</v>
      </c>
      <c r="D196" s="371">
        <v>3</v>
      </c>
      <c r="E196" s="372">
        <v>28</v>
      </c>
      <c r="F196" s="372" t="s">
        <v>65</v>
      </c>
      <c r="G196" s="381" t="s">
        <v>1731</v>
      </c>
      <c r="H196" s="956"/>
      <c r="I196" s="2918"/>
      <c r="J196" s="820"/>
      <c r="K196" s="1832">
        <f>SUM(K197:K198)</f>
        <v>140466000</v>
      </c>
      <c r="L196" s="842"/>
      <c r="M196" s="839"/>
      <c r="N196" s="838"/>
      <c r="O196" s="838"/>
      <c r="P196" s="838"/>
      <c r="Q196" s="838"/>
      <c r="R196" s="838"/>
      <c r="S196" s="1689"/>
      <c r="T196" s="1689"/>
      <c r="U196" s="41"/>
    </row>
    <row r="197" spans="2:21">
      <c r="B197" s="346"/>
      <c r="C197" s="371"/>
      <c r="D197" s="371"/>
      <c r="E197" s="372"/>
      <c r="F197" s="2918"/>
      <c r="G197" s="373" t="s">
        <v>2135</v>
      </c>
      <c r="H197" s="2924">
        <v>4</v>
      </c>
      <c r="I197" s="380" t="s">
        <v>85</v>
      </c>
      <c r="J197" s="1199">
        <v>8979000</v>
      </c>
      <c r="K197" s="476">
        <f>H197*J197</f>
        <v>35916000</v>
      </c>
      <c r="L197" s="842"/>
      <c r="M197" s="847"/>
      <c r="N197" s="838"/>
      <c r="O197" s="838"/>
      <c r="P197" s="838"/>
      <c r="Q197" s="1836">
        <f>K197</f>
        <v>35916000</v>
      </c>
      <c r="R197" s="838"/>
      <c r="S197" s="1689">
        <f>Q197</f>
        <v>35916000</v>
      </c>
      <c r="T197" s="1689"/>
      <c r="U197" s="41"/>
    </row>
    <row r="198" spans="2:21">
      <c r="B198" s="346"/>
      <c r="C198" s="371"/>
      <c r="D198" s="371"/>
      <c r="E198" s="372"/>
      <c r="F198" s="2918"/>
      <c r="G198" s="373" t="s">
        <v>2134</v>
      </c>
      <c r="H198" s="2924">
        <v>10</v>
      </c>
      <c r="I198" s="380" t="s">
        <v>85</v>
      </c>
      <c r="J198" s="1199">
        <v>10455000</v>
      </c>
      <c r="K198" s="476">
        <f>H198*J198</f>
        <v>104550000</v>
      </c>
      <c r="L198" s="842"/>
      <c r="M198" s="847"/>
      <c r="N198" s="838"/>
      <c r="O198" s="838"/>
      <c r="P198" s="838"/>
      <c r="Q198" s="1836">
        <f>K198</f>
        <v>104550000</v>
      </c>
      <c r="R198" s="838"/>
      <c r="S198" s="1689">
        <f>Q198</f>
        <v>104550000</v>
      </c>
      <c r="T198" s="1689"/>
      <c r="U198" s="41"/>
    </row>
    <row r="199" spans="2:21">
      <c r="B199" s="1652"/>
      <c r="C199" s="1653"/>
      <c r="D199" s="1653"/>
      <c r="E199" s="1653"/>
      <c r="F199" s="1653"/>
      <c r="G199" s="1654"/>
      <c r="H199" s="1663"/>
      <c r="I199" s="1653"/>
      <c r="J199" s="2195"/>
      <c r="K199" s="1667"/>
      <c r="L199" s="596"/>
      <c r="M199" s="1689"/>
      <c r="N199" s="1689"/>
      <c r="O199" s="1693"/>
      <c r="P199" s="1693"/>
      <c r="Q199" s="1658"/>
      <c r="R199" s="1693"/>
      <c r="S199" s="2908"/>
      <c r="T199" s="1689"/>
    </row>
    <row r="200" spans="2:21">
      <c r="B200" s="346">
        <v>5</v>
      </c>
      <c r="C200" s="371">
        <v>2</v>
      </c>
      <c r="D200" s="371">
        <v>3</v>
      </c>
      <c r="E200" s="372">
        <v>29</v>
      </c>
      <c r="F200" s="2918"/>
      <c r="G200" s="381" t="s">
        <v>113</v>
      </c>
      <c r="H200" s="1663"/>
      <c r="I200" s="1653"/>
      <c r="J200" s="2195"/>
      <c r="K200" s="2090">
        <f>K201+K204</f>
        <v>60998000</v>
      </c>
      <c r="L200" s="596"/>
      <c r="M200" s="1689"/>
      <c r="N200" s="1689"/>
      <c r="O200" s="1693"/>
      <c r="P200" s="1693"/>
      <c r="Q200" s="1658"/>
      <c r="R200" s="1693"/>
      <c r="S200" s="2908"/>
      <c r="T200" s="1689"/>
    </row>
    <row r="201" spans="2:21">
      <c r="B201" s="346">
        <v>5</v>
      </c>
      <c r="C201" s="371">
        <v>2</v>
      </c>
      <c r="D201" s="371">
        <v>3</v>
      </c>
      <c r="E201" s="372">
        <v>29</v>
      </c>
      <c r="F201" s="372" t="s">
        <v>65</v>
      </c>
      <c r="G201" s="381" t="s">
        <v>1733</v>
      </c>
      <c r="H201" s="1663"/>
      <c r="I201" s="1653"/>
      <c r="J201" s="2195"/>
      <c r="K201" s="2090">
        <f>K202</f>
        <v>30998000</v>
      </c>
      <c r="L201" s="596"/>
      <c r="M201" s="1689"/>
      <c r="N201" s="1689"/>
      <c r="O201" s="1693"/>
      <c r="P201" s="1693"/>
      <c r="Q201" s="1658"/>
      <c r="R201" s="1693"/>
      <c r="S201" s="2908"/>
      <c r="T201" s="1689"/>
    </row>
    <row r="202" spans="2:21">
      <c r="B202" s="1652"/>
      <c r="C202" s="1653"/>
      <c r="D202" s="1653"/>
      <c r="E202" s="1653"/>
      <c r="F202" s="1653"/>
      <c r="G202" s="1654" t="s">
        <v>2136</v>
      </c>
      <c r="H202" s="1663">
        <v>2</v>
      </c>
      <c r="I202" s="1653" t="s">
        <v>85</v>
      </c>
      <c r="J202" s="2195">
        <v>15499000</v>
      </c>
      <c r="K202" s="476">
        <f>H202*J202</f>
        <v>30998000</v>
      </c>
      <c r="L202" s="596"/>
      <c r="M202" s="1689"/>
      <c r="N202" s="1689"/>
      <c r="O202" s="1693"/>
      <c r="P202" s="1693"/>
      <c r="Q202" s="1836">
        <f>K202</f>
        <v>30998000</v>
      </c>
      <c r="R202" s="838"/>
      <c r="S202" s="1689">
        <f>Q202</f>
        <v>30998000</v>
      </c>
      <c r="T202" s="1689"/>
    </row>
    <row r="203" spans="2:21">
      <c r="B203" s="1652"/>
      <c r="C203" s="1653"/>
      <c r="D203" s="1653"/>
      <c r="E203" s="1653"/>
      <c r="F203" s="1653"/>
      <c r="G203" s="1654"/>
      <c r="H203" s="1663"/>
      <c r="I203" s="1653"/>
      <c r="J203" s="2195"/>
      <c r="K203" s="2310"/>
      <c r="L203" s="596"/>
      <c r="M203" s="1689"/>
      <c r="N203" s="1689"/>
      <c r="O203" s="1693"/>
      <c r="P203" s="1693"/>
      <c r="Q203" s="2925"/>
      <c r="R203" s="2926"/>
      <c r="S203" s="1689"/>
      <c r="T203" s="1689"/>
    </row>
    <row r="204" spans="2:21">
      <c r="B204" s="346">
        <v>5</v>
      </c>
      <c r="C204" s="371">
        <v>2</v>
      </c>
      <c r="D204" s="371">
        <v>3</v>
      </c>
      <c r="E204" s="372">
        <v>29</v>
      </c>
      <c r="F204" s="372" t="s">
        <v>66</v>
      </c>
      <c r="G204" s="638" t="s">
        <v>1736</v>
      </c>
      <c r="H204" s="933"/>
      <c r="I204" s="393"/>
      <c r="J204" s="579"/>
      <c r="K204" s="601">
        <f>SUM(K205:K207)</f>
        <v>30000000</v>
      </c>
      <c r="L204" s="596"/>
      <c r="M204" s="1689"/>
      <c r="N204" s="1689"/>
      <c r="O204" s="1693"/>
      <c r="P204" s="1693"/>
      <c r="Q204" s="2925"/>
      <c r="R204" s="2926"/>
      <c r="S204" s="1689"/>
      <c r="T204" s="1689"/>
    </row>
    <row r="205" spans="2:21">
      <c r="B205" s="346"/>
      <c r="C205" s="371"/>
      <c r="D205" s="371"/>
      <c r="E205" s="372"/>
      <c r="F205" s="2918"/>
      <c r="G205" s="373" t="s">
        <v>2145</v>
      </c>
      <c r="H205" s="933">
        <v>2</v>
      </c>
      <c r="I205" s="393" t="s">
        <v>85</v>
      </c>
      <c r="J205" s="579">
        <v>11500000</v>
      </c>
      <c r="K205" s="476">
        <f>H205*J205</f>
        <v>23000000</v>
      </c>
      <c r="L205" s="596"/>
      <c r="M205" s="1689"/>
      <c r="N205" s="1689"/>
      <c r="O205" s="1693"/>
      <c r="P205" s="1693"/>
      <c r="Q205" s="1836">
        <f>K205</f>
        <v>23000000</v>
      </c>
      <c r="R205" s="838"/>
      <c r="S205" s="1689">
        <f>Q205</f>
        <v>23000000</v>
      </c>
      <c r="T205" s="1689"/>
    </row>
    <row r="206" spans="2:21">
      <c r="B206" s="346"/>
      <c r="C206" s="371"/>
      <c r="D206" s="371"/>
      <c r="E206" s="372"/>
      <c r="F206" s="2927"/>
      <c r="G206" s="373" t="s">
        <v>2144</v>
      </c>
      <c r="H206" s="933">
        <v>1</v>
      </c>
      <c r="I206" s="393" t="s">
        <v>85</v>
      </c>
      <c r="J206" s="579">
        <v>7000000</v>
      </c>
      <c r="K206" s="476">
        <f>H206*J206</f>
        <v>7000000</v>
      </c>
      <c r="L206" s="596"/>
      <c r="M206" s="1689"/>
      <c r="N206" s="1689"/>
      <c r="O206" s="1693"/>
      <c r="P206" s="1693"/>
      <c r="Q206" s="1836">
        <f>K206</f>
        <v>7000000</v>
      </c>
      <c r="R206" s="838"/>
      <c r="S206" s="1689">
        <f>Q206</f>
        <v>7000000</v>
      </c>
      <c r="T206" s="1689"/>
    </row>
    <row r="207" spans="2:21">
      <c r="B207" s="1652"/>
      <c r="C207" s="1653"/>
      <c r="D207" s="1653"/>
      <c r="E207" s="1653"/>
      <c r="F207" s="1653"/>
      <c r="G207" s="1654"/>
      <c r="H207" s="1663"/>
      <c r="I207" s="1653"/>
      <c r="J207" s="2195"/>
      <c r="K207" s="2310"/>
      <c r="L207" s="596"/>
      <c r="M207" s="1689"/>
      <c r="N207" s="1689"/>
      <c r="O207" s="1693"/>
      <c r="P207" s="1693"/>
      <c r="Q207" s="2925"/>
      <c r="R207" s="2926"/>
      <c r="S207" s="1689"/>
      <c r="T207" s="1689"/>
    </row>
    <row r="208" spans="2:21" ht="25.5">
      <c r="B208" s="36">
        <v>5</v>
      </c>
      <c r="C208" s="37">
        <v>2</v>
      </c>
      <c r="D208" s="37">
        <v>3</v>
      </c>
      <c r="E208" s="38">
        <v>30</v>
      </c>
      <c r="F208" s="17"/>
      <c r="G208" s="381" t="s">
        <v>1057</v>
      </c>
      <c r="H208" s="1663"/>
      <c r="I208" s="1653"/>
      <c r="J208" s="2195"/>
      <c r="K208" s="2090">
        <f>K209</f>
        <v>159000000</v>
      </c>
      <c r="L208" s="596"/>
      <c r="M208" s="1689"/>
      <c r="N208" s="1689"/>
      <c r="O208" s="1693"/>
      <c r="P208" s="1693"/>
      <c r="Q208" s="1658"/>
      <c r="R208" s="1693"/>
      <c r="S208" s="1689"/>
      <c r="T208" s="1689"/>
    </row>
    <row r="209" spans="2:20">
      <c r="B209" s="346">
        <v>5</v>
      </c>
      <c r="C209" s="371">
        <v>2</v>
      </c>
      <c r="D209" s="371">
        <v>3</v>
      </c>
      <c r="E209" s="372">
        <v>30</v>
      </c>
      <c r="F209" s="372" t="s">
        <v>77</v>
      </c>
      <c r="G209" s="638" t="s">
        <v>1058</v>
      </c>
      <c r="H209" s="1663"/>
      <c r="I209" s="1653"/>
      <c r="J209" s="2195"/>
      <c r="K209" s="2090">
        <f>SUM(K210:K213)</f>
        <v>159000000</v>
      </c>
      <c r="L209" s="596"/>
      <c r="M209" s="1689"/>
      <c r="N209" s="1689"/>
      <c r="O209" s="1693"/>
      <c r="P209" s="1693"/>
      <c r="Q209" s="1658"/>
      <c r="R209" s="1693"/>
      <c r="S209" s="1689"/>
      <c r="T209" s="1689"/>
    </row>
    <row r="210" spans="2:20">
      <c r="B210" s="1652"/>
      <c r="C210" s="1653"/>
      <c r="D210" s="1653"/>
      <c r="E210" s="1653"/>
      <c r="F210" s="1653"/>
      <c r="G210" s="1654" t="s">
        <v>2148</v>
      </c>
      <c r="H210" s="1663">
        <v>1</v>
      </c>
      <c r="I210" s="1653" t="s">
        <v>29</v>
      </c>
      <c r="J210" s="2195">
        <v>45000000</v>
      </c>
      <c r="K210" s="1667">
        <f>H210*J210</f>
        <v>45000000</v>
      </c>
      <c r="L210" s="596"/>
      <c r="M210" s="1689"/>
      <c r="N210" s="1689"/>
      <c r="O210" s="1693"/>
      <c r="P210" s="1693"/>
      <c r="Q210" s="1658">
        <f>K210</f>
        <v>45000000</v>
      </c>
      <c r="R210" s="1693"/>
      <c r="S210" s="2908">
        <f t="shared" ref="S210:S212" si="46">Q210</f>
        <v>45000000</v>
      </c>
      <c r="T210" s="1689"/>
    </row>
    <row r="211" spans="2:20">
      <c r="B211" s="1652"/>
      <c r="C211" s="1653"/>
      <c r="D211" s="1653"/>
      <c r="E211" s="1653"/>
      <c r="F211" s="1653"/>
      <c r="G211" s="1654" t="s">
        <v>2107</v>
      </c>
      <c r="H211" s="1663">
        <v>5</v>
      </c>
      <c r="I211" s="1653" t="s">
        <v>85</v>
      </c>
      <c r="J211" s="2195">
        <v>5800000</v>
      </c>
      <c r="K211" s="1667">
        <f>H211*J211</f>
        <v>29000000</v>
      </c>
      <c r="L211" s="596"/>
      <c r="M211" s="1689"/>
      <c r="N211" s="1689"/>
      <c r="O211" s="1693"/>
      <c r="P211" s="1693"/>
      <c r="Q211" s="1658">
        <f>K211</f>
        <v>29000000</v>
      </c>
      <c r="R211" s="1693"/>
      <c r="S211" s="2908">
        <f t="shared" si="46"/>
        <v>29000000</v>
      </c>
      <c r="T211" s="1689"/>
    </row>
    <row r="212" spans="2:20">
      <c r="B212" s="1652"/>
      <c r="C212" s="1653"/>
      <c r="D212" s="1653"/>
      <c r="E212" s="1653"/>
      <c r="F212" s="1653"/>
      <c r="G212" s="1654" t="s">
        <v>2122</v>
      </c>
      <c r="H212" s="1663">
        <v>1</v>
      </c>
      <c r="I212" s="1653" t="s">
        <v>29</v>
      </c>
      <c r="J212" s="2195">
        <v>85000000</v>
      </c>
      <c r="K212" s="1667">
        <f>H212*J212</f>
        <v>85000000</v>
      </c>
      <c r="L212" s="596"/>
      <c r="M212" s="1689"/>
      <c r="N212" s="1689"/>
      <c r="O212" s="1693"/>
      <c r="P212" s="1693"/>
      <c r="Q212" s="1658">
        <f>K212</f>
        <v>85000000</v>
      </c>
      <c r="R212" s="1693"/>
      <c r="S212" s="2908">
        <f t="shared" si="46"/>
        <v>85000000</v>
      </c>
      <c r="T212" s="1689"/>
    </row>
    <row r="213" spans="2:20">
      <c r="B213" s="1652"/>
      <c r="C213" s="1653"/>
      <c r="D213" s="1653"/>
      <c r="E213" s="1653"/>
      <c r="F213" s="1653"/>
      <c r="G213" s="1654"/>
      <c r="H213" s="1663"/>
      <c r="I213" s="1653"/>
      <c r="J213" s="2195"/>
      <c r="K213" s="1667"/>
      <c r="L213" s="596"/>
      <c r="M213" s="1689"/>
      <c r="N213" s="1689"/>
      <c r="O213" s="1693"/>
      <c r="P213" s="1693"/>
      <c r="Q213" s="1658"/>
      <c r="R213" s="1693"/>
      <c r="S213" s="1689"/>
      <c r="T213" s="1689"/>
    </row>
    <row r="214" spans="2:20">
      <c r="B214" s="36">
        <v>5</v>
      </c>
      <c r="C214" s="37">
        <v>2</v>
      </c>
      <c r="D214" s="37">
        <v>3</v>
      </c>
      <c r="E214" s="38">
        <v>32</v>
      </c>
      <c r="F214" s="17"/>
      <c r="G214" s="381" t="s">
        <v>2138</v>
      </c>
      <c r="H214" s="1663"/>
      <c r="I214" s="1653"/>
      <c r="J214" s="2195"/>
      <c r="K214" s="2090">
        <f>K215</f>
        <v>6000000</v>
      </c>
      <c r="L214" s="596"/>
      <c r="M214" s="1689"/>
      <c r="N214" s="1689"/>
      <c r="O214" s="1693"/>
      <c r="P214" s="1693"/>
      <c r="Q214" s="1658"/>
      <c r="R214" s="1693"/>
      <c r="S214" s="1689"/>
      <c r="T214" s="1689"/>
    </row>
    <row r="215" spans="2:20">
      <c r="B215" s="346">
        <v>5</v>
      </c>
      <c r="C215" s="371">
        <v>2</v>
      </c>
      <c r="D215" s="371">
        <v>3</v>
      </c>
      <c r="E215" s="372">
        <v>32</v>
      </c>
      <c r="F215" s="372" t="s">
        <v>24</v>
      </c>
      <c r="G215" s="381" t="s">
        <v>2139</v>
      </c>
      <c r="H215" s="1663"/>
      <c r="I215" s="1653"/>
      <c r="J215" s="2195"/>
      <c r="K215" s="2090">
        <f>K216</f>
        <v>6000000</v>
      </c>
      <c r="L215" s="596"/>
      <c r="M215" s="1689"/>
      <c r="N215" s="1689"/>
      <c r="O215" s="1693"/>
      <c r="P215" s="1693"/>
      <c r="Q215" s="1658"/>
      <c r="R215" s="1693"/>
      <c r="S215" s="1689"/>
      <c r="T215" s="1689"/>
    </row>
    <row r="216" spans="2:20">
      <c r="B216" s="1652"/>
      <c r="C216" s="1653"/>
      <c r="D216" s="1653"/>
      <c r="E216" s="1653"/>
      <c r="F216" s="1653"/>
      <c r="G216" s="1654" t="s">
        <v>2140</v>
      </c>
      <c r="H216" s="1663">
        <v>1</v>
      </c>
      <c r="I216" s="1653" t="s">
        <v>85</v>
      </c>
      <c r="J216" s="2195">
        <v>6000000</v>
      </c>
      <c r="K216" s="1667">
        <f>H216*J216</f>
        <v>6000000</v>
      </c>
      <c r="L216" s="596"/>
      <c r="M216" s="1689"/>
      <c r="N216" s="1689"/>
      <c r="O216" s="1693"/>
      <c r="P216" s="1693"/>
      <c r="Q216" s="1658">
        <f>K216</f>
        <v>6000000</v>
      </c>
      <c r="R216" s="1693"/>
      <c r="S216" s="2908">
        <f t="shared" ref="S216" si="47">Q216</f>
        <v>6000000</v>
      </c>
      <c r="T216" s="1689"/>
    </row>
    <row r="217" spans="2:20">
      <c r="B217" s="1652"/>
      <c r="C217" s="1653"/>
      <c r="D217" s="1653"/>
      <c r="E217" s="1653"/>
      <c r="F217" s="1653"/>
      <c r="G217" s="1654"/>
      <c r="H217" s="1663"/>
      <c r="I217" s="1653"/>
      <c r="J217" s="2195"/>
      <c r="K217" s="1667"/>
      <c r="L217" s="596"/>
      <c r="M217" s="1689"/>
      <c r="N217" s="1689"/>
      <c r="O217" s="1693"/>
      <c r="P217" s="1693"/>
      <c r="Q217" s="1658"/>
      <c r="R217" s="1693"/>
      <c r="S217" s="1689"/>
      <c r="T217" s="1689"/>
    </row>
    <row r="218" spans="2:20">
      <c r="B218" s="36">
        <v>5</v>
      </c>
      <c r="C218" s="37">
        <v>2</v>
      </c>
      <c r="D218" s="37">
        <v>3</v>
      </c>
      <c r="E218" s="38">
        <v>34</v>
      </c>
      <c r="F218" s="17"/>
      <c r="G218" s="48" t="s">
        <v>342</v>
      </c>
      <c r="H218" s="856"/>
      <c r="I218" s="17"/>
      <c r="J218" s="454"/>
      <c r="K218" s="47">
        <f>K219+K222+K225+K228</f>
        <v>101442500</v>
      </c>
      <c r="L218" s="304"/>
      <c r="M218" s="303"/>
      <c r="N218" s="303"/>
      <c r="O218" s="303"/>
      <c r="P218" s="303"/>
      <c r="Q218" s="303"/>
      <c r="R218" s="303"/>
      <c r="S218" s="1693"/>
      <c r="T218" s="1693"/>
    </row>
    <row r="219" spans="2:20">
      <c r="B219" s="36">
        <v>5</v>
      </c>
      <c r="C219" s="37">
        <v>2</v>
      </c>
      <c r="D219" s="37">
        <v>3</v>
      </c>
      <c r="E219" s="38">
        <v>34</v>
      </c>
      <c r="F219" s="38" t="s">
        <v>24</v>
      </c>
      <c r="G219" s="20" t="s">
        <v>515</v>
      </c>
      <c r="H219" s="856"/>
      <c r="I219" s="17"/>
      <c r="J219" s="454"/>
      <c r="K219" s="50">
        <f>SUM(K220:K220)</f>
        <v>11000000</v>
      </c>
      <c r="L219" s="305"/>
      <c r="M219" s="305"/>
      <c r="N219" s="305"/>
      <c r="O219" s="305"/>
      <c r="P219" s="305"/>
      <c r="Q219" s="303"/>
      <c r="R219" s="303"/>
      <c r="S219" s="1693"/>
      <c r="T219" s="1693"/>
    </row>
    <row r="220" spans="2:20">
      <c r="B220" s="346"/>
      <c r="C220" s="371"/>
      <c r="D220" s="371"/>
      <c r="E220" s="372"/>
      <c r="F220" s="372"/>
      <c r="G220" s="391" t="s">
        <v>1107</v>
      </c>
      <c r="H220" s="933">
        <v>10</v>
      </c>
      <c r="I220" s="2922" t="s">
        <v>85</v>
      </c>
      <c r="J220" s="456">
        <v>1100000</v>
      </c>
      <c r="K220" s="476">
        <f>H220*J220</f>
        <v>11000000</v>
      </c>
      <c r="L220" s="564"/>
      <c r="M220" s="564"/>
      <c r="N220" s="377"/>
      <c r="O220" s="377"/>
      <c r="P220" s="377"/>
      <c r="Q220" s="399">
        <f>K220</f>
        <v>11000000</v>
      </c>
      <c r="R220" s="385"/>
      <c r="S220" s="2908">
        <f t="shared" ref="S220" si="48">Q220</f>
        <v>11000000</v>
      </c>
      <c r="T220" s="1693"/>
    </row>
    <row r="221" spans="2:20">
      <c r="B221" s="1679"/>
      <c r="C221" s="1680"/>
      <c r="D221" s="1680"/>
      <c r="E221" s="1681"/>
      <c r="F221" s="1681"/>
      <c r="G221" s="1685"/>
      <c r="H221" s="1663"/>
      <c r="I221" s="1653"/>
      <c r="J221" s="1655"/>
      <c r="K221" s="2310"/>
      <c r="L221" s="564"/>
      <c r="M221" s="564"/>
      <c r="N221" s="1656"/>
      <c r="O221" s="1656"/>
      <c r="P221" s="1656"/>
      <c r="Q221" s="1658"/>
      <c r="R221" s="1657"/>
      <c r="S221" s="1693"/>
      <c r="T221" s="1693"/>
    </row>
    <row r="222" spans="2:20">
      <c r="B222" s="346">
        <v>5</v>
      </c>
      <c r="C222" s="371">
        <v>2</v>
      </c>
      <c r="D222" s="371">
        <v>3</v>
      </c>
      <c r="E222" s="372">
        <v>34</v>
      </c>
      <c r="F222" s="372" t="s">
        <v>65</v>
      </c>
      <c r="G222" s="396" t="s">
        <v>1373</v>
      </c>
      <c r="H222" s="1663"/>
      <c r="I222" s="1653"/>
      <c r="J222" s="1655"/>
      <c r="K222" s="2311">
        <f>K223</f>
        <v>7000000</v>
      </c>
      <c r="L222" s="564"/>
      <c r="M222" s="564"/>
      <c r="N222" s="1656"/>
      <c r="O222" s="1656"/>
      <c r="P222" s="1656"/>
      <c r="Q222" s="1658"/>
      <c r="R222" s="1657"/>
      <c r="S222" s="1693"/>
      <c r="T222" s="1693"/>
    </row>
    <row r="223" spans="2:20">
      <c r="B223" s="1679"/>
      <c r="C223" s="1680"/>
      <c r="D223" s="1680"/>
      <c r="E223" s="1681"/>
      <c r="F223" s="1681"/>
      <c r="G223" s="1685" t="s">
        <v>2027</v>
      </c>
      <c r="H223" s="1663">
        <v>1</v>
      </c>
      <c r="I223" s="1653" t="s">
        <v>85</v>
      </c>
      <c r="J223" s="1655">
        <v>7000000</v>
      </c>
      <c r="K223" s="476">
        <f>H223*J223</f>
        <v>7000000</v>
      </c>
      <c r="L223" s="564"/>
      <c r="M223" s="564"/>
      <c r="N223" s="377"/>
      <c r="O223" s="377"/>
      <c r="P223" s="377"/>
      <c r="Q223" s="399">
        <f>K223</f>
        <v>7000000</v>
      </c>
      <c r="R223" s="1657"/>
      <c r="S223" s="2908">
        <f>Q223</f>
        <v>7000000</v>
      </c>
      <c r="T223" s="1693"/>
    </row>
    <row r="224" spans="2:20">
      <c r="B224" s="1679"/>
      <c r="C224" s="1680"/>
      <c r="D224" s="1680"/>
      <c r="E224" s="1681"/>
      <c r="F224" s="1681"/>
      <c r="G224" s="1685"/>
      <c r="H224" s="1663"/>
      <c r="I224" s="1653"/>
      <c r="J224" s="1655"/>
      <c r="K224" s="2310"/>
      <c r="L224" s="564"/>
      <c r="M224" s="564"/>
      <c r="N224" s="1656"/>
      <c r="O224" s="1656"/>
      <c r="P224" s="1656"/>
      <c r="Q224" s="1658"/>
      <c r="R224" s="1657"/>
      <c r="S224" s="1693"/>
      <c r="T224" s="1693"/>
    </row>
    <row r="225" spans="2:20">
      <c r="B225" s="36">
        <v>5</v>
      </c>
      <c r="C225" s="37">
        <v>2</v>
      </c>
      <c r="D225" s="37">
        <v>3</v>
      </c>
      <c r="E225" s="38">
        <v>34</v>
      </c>
      <c r="F225" s="38" t="s">
        <v>81</v>
      </c>
      <c r="G225" s="49" t="s">
        <v>348</v>
      </c>
      <c r="H225" s="1663"/>
      <c r="I225" s="1653"/>
      <c r="J225" s="1655"/>
      <c r="K225" s="2311">
        <f>SUM(K226:K227)</f>
        <v>63442500</v>
      </c>
      <c r="L225" s="564"/>
      <c r="M225" s="564"/>
      <c r="N225" s="1656"/>
      <c r="O225" s="1656"/>
      <c r="P225" s="1656"/>
      <c r="Q225" s="1658"/>
      <c r="R225" s="1657"/>
      <c r="S225" s="1693"/>
      <c r="T225" s="1693"/>
    </row>
    <row r="226" spans="2:20">
      <c r="B226" s="1679"/>
      <c r="C226" s="1680"/>
      <c r="D226" s="1680"/>
      <c r="E226" s="1681"/>
      <c r="F226" s="1681"/>
      <c r="G226" s="1685" t="s">
        <v>1864</v>
      </c>
      <c r="H226" s="1663">
        <v>1</v>
      </c>
      <c r="I226" s="1653" t="s">
        <v>85</v>
      </c>
      <c r="J226" s="1655">
        <f>95000000+19442500-6000000-30000000-15000000</f>
        <v>63442500</v>
      </c>
      <c r="K226" s="476">
        <f>H226*J226</f>
        <v>63442500</v>
      </c>
      <c r="L226" s="564"/>
      <c r="M226" s="564"/>
      <c r="N226" s="1656"/>
      <c r="O226" s="1656"/>
      <c r="P226" s="1656"/>
      <c r="Q226" s="399">
        <f t="shared" ref="Q226" si="49">K226</f>
        <v>63442500</v>
      </c>
      <c r="R226" s="1657"/>
      <c r="S226" s="2908">
        <f t="shared" ref="S226" si="50">Q226</f>
        <v>63442500</v>
      </c>
      <c r="T226" s="1693"/>
    </row>
    <row r="227" spans="2:20">
      <c r="B227" s="346"/>
      <c r="C227" s="371"/>
      <c r="D227" s="371"/>
      <c r="E227" s="372"/>
      <c r="F227" s="372"/>
      <c r="G227" s="391"/>
      <c r="H227" s="933"/>
      <c r="I227" s="2922"/>
      <c r="J227" s="456"/>
      <c r="K227" s="578"/>
      <c r="L227" s="564"/>
      <c r="M227" s="564"/>
      <c r="N227" s="377"/>
      <c r="O227" s="377"/>
      <c r="P227" s="377"/>
      <c r="Q227" s="385"/>
      <c r="R227" s="385"/>
      <c r="S227" s="1693"/>
      <c r="T227" s="1693"/>
    </row>
    <row r="228" spans="2:20" ht="15">
      <c r="B228" s="36">
        <v>5</v>
      </c>
      <c r="C228" s="37">
        <v>2</v>
      </c>
      <c r="D228" s="37">
        <v>3</v>
      </c>
      <c r="E228" s="38">
        <v>34</v>
      </c>
      <c r="F228" s="38">
        <v>20</v>
      </c>
      <c r="G228" s="48" t="s">
        <v>832</v>
      </c>
      <c r="H228" s="857"/>
      <c r="I228" s="4"/>
      <c r="J228" s="61"/>
      <c r="K228" s="177">
        <f>SUM(K229:K229)</f>
        <v>20000000</v>
      </c>
      <c r="L228" s="305"/>
      <c r="M228" s="310"/>
      <c r="N228" s="306"/>
      <c r="O228" s="306"/>
      <c r="P228" s="306"/>
      <c r="Q228" s="306"/>
      <c r="R228" s="312"/>
      <c r="S228" s="1693"/>
      <c r="T228" s="1693"/>
    </row>
    <row r="229" spans="2:20" ht="15">
      <c r="B229" s="2067"/>
      <c r="C229" s="383"/>
      <c r="D229" s="383"/>
      <c r="E229" s="968"/>
      <c r="F229" s="968"/>
      <c r="G229" s="373" t="s">
        <v>2025</v>
      </c>
      <c r="H229" s="2924">
        <v>1</v>
      </c>
      <c r="I229" s="380" t="s">
        <v>85</v>
      </c>
      <c r="J229" s="382">
        <v>20000000</v>
      </c>
      <c r="K229" s="906">
        <f t="shared" ref="K229" si="51">J229*H229</f>
        <v>20000000</v>
      </c>
      <c r="L229" s="377"/>
      <c r="M229" s="1029"/>
      <c r="N229" s="969"/>
      <c r="O229" s="1651"/>
      <c r="P229" s="969"/>
      <c r="Q229" s="1030">
        <f>K229</f>
        <v>20000000</v>
      </c>
      <c r="R229" s="1144"/>
      <c r="S229" s="2908">
        <f>Q229</f>
        <v>20000000</v>
      </c>
      <c r="T229" s="1693"/>
    </row>
    <row r="230" spans="2:20">
      <c r="B230" s="1679"/>
      <c r="C230" s="1680"/>
      <c r="D230" s="1680"/>
      <c r="E230" s="1681"/>
      <c r="F230" s="1681"/>
      <c r="G230" s="1685"/>
      <c r="H230" s="1663"/>
      <c r="I230" s="1653"/>
      <c r="J230" s="1655"/>
      <c r="K230" s="1945"/>
      <c r="L230" s="564"/>
      <c r="M230" s="564"/>
      <c r="N230" s="1656"/>
      <c r="O230" s="1656"/>
      <c r="P230" s="1656"/>
      <c r="Q230" s="1657"/>
      <c r="R230" s="1657"/>
      <c r="S230" s="1693"/>
      <c r="T230" s="1693"/>
    </row>
    <row r="231" spans="2:20" ht="15">
      <c r="B231" s="346">
        <v>5</v>
      </c>
      <c r="C231" s="371">
        <v>2</v>
      </c>
      <c r="D231" s="371">
        <v>3</v>
      </c>
      <c r="E231" s="372">
        <v>36</v>
      </c>
      <c r="F231" s="574"/>
      <c r="G231" s="381" t="s">
        <v>520</v>
      </c>
      <c r="H231" s="933"/>
      <c r="I231" s="2922"/>
      <c r="J231" s="456"/>
      <c r="K231" s="1107">
        <f>+K232</f>
        <v>550200000</v>
      </c>
      <c r="L231" s="564"/>
      <c r="M231" s="310"/>
      <c r="N231" s="306"/>
      <c r="O231" s="306"/>
      <c r="P231" s="306"/>
      <c r="Q231" s="306"/>
      <c r="R231" s="306"/>
      <c r="S231" s="1693"/>
      <c r="T231" s="1693"/>
    </row>
    <row r="232" spans="2:20" ht="15">
      <c r="B232" s="346">
        <v>5</v>
      </c>
      <c r="C232" s="371">
        <v>2</v>
      </c>
      <c r="D232" s="371">
        <v>3</v>
      </c>
      <c r="E232" s="372">
        <v>36</v>
      </c>
      <c r="F232" s="372">
        <v>18</v>
      </c>
      <c r="G232" s="381" t="s">
        <v>2128</v>
      </c>
      <c r="H232" s="933"/>
      <c r="I232" s="2922"/>
      <c r="J232" s="456"/>
      <c r="K232" s="1107">
        <f>SUM(K233:K235)</f>
        <v>550200000</v>
      </c>
      <c r="L232" s="564"/>
      <c r="M232" s="310"/>
      <c r="N232" s="306"/>
      <c r="O232" s="306"/>
      <c r="P232" s="306"/>
      <c r="Q232" s="306"/>
      <c r="R232" s="306"/>
      <c r="S232" s="1693"/>
      <c r="T232" s="1693"/>
    </row>
    <row r="233" spans="2:20">
      <c r="B233" s="346"/>
      <c r="C233" s="371"/>
      <c r="D233" s="371"/>
      <c r="E233" s="372"/>
      <c r="F233" s="372"/>
      <c r="G233" s="373" t="s">
        <v>2129</v>
      </c>
      <c r="H233" s="946">
        <v>1</v>
      </c>
      <c r="I233" s="877" t="s">
        <v>85</v>
      </c>
      <c r="J233" s="878">
        <v>353000000</v>
      </c>
      <c r="K233" s="637">
        <f>H233*J233</f>
        <v>353000000</v>
      </c>
      <c r="L233" s="596"/>
      <c r="M233" s="331"/>
      <c r="N233" s="331"/>
      <c r="O233" s="59"/>
      <c r="P233" s="59"/>
      <c r="Q233" s="399">
        <f>K233</f>
        <v>353000000</v>
      </c>
      <c r="R233" s="59"/>
      <c r="S233" s="2908">
        <f>Q233</f>
        <v>353000000</v>
      </c>
      <c r="T233" s="1689"/>
    </row>
    <row r="234" spans="2:20">
      <c r="B234" s="1679"/>
      <c r="C234" s="1680"/>
      <c r="D234" s="1680"/>
      <c r="E234" s="1681"/>
      <c r="F234" s="1681"/>
      <c r="G234" s="1683" t="s">
        <v>2130</v>
      </c>
      <c r="H234" s="2910">
        <v>1</v>
      </c>
      <c r="I234" s="877" t="s">
        <v>85</v>
      </c>
      <c r="J234" s="2912">
        <v>190000000</v>
      </c>
      <c r="K234" s="637">
        <f t="shared" ref="K234:K235" si="52">H234*J234</f>
        <v>190000000</v>
      </c>
      <c r="L234" s="596"/>
      <c r="M234" s="1689"/>
      <c r="N234" s="1689"/>
      <c r="O234" s="1693"/>
      <c r="P234" s="1693"/>
      <c r="Q234" s="399">
        <f t="shared" ref="Q234:Q235" si="53">K234</f>
        <v>190000000</v>
      </c>
      <c r="R234" s="59"/>
      <c r="S234" s="2908">
        <f t="shared" ref="S234:S235" si="54">Q234</f>
        <v>190000000</v>
      </c>
      <c r="T234" s="1689"/>
    </row>
    <row r="235" spans="2:20">
      <c r="B235" s="1679"/>
      <c r="C235" s="1680"/>
      <c r="D235" s="1680"/>
      <c r="E235" s="1681"/>
      <c r="F235" s="1681"/>
      <c r="G235" s="1683" t="s">
        <v>2131</v>
      </c>
      <c r="H235" s="2910">
        <v>12</v>
      </c>
      <c r="I235" s="877" t="s">
        <v>85</v>
      </c>
      <c r="J235" s="2912">
        <v>600000</v>
      </c>
      <c r="K235" s="637">
        <f t="shared" si="52"/>
        <v>7200000</v>
      </c>
      <c r="L235" s="596"/>
      <c r="M235" s="1689"/>
      <c r="N235" s="1689"/>
      <c r="O235" s="1693"/>
      <c r="P235" s="1693"/>
      <c r="Q235" s="399">
        <f t="shared" si="53"/>
        <v>7200000</v>
      </c>
      <c r="R235" s="59"/>
      <c r="S235" s="2908">
        <f t="shared" si="54"/>
        <v>7200000</v>
      </c>
      <c r="T235" s="1689"/>
    </row>
    <row r="236" spans="2:20">
      <c r="B236" s="1679"/>
      <c r="C236" s="1680"/>
      <c r="D236" s="1680"/>
      <c r="E236" s="1681"/>
      <c r="F236" s="1681"/>
      <c r="G236" s="1683"/>
      <c r="H236" s="2910"/>
      <c r="I236" s="2911"/>
      <c r="J236" s="2912"/>
      <c r="K236" s="1667"/>
      <c r="L236" s="596"/>
      <c r="M236" s="1689"/>
      <c r="N236" s="1689"/>
      <c r="O236" s="1693"/>
      <c r="P236" s="1693"/>
      <c r="Q236" s="1658"/>
      <c r="R236" s="1693"/>
      <c r="S236" s="2908"/>
      <c r="T236" s="1689"/>
    </row>
    <row r="237" spans="2:20" s="27" customFormat="1" ht="15">
      <c r="B237" s="649">
        <v>5</v>
      </c>
      <c r="C237" s="650">
        <v>2</v>
      </c>
      <c r="D237" s="650">
        <v>3</v>
      </c>
      <c r="E237" s="651">
        <v>49</v>
      </c>
      <c r="F237" s="651"/>
      <c r="G237" s="615" t="s">
        <v>605</v>
      </c>
      <c r="H237" s="652"/>
      <c r="I237" s="586"/>
      <c r="J237" s="1183"/>
      <c r="K237" s="653">
        <f>K238</f>
        <v>323688000</v>
      </c>
      <c r="L237" s="386"/>
      <c r="M237" s="329"/>
      <c r="N237" s="330"/>
      <c r="O237" s="330"/>
      <c r="P237" s="330"/>
      <c r="Q237" s="319"/>
      <c r="R237" s="306"/>
      <c r="S237" s="1685"/>
      <c r="T237" s="1685"/>
    </row>
    <row r="238" spans="2:20" ht="15">
      <c r="B238" s="346">
        <v>5</v>
      </c>
      <c r="C238" s="371">
        <v>2</v>
      </c>
      <c r="D238" s="371">
        <v>3</v>
      </c>
      <c r="E238" s="372">
        <v>49</v>
      </c>
      <c r="F238" s="372" t="s">
        <v>66</v>
      </c>
      <c r="G238" s="613" t="s">
        <v>606</v>
      </c>
      <c r="H238" s="599"/>
      <c r="I238" s="380"/>
      <c r="J238" s="579"/>
      <c r="K238" s="653">
        <f>SUM(K239:K244)</f>
        <v>323688000</v>
      </c>
      <c r="L238" s="564"/>
      <c r="M238" s="308"/>
      <c r="N238" s="309"/>
      <c r="O238" s="309"/>
      <c r="P238" s="309"/>
      <c r="Q238" s="306"/>
      <c r="R238" s="306"/>
      <c r="S238" s="1693"/>
      <c r="T238" s="1693"/>
    </row>
    <row r="239" spans="2:20" ht="15">
      <c r="B239" s="429"/>
      <c r="C239" s="2920"/>
      <c r="D239" s="2920"/>
      <c r="E239" s="2920"/>
      <c r="F239" s="2920"/>
      <c r="G239" s="572" t="s">
        <v>2026</v>
      </c>
      <c r="H239" s="602">
        <v>1</v>
      </c>
      <c r="I239" s="603" t="s">
        <v>29</v>
      </c>
      <c r="J239" s="1247">
        <v>83650000</v>
      </c>
      <c r="K239" s="598">
        <f>H239*J239</f>
        <v>83650000</v>
      </c>
      <c r="L239" s="564"/>
      <c r="M239" s="667"/>
      <c r="N239" s="377"/>
      <c r="O239" s="385"/>
      <c r="P239" s="385"/>
      <c r="Q239" s="399">
        <f>K239</f>
        <v>83650000</v>
      </c>
      <c r="R239" s="385"/>
      <c r="S239" s="2908">
        <f t="shared" ref="S239:S242" si="55">Q239</f>
        <v>83650000</v>
      </c>
      <c r="T239" s="1693"/>
    </row>
    <row r="240" spans="2:20" ht="15">
      <c r="B240" s="429"/>
      <c r="C240" s="2920"/>
      <c r="D240" s="2920"/>
      <c r="E240" s="2920"/>
      <c r="F240" s="2920"/>
      <c r="G240" s="572" t="s">
        <v>601</v>
      </c>
      <c r="H240" s="602">
        <v>1</v>
      </c>
      <c r="I240" s="603" t="s">
        <v>29</v>
      </c>
      <c r="J240" s="604">
        <f>0.07*J239</f>
        <v>5855500.0000000009</v>
      </c>
      <c r="K240" s="598">
        <f>H240*J240</f>
        <v>5855500.0000000009</v>
      </c>
      <c r="L240" s="564"/>
      <c r="M240" s="667"/>
      <c r="N240" s="377"/>
      <c r="O240" s="385"/>
      <c r="P240" s="385"/>
      <c r="Q240" s="399">
        <f>K240</f>
        <v>5855500.0000000009</v>
      </c>
      <c r="R240" s="385"/>
      <c r="S240" s="2908">
        <f t="shared" si="55"/>
        <v>5855500.0000000009</v>
      </c>
      <c r="T240" s="1693"/>
    </row>
    <row r="241" spans="1:16141" ht="15">
      <c r="B241" s="1713"/>
      <c r="C241" s="1706"/>
      <c r="D241" s="1706"/>
      <c r="E241" s="1706"/>
      <c r="F241" s="1706"/>
      <c r="G241" s="572" t="s">
        <v>602</v>
      </c>
      <c r="H241" s="602">
        <v>1</v>
      </c>
      <c r="I241" s="603" t="s">
        <v>29</v>
      </c>
      <c r="J241" s="604">
        <f>0.05*J239</f>
        <v>4182500</v>
      </c>
      <c r="K241" s="598">
        <f>H241*J241</f>
        <v>4182500</v>
      </c>
      <c r="L241" s="564"/>
      <c r="M241" s="667"/>
      <c r="N241" s="377"/>
      <c r="O241" s="385"/>
      <c r="P241" s="385"/>
      <c r="Q241" s="399">
        <f>K241</f>
        <v>4182500</v>
      </c>
      <c r="R241" s="1657"/>
      <c r="S241" s="2908">
        <f t="shared" si="55"/>
        <v>4182500</v>
      </c>
      <c r="T241" s="1693"/>
    </row>
    <row r="242" spans="1:16141" ht="15">
      <c r="B242" s="1713"/>
      <c r="C242" s="1706"/>
      <c r="D242" s="1706"/>
      <c r="E242" s="1706"/>
      <c r="F242" s="1706"/>
      <c r="G242" s="2267" t="s">
        <v>1863</v>
      </c>
      <c r="H242" s="602">
        <v>1</v>
      </c>
      <c r="I242" s="2308" t="s">
        <v>29</v>
      </c>
      <c r="J242" s="1247">
        <v>80000000</v>
      </c>
      <c r="K242" s="598">
        <f>H242*J242</f>
        <v>80000000</v>
      </c>
      <c r="L242" s="564"/>
      <c r="M242" s="667"/>
      <c r="N242" s="377"/>
      <c r="O242" s="385"/>
      <c r="P242" s="385"/>
      <c r="Q242" s="399">
        <f>K242</f>
        <v>80000000</v>
      </c>
      <c r="R242" s="1657"/>
      <c r="S242" s="2908">
        <f t="shared" si="55"/>
        <v>80000000</v>
      </c>
      <c r="T242" s="1693"/>
    </row>
    <row r="243" spans="1:16141" ht="15">
      <c r="B243" s="1713"/>
      <c r="C243" s="1706"/>
      <c r="D243" s="1706"/>
      <c r="E243" s="1706"/>
      <c r="F243" s="1706"/>
      <c r="G243" s="2267" t="s">
        <v>2123</v>
      </c>
      <c r="H243" s="602">
        <v>1</v>
      </c>
      <c r="I243" s="2308" t="s">
        <v>29</v>
      </c>
      <c r="J243" s="1247">
        <v>150000000</v>
      </c>
      <c r="K243" s="598">
        <f>H243*J243</f>
        <v>150000000</v>
      </c>
      <c r="L243" s="564"/>
      <c r="M243" s="667"/>
      <c r="N243" s="377"/>
      <c r="O243" s="385"/>
      <c r="P243" s="385"/>
      <c r="Q243" s="399">
        <f>K243</f>
        <v>150000000</v>
      </c>
      <c r="R243" s="1657"/>
      <c r="S243" s="2908">
        <f>Q243</f>
        <v>150000000</v>
      </c>
      <c r="T243" s="1693"/>
    </row>
    <row r="244" spans="1:16141" ht="15">
      <c r="B244" s="1713"/>
      <c r="C244" s="1706"/>
      <c r="D244" s="1706"/>
      <c r="E244" s="1706"/>
      <c r="F244" s="1706"/>
      <c r="G244" s="2267"/>
      <c r="H244" s="602"/>
      <c r="I244" s="2308"/>
      <c r="J244" s="1247"/>
      <c r="K244" s="2309"/>
      <c r="L244" s="564"/>
      <c r="M244" s="668"/>
      <c r="N244" s="1656"/>
      <c r="O244" s="1657"/>
      <c r="P244" s="1657"/>
      <c r="Q244" s="1658"/>
      <c r="R244" s="1657"/>
      <c r="S244" s="1693"/>
      <c r="T244" s="1693"/>
    </row>
    <row r="245" spans="1:16141" ht="13.5" thickBot="1">
      <c r="B245" s="3642" t="s">
        <v>30</v>
      </c>
      <c r="C245" s="3643"/>
      <c r="D245" s="3643"/>
      <c r="E245" s="3643"/>
      <c r="F245" s="3643"/>
      <c r="G245" s="3643"/>
      <c r="H245" s="3643"/>
      <c r="I245" s="3643"/>
      <c r="J245" s="3644"/>
      <c r="K245" s="551">
        <f>K24</f>
        <v>37400500000</v>
      </c>
      <c r="L245" s="596"/>
      <c r="M245" s="331"/>
      <c r="N245" s="331"/>
      <c r="O245" s="59"/>
      <c r="P245" s="59"/>
      <c r="Q245" s="480">
        <f>SUM(Q29:Q244)</f>
        <v>37400500000</v>
      </c>
      <c r="R245" s="481">
        <f>SUM(L245:Q245)</f>
        <v>37400500000</v>
      </c>
      <c r="S245" s="2909">
        <f>SUM(S29:S244)</f>
        <v>9945500000</v>
      </c>
      <c r="T245" s="2909">
        <f>SUM(T29:T244)</f>
        <v>27455000000</v>
      </c>
    </row>
    <row r="246" spans="1:16141" ht="13.5" thickTop="1">
      <c r="J246" s="158"/>
      <c r="K246" s="1091"/>
      <c r="L246" s="331"/>
      <c r="M246" s="331"/>
      <c r="N246" s="331"/>
      <c r="O246" s="59"/>
      <c r="P246" s="59"/>
      <c r="Q246" s="59"/>
      <c r="R246" s="59"/>
      <c r="S246" s="1689"/>
      <c r="T246" s="1689"/>
    </row>
    <row r="247" spans="1:16141">
      <c r="H247" s="3336" t="s">
        <v>2137</v>
      </c>
      <c r="I247" s="3336"/>
      <c r="J247" s="3336"/>
      <c r="K247" s="1091"/>
      <c r="L247" s="331"/>
      <c r="M247" s="331"/>
      <c r="N247" s="331"/>
      <c r="O247" s="59"/>
      <c r="P247" s="59"/>
      <c r="Q247" s="59"/>
      <c r="R247" s="59"/>
      <c r="S247" s="1689"/>
      <c r="T247" s="1689"/>
    </row>
    <row r="248" spans="1:16141">
      <c r="H248" s="3337" t="s">
        <v>272</v>
      </c>
      <c r="I248" s="3337"/>
      <c r="J248" s="3485"/>
      <c r="K248" s="1091"/>
      <c r="L248" s="331"/>
      <c r="M248" s="331"/>
      <c r="N248" s="331"/>
      <c r="O248" s="59"/>
      <c r="P248" s="59"/>
      <c r="Q248" s="59"/>
      <c r="R248" s="59"/>
    </row>
    <row r="249" spans="1:16141">
      <c r="H249" s="127"/>
      <c r="I249" s="127"/>
      <c r="J249" s="127"/>
      <c r="K249" s="1091"/>
      <c r="L249" s="331"/>
      <c r="M249" s="331"/>
      <c r="N249" s="331"/>
      <c r="O249" s="59"/>
      <c r="P249" s="59"/>
      <c r="Q249" s="59"/>
      <c r="R249" s="59"/>
    </row>
    <row r="250" spans="1:16141">
      <c r="H250" s="127"/>
      <c r="I250" s="127"/>
      <c r="J250" s="127"/>
      <c r="K250" s="1091"/>
      <c r="L250" s="331"/>
      <c r="M250" s="331"/>
      <c r="N250" s="331"/>
      <c r="O250" s="59"/>
      <c r="P250" s="59"/>
      <c r="Q250" s="59"/>
      <c r="R250" s="59"/>
    </row>
    <row r="251" spans="1:16141">
      <c r="H251" s="127"/>
      <c r="I251" s="127"/>
      <c r="J251" s="127"/>
      <c r="K251" s="1091"/>
      <c r="L251" s="331"/>
      <c r="M251" s="331"/>
      <c r="N251" s="331"/>
      <c r="O251" s="59"/>
      <c r="P251" s="59"/>
      <c r="Q251" s="59"/>
      <c r="R251" s="59"/>
    </row>
    <row r="252" spans="1:16141" s="21" customFormat="1">
      <c r="A252" s="9"/>
      <c r="B252" s="9"/>
      <c r="C252" s="9"/>
      <c r="D252" s="9"/>
      <c r="E252" s="9"/>
      <c r="F252" s="9"/>
      <c r="G252" s="9"/>
      <c r="H252" s="127"/>
      <c r="I252" s="127"/>
      <c r="J252" s="127"/>
      <c r="K252" s="1091"/>
      <c r="L252" s="331"/>
      <c r="M252" s="331"/>
      <c r="N252" s="331"/>
      <c r="O252" s="59"/>
      <c r="P252" s="59"/>
      <c r="Q252" s="59"/>
      <c r="R252" s="59"/>
      <c r="S252" s="41"/>
      <c r="T252" s="41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  <c r="IZ252" s="9"/>
      <c r="JA252" s="9"/>
      <c r="JB252" s="9"/>
      <c r="JC252" s="9"/>
      <c r="JD252" s="9"/>
      <c r="JE252" s="9"/>
      <c r="JF252" s="9"/>
      <c r="JG252" s="9"/>
      <c r="JH252" s="9"/>
      <c r="JI252" s="9"/>
      <c r="JJ252" s="9"/>
      <c r="JK252" s="9"/>
      <c r="JL252" s="9"/>
      <c r="JM252" s="9"/>
      <c r="JN252" s="9"/>
      <c r="JO252" s="9"/>
      <c r="JP252" s="9"/>
      <c r="JQ252" s="9"/>
      <c r="JR252" s="9"/>
      <c r="JS252" s="9"/>
      <c r="JT252" s="9"/>
      <c r="JU252" s="9"/>
      <c r="JV252" s="9"/>
      <c r="JW252" s="9"/>
      <c r="JX252" s="9"/>
      <c r="JY252" s="9"/>
      <c r="JZ252" s="9"/>
      <c r="KA252" s="9"/>
      <c r="KB252" s="9"/>
      <c r="KC252" s="9"/>
      <c r="KD252" s="9"/>
      <c r="KE252" s="9"/>
      <c r="KF252" s="9"/>
      <c r="KG252" s="9"/>
      <c r="KH252" s="9"/>
      <c r="KI252" s="9"/>
      <c r="KJ252" s="9"/>
      <c r="KK252" s="9"/>
      <c r="KL252" s="9"/>
      <c r="KM252" s="9"/>
      <c r="KN252" s="9"/>
      <c r="KO252" s="9"/>
      <c r="KP252" s="9"/>
      <c r="KQ252" s="9"/>
      <c r="KR252" s="9"/>
      <c r="KS252" s="9"/>
      <c r="KT252" s="9"/>
      <c r="KU252" s="9"/>
      <c r="KV252" s="9"/>
      <c r="KW252" s="9"/>
      <c r="KX252" s="9"/>
      <c r="KY252" s="9"/>
      <c r="KZ252" s="9"/>
      <c r="LA252" s="9"/>
      <c r="LB252" s="9"/>
      <c r="LC252" s="9"/>
      <c r="LD252" s="9"/>
      <c r="LE252" s="9"/>
      <c r="LF252" s="9"/>
      <c r="LG252" s="9"/>
      <c r="LH252" s="9"/>
      <c r="LI252" s="9"/>
      <c r="LJ252" s="9"/>
      <c r="LK252" s="9"/>
      <c r="LL252" s="9"/>
      <c r="LM252" s="9"/>
      <c r="LN252" s="9"/>
      <c r="LO252" s="9"/>
      <c r="LP252" s="9"/>
      <c r="LQ252" s="9"/>
      <c r="LR252" s="9"/>
      <c r="LS252" s="9"/>
      <c r="LT252" s="9"/>
      <c r="LU252" s="9"/>
      <c r="LV252" s="9"/>
      <c r="LW252" s="9"/>
      <c r="LX252" s="9"/>
      <c r="LY252" s="9"/>
      <c r="LZ252" s="9"/>
      <c r="MA252" s="9"/>
      <c r="MB252" s="9"/>
      <c r="MC252" s="9"/>
      <c r="MD252" s="9"/>
      <c r="ME252" s="9"/>
      <c r="MF252" s="9"/>
      <c r="MG252" s="9"/>
      <c r="MH252" s="9"/>
      <c r="MI252" s="9"/>
      <c r="MJ252" s="9"/>
      <c r="MK252" s="9"/>
      <c r="ML252" s="9"/>
      <c r="MM252" s="9"/>
      <c r="MN252" s="9"/>
      <c r="MO252" s="9"/>
      <c r="MP252" s="9"/>
      <c r="MQ252" s="9"/>
      <c r="MR252" s="9"/>
      <c r="MS252" s="9"/>
      <c r="MT252" s="9"/>
      <c r="MU252" s="9"/>
      <c r="MV252" s="9"/>
      <c r="MW252" s="9"/>
      <c r="MX252" s="9"/>
      <c r="MY252" s="9"/>
      <c r="MZ252" s="9"/>
      <c r="NA252" s="9"/>
      <c r="NB252" s="9"/>
      <c r="NC252" s="9"/>
      <c r="ND252" s="9"/>
      <c r="NE252" s="9"/>
      <c r="NF252" s="9"/>
      <c r="NG252" s="9"/>
      <c r="NH252" s="9"/>
      <c r="NI252" s="9"/>
      <c r="NJ252" s="9"/>
      <c r="NK252" s="9"/>
      <c r="NL252" s="9"/>
      <c r="NM252" s="9"/>
      <c r="NN252" s="9"/>
      <c r="NO252" s="9"/>
      <c r="NP252" s="9"/>
      <c r="NQ252" s="9"/>
      <c r="NR252" s="9"/>
      <c r="NS252" s="9"/>
      <c r="NT252" s="9"/>
      <c r="NU252" s="9"/>
      <c r="NV252" s="9"/>
      <c r="NW252" s="9"/>
      <c r="NX252" s="9"/>
      <c r="NY252" s="9"/>
      <c r="NZ252" s="9"/>
      <c r="OA252" s="9"/>
      <c r="OB252" s="9"/>
      <c r="OC252" s="9"/>
      <c r="OD252" s="9"/>
      <c r="OE252" s="9"/>
      <c r="OF252" s="9"/>
      <c r="OG252" s="9"/>
      <c r="OH252" s="9"/>
      <c r="OI252" s="9"/>
      <c r="OJ252" s="9"/>
      <c r="OK252" s="9"/>
      <c r="OL252" s="9"/>
      <c r="OM252" s="9"/>
      <c r="ON252" s="9"/>
      <c r="OO252" s="9"/>
      <c r="OP252" s="9"/>
      <c r="OQ252" s="9"/>
      <c r="OR252" s="9"/>
      <c r="OS252" s="9"/>
      <c r="OT252" s="9"/>
      <c r="OU252" s="9"/>
      <c r="OV252" s="9"/>
      <c r="OW252" s="9"/>
      <c r="OX252" s="9"/>
      <c r="OY252" s="9"/>
      <c r="OZ252" s="9"/>
      <c r="PA252" s="9"/>
      <c r="PB252" s="9"/>
      <c r="PC252" s="9"/>
      <c r="PD252" s="9"/>
      <c r="PE252" s="9"/>
      <c r="PF252" s="9"/>
      <c r="PG252" s="9"/>
      <c r="PH252" s="9"/>
      <c r="PI252" s="9"/>
      <c r="PJ252" s="9"/>
      <c r="PK252" s="9"/>
      <c r="PL252" s="9"/>
      <c r="PM252" s="9"/>
      <c r="PN252" s="9"/>
      <c r="PO252" s="9"/>
      <c r="PP252" s="9"/>
      <c r="PQ252" s="9"/>
      <c r="PR252" s="9"/>
      <c r="PS252" s="9"/>
      <c r="PT252" s="9"/>
      <c r="PU252" s="9"/>
      <c r="PV252" s="9"/>
      <c r="PW252" s="9"/>
      <c r="PX252" s="9"/>
      <c r="PY252" s="9"/>
      <c r="PZ252" s="9"/>
      <c r="QA252" s="9"/>
      <c r="QB252" s="9"/>
      <c r="QC252" s="9"/>
      <c r="QD252" s="9"/>
      <c r="QE252" s="9"/>
      <c r="QF252" s="9"/>
      <c r="QG252" s="9"/>
      <c r="QH252" s="9"/>
      <c r="QI252" s="9"/>
      <c r="QJ252" s="9"/>
      <c r="QK252" s="9"/>
      <c r="QL252" s="9"/>
      <c r="QM252" s="9"/>
      <c r="QN252" s="9"/>
      <c r="QO252" s="9"/>
      <c r="QP252" s="9"/>
      <c r="QQ252" s="9"/>
      <c r="QR252" s="9"/>
      <c r="QS252" s="9"/>
      <c r="QT252" s="9"/>
      <c r="QU252" s="9"/>
      <c r="QV252" s="9"/>
      <c r="QW252" s="9"/>
      <c r="QX252" s="9"/>
      <c r="QY252" s="9"/>
      <c r="QZ252" s="9"/>
      <c r="RA252" s="9"/>
      <c r="RB252" s="9"/>
      <c r="RC252" s="9"/>
      <c r="RD252" s="9"/>
      <c r="RE252" s="9"/>
      <c r="RF252" s="9"/>
      <c r="RG252" s="9"/>
      <c r="RH252" s="9"/>
      <c r="RI252" s="9"/>
      <c r="RJ252" s="9"/>
      <c r="RK252" s="9"/>
      <c r="RL252" s="9"/>
      <c r="RM252" s="9"/>
      <c r="RN252" s="9"/>
      <c r="RO252" s="9"/>
      <c r="RP252" s="9"/>
      <c r="RQ252" s="9"/>
      <c r="RR252" s="9"/>
      <c r="RS252" s="9"/>
      <c r="RT252" s="9"/>
      <c r="RU252" s="9"/>
      <c r="RV252" s="9"/>
      <c r="RW252" s="9"/>
      <c r="RX252" s="9"/>
      <c r="RY252" s="9"/>
      <c r="RZ252" s="9"/>
      <c r="SA252" s="9"/>
      <c r="SB252" s="9"/>
      <c r="SC252" s="9"/>
      <c r="SD252" s="9"/>
      <c r="SE252" s="9"/>
      <c r="SF252" s="9"/>
      <c r="SG252" s="9"/>
      <c r="SH252" s="9"/>
      <c r="SI252" s="9"/>
      <c r="SJ252" s="9"/>
      <c r="SK252" s="9"/>
      <c r="SL252" s="9"/>
      <c r="SM252" s="9"/>
      <c r="SN252" s="9"/>
      <c r="SO252" s="9"/>
      <c r="SP252" s="9"/>
      <c r="SQ252" s="9"/>
      <c r="SR252" s="9"/>
      <c r="SS252" s="9"/>
      <c r="ST252" s="9"/>
      <c r="SU252" s="9"/>
      <c r="SV252" s="9"/>
      <c r="SW252" s="9"/>
      <c r="SX252" s="9"/>
      <c r="SY252" s="9"/>
      <c r="SZ252" s="9"/>
      <c r="TA252" s="9"/>
      <c r="TB252" s="9"/>
      <c r="TC252" s="9"/>
      <c r="TD252" s="9"/>
      <c r="TE252" s="9"/>
      <c r="TF252" s="9"/>
      <c r="TG252" s="9"/>
      <c r="TH252" s="9"/>
      <c r="TI252" s="9"/>
      <c r="TJ252" s="9"/>
      <c r="TK252" s="9"/>
      <c r="TL252" s="9"/>
      <c r="TM252" s="9"/>
      <c r="TN252" s="9"/>
      <c r="TO252" s="9"/>
      <c r="TP252" s="9"/>
      <c r="TQ252" s="9"/>
      <c r="TR252" s="9"/>
      <c r="TS252" s="9"/>
      <c r="TT252" s="9"/>
      <c r="TU252" s="9"/>
      <c r="TV252" s="9"/>
      <c r="TW252" s="9"/>
      <c r="TX252" s="9"/>
      <c r="TY252" s="9"/>
      <c r="TZ252" s="9"/>
      <c r="UA252" s="9"/>
      <c r="UB252" s="9"/>
      <c r="UC252" s="9"/>
      <c r="UD252" s="9"/>
      <c r="UE252" s="9"/>
      <c r="UF252" s="9"/>
      <c r="UG252" s="9"/>
      <c r="UH252" s="9"/>
      <c r="UI252" s="9"/>
      <c r="UJ252" s="9"/>
      <c r="UK252" s="9"/>
      <c r="UL252" s="9"/>
      <c r="UM252" s="9"/>
      <c r="UN252" s="9"/>
      <c r="UO252" s="9"/>
      <c r="UP252" s="9"/>
      <c r="UQ252" s="9"/>
      <c r="UR252" s="9"/>
      <c r="US252" s="9"/>
      <c r="UT252" s="9"/>
      <c r="UU252" s="9"/>
      <c r="UV252" s="9"/>
      <c r="UW252" s="9"/>
      <c r="UX252" s="9"/>
      <c r="UY252" s="9"/>
      <c r="UZ252" s="9"/>
      <c r="VA252" s="9"/>
      <c r="VB252" s="9"/>
      <c r="VC252" s="9"/>
      <c r="VD252" s="9"/>
      <c r="VE252" s="9"/>
      <c r="VF252" s="9"/>
      <c r="VG252" s="9"/>
      <c r="VH252" s="9"/>
      <c r="VI252" s="9"/>
      <c r="VJ252" s="9"/>
      <c r="VK252" s="9"/>
      <c r="VL252" s="9"/>
      <c r="VM252" s="9"/>
      <c r="VN252" s="9"/>
      <c r="VO252" s="9"/>
      <c r="VP252" s="9"/>
      <c r="VQ252" s="9"/>
      <c r="VR252" s="9"/>
      <c r="VS252" s="9"/>
      <c r="VT252" s="9"/>
      <c r="VU252" s="9"/>
      <c r="VV252" s="9"/>
      <c r="VW252" s="9"/>
      <c r="VX252" s="9"/>
      <c r="VY252" s="9"/>
      <c r="VZ252" s="9"/>
      <c r="WA252" s="9"/>
      <c r="WB252" s="9"/>
      <c r="WC252" s="9"/>
      <c r="WD252" s="9"/>
      <c r="WE252" s="9"/>
      <c r="WF252" s="9"/>
      <c r="WG252" s="9"/>
      <c r="WH252" s="9"/>
      <c r="WI252" s="9"/>
      <c r="WJ252" s="9"/>
      <c r="WK252" s="9"/>
      <c r="WL252" s="9"/>
      <c r="WM252" s="9"/>
      <c r="WN252" s="9"/>
      <c r="WO252" s="9"/>
      <c r="WP252" s="9"/>
      <c r="WQ252" s="9"/>
      <c r="WR252" s="9"/>
      <c r="WS252" s="9"/>
      <c r="WT252" s="9"/>
      <c r="WU252" s="9"/>
      <c r="WV252" s="9"/>
      <c r="WW252" s="9"/>
      <c r="WX252" s="9"/>
      <c r="WY252" s="9"/>
      <c r="WZ252" s="9"/>
      <c r="XA252" s="9"/>
      <c r="XB252" s="9"/>
      <c r="XC252" s="9"/>
      <c r="XD252" s="9"/>
      <c r="XE252" s="9"/>
      <c r="XF252" s="9"/>
      <c r="XG252" s="9"/>
      <c r="XH252" s="9"/>
      <c r="XI252" s="9"/>
      <c r="XJ252" s="9"/>
      <c r="XK252" s="9"/>
      <c r="XL252" s="9"/>
      <c r="XM252" s="9"/>
      <c r="XN252" s="9"/>
      <c r="XO252" s="9"/>
      <c r="XP252" s="9"/>
      <c r="XQ252" s="9"/>
      <c r="XR252" s="9"/>
      <c r="XS252" s="9"/>
      <c r="XT252" s="9"/>
      <c r="XU252" s="9"/>
      <c r="XV252" s="9"/>
      <c r="XW252" s="9"/>
      <c r="XX252" s="9"/>
      <c r="XY252" s="9"/>
      <c r="XZ252" s="9"/>
      <c r="YA252" s="9"/>
      <c r="YB252" s="9"/>
      <c r="YC252" s="9"/>
      <c r="YD252" s="9"/>
      <c r="YE252" s="9"/>
      <c r="YF252" s="9"/>
      <c r="YG252" s="9"/>
      <c r="YH252" s="9"/>
      <c r="YI252" s="9"/>
      <c r="YJ252" s="9"/>
      <c r="YK252" s="9"/>
      <c r="YL252" s="9"/>
      <c r="YM252" s="9"/>
      <c r="YN252" s="9"/>
      <c r="YO252" s="9"/>
      <c r="YP252" s="9"/>
      <c r="YQ252" s="9"/>
      <c r="YR252" s="9"/>
      <c r="YS252" s="9"/>
      <c r="YT252" s="9"/>
      <c r="YU252" s="9"/>
      <c r="YV252" s="9"/>
      <c r="YW252" s="9"/>
      <c r="YX252" s="9"/>
      <c r="YY252" s="9"/>
      <c r="YZ252" s="9"/>
      <c r="ZA252" s="9"/>
      <c r="ZB252" s="9"/>
      <c r="ZC252" s="9"/>
      <c r="ZD252" s="9"/>
      <c r="ZE252" s="9"/>
      <c r="ZF252" s="9"/>
      <c r="ZG252" s="9"/>
      <c r="ZH252" s="9"/>
      <c r="ZI252" s="9"/>
      <c r="ZJ252" s="9"/>
      <c r="ZK252" s="9"/>
      <c r="ZL252" s="9"/>
      <c r="ZM252" s="9"/>
      <c r="ZN252" s="9"/>
      <c r="ZO252" s="9"/>
      <c r="ZP252" s="9"/>
      <c r="ZQ252" s="9"/>
      <c r="ZR252" s="9"/>
      <c r="ZS252" s="9"/>
      <c r="ZT252" s="9"/>
      <c r="ZU252" s="9"/>
      <c r="ZV252" s="9"/>
      <c r="ZW252" s="9"/>
      <c r="ZX252" s="9"/>
      <c r="ZY252" s="9"/>
      <c r="ZZ252" s="9"/>
      <c r="AAA252" s="9"/>
      <c r="AAB252" s="9"/>
      <c r="AAC252" s="9"/>
      <c r="AAD252" s="9"/>
      <c r="AAE252" s="9"/>
      <c r="AAF252" s="9"/>
      <c r="AAG252" s="9"/>
      <c r="AAH252" s="9"/>
      <c r="AAI252" s="9"/>
      <c r="AAJ252" s="9"/>
      <c r="AAK252" s="9"/>
      <c r="AAL252" s="9"/>
      <c r="AAM252" s="9"/>
      <c r="AAN252" s="9"/>
      <c r="AAO252" s="9"/>
      <c r="AAP252" s="9"/>
      <c r="AAQ252" s="9"/>
      <c r="AAR252" s="9"/>
      <c r="AAS252" s="9"/>
      <c r="AAT252" s="9"/>
      <c r="AAU252" s="9"/>
      <c r="AAV252" s="9"/>
      <c r="AAW252" s="9"/>
      <c r="AAX252" s="9"/>
      <c r="AAY252" s="9"/>
      <c r="AAZ252" s="9"/>
      <c r="ABA252" s="9"/>
      <c r="ABB252" s="9"/>
      <c r="ABC252" s="9"/>
      <c r="ABD252" s="9"/>
      <c r="ABE252" s="9"/>
      <c r="ABF252" s="9"/>
      <c r="ABG252" s="9"/>
      <c r="ABH252" s="9"/>
      <c r="ABI252" s="9"/>
      <c r="ABJ252" s="9"/>
      <c r="ABK252" s="9"/>
      <c r="ABL252" s="9"/>
      <c r="ABM252" s="9"/>
      <c r="ABN252" s="9"/>
      <c r="ABO252" s="9"/>
      <c r="ABP252" s="9"/>
      <c r="ABQ252" s="9"/>
      <c r="ABR252" s="9"/>
      <c r="ABS252" s="9"/>
      <c r="ABT252" s="9"/>
      <c r="ABU252" s="9"/>
      <c r="ABV252" s="9"/>
      <c r="ABW252" s="9"/>
      <c r="ABX252" s="9"/>
      <c r="ABY252" s="9"/>
      <c r="ABZ252" s="9"/>
      <c r="ACA252" s="9"/>
      <c r="ACB252" s="9"/>
      <c r="ACC252" s="9"/>
      <c r="ACD252" s="9"/>
      <c r="ACE252" s="9"/>
      <c r="ACF252" s="9"/>
      <c r="ACG252" s="9"/>
      <c r="ACH252" s="9"/>
      <c r="ACI252" s="9"/>
      <c r="ACJ252" s="9"/>
      <c r="ACK252" s="9"/>
      <c r="ACL252" s="9"/>
      <c r="ACM252" s="9"/>
      <c r="ACN252" s="9"/>
      <c r="ACO252" s="9"/>
      <c r="ACP252" s="9"/>
      <c r="ACQ252" s="9"/>
      <c r="ACR252" s="9"/>
      <c r="ACS252" s="9"/>
      <c r="ACT252" s="9"/>
      <c r="ACU252" s="9"/>
      <c r="ACV252" s="9"/>
      <c r="ACW252" s="9"/>
      <c r="ACX252" s="9"/>
      <c r="ACY252" s="9"/>
      <c r="ACZ252" s="9"/>
      <c r="ADA252" s="9"/>
      <c r="ADB252" s="9"/>
      <c r="ADC252" s="9"/>
      <c r="ADD252" s="9"/>
      <c r="ADE252" s="9"/>
      <c r="ADF252" s="9"/>
      <c r="ADG252" s="9"/>
      <c r="ADH252" s="9"/>
      <c r="ADI252" s="9"/>
      <c r="ADJ252" s="9"/>
      <c r="ADK252" s="9"/>
      <c r="ADL252" s="9"/>
      <c r="ADM252" s="9"/>
      <c r="ADN252" s="9"/>
      <c r="ADO252" s="9"/>
      <c r="ADP252" s="9"/>
      <c r="ADQ252" s="9"/>
      <c r="ADR252" s="9"/>
      <c r="ADS252" s="9"/>
      <c r="ADT252" s="9"/>
      <c r="ADU252" s="9"/>
      <c r="ADV252" s="9"/>
      <c r="ADW252" s="9"/>
      <c r="ADX252" s="9"/>
      <c r="ADY252" s="9"/>
      <c r="ADZ252" s="9"/>
      <c r="AEA252" s="9"/>
      <c r="AEB252" s="9"/>
      <c r="AEC252" s="9"/>
      <c r="AED252" s="9"/>
      <c r="AEE252" s="9"/>
      <c r="AEF252" s="9"/>
      <c r="AEG252" s="9"/>
      <c r="AEH252" s="9"/>
      <c r="AEI252" s="9"/>
      <c r="AEJ252" s="9"/>
      <c r="AEK252" s="9"/>
      <c r="AEL252" s="9"/>
      <c r="AEM252" s="9"/>
      <c r="AEN252" s="9"/>
      <c r="AEO252" s="9"/>
      <c r="AEP252" s="9"/>
      <c r="AEQ252" s="9"/>
      <c r="AER252" s="9"/>
      <c r="AES252" s="9"/>
      <c r="AET252" s="9"/>
      <c r="AEU252" s="9"/>
      <c r="AEV252" s="9"/>
      <c r="AEW252" s="9"/>
      <c r="AEX252" s="9"/>
      <c r="AEY252" s="9"/>
      <c r="AEZ252" s="9"/>
      <c r="AFA252" s="9"/>
      <c r="AFB252" s="9"/>
      <c r="AFC252" s="9"/>
      <c r="AFD252" s="9"/>
      <c r="AFE252" s="9"/>
      <c r="AFF252" s="9"/>
      <c r="AFG252" s="9"/>
      <c r="AFH252" s="9"/>
      <c r="AFI252" s="9"/>
      <c r="AFJ252" s="9"/>
      <c r="AFK252" s="9"/>
      <c r="AFL252" s="9"/>
      <c r="AFM252" s="9"/>
      <c r="AFN252" s="9"/>
      <c r="AFO252" s="9"/>
      <c r="AFP252" s="9"/>
      <c r="AFQ252" s="9"/>
      <c r="AFR252" s="9"/>
      <c r="AFS252" s="9"/>
      <c r="AFT252" s="9"/>
      <c r="AFU252" s="9"/>
      <c r="AFV252" s="9"/>
      <c r="AFW252" s="9"/>
      <c r="AFX252" s="9"/>
      <c r="AFY252" s="9"/>
      <c r="AFZ252" s="9"/>
      <c r="AGA252" s="9"/>
      <c r="AGB252" s="9"/>
      <c r="AGC252" s="9"/>
      <c r="AGD252" s="9"/>
      <c r="AGE252" s="9"/>
      <c r="AGF252" s="9"/>
      <c r="AGG252" s="9"/>
      <c r="AGH252" s="9"/>
      <c r="AGI252" s="9"/>
      <c r="AGJ252" s="9"/>
      <c r="AGK252" s="9"/>
      <c r="AGL252" s="9"/>
      <c r="AGM252" s="9"/>
      <c r="AGN252" s="9"/>
      <c r="AGO252" s="9"/>
      <c r="AGP252" s="9"/>
      <c r="AGQ252" s="9"/>
      <c r="AGR252" s="9"/>
      <c r="AGS252" s="9"/>
      <c r="AGT252" s="9"/>
      <c r="AGU252" s="9"/>
      <c r="AGV252" s="9"/>
      <c r="AGW252" s="9"/>
      <c r="AGX252" s="9"/>
      <c r="AGY252" s="9"/>
      <c r="AGZ252" s="9"/>
      <c r="AHA252" s="9"/>
      <c r="AHB252" s="9"/>
      <c r="AHC252" s="9"/>
      <c r="AHD252" s="9"/>
      <c r="AHE252" s="9"/>
      <c r="AHF252" s="9"/>
      <c r="AHG252" s="9"/>
      <c r="AHH252" s="9"/>
      <c r="AHI252" s="9"/>
      <c r="AHJ252" s="9"/>
      <c r="AHK252" s="9"/>
      <c r="AHL252" s="9"/>
      <c r="AHM252" s="9"/>
      <c r="AHN252" s="9"/>
      <c r="AHO252" s="9"/>
      <c r="AHP252" s="9"/>
      <c r="AHQ252" s="9"/>
      <c r="AHR252" s="9"/>
      <c r="AHS252" s="9"/>
      <c r="AHT252" s="9"/>
      <c r="AHU252" s="9"/>
      <c r="AHV252" s="9"/>
      <c r="AHW252" s="9"/>
      <c r="AHX252" s="9"/>
      <c r="AHY252" s="9"/>
      <c r="AHZ252" s="9"/>
      <c r="AIA252" s="9"/>
      <c r="AIB252" s="9"/>
      <c r="AIC252" s="9"/>
      <c r="AID252" s="9"/>
      <c r="AIE252" s="9"/>
      <c r="AIF252" s="9"/>
      <c r="AIG252" s="9"/>
      <c r="AIH252" s="9"/>
      <c r="AII252" s="9"/>
      <c r="AIJ252" s="9"/>
      <c r="AIK252" s="9"/>
      <c r="AIL252" s="9"/>
      <c r="AIM252" s="9"/>
      <c r="AIN252" s="9"/>
      <c r="AIO252" s="9"/>
      <c r="AIP252" s="9"/>
      <c r="AIQ252" s="9"/>
      <c r="AIR252" s="9"/>
      <c r="AIS252" s="9"/>
      <c r="AIT252" s="9"/>
      <c r="AIU252" s="9"/>
      <c r="AIV252" s="9"/>
      <c r="AIW252" s="9"/>
      <c r="AIX252" s="9"/>
      <c r="AIY252" s="9"/>
      <c r="AIZ252" s="9"/>
      <c r="AJA252" s="9"/>
      <c r="AJB252" s="9"/>
      <c r="AJC252" s="9"/>
      <c r="AJD252" s="9"/>
      <c r="AJE252" s="9"/>
      <c r="AJF252" s="9"/>
      <c r="AJG252" s="9"/>
      <c r="AJH252" s="9"/>
      <c r="AJI252" s="9"/>
      <c r="AJJ252" s="9"/>
      <c r="AJK252" s="9"/>
      <c r="AJL252" s="9"/>
      <c r="AJM252" s="9"/>
      <c r="AJN252" s="9"/>
      <c r="AJO252" s="9"/>
      <c r="AJP252" s="9"/>
      <c r="AJQ252" s="9"/>
      <c r="AJR252" s="9"/>
      <c r="AJS252" s="9"/>
      <c r="AJT252" s="9"/>
      <c r="AJU252" s="9"/>
      <c r="AJV252" s="9"/>
      <c r="AJW252" s="9"/>
      <c r="AJX252" s="9"/>
      <c r="AJY252" s="9"/>
      <c r="AJZ252" s="9"/>
      <c r="AKA252" s="9"/>
      <c r="AKB252" s="9"/>
      <c r="AKC252" s="9"/>
      <c r="AKD252" s="9"/>
      <c r="AKE252" s="9"/>
      <c r="AKF252" s="9"/>
      <c r="AKG252" s="9"/>
      <c r="AKH252" s="9"/>
      <c r="AKI252" s="9"/>
      <c r="AKJ252" s="9"/>
      <c r="AKK252" s="9"/>
      <c r="AKL252" s="9"/>
      <c r="AKM252" s="9"/>
      <c r="AKN252" s="9"/>
      <c r="AKO252" s="9"/>
      <c r="AKP252" s="9"/>
      <c r="AKQ252" s="9"/>
      <c r="AKR252" s="9"/>
      <c r="AKS252" s="9"/>
      <c r="AKT252" s="9"/>
      <c r="AKU252" s="9"/>
      <c r="AKV252" s="9"/>
      <c r="AKW252" s="9"/>
      <c r="AKX252" s="9"/>
      <c r="AKY252" s="9"/>
      <c r="AKZ252" s="9"/>
      <c r="ALA252" s="9"/>
      <c r="ALB252" s="9"/>
      <c r="ALC252" s="9"/>
      <c r="ALD252" s="9"/>
      <c r="ALE252" s="9"/>
      <c r="ALF252" s="9"/>
      <c r="ALG252" s="9"/>
      <c r="ALH252" s="9"/>
      <c r="ALI252" s="9"/>
      <c r="ALJ252" s="9"/>
      <c r="ALK252" s="9"/>
      <c r="ALL252" s="9"/>
      <c r="ALM252" s="9"/>
      <c r="ALN252" s="9"/>
      <c r="ALO252" s="9"/>
      <c r="ALP252" s="9"/>
      <c r="ALQ252" s="9"/>
      <c r="ALR252" s="9"/>
      <c r="ALS252" s="9"/>
      <c r="ALT252" s="9"/>
      <c r="ALU252" s="9"/>
      <c r="ALV252" s="9"/>
      <c r="ALW252" s="9"/>
      <c r="ALX252" s="9"/>
      <c r="ALY252" s="9"/>
      <c r="ALZ252" s="9"/>
      <c r="AMA252" s="9"/>
      <c r="AMB252" s="9"/>
      <c r="AMC252" s="9"/>
      <c r="AMD252" s="9"/>
      <c r="AME252" s="9"/>
      <c r="AMF252" s="9"/>
      <c r="AMG252" s="9"/>
      <c r="AMH252" s="9"/>
      <c r="AMI252" s="9"/>
      <c r="AMJ252" s="9"/>
      <c r="AMK252" s="9"/>
      <c r="AML252" s="9"/>
      <c r="AMM252" s="9"/>
      <c r="AMN252" s="9"/>
      <c r="AMO252" s="9"/>
      <c r="AMP252" s="9"/>
      <c r="AMQ252" s="9"/>
      <c r="AMR252" s="9"/>
      <c r="AMS252" s="9"/>
      <c r="AMT252" s="9"/>
      <c r="AMU252" s="9"/>
      <c r="AMV252" s="9"/>
      <c r="AMW252" s="9"/>
      <c r="AMX252" s="9"/>
      <c r="AMY252" s="9"/>
      <c r="AMZ252" s="9"/>
      <c r="ANA252" s="9"/>
      <c r="ANB252" s="9"/>
      <c r="ANC252" s="9"/>
      <c r="AND252" s="9"/>
      <c r="ANE252" s="9"/>
      <c r="ANF252" s="9"/>
      <c r="ANG252" s="9"/>
      <c r="ANH252" s="9"/>
      <c r="ANI252" s="9"/>
      <c r="ANJ252" s="9"/>
      <c r="ANK252" s="9"/>
      <c r="ANL252" s="9"/>
      <c r="ANM252" s="9"/>
      <c r="ANN252" s="9"/>
      <c r="ANO252" s="9"/>
      <c r="ANP252" s="9"/>
      <c r="ANQ252" s="9"/>
      <c r="ANR252" s="9"/>
      <c r="ANS252" s="9"/>
      <c r="ANT252" s="9"/>
      <c r="ANU252" s="9"/>
      <c r="ANV252" s="9"/>
      <c r="ANW252" s="9"/>
      <c r="ANX252" s="9"/>
      <c r="ANY252" s="9"/>
      <c r="ANZ252" s="9"/>
      <c r="AOA252" s="9"/>
      <c r="AOB252" s="9"/>
      <c r="AOC252" s="9"/>
      <c r="AOD252" s="9"/>
      <c r="AOE252" s="9"/>
      <c r="AOF252" s="9"/>
      <c r="AOG252" s="9"/>
      <c r="AOH252" s="9"/>
      <c r="AOI252" s="9"/>
      <c r="AOJ252" s="9"/>
      <c r="AOK252" s="9"/>
      <c r="AOL252" s="9"/>
      <c r="AOM252" s="9"/>
      <c r="AON252" s="9"/>
      <c r="AOO252" s="9"/>
      <c r="AOP252" s="9"/>
      <c r="AOQ252" s="9"/>
      <c r="AOR252" s="9"/>
      <c r="AOS252" s="9"/>
      <c r="AOT252" s="9"/>
      <c r="AOU252" s="9"/>
      <c r="AOV252" s="9"/>
      <c r="AOW252" s="9"/>
      <c r="AOX252" s="9"/>
      <c r="AOY252" s="9"/>
      <c r="AOZ252" s="9"/>
      <c r="APA252" s="9"/>
      <c r="APB252" s="9"/>
      <c r="APC252" s="9"/>
      <c r="APD252" s="9"/>
      <c r="APE252" s="9"/>
      <c r="APF252" s="9"/>
      <c r="APG252" s="9"/>
      <c r="APH252" s="9"/>
      <c r="API252" s="9"/>
      <c r="APJ252" s="9"/>
      <c r="APK252" s="9"/>
      <c r="APL252" s="9"/>
      <c r="APM252" s="9"/>
      <c r="APN252" s="9"/>
      <c r="APO252" s="9"/>
      <c r="APP252" s="9"/>
      <c r="APQ252" s="9"/>
      <c r="APR252" s="9"/>
      <c r="APS252" s="9"/>
      <c r="APT252" s="9"/>
      <c r="APU252" s="9"/>
      <c r="APV252" s="9"/>
      <c r="APW252" s="9"/>
      <c r="APX252" s="9"/>
      <c r="APY252" s="9"/>
      <c r="APZ252" s="9"/>
      <c r="AQA252" s="9"/>
      <c r="AQB252" s="9"/>
      <c r="AQC252" s="9"/>
      <c r="AQD252" s="9"/>
      <c r="AQE252" s="9"/>
      <c r="AQF252" s="9"/>
      <c r="AQG252" s="9"/>
      <c r="AQH252" s="9"/>
      <c r="AQI252" s="9"/>
      <c r="AQJ252" s="9"/>
      <c r="AQK252" s="9"/>
      <c r="AQL252" s="9"/>
      <c r="AQM252" s="9"/>
      <c r="AQN252" s="9"/>
      <c r="AQO252" s="9"/>
      <c r="AQP252" s="9"/>
      <c r="AQQ252" s="9"/>
      <c r="AQR252" s="9"/>
      <c r="AQS252" s="9"/>
      <c r="AQT252" s="9"/>
      <c r="AQU252" s="9"/>
      <c r="AQV252" s="9"/>
      <c r="AQW252" s="9"/>
      <c r="AQX252" s="9"/>
      <c r="AQY252" s="9"/>
      <c r="AQZ252" s="9"/>
      <c r="ARA252" s="9"/>
      <c r="ARB252" s="9"/>
      <c r="ARC252" s="9"/>
      <c r="ARD252" s="9"/>
      <c r="ARE252" s="9"/>
      <c r="ARF252" s="9"/>
      <c r="ARG252" s="9"/>
      <c r="ARH252" s="9"/>
      <c r="ARI252" s="9"/>
      <c r="ARJ252" s="9"/>
      <c r="ARK252" s="9"/>
      <c r="ARL252" s="9"/>
      <c r="ARM252" s="9"/>
      <c r="ARN252" s="9"/>
      <c r="ARO252" s="9"/>
      <c r="ARP252" s="9"/>
      <c r="ARQ252" s="9"/>
      <c r="ARR252" s="9"/>
      <c r="ARS252" s="9"/>
      <c r="ART252" s="9"/>
      <c r="ARU252" s="9"/>
      <c r="ARV252" s="9"/>
      <c r="ARW252" s="9"/>
      <c r="ARX252" s="9"/>
      <c r="ARY252" s="9"/>
      <c r="ARZ252" s="9"/>
      <c r="ASA252" s="9"/>
      <c r="ASB252" s="9"/>
      <c r="ASC252" s="9"/>
      <c r="ASD252" s="9"/>
      <c r="ASE252" s="9"/>
      <c r="ASF252" s="9"/>
      <c r="ASG252" s="9"/>
      <c r="ASH252" s="9"/>
      <c r="ASI252" s="9"/>
      <c r="ASJ252" s="9"/>
      <c r="ASK252" s="9"/>
      <c r="ASL252" s="9"/>
      <c r="ASM252" s="9"/>
      <c r="ASN252" s="9"/>
      <c r="ASO252" s="9"/>
      <c r="ASP252" s="9"/>
      <c r="ASQ252" s="9"/>
      <c r="ASR252" s="9"/>
      <c r="ASS252" s="9"/>
      <c r="AST252" s="9"/>
      <c r="ASU252" s="9"/>
      <c r="ASV252" s="9"/>
      <c r="ASW252" s="9"/>
      <c r="ASX252" s="9"/>
      <c r="ASY252" s="9"/>
      <c r="ASZ252" s="9"/>
      <c r="ATA252" s="9"/>
      <c r="ATB252" s="9"/>
      <c r="ATC252" s="9"/>
      <c r="ATD252" s="9"/>
      <c r="ATE252" s="9"/>
      <c r="ATF252" s="9"/>
      <c r="ATG252" s="9"/>
      <c r="ATH252" s="9"/>
      <c r="ATI252" s="9"/>
      <c r="ATJ252" s="9"/>
      <c r="ATK252" s="9"/>
      <c r="ATL252" s="9"/>
      <c r="ATM252" s="9"/>
      <c r="ATN252" s="9"/>
      <c r="ATO252" s="9"/>
      <c r="ATP252" s="9"/>
      <c r="ATQ252" s="9"/>
      <c r="ATR252" s="9"/>
      <c r="ATS252" s="9"/>
      <c r="ATT252" s="9"/>
      <c r="ATU252" s="9"/>
      <c r="ATV252" s="9"/>
      <c r="ATW252" s="9"/>
      <c r="ATX252" s="9"/>
      <c r="ATY252" s="9"/>
      <c r="ATZ252" s="9"/>
      <c r="AUA252" s="9"/>
      <c r="AUB252" s="9"/>
      <c r="AUC252" s="9"/>
      <c r="AUD252" s="9"/>
      <c r="AUE252" s="9"/>
      <c r="AUF252" s="9"/>
      <c r="AUG252" s="9"/>
      <c r="AUH252" s="9"/>
      <c r="AUI252" s="9"/>
      <c r="AUJ252" s="9"/>
      <c r="AUK252" s="9"/>
      <c r="AUL252" s="9"/>
      <c r="AUM252" s="9"/>
      <c r="AUN252" s="9"/>
      <c r="AUO252" s="9"/>
      <c r="AUP252" s="9"/>
      <c r="AUQ252" s="9"/>
      <c r="AUR252" s="9"/>
      <c r="AUS252" s="9"/>
      <c r="AUT252" s="9"/>
      <c r="AUU252" s="9"/>
      <c r="AUV252" s="9"/>
      <c r="AUW252" s="9"/>
      <c r="AUX252" s="9"/>
      <c r="AUY252" s="9"/>
      <c r="AUZ252" s="9"/>
      <c r="AVA252" s="9"/>
      <c r="AVB252" s="9"/>
      <c r="AVC252" s="9"/>
      <c r="AVD252" s="9"/>
      <c r="AVE252" s="9"/>
      <c r="AVF252" s="9"/>
      <c r="AVG252" s="9"/>
      <c r="AVH252" s="9"/>
      <c r="AVI252" s="9"/>
      <c r="AVJ252" s="9"/>
      <c r="AVK252" s="9"/>
      <c r="AVL252" s="9"/>
      <c r="AVM252" s="9"/>
      <c r="AVN252" s="9"/>
      <c r="AVO252" s="9"/>
      <c r="AVP252" s="9"/>
      <c r="AVQ252" s="9"/>
      <c r="AVR252" s="9"/>
      <c r="AVS252" s="9"/>
      <c r="AVT252" s="9"/>
      <c r="AVU252" s="9"/>
      <c r="AVV252" s="9"/>
      <c r="AVW252" s="9"/>
      <c r="AVX252" s="9"/>
      <c r="AVY252" s="9"/>
      <c r="AVZ252" s="9"/>
      <c r="AWA252" s="9"/>
      <c r="AWB252" s="9"/>
      <c r="AWC252" s="9"/>
      <c r="AWD252" s="9"/>
      <c r="AWE252" s="9"/>
      <c r="AWF252" s="9"/>
      <c r="AWG252" s="9"/>
      <c r="AWH252" s="9"/>
      <c r="AWI252" s="9"/>
      <c r="AWJ252" s="9"/>
      <c r="AWK252" s="9"/>
      <c r="AWL252" s="9"/>
      <c r="AWM252" s="9"/>
      <c r="AWN252" s="9"/>
      <c r="AWO252" s="9"/>
      <c r="AWP252" s="9"/>
      <c r="AWQ252" s="9"/>
      <c r="AWR252" s="9"/>
      <c r="AWS252" s="9"/>
      <c r="AWT252" s="9"/>
      <c r="AWU252" s="9"/>
      <c r="AWV252" s="9"/>
      <c r="AWW252" s="9"/>
      <c r="AWX252" s="9"/>
      <c r="AWY252" s="9"/>
      <c r="AWZ252" s="9"/>
      <c r="AXA252" s="9"/>
      <c r="AXB252" s="9"/>
      <c r="AXC252" s="9"/>
      <c r="AXD252" s="9"/>
      <c r="AXE252" s="9"/>
      <c r="AXF252" s="9"/>
      <c r="AXG252" s="9"/>
      <c r="AXH252" s="9"/>
      <c r="AXI252" s="9"/>
      <c r="AXJ252" s="9"/>
      <c r="AXK252" s="9"/>
      <c r="AXL252" s="9"/>
      <c r="AXM252" s="9"/>
      <c r="AXN252" s="9"/>
      <c r="AXO252" s="9"/>
      <c r="AXP252" s="9"/>
      <c r="AXQ252" s="9"/>
      <c r="AXR252" s="9"/>
      <c r="AXS252" s="9"/>
      <c r="AXT252" s="9"/>
      <c r="AXU252" s="9"/>
      <c r="AXV252" s="9"/>
      <c r="AXW252" s="9"/>
      <c r="AXX252" s="9"/>
      <c r="AXY252" s="9"/>
      <c r="AXZ252" s="9"/>
      <c r="AYA252" s="9"/>
      <c r="AYB252" s="9"/>
      <c r="AYC252" s="9"/>
      <c r="AYD252" s="9"/>
      <c r="AYE252" s="9"/>
      <c r="AYF252" s="9"/>
      <c r="AYG252" s="9"/>
      <c r="AYH252" s="9"/>
      <c r="AYI252" s="9"/>
      <c r="AYJ252" s="9"/>
      <c r="AYK252" s="9"/>
      <c r="AYL252" s="9"/>
      <c r="AYM252" s="9"/>
      <c r="AYN252" s="9"/>
      <c r="AYO252" s="9"/>
      <c r="AYP252" s="9"/>
      <c r="AYQ252" s="9"/>
      <c r="AYR252" s="9"/>
      <c r="AYS252" s="9"/>
      <c r="AYT252" s="9"/>
      <c r="AYU252" s="9"/>
      <c r="AYV252" s="9"/>
      <c r="AYW252" s="9"/>
      <c r="AYX252" s="9"/>
      <c r="AYY252" s="9"/>
      <c r="AYZ252" s="9"/>
      <c r="AZA252" s="9"/>
      <c r="AZB252" s="9"/>
      <c r="AZC252" s="9"/>
      <c r="AZD252" s="9"/>
      <c r="AZE252" s="9"/>
      <c r="AZF252" s="9"/>
      <c r="AZG252" s="9"/>
      <c r="AZH252" s="9"/>
      <c r="AZI252" s="9"/>
      <c r="AZJ252" s="9"/>
      <c r="AZK252" s="9"/>
      <c r="AZL252" s="9"/>
      <c r="AZM252" s="9"/>
      <c r="AZN252" s="9"/>
      <c r="AZO252" s="9"/>
      <c r="AZP252" s="9"/>
      <c r="AZQ252" s="9"/>
      <c r="AZR252" s="9"/>
      <c r="AZS252" s="9"/>
      <c r="AZT252" s="9"/>
      <c r="AZU252" s="9"/>
      <c r="AZV252" s="9"/>
      <c r="AZW252" s="9"/>
      <c r="AZX252" s="9"/>
      <c r="AZY252" s="9"/>
      <c r="AZZ252" s="9"/>
      <c r="BAA252" s="9"/>
      <c r="BAB252" s="9"/>
      <c r="BAC252" s="9"/>
      <c r="BAD252" s="9"/>
      <c r="BAE252" s="9"/>
      <c r="BAF252" s="9"/>
      <c r="BAG252" s="9"/>
      <c r="BAH252" s="9"/>
      <c r="BAI252" s="9"/>
      <c r="BAJ252" s="9"/>
      <c r="BAK252" s="9"/>
      <c r="BAL252" s="9"/>
      <c r="BAM252" s="9"/>
      <c r="BAN252" s="9"/>
      <c r="BAO252" s="9"/>
      <c r="BAP252" s="9"/>
      <c r="BAQ252" s="9"/>
      <c r="BAR252" s="9"/>
      <c r="BAS252" s="9"/>
      <c r="BAT252" s="9"/>
      <c r="BAU252" s="9"/>
      <c r="BAV252" s="9"/>
      <c r="BAW252" s="9"/>
      <c r="BAX252" s="9"/>
      <c r="BAY252" s="9"/>
      <c r="BAZ252" s="9"/>
      <c r="BBA252" s="9"/>
      <c r="BBB252" s="9"/>
      <c r="BBC252" s="9"/>
      <c r="BBD252" s="9"/>
      <c r="BBE252" s="9"/>
      <c r="BBF252" s="9"/>
      <c r="BBG252" s="9"/>
      <c r="BBH252" s="9"/>
      <c r="BBI252" s="9"/>
      <c r="BBJ252" s="9"/>
      <c r="BBK252" s="9"/>
      <c r="BBL252" s="9"/>
      <c r="BBM252" s="9"/>
      <c r="BBN252" s="9"/>
      <c r="BBO252" s="9"/>
      <c r="BBP252" s="9"/>
      <c r="BBQ252" s="9"/>
      <c r="BBR252" s="9"/>
      <c r="BBS252" s="9"/>
      <c r="BBT252" s="9"/>
      <c r="BBU252" s="9"/>
      <c r="BBV252" s="9"/>
      <c r="BBW252" s="9"/>
      <c r="BBX252" s="9"/>
      <c r="BBY252" s="9"/>
      <c r="BBZ252" s="9"/>
      <c r="BCA252" s="9"/>
      <c r="BCB252" s="9"/>
      <c r="BCC252" s="9"/>
      <c r="BCD252" s="9"/>
      <c r="BCE252" s="9"/>
      <c r="BCF252" s="9"/>
      <c r="BCG252" s="9"/>
      <c r="BCH252" s="9"/>
      <c r="BCI252" s="9"/>
      <c r="BCJ252" s="9"/>
      <c r="BCK252" s="9"/>
      <c r="BCL252" s="9"/>
      <c r="BCM252" s="9"/>
      <c r="BCN252" s="9"/>
      <c r="BCO252" s="9"/>
      <c r="BCP252" s="9"/>
      <c r="BCQ252" s="9"/>
      <c r="BCR252" s="9"/>
      <c r="BCS252" s="9"/>
      <c r="BCT252" s="9"/>
      <c r="BCU252" s="9"/>
      <c r="BCV252" s="9"/>
      <c r="BCW252" s="9"/>
      <c r="BCX252" s="9"/>
      <c r="BCY252" s="9"/>
      <c r="BCZ252" s="9"/>
      <c r="BDA252" s="9"/>
      <c r="BDB252" s="9"/>
      <c r="BDC252" s="9"/>
      <c r="BDD252" s="9"/>
      <c r="BDE252" s="9"/>
      <c r="BDF252" s="9"/>
      <c r="BDG252" s="9"/>
      <c r="BDH252" s="9"/>
      <c r="BDI252" s="9"/>
      <c r="BDJ252" s="9"/>
      <c r="BDK252" s="9"/>
      <c r="BDL252" s="9"/>
      <c r="BDM252" s="9"/>
      <c r="BDN252" s="9"/>
      <c r="BDO252" s="9"/>
      <c r="BDP252" s="9"/>
      <c r="BDQ252" s="9"/>
      <c r="BDR252" s="9"/>
      <c r="BDS252" s="9"/>
      <c r="BDT252" s="9"/>
      <c r="BDU252" s="9"/>
      <c r="BDV252" s="9"/>
      <c r="BDW252" s="9"/>
      <c r="BDX252" s="9"/>
      <c r="BDY252" s="9"/>
      <c r="BDZ252" s="9"/>
      <c r="BEA252" s="9"/>
      <c r="BEB252" s="9"/>
      <c r="BEC252" s="9"/>
      <c r="BED252" s="9"/>
      <c r="BEE252" s="9"/>
      <c r="BEF252" s="9"/>
      <c r="BEG252" s="9"/>
      <c r="BEH252" s="9"/>
      <c r="BEI252" s="9"/>
      <c r="BEJ252" s="9"/>
      <c r="BEK252" s="9"/>
      <c r="BEL252" s="9"/>
      <c r="BEM252" s="9"/>
      <c r="BEN252" s="9"/>
      <c r="BEO252" s="9"/>
      <c r="BEP252" s="9"/>
      <c r="BEQ252" s="9"/>
      <c r="BER252" s="9"/>
      <c r="BES252" s="9"/>
      <c r="BET252" s="9"/>
      <c r="BEU252" s="9"/>
      <c r="BEV252" s="9"/>
      <c r="BEW252" s="9"/>
      <c r="BEX252" s="9"/>
      <c r="BEY252" s="9"/>
      <c r="BEZ252" s="9"/>
      <c r="BFA252" s="9"/>
      <c r="BFB252" s="9"/>
      <c r="BFC252" s="9"/>
      <c r="BFD252" s="9"/>
      <c r="BFE252" s="9"/>
      <c r="BFF252" s="9"/>
      <c r="BFG252" s="9"/>
      <c r="BFH252" s="9"/>
      <c r="BFI252" s="9"/>
      <c r="BFJ252" s="9"/>
      <c r="BFK252" s="9"/>
      <c r="BFL252" s="9"/>
      <c r="BFM252" s="9"/>
      <c r="BFN252" s="9"/>
      <c r="BFO252" s="9"/>
      <c r="BFP252" s="9"/>
      <c r="BFQ252" s="9"/>
      <c r="BFR252" s="9"/>
      <c r="BFS252" s="9"/>
      <c r="BFT252" s="9"/>
      <c r="BFU252" s="9"/>
      <c r="BFV252" s="9"/>
      <c r="BFW252" s="9"/>
      <c r="BFX252" s="9"/>
      <c r="BFY252" s="9"/>
      <c r="BFZ252" s="9"/>
      <c r="BGA252" s="9"/>
      <c r="BGB252" s="9"/>
      <c r="BGC252" s="9"/>
      <c r="BGD252" s="9"/>
      <c r="BGE252" s="9"/>
      <c r="BGF252" s="9"/>
      <c r="BGG252" s="9"/>
      <c r="BGH252" s="9"/>
      <c r="BGI252" s="9"/>
      <c r="BGJ252" s="9"/>
      <c r="BGK252" s="9"/>
      <c r="BGL252" s="9"/>
      <c r="BGM252" s="9"/>
      <c r="BGN252" s="9"/>
      <c r="BGO252" s="9"/>
      <c r="BGP252" s="9"/>
      <c r="BGQ252" s="9"/>
      <c r="BGR252" s="9"/>
      <c r="BGS252" s="9"/>
      <c r="BGT252" s="9"/>
      <c r="BGU252" s="9"/>
      <c r="BGV252" s="9"/>
      <c r="BGW252" s="9"/>
      <c r="BGX252" s="9"/>
      <c r="BGY252" s="9"/>
      <c r="BGZ252" s="9"/>
      <c r="BHA252" s="9"/>
      <c r="BHB252" s="9"/>
      <c r="BHC252" s="9"/>
      <c r="BHD252" s="9"/>
      <c r="BHE252" s="9"/>
      <c r="BHF252" s="9"/>
      <c r="BHG252" s="9"/>
      <c r="BHH252" s="9"/>
      <c r="BHI252" s="9"/>
      <c r="BHJ252" s="9"/>
      <c r="BHK252" s="9"/>
      <c r="BHL252" s="9"/>
      <c r="BHM252" s="9"/>
      <c r="BHN252" s="9"/>
      <c r="BHO252" s="9"/>
      <c r="BHP252" s="9"/>
      <c r="BHQ252" s="9"/>
      <c r="BHR252" s="9"/>
      <c r="BHS252" s="9"/>
      <c r="BHT252" s="9"/>
      <c r="BHU252" s="9"/>
      <c r="BHV252" s="9"/>
      <c r="BHW252" s="9"/>
      <c r="BHX252" s="9"/>
      <c r="BHY252" s="9"/>
      <c r="BHZ252" s="9"/>
      <c r="BIA252" s="9"/>
      <c r="BIB252" s="9"/>
      <c r="BIC252" s="9"/>
      <c r="BID252" s="9"/>
      <c r="BIE252" s="9"/>
      <c r="BIF252" s="9"/>
      <c r="BIG252" s="9"/>
      <c r="BIH252" s="9"/>
      <c r="BII252" s="9"/>
      <c r="BIJ252" s="9"/>
      <c r="BIK252" s="9"/>
      <c r="BIL252" s="9"/>
      <c r="BIM252" s="9"/>
      <c r="BIN252" s="9"/>
      <c r="BIO252" s="9"/>
      <c r="BIP252" s="9"/>
      <c r="BIQ252" s="9"/>
      <c r="BIR252" s="9"/>
      <c r="BIS252" s="9"/>
      <c r="BIT252" s="9"/>
      <c r="BIU252" s="9"/>
      <c r="BIV252" s="9"/>
      <c r="BIW252" s="9"/>
      <c r="BIX252" s="9"/>
      <c r="BIY252" s="9"/>
      <c r="BIZ252" s="9"/>
      <c r="BJA252" s="9"/>
      <c r="BJB252" s="9"/>
      <c r="BJC252" s="9"/>
      <c r="BJD252" s="9"/>
      <c r="BJE252" s="9"/>
      <c r="BJF252" s="9"/>
      <c r="BJG252" s="9"/>
      <c r="BJH252" s="9"/>
      <c r="BJI252" s="9"/>
      <c r="BJJ252" s="9"/>
      <c r="BJK252" s="9"/>
      <c r="BJL252" s="9"/>
      <c r="BJM252" s="9"/>
      <c r="BJN252" s="9"/>
      <c r="BJO252" s="9"/>
      <c r="BJP252" s="9"/>
      <c r="BJQ252" s="9"/>
      <c r="BJR252" s="9"/>
      <c r="BJS252" s="9"/>
      <c r="BJT252" s="9"/>
      <c r="BJU252" s="9"/>
      <c r="BJV252" s="9"/>
      <c r="BJW252" s="9"/>
      <c r="BJX252" s="9"/>
      <c r="BJY252" s="9"/>
      <c r="BJZ252" s="9"/>
      <c r="BKA252" s="9"/>
      <c r="BKB252" s="9"/>
      <c r="BKC252" s="9"/>
      <c r="BKD252" s="9"/>
      <c r="BKE252" s="9"/>
      <c r="BKF252" s="9"/>
      <c r="BKG252" s="9"/>
      <c r="BKH252" s="9"/>
      <c r="BKI252" s="9"/>
      <c r="BKJ252" s="9"/>
      <c r="BKK252" s="9"/>
      <c r="BKL252" s="9"/>
      <c r="BKM252" s="9"/>
      <c r="BKN252" s="9"/>
      <c r="BKO252" s="9"/>
      <c r="BKP252" s="9"/>
      <c r="BKQ252" s="9"/>
      <c r="BKR252" s="9"/>
      <c r="BKS252" s="9"/>
      <c r="BKT252" s="9"/>
      <c r="BKU252" s="9"/>
      <c r="BKV252" s="9"/>
      <c r="BKW252" s="9"/>
      <c r="BKX252" s="9"/>
      <c r="BKY252" s="9"/>
      <c r="BKZ252" s="9"/>
      <c r="BLA252" s="9"/>
      <c r="BLB252" s="9"/>
      <c r="BLC252" s="9"/>
      <c r="BLD252" s="9"/>
      <c r="BLE252" s="9"/>
      <c r="BLF252" s="9"/>
      <c r="BLG252" s="9"/>
      <c r="BLH252" s="9"/>
      <c r="BLI252" s="9"/>
      <c r="BLJ252" s="9"/>
      <c r="BLK252" s="9"/>
      <c r="BLL252" s="9"/>
      <c r="BLM252" s="9"/>
      <c r="BLN252" s="9"/>
      <c r="BLO252" s="9"/>
      <c r="BLP252" s="9"/>
      <c r="BLQ252" s="9"/>
      <c r="BLR252" s="9"/>
      <c r="BLS252" s="9"/>
      <c r="BLT252" s="9"/>
      <c r="BLU252" s="9"/>
      <c r="BLV252" s="9"/>
      <c r="BLW252" s="9"/>
      <c r="BLX252" s="9"/>
      <c r="BLY252" s="9"/>
      <c r="BLZ252" s="9"/>
      <c r="BMA252" s="9"/>
      <c r="BMB252" s="9"/>
      <c r="BMC252" s="9"/>
      <c r="BMD252" s="9"/>
      <c r="BME252" s="9"/>
      <c r="BMF252" s="9"/>
      <c r="BMG252" s="9"/>
      <c r="BMH252" s="9"/>
      <c r="BMI252" s="9"/>
      <c r="BMJ252" s="9"/>
      <c r="BMK252" s="9"/>
      <c r="BML252" s="9"/>
      <c r="BMM252" s="9"/>
      <c r="BMN252" s="9"/>
      <c r="BMO252" s="9"/>
      <c r="BMP252" s="9"/>
      <c r="BMQ252" s="9"/>
      <c r="BMR252" s="9"/>
      <c r="BMS252" s="9"/>
      <c r="BMT252" s="9"/>
      <c r="BMU252" s="9"/>
      <c r="BMV252" s="9"/>
      <c r="BMW252" s="9"/>
      <c r="BMX252" s="9"/>
      <c r="BMY252" s="9"/>
      <c r="BMZ252" s="9"/>
      <c r="BNA252" s="9"/>
      <c r="BNB252" s="9"/>
      <c r="BNC252" s="9"/>
      <c r="BND252" s="9"/>
      <c r="BNE252" s="9"/>
      <c r="BNF252" s="9"/>
      <c r="BNG252" s="9"/>
      <c r="BNH252" s="9"/>
      <c r="BNI252" s="9"/>
      <c r="BNJ252" s="9"/>
      <c r="BNK252" s="9"/>
      <c r="BNL252" s="9"/>
      <c r="BNM252" s="9"/>
      <c r="BNN252" s="9"/>
      <c r="BNO252" s="9"/>
      <c r="BNP252" s="9"/>
      <c r="BNQ252" s="9"/>
      <c r="BNR252" s="9"/>
      <c r="BNS252" s="9"/>
      <c r="BNT252" s="9"/>
      <c r="BNU252" s="9"/>
      <c r="BNV252" s="9"/>
      <c r="BNW252" s="9"/>
      <c r="BNX252" s="9"/>
      <c r="BNY252" s="9"/>
      <c r="BNZ252" s="9"/>
      <c r="BOA252" s="9"/>
      <c r="BOB252" s="9"/>
      <c r="BOC252" s="9"/>
      <c r="BOD252" s="9"/>
      <c r="BOE252" s="9"/>
      <c r="BOF252" s="9"/>
      <c r="BOG252" s="9"/>
      <c r="BOH252" s="9"/>
      <c r="BOI252" s="9"/>
      <c r="BOJ252" s="9"/>
      <c r="BOK252" s="9"/>
      <c r="BOL252" s="9"/>
      <c r="BOM252" s="9"/>
      <c r="BON252" s="9"/>
      <c r="BOO252" s="9"/>
      <c r="BOP252" s="9"/>
      <c r="BOQ252" s="9"/>
      <c r="BOR252" s="9"/>
      <c r="BOS252" s="9"/>
      <c r="BOT252" s="9"/>
      <c r="BOU252" s="9"/>
      <c r="BOV252" s="9"/>
      <c r="BOW252" s="9"/>
      <c r="BOX252" s="9"/>
      <c r="BOY252" s="9"/>
      <c r="BOZ252" s="9"/>
      <c r="BPA252" s="9"/>
      <c r="BPB252" s="9"/>
      <c r="BPC252" s="9"/>
      <c r="BPD252" s="9"/>
      <c r="BPE252" s="9"/>
      <c r="BPF252" s="9"/>
      <c r="BPG252" s="9"/>
      <c r="BPH252" s="9"/>
      <c r="BPI252" s="9"/>
      <c r="BPJ252" s="9"/>
      <c r="BPK252" s="9"/>
      <c r="BPL252" s="9"/>
      <c r="BPM252" s="9"/>
      <c r="BPN252" s="9"/>
      <c r="BPO252" s="9"/>
      <c r="BPP252" s="9"/>
      <c r="BPQ252" s="9"/>
      <c r="BPR252" s="9"/>
      <c r="BPS252" s="9"/>
      <c r="BPT252" s="9"/>
      <c r="BPU252" s="9"/>
      <c r="BPV252" s="9"/>
      <c r="BPW252" s="9"/>
      <c r="BPX252" s="9"/>
      <c r="BPY252" s="9"/>
      <c r="BPZ252" s="9"/>
      <c r="BQA252" s="9"/>
      <c r="BQB252" s="9"/>
      <c r="BQC252" s="9"/>
      <c r="BQD252" s="9"/>
      <c r="BQE252" s="9"/>
      <c r="BQF252" s="9"/>
      <c r="BQG252" s="9"/>
      <c r="BQH252" s="9"/>
      <c r="BQI252" s="9"/>
      <c r="BQJ252" s="9"/>
      <c r="BQK252" s="9"/>
      <c r="BQL252" s="9"/>
      <c r="BQM252" s="9"/>
      <c r="BQN252" s="9"/>
      <c r="BQO252" s="9"/>
      <c r="BQP252" s="9"/>
      <c r="BQQ252" s="9"/>
      <c r="BQR252" s="9"/>
      <c r="BQS252" s="9"/>
      <c r="BQT252" s="9"/>
      <c r="BQU252" s="9"/>
      <c r="BQV252" s="9"/>
      <c r="BQW252" s="9"/>
      <c r="BQX252" s="9"/>
      <c r="BQY252" s="9"/>
      <c r="BQZ252" s="9"/>
      <c r="BRA252" s="9"/>
      <c r="BRB252" s="9"/>
      <c r="BRC252" s="9"/>
      <c r="BRD252" s="9"/>
      <c r="BRE252" s="9"/>
      <c r="BRF252" s="9"/>
      <c r="BRG252" s="9"/>
      <c r="BRH252" s="9"/>
      <c r="BRI252" s="9"/>
      <c r="BRJ252" s="9"/>
      <c r="BRK252" s="9"/>
      <c r="BRL252" s="9"/>
      <c r="BRM252" s="9"/>
      <c r="BRN252" s="9"/>
      <c r="BRO252" s="9"/>
      <c r="BRP252" s="9"/>
      <c r="BRQ252" s="9"/>
      <c r="BRR252" s="9"/>
      <c r="BRS252" s="9"/>
      <c r="BRT252" s="9"/>
      <c r="BRU252" s="9"/>
      <c r="BRV252" s="9"/>
      <c r="BRW252" s="9"/>
      <c r="BRX252" s="9"/>
      <c r="BRY252" s="9"/>
      <c r="BRZ252" s="9"/>
      <c r="BSA252" s="9"/>
      <c r="BSB252" s="9"/>
      <c r="BSC252" s="9"/>
      <c r="BSD252" s="9"/>
      <c r="BSE252" s="9"/>
      <c r="BSF252" s="9"/>
      <c r="BSG252" s="9"/>
      <c r="BSH252" s="9"/>
      <c r="BSI252" s="9"/>
      <c r="BSJ252" s="9"/>
      <c r="BSK252" s="9"/>
      <c r="BSL252" s="9"/>
      <c r="BSM252" s="9"/>
      <c r="BSN252" s="9"/>
      <c r="BSO252" s="9"/>
      <c r="BSP252" s="9"/>
      <c r="BSQ252" s="9"/>
      <c r="BSR252" s="9"/>
      <c r="BSS252" s="9"/>
      <c r="BST252" s="9"/>
      <c r="BSU252" s="9"/>
      <c r="BSV252" s="9"/>
      <c r="BSW252" s="9"/>
      <c r="BSX252" s="9"/>
      <c r="BSY252" s="9"/>
      <c r="BSZ252" s="9"/>
      <c r="BTA252" s="9"/>
      <c r="BTB252" s="9"/>
      <c r="BTC252" s="9"/>
      <c r="BTD252" s="9"/>
      <c r="BTE252" s="9"/>
      <c r="BTF252" s="9"/>
      <c r="BTG252" s="9"/>
      <c r="BTH252" s="9"/>
      <c r="BTI252" s="9"/>
      <c r="BTJ252" s="9"/>
      <c r="BTK252" s="9"/>
      <c r="BTL252" s="9"/>
      <c r="BTM252" s="9"/>
      <c r="BTN252" s="9"/>
      <c r="BTO252" s="9"/>
      <c r="BTP252" s="9"/>
      <c r="BTQ252" s="9"/>
      <c r="BTR252" s="9"/>
      <c r="BTS252" s="9"/>
      <c r="BTT252" s="9"/>
      <c r="BTU252" s="9"/>
      <c r="BTV252" s="9"/>
      <c r="BTW252" s="9"/>
      <c r="BTX252" s="9"/>
      <c r="BTY252" s="9"/>
      <c r="BTZ252" s="9"/>
      <c r="BUA252" s="9"/>
      <c r="BUB252" s="9"/>
      <c r="BUC252" s="9"/>
      <c r="BUD252" s="9"/>
      <c r="BUE252" s="9"/>
      <c r="BUF252" s="9"/>
      <c r="BUG252" s="9"/>
      <c r="BUH252" s="9"/>
      <c r="BUI252" s="9"/>
      <c r="BUJ252" s="9"/>
      <c r="BUK252" s="9"/>
      <c r="BUL252" s="9"/>
      <c r="BUM252" s="9"/>
      <c r="BUN252" s="9"/>
      <c r="BUO252" s="9"/>
      <c r="BUP252" s="9"/>
      <c r="BUQ252" s="9"/>
      <c r="BUR252" s="9"/>
      <c r="BUS252" s="9"/>
      <c r="BUT252" s="9"/>
      <c r="BUU252" s="9"/>
      <c r="BUV252" s="9"/>
      <c r="BUW252" s="9"/>
      <c r="BUX252" s="9"/>
      <c r="BUY252" s="9"/>
      <c r="BUZ252" s="9"/>
      <c r="BVA252" s="9"/>
      <c r="BVB252" s="9"/>
      <c r="BVC252" s="9"/>
      <c r="BVD252" s="9"/>
      <c r="BVE252" s="9"/>
      <c r="BVF252" s="9"/>
      <c r="BVG252" s="9"/>
      <c r="BVH252" s="9"/>
      <c r="BVI252" s="9"/>
      <c r="BVJ252" s="9"/>
      <c r="BVK252" s="9"/>
      <c r="BVL252" s="9"/>
      <c r="BVM252" s="9"/>
      <c r="BVN252" s="9"/>
      <c r="BVO252" s="9"/>
      <c r="BVP252" s="9"/>
      <c r="BVQ252" s="9"/>
      <c r="BVR252" s="9"/>
      <c r="BVS252" s="9"/>
      <c r="BVT252" s="9"/>
      <c r="BVU252" s="9"/>
      <c r="BVV252" s="9"/>
      <c r="BVW252" s="9"/>
      <c r="BVX252" s="9"/>
      <c r="BVY252" s="9"/>
      <c r="BVZ252" s="9"/>
      <c r="BWA252" s="9"/>
      <c r="BWB252" s="9"/>
      <c r="BWC252" s="9"/>
      <c r="BWD252" s="9"/>
      <c r="BWE252" s="9"/>
      <c r="BWF252" s="9"/>
      <c r="BWG252" s="9"/>
      <c r="BWH252" s="9"/>
      <c r="BWI252" s="9"/>
      <c r="BWJ252" s="9"/>
      <c r="BWK252" s="9"/>
      <c r="BWL252" s="9"/>
      <c r="BWM252" s="9"/>
      <c r="BWN252" s="9"/>
      <c r="BWO252" s="9"/>
      <c r="BWP252" s="9"/>
      <c r="BWQ252" s="9"/>
      <c r="BWR252" s="9"/>
      <c r="BWS252" s="9"/>
      <c r="BWT252" s="9"/>
      <c r="BWU252" s="9"/>
      <c r="BWV252" s="9"/>
      <c r="BWW252" s="9"/>
      <c r="BWX252" s="9"/>
      <c r="BWY252" s="9"/>
      <c r="BWZ252" s="9"/>
      <c r="BXA252" s="9"/>
      <c r="BXB252" s="9"/>
      <c r="BXC252" s="9"/>
      <c r="BXD252" s="9"/>
      <c r="BXE252" s="9"/>
      <c r="BXF252" s="9"/>
      <c r="BXG252" s="9"/>
      <c r="BXH252" s="9"/>
      <c r="BXI252" s="9"/>
      <c r="BXJ252" s="9"/>
      <c r="BXK252" s="9"/>
      <c r="BXL252" s="9"/>
      <c r="BXM252" s="9"/>
      <c r="BXN252" s="9"/>
      <c r="BXO252" s="9"/>
      <c r="BXP252" s="9"/>
      <c r="BXQ252" s="9"/>
      <c r="BXR252" s="9"/>
      <c r="BXS252" s="9"/>
      <c r="BXT252" s="9"/>
      <c r="BXU252" s="9"/>
      <c r="BXV252" s="9"/>
      <c r="BXW252" s="9"/>
      <c r="BXX252" s="9"/>
      <c r="BXY252" s="9"/>
      <c r="BXZ252" s="9"/>
      <c r="BYA252" s="9"/>
      <c r="BYB252" s="9"/>
      <c r="BYC252" s="9"/>
      <c r="BYD252" s="9"/>
      <c r="BYE252" s="9"/>
      <c r="BYF252" s="9"/>
      <c r="BYG252" s="9"/>
      <c r="BYH252" s="9"/>
      <c r="BYI252" s="9"/>
      <c r="BYJ252" s="9"/>
      <c r="BYK252" s="9"/>
      <c r="BYL252" s="9"/>
      <c r="BYM252" s="9"/>
      <c r="BYN252" s="9"/>
      <c r="BYO252" s="9"/>
      <c r="BYP252" s="9"/>
      <c r="BYQ252" s="9"/>
      <c r="BYR252" s="9"/>
      <c r="BYS252" s="9"/>
      <c r="BYT252" s="9"/>
      <c r="BYU252" s="9"/>
      <c r="BYV252" s="9"/>
      <c r="BYW252" s="9"/>
      <c r="BYX252" s="9"/>
      <c r="BYY252" s="9"/>
      <c r="BYZ252" s="9"/>
      <c r="BZA252" s="9"/>
      <c r="BZB252" s="9"/>
      <c r="BZC252" s="9"/>
      <c r="BZD252" s="9"/>
      <c r="BZE252" s="9"/>
      <c r="BZF252" s="9"/>
      <c r="BZG252" s="9"/>
      <c r="BZH252" s="9"/>
      <c r="BZI252" s="9"/>
      <c r="BZJ252" s="9"/>
      <c r="BZK252" s="9"/>
      <c r="BZL252" s="9"/>
      <c r="BZM252" s="9"/>
      <c r="BZN252" s="9"/>
      <c r="BZO252" s="9"/>
      <c r="BZP252" s="9"/>
      <c r="BZQ252" s="9"/>
      <c r="BZR252" s="9"/>
      <c r="BZS252" s="9"/>
      <c r="BZT252" s="9"/>
      <c r="BZU252" s="9"/>
      <c r="BZV252" s="9"/>
      <c r="BZW252" s="9"/>
      <c r="BZX252" s="9"/>
      <c r="BZY252" s="9"/>
      <c r="BZZ252" s="9"/>
      <c r="CAA252" s="9"/>
      <c r="CAB252" s="9"/>
      <c r="CAC252" s="9"/>
      <c r="CAD252" s="9"/>
      <c r="CAE252" s="9"/>
      <c r="CAF252" s="9"/>
      <c r="CAG252" s="9"/>
      <c r="CAH252" s="9"/>
      <c r="CAI252" s="9"/>
      <c r="CAJ252" s="9"/>
      <c r="CAK252" s="9"/>
      <c r="CAL252" s="9"/>
      <c r="CAM252" s="9"/>
      <c r="CAN252" s="9"/>
      <c r="CAO252" s="9"/>
      <c r="CAP252" s="9"/>
      <c r="CAQ252" s="9"/>
      <c r="CAR252" s="9"/>
      <c r="CAS252" s="9"/>
      <c r="CAT252" s="9"/>
      <c r="CAU252" s="9"/>
      <c r="CAV252" s="9"/>
      <c r="CAW252" s="9"/>
      <c r="CAX252" s="9"/>
      <c r="CAY252" s="9"/>
      <c r="CAZ252" s="9"/>
      <c r="CBA252" s="9"/>
      <c r="CBB252" s="9"/>
      <c r="CBC252" s="9"/>
      <c r="CBD252" s="9"/>
      <c r="CBE252" s="9"/>
      <c r="CBF252" s="9"/>
      <c r="CBG252" s="9"/>
      <c r="CBH252" s="9"/>
      <c r="CBI252" s="9"/>
      <c r="CBJ252" s="9"/>
      <c r="CBK252" s="9"/>
      <c r="CBL252" s="9"/>
      <c r="CBM252" s="9"/>
      <c r="CBN252" s="9"/>
      <c r="CBO252" s="9"/>
      <c r="CBP252" s="9"/>
      <c r="CBQ252" s="9"/>
      <c r="CBR252" s="9"/>
      <c r="CBS252" s="9"/>
      <c r="CBT252" s="9"/>
      <c r="CBU252" s="9"/>
      <c r="CBV252" s="9"/>
      <c r="CBW252" s="9"/>
      <c r="CBX252" s="9"/>
      <c r="CBY252" s="9"/>
      <c r="CBZ252" s="9"/>
      <c r="CCA252" s="9"/>
      <c r="CCB252" s="9"/>
      <c r="CCC252" s="9"/>
      <c r="CCD252" s="9"/>
      <c r="CCE252" s="9"/>
      <c r="CCF252" s="9"/>
      <c r="CCG252" s="9"/>
      <c r="CCH252" s="9"/>
      <c r="CCI252" s="9"/>
      <c r="CCJ252" s="9"/>
      <c r="CCK252" s="9"/>
      <c r="CCL252" s="9"/>
      <c r="CCM252" s="9"/>
      <c r="CCN252" s="9"/>
      <c r="CCO252" s="9"/>
      <c r="CCP252" s="9"/>
      <c r="CCQ252" s="9"/>
      <c r="CCR252" s="9"/>
      <c r="CCS252" s="9"/>
      <c r="CCT252" s="9"/>
      <c r="CCU252" s="9"/>
      <c r="CCV252" s="9"/>
      <c r="CCW252" s="9"/>
      <c r="CCX252" s="9"/>
      <c r="CCY252" s="9"/>
      <c r="CCZ252" s="9"/>
      <c r="CDA252" s="9"/>
      <c r="CDB252" s="9"/>
      <c r="CDC252" s="9"/>
      <c r="CDD252" s="9"/>
      <c r="CDE252" s="9"/>
      <c r="CDF252" s="9"/>
      <c r="CDG252" s="9"/>
      <c r="CDH252" s="9"/>
      <c r="CDI252" s="9"/>
      <c r="CDJ252" s="9"/>
      <c r="CDK252" s="9"/>
      <c r="CDL252" s="9"/>
      <c r="CDM252" s="9"/>
      <c r="CDN252" s="9"/>
      <c r="CDO252" s="9"/>
      <c r="CDP252" s="9"/>
      <c r="CDQ252" s="9"/>
      <c r="CDR252" s="9"/>
      <c r="CDS252" s="9"/>
      <c r="CDT252" s="9"/>
      <c r="CDU252" s="9"/>
      <c r="CDV252" s="9"/>
      <c r="CDW252" s="9"/>
      <c r="CDX252" s="9"/>
      <c r="CDY252" s="9"/>
      <c r="CDZ252" s="9"/>
      <c r="CEA252" s="9"/>
      <c r="CEB252" s="9"/>
      <c r="CEC252" s="9"/>
      <c r="CED252" s="9"/>
      <c r="CEE252" s="9"/>
      <c r="CEF252" s="9"/>
      <c r="CEG252" s="9"/>
      <c r="CEH252" s="9"/>
      <c r="CEI252" s="9"/>
      <c r="CEJ252" s="9"/>
      <c r="CEK252" s="9"/>
      <c r="CEL252" s="9"/>
      <c r="CEM252" s="9"/>
      <c r="CEN252" s="9"/>
      <c r="CEO252" s="9"/>
      <c r="CEP252" s="9"/>
      <c r="CEQ252" s="9"/>
      <c r="CER252" s="9"/>
      <c r="CES252" s="9"/>
      <c r="CET252" s="9"/>
      <c r="CEU252" s="9"/>
      <c r="CEV252" s="9"/>
      <c r="CEW252" s="9"/>
      <c r="CEX252" s="9"/>
      <c r="CEY252" s="9"/>
      <c r="CEZ252" s="9"/>
      <c r="CFA252" s="9"/>
      <c r="CFB252" s="9"/>
      <c r="CFC252" s="9"/>
      <c r="CFD252" s="9"/>
      <c r="CFE252" s="9"/>
      <c r="CFF252" s="9"/>
      <c r="CFG252" s="9"/>
      <c r="CFH252" s="9"/>
      <c r="CFI252" s="9"/>
      <c r="CFJ252" s="9"/>
      <c r="CFK252" s="9"/>
      <c r="CFL252" s="9"/>
      <c r="CFM252" s="9"/>
      <c r="CFN252" s="9"/>
      <c r="CFO252" s="9"/>
      <c r="CFP252" s="9"/>
      <c r="CFQ252" s="9"/>
      <c r="CFR252" s="9"/>
      <c r="CFS252" s="9"/>
      <c r="CFT252" s="9"/>
      <c r="CFU252" s="9"/>
      <c r="CFV252" s="9"/>
      <c r="CFW252" s="9"/>
      <c r="CFX252" s="9"/>
      <c r="CFY252" s="9"/>
      <c r="CFZ252" s="9"/>
      <c r="CGA252" s="9"/>
      <c r="CGB252" s="9"/>
      <c r="CGC252" s="9"/>
      <c r="CGD252" s="9"/>
      <c r="CGE252" s="9"/>
      <c r="CGF252" s="9"/>
      <c r="CGG252" s="9"/>
      <c r="CGH252" s="9"/>
      <c r="CGI252" s="9"/>
      <c r="CGJ252" s="9"/>
      <c r="CGK252" s="9"/>
      <c r="CGL252" s="9"/>
      <c r="CGM252" s="9"/>
      <c r="CGN252" s="9"/>
      <c r="CGO252" s="9"/>
      <c r="CGP252" s="9"/>
      <c r="CGQ252" s="9"/>
      <c r="CGR252" s="9"/>
      <c r="CGS252" s="9"/>
      <c r="CGT252" s="9"/>
      <c r="CGU252" s="9"/>
      <c r="CGV252" s="9"/>
      <c r="CGW252" s="9"/>
      <c r="CGX252" s="9"/>
      <c r="CGY252" s="9"/>
      <c r="CGZ252" s="9"/>
      <c r="CHA252" s="9"/>
      <c r="CHB252" s="9"/>
      <c r="CHC252" s="9"/>
      <c r="CHD252" s="9"/>
      <c r="CHE252" s="9"/>
      <c r="CHF252" s="9"/>
      <c r="CHG252" s="9"/>
      <c r="CHH252" s="9"/>
      <c r="CHI252" s="9"/>
      <c r="CHJ252" s="9"/>
      <c r="CHK252" s="9"/>
      <c r="CHL252" s="9"/>
      <c r="CHM252" s="9"/>
      <c r="CHN252" s="9"/>
      <c r="CHO252" s="9"/>
      <c r="CHP252" s="9"/>
      <c r="CHQ252" s="9"/>
      <c r="CHR252" s="9"/>
      <c r="CHS252" s="9"/>
      <c r="CHT252" s="9"/>
      <c r="CHU252" s="9"/>
      <c r="CHV252" s="9"/>
      <c r="CHW252" s="9"/>
      <c r="CHX252" s="9"/>
      <c r="CHY252" s="9"/>
      <c r="CHZ252" s="9"/>
      <c r="CIA252" s="9"/>
      <c r="CIB252" s="9"/>
      <c r="CIC252" s="9"/>
      <c r="CID252" s="9"/>
      <c r="CIE252" s="9"/>
      <c r="CIF252" s="9"/>
      <c r="CIG252" s="9"/>
      <c r="CIH252" s="9"/>
      <c r="CII252" s="9"/>
      <c r="CIJ252" s="9"/>
      <c r="CIK252" s="9"/>
      <c r="CIL252" s="9"/>
      <c r="CIM252" s="9"/>
      <c r="CIN252" s="9"/>
      <c r="CIO252" s="9"/>
      <c r="CIP252" s="9"/>
      <c r="CIQ252" s="9"/>
      <c r="CIR252" s="9"/>
      <c r="CIS252" s="9"/>
      <c r="CIT252" s="9"/>
      <c r="CIU252" s="9"/>
      <c r="CIV252" s="9"/>
      <c r="CIW252" s="9"/>
      <c r="CIX252" s="9"/>
      <c r="CIY252" s="9"/>
      <c r="CIZ252" s="9"/>
      <c r="CJA252" s="9"/>
      <c r="CJB252" s="9"/>
      <c r="CJC252" s="9"/>
      <c r="CJD252" s="9"/>
      <c r="CJE252" s="9"/>
      <c r="CJF252" s="9"/>
      <c r="CJG252" s="9"/>
      <c r="CJH252" s="9"/>
      <c r="CJI252" s="9"/>
      <c r="CJJ252" s="9"/>
      <c r="CJK252" s="9"/>
      <c r="CJL252" s="9"/>
      <c r="CJM252" s="9"/>
      <c r="CJN252" s="9"/>
      <c r="CJO252" s="9"/>
      <c r="CJP252" s="9"/>
      <c r="CJQ252" s="9"/>
      <c r="CJR252" s="9"/>
      <c r="CJS252" s="9"/>
      <c r="CJT252" s="9"/>
      <c r="CJU252" s="9"/>
      <c r="CJV252" s="9"/>
      <c r="CJW252" s="9"/>
      <c r="CJX252" s="9"/>
      <c r="CJY252" s="9"/>
      <c r="CJZ252" s="9"/>
      <c r="CKA252" s="9"/>
      <c r="CKB252" s="9"/>
      <c r="CKC252" s="9"/>
      <c r="CKD252" s="9"/>
      <c r="CKE252" s="9"/>
      <c r="CKF252" s="9"/>
      <c r="CKG252" s="9"/>
      <c r="CKH252" s="9"/>
      <c r="CKI252" s="9"/>
      <c r="CKJ252" s="9"/>
      <c r="CKK252" s="9"/>
      <c r="CKL252" s="9"/>
      <c r="CKM252" s="9"/>
      <c r="CKN252" s="9"/>
      <c r="CKO252" s="9"/>
      <c r="CKP252" s="9"/>
      <c r="CKQ252" s="9"/>
      <c r="CKR252" s="9"/>
      <c r="CKS252" s="9"/>
      <c r="CKT252" s="9"/>
      <c r="CKU252" s="9"/>
      <c r="CKV252" s="9"/>
      <c r="CKW252" s="9"/>
      <c r="CKX252" s="9"/>
      <c r="CKY252" s="9"/>
      <c r="CKZ252" s="9"/>
      <c r="CLA252" s="9"/>
      <c r="CLB252" s="9"/>
      <c r="CLC252" s="9"/>
      <c r="CLD252" s="9"/>
      <c r="CLE252" s="9"/>
      <c r="CLF252" s="9"/>
      <c r="CLG252" s="9"/>
      <c r="CLH252" s="9"/>
      <c r="CLI252" s="9"/>
      <c r="CLJ252" s="9"/>
      <c r="CLK252" s="9"/>
      <c r="CLL252" s="9"/>
      <c r="CLM252" s="9"/>
      <c r="CLN252" s="9"/>
      <c r="CLO252" s="9"/>
      <c r="CLP252" s="9"/>
      <c r="CLQ252" s="9"/>
      <c r="CLR252" s="9"/>
      <c r="CLS252" s="9"/>
      <c r="CLT252" s="9"/>
      <c r="CLU252" s="9"/>
      <c r="CLV252" s="9"/>
      <c r="CLW252" s="9"/>
      <c r="CLX252" s="9"/>
      <c r="CLY252" s="9"/>
      <c r="CLZ252" s="9"/>
      <c r="CMA252" s="9"/>
      <c r="CMB252" s="9"/>
      <c r="CMC252" s="9"/>
      <c r="CMD252" s="9"/>
      <c r="CME252" s="9"/>
      <c r="CMF252" s="9"/>
      <c r="CMG252" s="9"/>
      <c r="CMH252" s="9"/>
      <c r="CMI252" s="9"/>
      <c r="CMJ252" s="9"/>
      <c r="CMK252" s="9"/>
      <c r="CML252" s="9"/>
      <c r="CMM252" s="9"/>
      <c r="CMN252" s="9"/>
      <c r="CMO252" s="9"/>
      <c r="CMP252" s="9"/>
      <c r="CMQ252" s="9"/>
      <c r="CMR252" s="9"/>
      <c r="CMS252" s="9"/>
      <c r="CMT252" s="9"/>
      <c r="CMU252" s="9"/>
      <c r="CMV252" s="9"/>
      <c r="CMW252" s="9"/>
      <c r="CMX252" s="9"/>
      <c r="CMY252" s="9"/>
      <c r="CMZ252" s="9"/>
      <c r="CNA252" s="9"/>
      <c r="CNB252" s="9"/>
      <c r="CNC252" s="9"/>
      <c r="CND252" s="9"/>
      <c r="CNE252" s="9"/>
      <c r="CNF252" s="9"/>
      <c r="CNG252" s="9"/>
      <c r="CNH252" s="9"/>
      <c r="CNI252" s="9"/>
      <c r="CNJ252" s="9"/>
      <c r="CNK252" s="9"/>
      <c r="CNL252" s="9"/>
      <c r="CNM252" s="9"/>
      <c r="CNN252" s="9"/>
      <c r="CNO252" s="9"/>
      <c r="CNP252" s="9"/>
      <c r="CNQ252" s="9"/>
      <c r="CNR252" s="9"/>
      <c r="CNS252" s="9"/>
      <c r="CNT252" s="9"/>
      <c r="CNU252" s="9"/>
      <c r="CNV252" s="9"/>
      <c r="CNW252" s="9"/>
      <c r="CNX252" s="9"/>
      <c r="CNY252" s="9"/>
      <c r="CNZ252" s="9"/>
      <c r="COA252" s="9"/>
      <c r="COB252" s="9"/>
      <c r="COC252" s="9"/>
      <c r="COD252" s="9"/>
      <c r="COE252" s="9"/>
      <c r="COF252" s="9"/>
      <c r="COG252" s="9"/>
      <c r="COH252" s="9"/>
      <c r="COI252" s="9"/>
      <c r="COJ252" s="9"/>
      <c r="COK252" s="9"/>
      <c r="COL252" s="9"/>
      <c r="COM252" s="9"/>
      <c r="CON252" s="9"/>
      <c r="COO252" s="9"/>
      <c r="COP252" s="9"/>
      <c r="COQ252" s="9"/>
      <c r="COR252" s="9"/>
      <c r="COS252" s="9"/>
      <c r="COT252" s="9"/>
      <c r="COU252" s="9"/>
      <c r="COV252" s="9"/>
      <c r="COW252" s="9"/>
      <c r="COX252" s="9"/>
      <c r="COY252" s="9"/>
      <c r="COZ252" s="9"/>
      <c r="CPA252" s="9"/>
      <c r="CPB252" s="9"/>
      <c r="CPC252" s="9"/>
      <c r="CPD252" s="9"/>
      <c r="CPE252" s="9"/>
      <c r="CPF252" s="9"/>
      <c r="CPG252" s="9"/>
      <c r="CPH252" s="9"/>
      <c r="CPI252" s="9"/>
      <c r="CPJ252" s="9"/>
      <c r="CPK252" s="9"/>
      <c r="CPL252" s="9"/>
      <c r="CPM252" s="9"/>
      <c r="CPN252" s="9"/>
      <c r="CPO252" s="9"/>
      <c r="CPP252" s="9"/>
      <c r="CPQ252" s="9"/>
      <c r="CPR252" s="9"/>
      <c r="CPS252" s="9"/>
      <c r="CPT252" s="9"/>
      <c r="CPU252" s="9"/>
      <c r="CPV252" s="9"/>
      <c r="CPW252" s="9"/>
      <c r="CPX252" s="9"/>
      <c r="CPY252" s="9"/>
      <c r="CPZ252" s="9"/>
      <c r="CQA252" s="9"/>
      <c r="CQB252" s="9"/>
      <c r="CQC252" s="9"/>
      <c r="CQD252" s="9"/>
      <c r="CQE252" s="9"/>
      <c r="CQF252" s="9"/>
      <c r="CQG252" s="9"/>
      <c r="CQH252" s="9"/>
      <c r="CQI252" s="9"/>
      <c r="CQJ252" s="9"/>
      <c r="CQK252" s="9"/>
      <c r="CQL252" s="9"/>
      <c r="CQM252" s="9"/>
      <c r="CQN252" s="9"/>
      <c r="CQO252" s="9"/>
      <c r="CQP252" s="9"/>
      <c r="CQQ252" s="9"/>
      <c r="CQR252" s="9"/>
      <c r="CQS252" s="9"/>
      <c r="CQT252" s="9"/>
      <c r="CQU252" s="9"/>
      <c r="CQV252" s="9"/>
      <c r="CQW252" s="9"/>
      <c r="CQX252" s="9"/>
      <c r="CQY252" s="9"/>
      <c r="CQZ252" s="9"/>
      <c r="CRA252" s="9"/>
      <c r="CRB252" s="9"/>
      <c r="CRC252" s="9"/>
      <c r="CRD252" s="9"/>
      <c r="CRE252" s="9"/>
      <c r="CRF252" s="9"/>
      <c r="CRG252" s="9"/>
      <c r="CRH252" s="9"/>
      <c r="CRI252" s="9"/>
      <c r="CRJ252" s="9"/>
      <c r="CRK252" s="9"/>
      <c r="CRL252" s="9"/>
      <c r="CRM252" s="9"/>
      <c r="CRN252" s="9"/>
      <c r="CRO252" s="9"/>
      <c r="CRP252" s="9"/>
      <c r="CRQ252" s="9"/>
      <c r="CRR252" s="9"/>
      <c r="CRS252" s="9"/>
      <c r="CRT252" s="9"/>
      <c r="CRU252" s="9"/>
      <c r="CRV252" s="9"/>
      <c r="CRW252" s="9"/>
      <c r="CRX252" s="9"/>
      <c r="CRY252" s="9"/>
      <c r="CRZ252" s="9"/>
      <c r="CSA252" s="9"/>
      <c r="CSB252" s="9"/>
      <c r="CSC252" s="9"/>
      <c r="CSD252" s="9"/>
      <c r="CSE252" s="9"/>
      <c r="CSF252" s="9"/>
      <c r="CSG252" s="9"/>
      <c r="CSH252" s="9"/>
      <c r="CSI252" s="9"/>
      <c r="CSJ252" s="9"/>
      <c r="CSK252" s="9"/>
      <c r="CSL252" s="9"/>
      <c r="CSM252" s="9"/>
      <c r="CSN252" s="9"/>
      <c r="CSO252" s="9"/>
      <c r="CSP252" s="9"/>
      <c r="CSQ252" s="9"/>
      <c r="CSR252" s="9"/>
      <c r="CSS252" s="9"/>
      <c r="CST252" s="9"/>
      <c r="CSU252" s="9"/>
      <c r="CSV252" s="9"/>
      <c r="CSW252" s="9"/>
      <c r="CSX252" s="9"/>
      <c r="CSY252" s="9"/>
      <c r="CSZ252" s="9"/>
      <c r="CTA252" s="9"/>
      <c r="CTB252" s="9"/>
      <c r="CTC252" s="9"/>
      <c r="CTD252" s="9"/>
      <c r="CTE252" s="9"/>
      <c r="CTF252" s="9"/>
      <c r="CTG252" s="9"/>
      <c r="CTH252" s="9"/>
      <c r="CTI252" s="9"/>
      <c r="CTJ252" s="9"/>
      <c r="CTK252" s="9"/>
      <c r="CTL252" s="9"/>
      <c r="CTM252" s="9"/>
      <c r="CTN252" s="9"/>
      <c r="CTO252" s="9"/>
      <c r="CTP252" s="9"/>
      <c r="CTQ252" s="9"/>
      <c r="CTR252" s="9"/>
      <c r="CTS252" s="9"/>
      <c r="CTT252" s="9"/>
      <c r="CTU252" s="9"/>
      <c r="CTV252" s="9"/>
      <c r="CTW252" s="9"/>
      <c r="CTX252" s="9"/>
      <c r="CTY252" s="9"/>
      <c r="CTZ252" s="9"/>
      <c r="CUA252" s="9"/>
      <c r="CUB252" s="9"/>
      <c r="CUC252" s="9"/>
      <c r="CUD252" s="9"/>
      <c r="CUE252" s="9"/>
      <c r="CUF252" s="9"/>
      <c r="CUG252" s="9"/>
      <c r="CUH252" s="9"/>
      <c r="CUI252" s="9"/>
      <c r="CUJ252" s="9"/>
      <c r="CUK252" s="9"/>
      <c r="CUL252" s="9"/>
      <c r="CUM252" s="9"/>
      <c r="CUN252" s="9"/>
      <c r="CUO252" s="9"/>
      <c r="CUP252" s="9"/>
      <c r="CUQ252" s="9"/>
      <c r="CUR252" s="9"/>
      <c r="CUS252" s="9"/>
      <c r="CUT252" s="9"/>
      <c r="CUU252" s="9"/>
      <c r="CUV252" s="9"/>
      <c r="CUW252" s="9"/>
      <c r="CUX252" s="9"/>
      <c r="CUY252" s="9"/>
      <c r="CUZ252" s="9"/>
      <c r="CVA252" s="9"/>
      <c r="CVB252" s="9"/>
      <c r="CVC252" s="9"/>
      <c r="CVD252" s="9"/>
      <c r="CVE252" s="9"/>
      <c r="CVF252" s="9"/>
      <c r="CVG252" s="9"/>
      <c r="CVH252" s="9"/>
      <c r="CVI252" s="9"/>
      <c r="CVJ252" s="9"/>
      <c r="CVK252" s="9"/>
      <c r="CVL252" s="9"/>
      <c r="CVM252" s="9"/>
      <c r="CVN252" s="9"/>
      <c r="CVO252" s="9"/>
      <c r="CVP252" s="9"/>
      <c r="CVQ252" s="9"/>
      <c r="CVR252" s="9"/>
      <c r="CVS252" s="9"/>
      <c r="CVT252" s="9"/>
      <c r="CVU252" s="9"/>
      <c r="CVV252" s="9"/>
      <c r="CVW252" s="9"/>
      <c r="CVX252" s="9"/>
      <c r="CVY252" s="9"/>
      <c r="CVZ252" s="9"/>
      <c r="CWA252" s="9"/>
      <c r="CWB252" s="9"/>
      <c r="CWC252" s="9"/>
      <c r="CWD252" s="9"/>
      <c r="CWE252" s="9"/>
      <c r="CWF252" s="9"/>
      <c r="CWG252" s="9"/>
      <c r="CWH252" s="9"/>
      <c r="CWI252" s="9"/>
      <c r="CWJ252" s="9"/>
      <c r="CWK252" s="9"/>
      <c r="CWL252" s="9"/>
      <c r="CWM252" s="9"/>
      <c r="CWN252" s="9"/>
      <c r="CWO252" s="9"/>
      <c r="CWP252" s="9"/>
      <c r="CWQ252" s="9"/>
      <c r="CWR252" s="9"/>
      <c r="CWS252" s="9"/>
      <c r="CWT252" s="9"/>
      <c r="CWU252" s="9"/>
      <c r="CWV252" s="9"/>
      <c r="CWW252" s="9"/>
      <c r="CWX252" s="9"/>
      <c r="CWY252" s="9"/>
      <c r="CWZ252" s="9"/>
      <c r="CXA252" s="9"/>
      <c r="CXB252" s="9"/>
      <c r="CXC252" s="9"/>
      <c r="CXD252" s="9"/>
      <c r="CXE252" s="9"/>
      <c r="CXF252" s="9"/>
      <c r="CXG252" s="9"/>
      <c r="CXH252" s="9"/>
      <c r="CXI252" s="9"/>
      <c r="CXJ252" s="9"/>
      <c r="CXK252" s="9"/>
      <c r="CXL252" s="9"/>
      <c r="CXM252" s="9"/>
      <c r="CXN252" s="9"/>
      <c r="CXO252" s="9"/>
      <c r="CXP252" s="9"/>
      <c r="CXQ252" s="9"/>
      <c r="CXR252" s="9"/>
      <c r="CXS252" s="9"/>
      <c r="CXT252" s="9"/>
      <c r="CXU252" s="9"/>
      <c r="CXV252" s="9"/>
      <c r="CXW252" s="9"/>
      <c r="CXX252" s="9"/>
      <c r="CXY252" s="9"/>
      <c r="CXZ252" s="9"/>
      <c r="CYA252" s="9"/>
      <c r="CYB252" s="9"/>
      <c r="CYC252" s="9"/>
      <c r="CYD252" s="9"/>
      <c r="CYE252" s="9"/>
      <c r="CYF252" s="9"/>
      <c r="CYG252" s="9"/>
      <c r="CYH252" s="9"/>
      <c r="CYI252" s="9"/>
      <c r="CYJ252" s="9"/>
      <c r="CYK252" s="9"/>
      <c r="CYL252" s="9"/>
      <c r="CYM252" s="9"/>
      <c r="CYN252" s="9"/>
      <c r="CYO252" s="9"/>
      <c r="CYP252" s="9"/>
      <c r="CYQ252" s="9"/>
      <c r="CYR252" s="9"/>
      <c r="CYS252" s="9"/>
      <c r="CYT252" s="9"/>
      <c r="CYU252" s="9"/>
      <c r="CYV252" s="9"/>
      <c r="CYW252" s="9"/>
      <c r="CYX252" s="9"/>
      <c r="CYY252" s="9"/>
      <c r="CYZ252" s="9"/>
      <c r="CZA252" s="9"/>
      <c r="CZB252" s="9"/>
      <c r="CZC252" s="9"/>
      <c r="CZD252" s="9"/>
      <c r="CZE252" s="9"/>
      <c r="CZF252" s="9"/>
      <c r="CZG252" s="9"/>
      <c r="CZH252" s="9"/>
      <c r="CZI252" s="9"/>
      <c r="CZJ252" s="9"/>
      <c r="CZK252" s="9"/>
      <c r="CZL252" s="9"/>
      <c r="CZM252" s="9"/>
      <c r="CZN252" s="9"/>
      <c r="CZO252" s="9"/>
      <c r="CZP252" s="9"/>
      <c r="CZQ252" s="9"/>
      <c r="CZR252" s="9"/>
      <c r="CZS252" s="9"/>
      <c r="CZT252" s="9"/>
      <c r="CZU252" s="9"/>
      <c r="CZV252" s="9"/>
      <c r="CZW252" s="9"/>
      <c r="CZX252" s="9"/>
      <c r="CZY252" s="9"/>
      <c r="CZZ252" s="9"/>
      <c r="DAA252" s="9"/>
      <c r="DAB252" s="9"/>
      <c r="DAC252" s="9"/>
      <c r="DAD252" s="9"/>
      <c r="DAE252" s="9"/>
      <c r="DAF252" s="9"/>
      <c r="DAG252" s="9"/>
      <c r="DAH252" s="9"/>
      <c r="DAI252" s="9"/>
      <c r="DAJ252" s="9"/>
      <c r="DAK252" s="9"/>
      <c r="DAL252" s="9"/>
      <c r="DAM252" s="9"/>
      <c r="DAN252" s="9"/>
      <c r="DAO252" s="9"/>
      <c r="DAP252" s="9"/>
      <c r="DAQ252" s="9"/>
      <c r="DAR252" s="9"/>
      <c r="DAS252" s="9"/>
      <c r="DAT252" s="9"/>
      <c r="DAU252" s="9"/>
      <c r="DAV252" s="9"/>
      <c r="DAW252" s="9"/>
      <c r="DAX252" s="9"/>
      <c r="DAY252" s="9"/>
      <c r="DAZ252" s="9"/>
      <c r="DBA252" s="9"/>
      <c r="DBB252" s="9"/>
      <c r="DBC252" s="9"/>
      <c r="DBD252" s="9"/>
      <c r="DBE252" s="9"/>
      <c r="DBF252" s="9"/>
      <c r="DBG252" s="9"/>
      <c r="DBH252" s="9"/>
      <c r="DBI252" s="9"/>
      <c r="DBJ252" s="9"/>
      <c r="DBK252" s="9"/>
      <c r="DBL252" s="9"/>
      <c r="DBM252" s="9"/>
      <c r="DBN252" s="9"/>
      <c r="DBO252" s="9"/>
      <c r="DBP252" s="9"/>
      <c r="DBQ252" s="9"/>
      <c r="DBR252" s="9"/>
      <c r="DBS252" s="9"/>
      <c r="DBT252" s="9"/>
      <c r="DBU252" s="9"/>
      <c r="DBV252" s="9"/>
      <c r="DBW252" s="9"/>
      <c r="DBX252" s="9"/>
      <c r="DBY252" s="9"/>
      <c r="DBZ252" s="9"/>
      <c r="DCA252" s="9"/>
      <c r="DCB252" s="9"/>
      <c r="DCC252" s="9"/>
      <c r="DCD252" s="9"/>
      <c r="DCE252" s="9"/>
      <c r="DCF252" s="9"/>
      <c r="DCG252" s="9"/>
      <c r="DCH252" s="9"/>
      <c r="DCI252" s="9"/>
      <c r="DCJ252" s="9"/>
      <c r="DCK252" s="9"/>
      <c r="DCL252" s="9"/>
      <c r="DCM252" s="9"/>
      <c r="DCN252" s="9"/>
      <c r="DCO252" s="9"/>
      <c r="DCP252" s="9"/>
      <c r="DCQ252" s="9"/>
      <c r="DCR252" s="9"/>
      <c r="DCS252" s="9"/>
      <c r="DCT252" s="9"/>
      <c r="DCU252" s="9"/>
      <c r="DCV252" s="9"/>
      <c r="DCW252" s="9"/>
      <c r="DCX252" s="9"/>
      <c r="DCY252" s="9"/>
      <c r="DCZ252" s="9"/>
      <c r="DDA252" s="9"/>
      <c r="DDB252" s="9"/>
      <c r="DDC252" s="9"/>
      <c r="DDD252" s="9"/>
      <c r="DDE252" s="9"/>
      <c r="DDF252" s="9"/>
      <c r="DDG252" s="9"/>
      <c r="DDH252" s="9"/>
      <c r="DDI252" s="9"/>
      <c r="DDJ252" s="9"/>
      <c r="DDK252" s="9"/>
      <c r="DDL252" s="9"/>
      <c r="DDM252" s="9"/>
      <c r="DDN252" s="9"/>
      <c r="DDO252" s="9"/>
      <c r="DDP252" s="9"/>
      <c r="DDQ252" s="9"/>
      <c r="DDR252" s="9"/>
      <c r="DDS252" s="9"/>
      <c r="DDT252" s="9"/>
      <c r="DDU252" s="9"/>
      <c r="DDV252" s="9"/>
      <c r="DDW252" s="9"/>
      <c r="DDX252" s="9"/>
      <c r="DDY252" s="9"/>
      <c r="DDZ252" s="9"/>
      <c r="DEA252" s="9"/>
      <c r="DEB252" s="9"/>
      <c r="DEC252" s="9"/>
      <c r="DED252" s="9"/>
      <c r="DEE252" s="9"/>
      <c r="DEF252" s="9"/>
      <c r="DEG252" s="9"/>
      <c r="DEH252" s="9"/>
      <c r="DEI252" s="9"/>
      <c r="DEJ252" s="9"/>
      <c r="DEK252" s="9"/>
      <c r="DEL252" s="9"/>
      <c r="DEM252" s="9"/>
      <c r="DEN252" s="9"/>
      <c r="DEO252" s="9"/>
      <c r="DEP252" s="9"/>
      <c r="DEQ252" s="9"/>
      <c r="DER252" s="9"/>
      <c r="DES252" s="9"/>
      <c r="DET252" s="9"/>
      <c r="DEU252" s="9"/>
      <c r="DEV252" s="9"/>
      <c r="DEW252" s="9"/>
      <c r="DEX252" s="9"/>
      <c r="DEY252" s="9"/>
      <c r="DEZ252" s="9"/>
      <c r="DFA252" s="9"/>
      <c r="DFB252" s="9"/>
      <c r="DFC252" s="9"/>
      <c r="DFD252" s="9"/>
      <c r="DFE252" s="9"/>
      <c r="DFF252" s="9"/>
      <c r="DFG252" s="9"/>
      <c r="DFH252" s="9"/>
      <c r="DFI252" s="9"/>
      <c r="DFJ252" s="9"/>
      <c r="DFK252" s="9"/>
      <c r="DFL252" s="9"/>
      <c r="DFM252" s="9"/>
      <c r="DFN252" s="9"/>
      <c r="DFO252" s="9"/>
      <c r="DFP252" s="9"/>
      <c r="DFQ252" s="9"/>
      <c r="DFR252" s="9"/>
      <c r="DFS252" s="9"/>
      <c r="DFT252" s="9"/>
      <c r="DFU252" s="9"/>
      <c r="DFV252" s="9"/>
      <c r="DFW252" s="9"/>
      <c r="DFX252" s="9"/>
      <c r="DFY252" s="9"/>
      <c r="DFZ252" s="9"/>
      <c r="DGA252" s="9"/>
      <c r="DGB252" s="9"/>
      <c r="DGC252" s="9"/>
      <c r="DGD252" s="9"/>
      <c r="DGE252" s="9"/>
      <c r="DGF252" s="9"/>
      <c r="DGG252" s="9"/>
      <c r="DGH252" s="9"/>
      <c r="DGI252" s="9"/>
      <c r="DGJ252" s="9"/>
      <c r="DGK252" s="9"/>
      <c r="DGL252" s="9"/>
      <c r="DGM252" s="9"/>
      <c r="DGN252" s="9"/>
      <c r="DGO252" s="9"/>
      <c r="DGP252" s="9"/>
      <c r="DGQ252" s="9"/>
      <c r="DGR252" s="9"/>
      <c r="DGS252" s="9"/>
      <c r="DGT252" s="9"/>
      <c r="DGU252" s="9"/>
      <c r="DGV252" s="9"/>
      <c r="DGW252" s="9"/>
      <c r="DGX252" s="9"/>
      <c r="DGY252" s="9"/>
      <c r="DGZ252" s="9"/>
      <c r="DHA252" s="9"/>
      <c r="DHB252" s="9"/>
      <c r="DHC252" s="9"/>
      <c r="DHD252" s="9"/>
      <c r="DHE252" s="9"/>
      <c r="DHF252" s="9"/>
      <c r="DHG252" s="9"/>
      <c r="DHH252" s="9"/>
      <c r="DHI252" s="9"/>
      <c r="DHJ252" s="9"/>
      <c r="DHK252" s="9"/>
      <c r="DHL252" s="9"/>
      <c r="DHM252" s="9"/>
      <c r="DHN252" s="9"/>
      <c r="DHO252" s="9"/>
      <c r="DHP252" s="9"/>
      <c r="DHQ252" s="9"/>
      <c r="DHR252" s="9"/>
      <c r="DHS252" s="9"/>
      <c r="DHT252" s="9"/>
      <c r="DHU252" s="9"/>
      <c r="DHV252" s="9"/>
      <c r="DHW252" s="9"/>
      <c r="DHX252" s="9"/>
      <c r="DHY252" s="9"/>
      <c r="DHZ252" s="9"/>
      <c r="DIA252" s="9"/>
      <c r="DIB252" s="9"/>
      <c r="DIC252" s="9"/>
      <c r="DID252" s="9"/>
      <c r="DIE252" s="9"/>
      <c r="DIF252" s="9"/>
      <c r="DIG252" s="9"/>
      <c r="DIH252" s="9"/>
      <c r="DII252" s="9"/>
      <c r="DIJ252" s="9"/>
      <c r="DIK252" s="9"/>
      <c r="DIL252" s="9"/>
      <c r="DIM252" s="9"/>
      <c r="DIN252" s="9"/>
      <c r="DIO252" s="9"/>
      <c r="DIP252" s="9"/>
      <c r="DIQ252" s="9"/>
      <c r="DIR252" s="9"/>
      <c r="DIS252" s="9"/>
      <c r="DIT252" s="9"/>
      <c r="DIU252" s="9"/>
      <c r="DIV252" s="9"/>
      <c r="DIW252" s="9"/>
      <c r="DIX252" s="9"/>
      <c r="DIY252" s="9"/>
      <c r="DIZ252" s="9"/>
      <c r="DJA252" s="9"/>
      <c r="DJB252" s="9"/>
      <c r="DJC252" s="9"/>
      <c r="DJD252" s="9"/>
      <c r="DJE252" s="9"/>
      <c r="DJF252" s="9"/>
      <c r="DJG252" s="9"/>
      <c r="DJH252" s="9"/>
      <c r="DJI252" s="9"/>
      <c r="DJJ252" s="9"/>
      <c r="DJK252" s="9"/>
      <c r="DJL252" s="9"/>
      <c r="DJM252" s="9"/>
      <c r="DJN252" s="9"/>
      <c r="DJO252" s="9"/>
      <c r="DJP252" s="9"/>
      <c r="DJQ252" s="9"/>
      <c r="DJR252" s="9"/>
      <c r="DJS252" s="9"/>
      <c r="DJT252" s="9"/>
      <c r="DJU252" s="9"/>
      <c r="DJV252" s="9"/>
      <c r="DJW252" s="9"/>
      <c r="DJX252" s="9"/>
      <c r="DJY252" s="9"/>
      <c r="DJZ252" s="9"/>
      <c r="DKA252" s="9"/>
      <c r="DKB252" s="9"/>
      <c r="DKC252" s="9"/>
      <c r="DKD252" s="9"/>
      <c r="DKE252" s="9"/>
      <c r="DKF252" s="9"/>
      <c r="DKG252" s="9"/>
      <c r="DKH252" s="9"/>
      <c r="DKI252" s="9"/>
      <c r="DKJ252" s="9"/>
      <c r="DKK252" s="9"/>
      <c r="DKL252" s="9"/>
      <c r="DKM252" s="9"/>
      <c r="DKN252" s="9"/>
      <c r="DKO252" s="9"/>
      <c r="DKP252" s="9"/>
      <c r="DKQ252" s="9"/>
      <c r="DKR252" s="9"/>
      <c r="DKS252" s="9"/>
      <c r="DKT252" s="9"/>
      <c r="DKU252" s="9"/>
      <c r="DKV252" s="9"/>
      <c r="DKW252" s="9"/>
      <c r="DKX252" s="9"/>
      <c r="DKY252" s="9"/>
      <c r="DKZ252" s="9"/>
      <c r="DLA252" s="9"/>
      <c r="DLB252" s="9"/>
      <c r="DLC252" s="9"/>
      <c r="DLD252" s="9"/>
      <c r="DLE252" s="9"/>
      <c r="DLF252" s="9"/>
      <c r="DLG252" s="9"/>
      <c r="DLH252" s="9"/>
      <c r="DLI252" s="9"/>
      <c r="DLJ252" s="9"/>
      <c r="DLK252" s="9"/>
      <c r="DLL252" s="9"/>
      <c r="DLM252" s="9"/>
      <c r="DLN252" s="9"/>
      <c r="DLO252" s="9"/>
      <c r="DLP252" s="9"/>
      <c r="DLQ252" s="9"/>
      <c r="DLR252" s="9"/>
      <c r="DLS252" s="9"/>
      <c r="DLT252" s="9"/>
      <c r="DLU252" s="9"/>
      <c r="DLV252" s="9"/>
      <c r="DLW252" s="9"/>
      <c r="DLX252" s="9"/>
      <c r="DLY252" s="9"/>
      <c r="DLZ252" s="9"/>
      <c r="DMA252" s="9"/>
      <c r="DMB252" s="9"/>
      <c r="DMC252" s="9"/>
      <c r="DMD252" s="9"/>
      <c r="DME252" s="9"/>
      <c r="DMF252" s="9"/>
      <c r="DMG252" s="9"/>
      <c r="DMH252" s="9"/>
      <c r="DMI252" s="9"/>
      <c r="DMJ252" s="9"/>
      <c r="DMK252" s="9"/>
      <c r="DML252" s="9"/>
      <c r="DMM252" s="9"/>
      <c r="DMN252" s="9"/>
      <c r="DMO252" s="9"/>
      <c r="DMP252" s="9"/>
      <c r="DMQ252" s="9"/>
      <c r="DMR252" s="9"/>
      <c r="DMS252" s="9"/>
      <c r="DMT252" s="9"/>
      <c r="DMU252" s="9"/>
      <c r="DMV252" s="9"/>
      <c r="DMW252" s="9"/>
      <c r="DMX252" s="9"/>
      <c r="DMY252" s="9"/>
      <c r="DMZ252" s="9"/>
      <c r="DNA252" s="9"/>
      <c r="DNB252" s="9"/>
      <c r="DNC252" s="9"/>
      <c r="DND252" s="9"/>
      <c r="DNE252" s="9"/>
      <c r="DNF252" s="9"/>
      <c r="DNG252" s="9"/>
      <c r="DNH252" s="9"/>
      <c r="DNI252" s="9"/>
      <c r="DNJ252" s="9"/>
      <c r="DNK252" s="9"/>
      <c r="DNL252" s="9"/>
      <c r="DNM252" s="9"/>
      <c r="DNN252" s="9"/>
      <c r="DNO252" s="9"/>
      <c r="DNP252" s="9"/>
      <c r="DNQ252" s="9"/>
      <c r="DNR252" s="9"/>
      <c r="DNS252" s="9"/>
      <c r="DNT252" s="9"/>
      <c r="DNU252" s="9"/>
      <c r="DNV252" s="9"/>
      <c r="DNW252" s="9"/>
      <c r="DNX252" s="9"/>
      <c r="DNY252" s="9"/>
      <c r="DNZ252" s="9"/>
      <c r="DOA252" s="9"/>
      <c r="DOB252" s="9"/>
      <c r="DOC252" s="9"/>
      <c r="DOD252" s="9"/>
      <c r="DOE252" s="9"/>
      <c r="DOF252" s="9"/>
      <c r="DOG252" s="9"/>
      <c r="DOH252" s="9"/>
      <c r="DOI252" s="9"/>
      <c r="DOJ252" s="9"/>
      <c r="DOK252" s="9"/>
      <c r="DOL252" s="9"/>
      <c r="DOM252" s="9"/>
      <c r="DON252" s="9"/>
      <c r="DOO252" s="9"/>
      <c r="DOP252" s="9"/>
      <c r="DOQ252" s="9"/>
      <c r="DOR252" s="9"/>
      <c r="DOS252" s="9"/>
      <c r="DOT252" s="9"/>
      <c r="DOU252" s="9"/>
      <c r="DOV252" s="9"/>
      <c r="DOW252" s="9"/>
      <c r="DOX252" s="9"/>
      <c r="DOY252" s="9"/>
      <c r="DOZ252" s="9"/>
      <c r="DPA252" s="9"/>
      <c r="DPB252" s="9"/>
      <c r="DPC252" s="9"/>
      <c r="DPD252" s="9"/>
      <c r="DPE252" s="9"/>
      <c r="DPF252" s="9"/>
      <c r="DPG252" s="9"/>
      <c r="DPH252" s="9"/>
      <c r="DPI252" s="9"/>
      <c r="DPJ252" s="9"/>
      <c r="DPK252" s="9"/>
      <c r="DPL252" s="9"/>
      <c r="DPM252" s="9"/>
      <c r="DPN252" s="9"/>
      <c r="DPO252" s="9"/>
      <c r="DPP252" s="9"/>
      <c r="DPQ252" s="9"/>
      <c r="DPR252" s="9"/>
      <c r="DPS252" s="9"/>
      <c r="DPT252" s="9"/>
      <c r="DPU252" s="9"/>
      <c r="DPV252" s="9"/>
      <c r="DPW252" s="9"/>
      <c r="DPX252" s="9"/>
      <c r="DPY252" s="9"/>
      <c r="DPZ252" s="9"/>
      <c r="DQA252" s="9"/>
      <c r="DQB252" s="9"/>
      <c r="DQC252" s="9"/>
      <c r="DQD252" s="9"/>
      <c r="DQE252" s="9"/>
      <c r="DQF252" s="9"/>
      <c r="DQG252" s="9"/>
      <c r="DQH252" s="9"/>
      <c r="DQI252" s="9"/>
      <c r="DQJ252" s="9"/>
      <c r="DQK252" s="9"/>
      <c r="DQL252" s="9"/>
      <c r="DQM252" s="9"/>
      <c r="DQN252" s="9"/>
      <c r="DQO252" s="9"/>
      <c r="DQP252" s="9"/>
      <c r="DQQ252" s="9"/>
      <c r="DQR252" s="9"/>
      <c r="DQS252" s="9"/>
      <c r="DQT252" s="9"/>
      <c r="DQU252" s="9"/>
      <c r="DQV252" s="9"/>
      <c r="DQW252" s="9"/>
      <c r="DQX252" s="9"/>
      <c r="DQY252" s="9"/>
      <c r="DQZ252" s="9"/>
      <c r="DRA252" s="9"/>
      <c r="DRB252" s="9"/>
      <c r="DRC252" s="9"/>
      <c r="DRD252" s="9"/>
      <c r="DRE252" s="9"/>
      <c r="DRF252" s="9"/>
      <c r="DRG252" s="9"/>
      <c r="DRH252" s="9"/>
      <c r="DRI252" s="9"/>
      <c r="DRJ252" s="9"/>
      <c r="DRK252" s="9"/>
      <c r="DRL252" s="9"/>
      <c r="DRM252" s="9"/>
      <c r="DRN252" s="9"/>
      <c r="DRO252" s="9"/>
      <c r="DRP252" s="9"/>
      <c r="DRQ252" s="9"/>
      <c r="DRR252" s="9"/>
      <c r="DRS252" s="9"/>
      <c r="DRT252" s="9"/>
      <c r="DRU252" s="9"/>
      <c r="DRV252" s="9"/>
      <c r="DRW252" s="9"/>
      <c r="DRX252" s="9"/>
      <c r="DRY252" s="9"/>
      <c r="DRZ252" s="9"/>
      <c r="DSA252" s="9"/>
      <c r="DSB252" s="9"/>
      <c r="DSC252" s="9"/>
      <c r="DSD252" s="9"/>
      <c r="DSE252" s="9"/>
      <c r="DSF252" s="9"/>
      <c r="DSG252" s="9"/>
      <c r="DSH252" s="9"/>
      <c r="DSI252" s="9"/>
      <c r="DSJ252" s="9"/>
      <c r="DSK252" s="9"/>
      <c r="DSL252" s="9"/>
      <c r="DSM252" s="9"/>
      <c r="DSN252" s="9"/>
      <c r="DSO252" s="9"/>
      <c r="DSP252" s="9"/>
      <c r="DSQ252" s="9"/>
      <c r="DSR252" s="9"/>
      <c r="DSS252" s="9"/>
      <c r="DST252" s="9"/>
      <c r="DSU252" s="9"/>
      <c r="DSV252" s="9"/>
      <c r="DSW252" s="9"/>
      <c r="DSX252" s="9"/>
      <c r="DSY252" s="9"/>
      <c r="DSZ252" s="9"/>
      <c r="DTA252" s="9"/>
      <c r="DTB252" s="9"/>
      <c r="DTC252" s="9"/>
      <c r="DTD252" s="9"/>
      <c r="DTE252" s="9"/>
      <c r="DTF252" s="9"/>
      <c r="DTG252" s="9"/>
      <c r="DTH252" s="9"/>
      <c r="DTI252" s="9"/>
      <c r="DTJ252" s="9"/>
      <c r="DTK252" s="9"/>
      <c r="DTL252" s="9"/>
      <c r="DTM252" s="9"/>
      <c r="DTN252" s="9"/>
      <c r="DTO252" s="9"/>
      <c r="DTP252" s="9"/>
      <c r="DTQ252" s="9"/>
      <c r="DTR252" s="9"/>
      <c r="DTS252" s="9"/>
      <c r="DTT252" s="9"/>
      <c r="DTU252" s="9"/>
      <c r="DTV252" s="9"/>
      <c r="DTW252" s="9"/>
      <c r="DTX252" s="9"/>
      <c r="DTY252" s="9"/>
      <c r="DTZ252" s="9"/>
      <c r="DUA252" s="9"/>
      <c r="DUB252" s="9"/>
      <c r="DUC252" s="9"/>
      <c r="DUD252" s="9"/>
      <c r="DUE252" s="9"/>
      <c r="DUF252" s="9"/>
      <c r="DUG252" s="9"/>
      <c r="DUH252" s="9"/>
      <c r="DUI252" s="9"/>
      <c r="DUJ252" s="9"/>
      <c r="DUK252" s="9"/>
      <c r="DUL252" s="9"/>
      <c r="DUM252" s="9"/>
      <c r="DUN252" s="9"/>
      <c r="DUO252" s="9"/>
      <c r="DUP252" s="9"/>
      <c r="DUQ252" s="9"/>
      <c r="DUR252" s="9"/>
      <c r="DUS252" s="9"/>
      <c r="DUT252" s="9"/>
      <c r="DUU252" s="9"/>
      <c r="DUV252" s="9"/>
      <c r="DUW252" s="9"/>
      <c r="DUX252" s="9"/>
      <c r="DUY252" s="9"/>
      <c r="DUZ252" s="9"/>
      <c r="DVA252" s="9"/>
      <c r="DVB252" s="9"/>
      <c r="DVC252" s="9"/>
      <c r="DVD252" s="9"/>
      <c r="DVE252" s="9"/>
      <c r="DVF252" s="9"/>
      <c r="DVG252" s="9"/>
      <c r="DVH252" s="9"/>
      <c r="DVI252" s="9"/>
      <c r="DVJ252" s="9"/>
      <c r="DVK252" s="9"/>
      <c r="DVL252" s="9"/>
      <c r="DVM252" s="9"/>
      <c r="DVN252" s="9"/>
      <c r="DVO252" s="9"/>
      <c r="DVP252" s="9"/>
      <c r="DVQ252" s="9"/>
      <c r="DVR252" s="9"/>
      <c r="DVS252" s="9"/>
      <c r="DVT252" s="9"/>
      <c r="DVU252" s="9"/>
      <c r="DVV252" s="9"/>
      <c r="DVW252" s="9"/>
      <c r="DVX252" s="9"/>
      <c r="DVY252" s="9"/>
      <c r="DVZ252" s="9"/>
      <c r="DWA252" s="9"/>
      <c r="DWB252" s="9"/>
      <c r="DWC252" s="9"/>
      <c r="DWD252" s="9"/>
      <c r="DWE252" s="9"/>
      <c r="DWF252" s="9"/>
      <c r="DWG252" s="9"/>
      <c r="DWH252" s="9"/>
      <c r="DWI252" s="9"/>
      <c r="DWJ252" s="9"/>
      <c r="DWK252" s="9"/>
      <c r="DWL252" s="9"/>
      <c r="DWM252" s="9"/>
      <c r="DWN252" s="9"/>
      <c r="DWO252" s="9"/>
      <c r="DWP252" s="9"/>
      <c r="DWQ252" s="9"/>
      <c r="DWR252" s="9"/>
      <c r="DWS252" s="9"/>
      <c r="DWT252" s="9"/>
      <c r="DWU252" s="9"/>
      <c r="DWV252" s="9"/>
      <c r="DWW252" s="9"/>
      <c r="DWX252" s="9"/>
      <c r="DWY252" s="9"/>
      <c r="DWZ252" s="9"/>
      <c r="DXA252" s="9"/>
      <c r="DXB252" s="9"/>
      <c r="DXC252" s="9"/>
      <c r="DXD252" s="9"/>
      <c r="DXE252" s="9"/>
      <c r="DXF252" s="9"/>
      <c r="DXG252" s="9"/>
      <c r="DXH252" s="9"/>
      <c r="DXI252" s="9"/>
      <c r="DXJ252" s="9"/>
      <c r="DXK252" s="9"/>
      <c r="DXL252" s="9"/>
      <c r="DXM252" s="9"/>
      <c r="DXN252" s="9"/>
      <c r="DXO252" s="9"/>
      <c r="DXP252" s="9"/>
      <c r="DXQ252" s="9"/>
      <c r="DXR252" s="9"/>
      <c r="DXS252" s="9"/>
      <c r="DXT252" s="9"/>
      <c r="DXU252" s="9"/>
      <c r="DXV252" s="9"/>
      <c r="DXW252" s="9"/>
      <c r="DXX252" s="9"/>
      <c r="DXY252" s="9"/>
      <c r="DXZ252" s="9"/>
      <c r="DYA252" s="9"/>
      <c r="DYB252" s="9"/>
      <c r="DYC252" s="9"/>
      <c r="DYD252" s="9"/>
      <c r="DYE252" s="9"/>
      <c r="DYF252" s="9"/>
      <c r="DYG252" s="9"/>
      <c r="DYH252" s="9"/>
      <c r="DYI252" s="9"/>
      <c r="DYJ252" s="9"/>
      <c r="DYK252" s="9"/>
      <c r="DYL252" s="9"/>
      <c r="DYM252" s="9"/>
      <c r="DYN252" s="9"/>
      <c r="DYO252" s="9"/>
      <c r="DYP252" s="9"/>
      <c r="DYQ252" s="9"/>
      <c r="DYR252" s="9"/>
      <c r="DYS252" s="9"/>
      <c r="DYT252" s="9"/>
      <c r="DYU252" s="9"/>
      <c r="DYV252" s="9"/>
      <c r="DYW252" s="9"/>
      <c r="DYX252" s="9"/>
      <c r="DYY252" s="9"/>
      <c r="DYZ252" s="9"/>
      <c r="DZA252" s="9"/>
      <c r="DZB252" s="9"/>
      <c r="DZC252" s="9"/>
      <c r="DZD252" s="9"/>
      <c r="DZE252" s="9"/>
      <c r="DZF252" s="9"/>
      <c r="DZG252" s="9"/>
      <c r="DZH252" s="9"/>
      <c r="DZI252" s="9"/>
      <c r="DZJ252" s="9"/>
      <c r="DZK252" s="9"/>
      <c r="DZL252" s="9"/>
      <c r="DZM252" s="9"/>
      <c r="DZN252" s="9"/>
      <c r="DZO252" s="9"/>
      <c r="DZP252" s="9"/>
      <c r="DZQ252" s="9"/>
      <c r="DZR252" s="9"/>
      <c r="DZS252" s="9"/>
      <c r="DZT252" s="9"/>
      <c r="DZU252" s="9"/>
      <c r="DZV252" s="9"/>
      <c r="DZW252" s="9"/>
      <c r="DZX252" s="9"/>
      <c r="DZY252" s="9"/>
      <c r="DZZ252" s="9"/>
      <c r="EAA252" s="9"/>
      <c r="EAB252" s="9"/>
      <c r="EAC252" s="9"/>
      <c r="EAD252" s="9"/>
      <c r="EAE252" s="9"/>
      <c r="EAF252" s="9"/>
      <c r="EAG252" s="9"/>
      <c r="EAH252" s="9"/>
      <c r="EAI252" s="9"/>
      <c r="EAJ252" s="9"/>
      <c r="EAK252" s="9"/>
      <c r="EAL252" s="9"/>
      <c r="EAM252" s="9"/>
      <c r="EAN252" s="9"/>
      <c r="EAO252" s="9"/>
      <c r="EAP252" s="9"/>
      <c r="EAQ252" s="9"/>
      <c r="EAR252" s="9"/>
      <c r="EAS252" s="9"/>
      <c r="EAT252" s="9"/>
      <c r="EAU252" s="9"/>
      <c r="EAV252" s="9"/>
      <c r="EAW252" s="9"/>
      <c r="EAX252" s="9"/>
      <c r="EAY252" s="9"/>
      <c r="EAZ252" s="9"/>
      <c r="EBA252" s="9"/>
      <c r="EBB252" s="9"/>
      <c r="EBC252" s="9"/>
      <c r="EBD252" s="9"/>
      <c r="EBE252" s="9"/>
      <c r="EBF252" s="9"/>
      <c r="EBG252" s="9"/>
      <c r="EBH252" s="9"/>
      <c r="EBI252" s="9"/>
      <c r="EBJ252" s="9"/>
      <c r="EBK252" s="9"/>
      <c r="EBL252" s="9"/>
      <c r="EBM252" s="9"/>
      <c r="EBN252" s="9"/>
      <c r="EBO252" s="9"/>
      <c r="EBP252" s="9"/>
      <c r="EBQ252" s="9"/>
      <c r="EBR252" s="9"/>
      <c r="EBS252" s="9"/>
      <c r="EBT252" s="9"/>
      <c r="EBU252" s="9"/>
      <c r="EBV252" s="9"/>
      <c r="EBW252" s="9"/>
      <c r="EBX252" s="9"/>
      <c r="EBY252" s="9"/>
      <c r="EBZ252" s="9"/>
      <c r="ECA252" s="9"/>
      <c r="ECB252" s="9"/>
      <c r="ECC252" s="9"/>
      <c r="ECD252" s="9"/>
      <c r="ECE252" s="9"/>
      <c r="ECF252" s="9"/>
      <c r="ECG252" s="9"/>
      <c r="ECH252" s="9"/>
      <c r="ECI252" s="9"/>
      <c r="ECJ252" s="9"/>
      <c r="ECK252" s="9"/>
      <c r="ECL252" s="9"/>
      <c r="ECM252" s="9"/>
      <c r="ECN252" s="9"/>
      <c r="ECO252" s="9"/>
      <c r="ECP252" s="9"/>
      <c r="ECQ252" s="9"/>
      <c r="ECR252" s="9"/>
      <c r="ECS252" s="9"/>
      <c r="ECT252" s="9"/>
      <c r="ECU252" s="9"/>
      <c r="ECV252" s="9"/>
      <c r="ECW252" s="9"/>
      <c r="ECX252" s="9"/>
      <c r="ECY252" s="9"/>
      <c r="ECZ252" s="9"/>
      <c r="EDA252" s="9"/>
      <c r="EDB252" s="9"/>
      <c r="EDC252" s="9"/>
      <c r="EDD252" s="9"/>
      <c r="EDE252" s="9"/>
      <c r="EDF252" s="9"/>
      <c r="EDG252" s="9"/>
      <c r="EDH252" s="9"/>
      <c r="EDI252" s="9"/>
      <c r="EDJ252" s="9"/>
      <c r="EDK252" s="9"/>
      <c r="EDL252" s="9"/>
      <c r="EDM252" s="9"/>
      <c r="EDN252" s="9"/>
      <c r="EDO252" s="9"/>
      <c r="EDP252" s="9"/>
      <c r="EDQ252" s="9"/>
      <c r="EDR252" s="9"/>
      <c r="EDS252" s="9"/>
      <c r="EDT252" s="9"/>
      <c r="EDU252" s="9"/>
      <c r="EDV252" s="9"/>
      <c r="EDW252" s="9"/>
      <c r="EDX252" s="9"/>
      <c r="EDY252" s="9"/>
      <c r="EDZ252" s="9"/>
      <c r="EEA252" s="9"/>
      <c r="EEB252" s="9"/>
      <c r="EEC252" s="9"/>
      <c r="EED252" s="9"/>
      <c r="EEE252" s="9"/>
      <c r="EEF252" s="9"/>
      <c r="EEG252" s="9"/>
      <c r="EEH252" s="9"/>
      <c r="EEI252" s="9"/>
      <c r="EEJ252" s="9"/>
      <c r="EEK252" s="9"/>
      <c r="EEL252" s="9"/>
      <c r="EEM252" s="9"/>
      <c r="EEN252" s="9"/>
      <c r="EEO252" s="9"/>
      <c r="EEP252" s="9"/>
      <c r="EEQ252" s="9"/>
      <c r="EER252" s="9"/>
      <c r="EES252" s="9"/>
      <c r="EET252" s="9"/>
      <c r="EEU252" s="9"/>
      <c r="EEV252" s="9"/>
      <c r="EEW252" s="9"/>
      <c r="EEX252" s="9"/>
      <c r="EEY252" s="9"/>
      <c r="EEZ252" s="9"/>
      <c r="EFA252" s="9"/>
      <c r="EFB252" s="9"/>
      <c r="EFC252" s="9"/>
      <c r="EFD252" s="9"/>
      <c r="EFE252" s="9"/>
      <c r="EFF252" s="9"/>
      <c r="EFG252" s="9"/>
      <c r="EFH252" s="9"/>
      <c r="EFI252" s="9"/>
      <c r="EFJ252" s="9"/>
      <c r="EFK252" s="9"/>
      <c r="EFL252" s="9"/>
      <c r="EFM252" s="9"/>
      <c r="EFN252" s="9"/>
      <c r="EFO252" s="9"/>
      <c r="EFP252" s="9"/>
      <c r="EFQ252" s="9"/>
      <c r="EFR252" s="9"/>
      <c r="EFS252" s="9"/>
      <c r="EFT252" s="9"/>
      <c r="EFU252" s="9"/>
      <c r="EFV252" s="9"/>
      <c r="EFW252" s="9"/>
      <c r="EFX252" s="9"/>
      <c r="EFY252" s="9"/>
      <c r="EFZ252" s="9"/>
      <c r="EGA252" s="9"/>
      <c r="EGB252" s="9"/>
      <c r="EGC252" s="9"/>
      <c r="EGD252" s="9"/>
      <c r="EGE252" s="9"/>
      <c r="EGF252" s="9"/>
      <c r="EGG252" s="9"/>
      <c r="EGH252" s="9"/>
      <c r="EGI252" s="9"/>
      <c r="EGJ252" s="9"/>
      <c r="EGK252" s="9"/>
      <c r="EGL252" s="9"/>
      <c r="EGM252" s="9"/>
      <c r="EGN252" s="9"/>
      <c r="EGO252" s="9"/>
      <c r="EGP252" s="9"/>
      <c r="EGQ252" s="9"/>
      <c r="EGR252" s="9"/>
      <c r="EGS252" s="9"/>
      <c r="EGT252" s="9"/>
      <c r="EGU252" s="9"/>
      <c r="EGV252" s="9"/>
      <c r="EGW252" s="9"/>
      <c r="EGX252" s="9"/>
      <c r="EGY252" s="9"/>
      <c r="EGZ252" s="9"/>
      <c r="EHA252" s="9"/>
      <c r="EHB252" s="9"/>
      <c r="EHC252" s="9"/>
      <c r="EHD252" s="9"/>
      <c r="EHE252" s="9"/>
      <c r="EHF252" s="9"/>
      <c r="EHG252" s="9"/>
      <c r="EHH252" s="9"/>
      <c r="EHI252" s="9"/>
      <c r="EHJ252" s="9"/>
      <c r="EHK252" s="9"/>
      <c r="EHL252" s="9"/>
      <c r="EHM252" s="9"/>
      <c r="EHN252" s="9"/>
      <c r="EHO252" s="9"/>
      <c r="EHP252" s="9"/>
      <c r="EHQ252" s="9"/>
      <c r="EHR252" s="9"/>
      <c r="EHS252" s="9"/>
      <c r="EHT252" s="9"/>
      <c r="EHU252" s="9"/>
      <c r="EHV252" s="9"/>
      <c r="EHW252" s="9"/>
      <c r="EHX252" s="9"/>
      <c r="EHY252" s="9"/>
      <c r="EHZ252" s="9"/>
      <c r="EIA252" s="9"/>
      <c r="EIB252" s="9"/>
      <c r="EIC252" s="9"/>
      <c r="EID252" s="9"/>
      <c r="EIE252" s="9"/>
      <c r="EIF252" s="9"/>
      <c r="EIG252" s="9"/>
      <c r="EIH252" s="9"/>
      <c r="EII252" s="9"/>
      <c r="EIJ252" s="9"/>
      <c r="EIK252" s="9"/>
      <c r="EIL252" s="9"/>
      <c r="EIM252" s="9"/>
      <c r="EIN252" s="9"/>
      <c r="EIO252" s="9"/>
      <c r="EIP252" s="9"/>
      <c r="EIQ252" s="9"/>
      <c r="EIR252" s="9"/>
      <c r="EIS252" s="9"/>
      <c r="EIT252" s="9"/>
      <c r="EIU252" s="9"/>
      <c r="EIV252" s="9"/>
      <c r="EIW252" s="9"/>
      <c r="EIX252" s="9"/>
      <c r="EIY252" s="9"/>
      <c r="EIZ252" s="9"/>
      <c r="EJA252" s="9"/>
      <c r="EJB252" s="9"/>
      <c r="EJC252" s="9"/>
      <c r="EJD252" s="9"/>
      <c r="EJE252" s="9"/>
      <c r="EJF252" s="9"/>
      <c r="EJG252" s="9"/>
      <c r="EJH252" s="9"/>
      <c r="EJI252" s="9"/>
      <c r="EJJ252" s="9"/>
      <c r="EJK252" s="9"/>
      <c r="EJL252" s="9"/>
      <c r="EJM252" s="9"/>
      <c r="EJN252" s="9"/>
      <c r="EJO252" s="9"/>
      <c r="EJP252" s="9"/>
      <c r="EJQ252" s="9"/>
      <c r="EJR252" s="9"/>
      <c r="EJS252" s="9"/>
      <c r="EJT252" s="9"/>
      <c r="EJU252" s="9"/>
      <c r="EJV252" s="9"/>
      <c r="EJW252" s="9"/>
      <c r="EJX252" s="9"/>
      <c r="EJY252" s="9"/>
      <c r="EJZ252" s="9"/>
      <c r="EKA252" s="9"/>
      <c r="EKB252" s="9"/>
      <c r="EKC252" s="9"/>
      <c r="EKD252" s="9"/>
      <c r="EKE252" s="9"/>
      <c r="EKF252" s="9"/>
      <c r="EKG252" s="9"/>
      <c r="EKH252" s="9"/>
      <c r="EKI252" s="9"/>
      <c r="EKJ252" s="9"/>
      <c r="EKK252" s="9"/>
      <c r="EKL252" s="9"/>
      <c r="EKM252" s="9"/>
      <c r="EKN252" s="9"/>
      <c r="EKO252" s="9"/>
      <c r="EKP252" s="9"/>
      <c r="EKQ252" s="9"/>
      <c r="EKR252" s="9"/>
      <c r="EKS252" s="9"/>
      <c r="EKT252" s="9"/>
      <c r="EKU252" s="9"/>
      <c r="EKV252" s="9"/>
      <c r="EKW252" s="9"/>
      <c r="EKX252" s="9"/>
      <c r="EKY252" s="9"/>
      <c r="EKZ252" s="9"/>
      <c r="ELA252" s="9"/>
      <c r="ELB252" s="9"/>
      <c r="ELC252" s="9"/>
      <c r="ELD252" s="9"/>
      <c r="ELE252" s="9"/>
      <c r="ELF252" s="9"/>
      <c r="ELG252" s="9"/>
      <c r="ELH252" s="9"/>
      <c r="ELI252" s="9"/>
      <c r="ELJ252" s="9"/>
      <c r="ELK252" s="9"/>
      <c r="ELL252" s="9"/>
      <c r="ELM252" s="9"/>
      <c r="ELN252" s="9"/>
      <c r="ELO252" s="9"/>
      <c r="ELP252" s="9"/>
      <c r="ELQ252" s="9"/>
      <c r="ELR252" s="9"/>
      <c r="ELS252" s="9"/>
      <c r="ELT252" s="9"/>
      <c r="ELU252" s="9"/>
      <c r="ELV252" s="9"/>
      <c r="ELW252" s="9"/>
      <c r="ELX252" s="9"/>
      <c r="ELY252" s="9"/>
      <c r="ELZ252" s="9"/>
      <c r="EMA252" s="9"/>
      <c r="EMB252" s="9"/>
      <c r="EMC252" s="9"/>
      <c r="EMD252" s="9"/>
      <c r="EME252" s="9"/>
      <c r="EMF252" s="9"/>
      <c r="EMG252" s="9"/>
      <c r="EMH252" s="9"/>
      <c r="EMI252" s="9"/>
      <c r="EMJ252" s="9"/>
      <c r="EMK252" s="9"/>
      <c r="EML252" s="9"/>
      <c r="EMM252" s="9"/>
      <c r="EMN252" s="9"/>
      <c r="EMO252" s="9"/>
      <c r="EMP252" s="9"/>
      <c r="EMQ252" s="9"/>
      <c r="EMR252" s="9"/>
      <c r="EMS252" s="9"/>
      <c r="EMT252" s="9"/>
      <c r="EMU252" s="9"/>
      <c r="EMV252" s="9"/>
      <c r="EMW252" s="9"/>
      <c r="EMX252" s="9"/>
      <c r="EMY252" s="9"/>
      <c r="EMZ252" s="9"/>
      <c r="ENA252" s="9"/>
      <c r="ENB252" s="9"/>
      <c r="ENC252" s="9"/>
      <c r="END252" s="9"/>
      <c r="ENE252" s="9"/>
      <c r="ENF252" s="9"/>
      <c r="ENG252" s="9"/>
      <c r="ENH252" s="9"/>
      <c r="ENI252" s="9"/>
      <c r="ENJ252" s="9"/>
      <c r="ENK252" s="9"/>
      <c r="ENL252" s="9"/>
      <c r="ENM252" s="9"/>
      <c r="ENN252" s="9"/>
      <c r="ENO252" s="9"/>
      <c r="ENP252" s="9"/>
      <c r="ENQ252" s="9"/>
      <c r="ENR252" s="9"/>
      <c r="ENS252" s="9"/>
      <c r="ENT252" s="9"/>
      <c r="ENU252" s="9"/>
      <c r="ENV252" s="9"/>
      <c r="ENW252" s="9"/>
      <c r="ENX252" s="9"/>
      <c r="ENY252" s="9"/>
      <c r="ENZ252" s="9"/>
      <c r="EOA252" s="9"/>
      <c r="EOB252" s="9"/>
      <c r="EOC252" s="9"/>
      <c r="EOD252" s="9"/>
      <c r="EOE252" s="9"/>
      <c r="EOF252" s="9"/>
      <c r="EOG252" s="9"/>
      <c r="EOH252" s="9"/>
      <c r="EOI252" s="9"/>
      <c r="EOJ252" s="9"/>
      <c r="EOK252" s="9"/>
      <c r="EOL252" s="9"/>
      <c r="EOM252" s="9"/>
      <c r="EON252" s="9"/>
      <c r="EOO252" s="9"/>
      <c r="EOP252" s="9"/>
      <c r="EOQ252" s="9"/>
      <c r="EOR252" s="9"/>
      <c r="EOS252" s="9"/>
      <c r="EOT252" s="9"/>
      <c r="EOU252" s="9"/>
      <c r="EOV252" s="9"/>
      <c r="EOW252" s="9"/>
      <c r="EOX252" s="9"/>
      <c r="EOY252" s="9"/>
      <c r="EOZ252" s="9"/>
      <c r="EPA252" s="9"/>
      <c r="EPB252" s="9"/>
      <c r="EPC252" s="9"/>
      <c r="EPD252" s="9"/>
      <c r="EPE252" s="9"/>
      <c r="EPF252" s="9"/>
      <c r="EPG252" s="9"/>
      <c r="EPH252" s="9"/>
      <c r="EPI252" s="9"/>
      <c r="EPJ252" s="9"/>
      <c r="EPK252" s="9"/>
      <c r="EPL252" s="9"/>
      <c r="EPM252" s="9"/>
      <c r="EPN252" s="9"/>
      <c r="EPO252" s="9"/>
      <c r="EPP252" s="9"/>
      <c r="EPQ252" s="9"/>
      <c r="EPR252" s="9"/>
      <c r="EPS252" s="9"/>
      <c r="EPT252" s="9"/>
      <c r="EPU252" s="9"/>
      <c r="EPV252" s="9"/>
      <c r="EPW252" s="9"/>
      <c r="EPX252" s="9"/>
      <c r="EPY252" s="9"/>
      <c r="EPZ252" s="9"/>
      <c r="EQA252" s="9"/>
      <c r="EQB252" s="9"/>
      <c r="EQC252" s="9"/>
      <c r="EQD252" s="9"/>
      <c r="EQE252" s="9"/>
      <c r="EQF252" s="9"/>
      <c r="EQG252" s="9"/>
      <c r="EQH252" s="9"/>
      <c r="EQI252" s="9"/>
      <c r="EQJ252" s="9"/>
      <c r="EQK252" s="9"/>
      <c r="EQL252" s="9"/>
      <c r="EQM252" s="9"/>
      <c r="EQN252" s="9"/>
      <c r="EQO252" s="9"/>
      <c r="EQP252" s="9"/>
      <c r="EQQ252" s="9"/>
      <c r="EQR252" s="9"/>
      <c r="EQS252" s="9"/>
      <c r="EQT252" s="9"/>
      <c r="EQU252" s="9"/>
      <c r="EQV252" s="9"/>
      <c r="EQW252" s="9"/>
      <c r="EQX252" s="9"/>
      <c r="EQY252" s="9"/>
      <c r="EQZ252" s="9"/>
      <c r="ERA252" s="9"/>
      <c r="ERB252" s="9"/>
      <c r="ERC252" s="9"/>
      <c r="ERD252" s="9"/>
      <c r="ERE252" s="9"/>
      <c r="ERF252" s="9"/>
      <c r="ERG252" s="9"/>
      <c r="ERH252" s="9"/>
      <c r="ERI252" s="9"/>
      <c r="ERJ252" s="9"/>
      <c r="ERK252" s="9"/>
      <c r="ERL252" s="9"/>
      <c r="ERM252" s="9"/>
      <c r="ERN252" s="9"/>
      <c r="ERO252" s="9"/>
      <c r="ERP252" s="9"/>
      <c r="ERQ252" s="9"/>
      <c r="ERR252" s="9"/>
      <c r="ERS252" s="9"/>
      <c r="ERT252" s="9"/>
      <c r="ERU252" s="9"/>
      <c r="ERV252" s="9"/>
      <c r="ERW252" s="9"/>
      <c r="ERX252" s="9"/>
      <c r="ERY252" s="9"/>
      <c r="ERZ252" s="9"/>
      <c r="ESA252" s="9"/>
      <c r="ESB252" s="9"/>
      <c r="ESC252" s="9"/>
      <c r="ESD252" s="9"/>
      <c r="ESE252" s="9"/>
      <c r="ESF252" s="9"/>
      <c r="ESG252" s="9"/>
      <c r="ESH252" s="9"/>
      <c r="ESI252" s="9"/>
      <c r="ESJ252" s="9"/>
      <c r="ESK252" s="9"/>
      <c r="ESL252" s="9"/>
      <c r="ESM252" s="9"/>
      <c r="ESN252" s="9"/>
      <c r="ESO252" s="9"/>
      <c r="ESP252" s="9"/>
      <c r="ESQ252" s="9"/>
      <c r="ESR252" s="9"/>
      <c r="ESS252" s="9"/>
      <c r="EST252" s="9"/>
      <c r="ESU252" s="9"/>
      <c r="ESV252" s="9"/>
      <c r="ESW252" s="9"/>
      <c r="ESX252" s="9"/>
      <c r="ESY252" s="9"/>
      <c r="ESZ252" s="9"/>
      <c r="ETA252" s="9"/>
      <c r="ETB252" s="9"/>
      <c r="ETC252" s="9"/>
      <c r="ETD252" s="9"/>
      <c r="ETE252" s="9"/>
      <c r="ETF252" s="9"/>
      <c r="ETG252" s="9"/>
      <c r="ETH252" s="9"/>
      <c r="ETI252" s="9"/>
      <c r="ETJ252" s="9"/>
      <c r="ETK252" s="9"/>
      <c r="ETL252" s="9"/>
      <c r="ETM252" s="9"/>
      <c r="ETN252" s="9"/>
      <c r="ETO252" s="9"/>
      <c r="ETP252" s="9"/>
      <c r="ETQ252" s="9"/>
      <c r="ETR252" s="9"/>
      <c r="ETS252" s="9"/>
      <c r="ETT252" s="9"/>
      <c r="ETU252" s="9"/>
      <c r="ETV252" s="9"/>
      <c r="ETW252" s="9"/>
      <c r="ETX252" s="9"/>
      <c r="ETY252" s="9"/>
      <c r="ETZ252" s="9"/>
      <c r="EUA252" s="9"/>
      <c r="EUB252" s="9"/>
      <c r="EUC252" s="9"/>
      <c r="EUD252" s="9"/>
      <c r="EUE252" s="9"/>
      <c r="EUF252" s="9"/>
      <c r="EUG252" s="9"/>
      <c r="EUH252" s="9"/>
      <c r="EUI252" s="9"/>
      <c r="EUJ252" s="9"/>
      <c r="EUK252" s="9"/>
      <c r="EUL252" s="9"/>
      <c r="EUM252" s="9"/>
      <c r="EUN252" s="9"/>
      <c r="EUO252" s="9"/>
      <c r="EUP252" s="9"/>
      <c r="EUQ252" s="9"/>
      <c r="EUR252" s="9"/>
      <c r="EUS252" s="9"/>
      <c r="EUT252" s="9"/>
      <c r="EUU252" s="9"/>
      <c r="EUV252" s="9"/>
      <c r="EUW252" s="9"/>
      <c r="EUX252" s="9"/>
      <c r="EUY252" s="9"/>
      <c r="EUZ252" s="9"/>
      <c r="EVA252" s="9"/>
      <c r="EVB252" s="9"/>
      <c r="EVC252" s="9"/>
      <c r="EVD252" s="9"/>
      <c r="EVE252" s="9"/>
      <c r="EVF252" s="9"/>
      <c r="EVG252" s="9"/>
      <c r="EVH252" s="9"/>
      <c r="EVI252" s="9"/>
      <c r="EVJ252" s="9"/>
      <c r="EVK252" s="9"/>
      <c r="EVL252" s="9"/>
      <c r="EVM252" s="9"/>
      <c r="EVN252" s="9"/>
      <c r="EVO252" s="9"/>
      <c r="EVP252" s="9"/>
      <c r="EVQ252" s="9"/>
      <c r="EVR252" s="9"/>
      <c r="EVS252" s="9"/>
      <c r="EVT252" s="9"/>
      <c r="EVU252" s="9"/>
      <c r="EVV252" s="9"/>
      <c r="EVW252" s="9"/>
      <c r="EVX252" s="9"/>
      <c r="EVY252" s="9"/>
      <c r="EVZ252" s="9"/>
      <c r="EWA252" s="9"/>
      <c r="EWB252" s="9"/>
      <c r="EWC252" s="9"/>
      <c r="EWD252" s="9"/>
      <c r="EWE252" s="9"/>
      <c r="EWF252" s="9"/>
      <c r="EWG252" s="9"/>
      <c r="EWH252" s="9"/>
      <c r="EWI252" s="9"/>
      <c r="EWJ252" s="9"/>
      <c r="EWK252" s="9"/>
      <c r="EWL252" s="9"/>
      <c r="EWM252" s="9"/>
      <c r="EWN252" s="9"/>
      <c r="EWO252" s="9"/>
      <c r="EWP252" s="9"/>
      <c r="EWQ252" s="9"/>
      <c r="EWR252" s="9"/>
      <c r="EWS252" s="9"/>
      <c r="EWT252" s="9"/>
      <c r="EWU252" s="9"/>
      <c r="EWV252" s="9"/>
      <c r="EWW252" s="9"/>
      <c r="EWX252" s="9"/>
      <c r="EWY252" s="9"/>
      <c r="EWZ252" s="9"/>
      <c r="EXA252" s="9"/>
      <c r="EXB252" s="9"/>
      <c r="EXC252" s="9"/>
      <c r="EXD252" s="9"/>
      <c r="EXE252" s="9"/>
      <c r="EXF252" s="9"/>
      <c r="EXG252" s="9"/>
      <c r="EXH252" s="9"/>
      <c r="EXI252" s="9"/>
      <c r="EXJ252" s="9"/>
      <c r="EXK252" s="9"/>
      <c r="EXL252" s="9"/>
      <c r="EXM252" s="9"/>
      <c r="EXN252" s="9"/>
      <c r="EXO252" s="9"/>
      <c r="EXP252" s="9"/>
      <c r="EXQ252" s="9"/>
      <c r="EXR252" s="9"/>
      <c r="EXS252" s="9"/>
      <c r="EXT252" s="9"/>
      <c r="EXU252" s="9"/>
      <c r="EXV252" s="9"/>
      <c r="EXW252" s="9"/>
      <c r="EXX252" s="9"/>
      <c r="EXY252" s="9"/>
      <c r="EXZ252" s="9"/>
      <c r="EYA252" s="9"/>
      <c r="EYB252" s="9"/>
      <c r="EYC252" s="9"/>
      <c r="EYD252" s="9"/>
      <c r="EYE252" s="9"/>
      <c r="EYF252" s="9"/>
      <c r="EYG252" s="9"/>
      <c r="EYH252" s="9"/>
      <c r="EYI252" s="9"/>
      <c r="EYJ252" s="9"/>
      <c r="EYK252" s="9"/>
      <c r="EYL252" s="9"/>
      <c r="EYM252" s="9"/>
      <c r="EYN252" s="9"/>
      <c r="EYO252" s="9"/>
      <c r="EYP252" s="9"/>
      <c r="EYQ252" s="9"/>
      <c r="EYR252" s="9"/>
      <c r="EYS252" s="9"/>
      <c r="EYT252" s="9"/>
      <c r="EYU252" s="9"/>
      <c r="EYV252" s="9"/>
      <c r="EYW252" s="9"/>
      <c r="EYX252" s="9"/>
      <c r="EYY252" s="9"/>
      <c r="EYZ252" s="9"/>
      <c r="EZA252" s="9"/>
      <c r="EZB252" s="9"/>
      <c r="EZC252" s="9"/>
      <c r="EZD252" s="9"/>
      <c r="EZE252" s="9"/>
      <c r="EZF252" s="9"/>
      <c r="EZG252" s="9"/>
      <c r="EZH252" s="9"/>
      <c r="EZI252" s="9"/>
      <c r="EZJ252" s="9"/>
      <c r="EZK252" s="9"/>
      <c r="EZL252" s="9"/>
      <c r="EZM252" s="9"/>
      <c r="EZN252" s="9"/>
      <c r="EZO252" s="9"/>
      <c r="EZP252" s="9"/>
      <c r="EZQ252" s="9"/>
      <c r="EZR252" s="9"/>
      <c r="EZS252" s="9"/>
      <c r="EZT252" s="9"/>
      <c r="EZU252" s="9"/>
      <c r="EZV252" s="9"/>
      <c r="EZW252" s="9"/>
      <c r="EZX252" s="9"/>
      <c r="EZY252" s="9"/>
      <c r="EZZ252" s="9"/>
      <c r="FAA252" s="9"/>
      <c r="FAB252" s="9"/>
      <c r="FAC252" s="9"/>
      <c r="FAD252" s="9"/>
      <c r="FAE252" s="9"/>
      <c r="FAF252" s="9"/>
      <c r="FAG252" s="9"/>
      <c r="FAH252" s="9"/>
      <c r="FAI252" s="9"/>
      <c r="FAJ252" s="9"/>
      <c r="FAK252" s="9"/>
      <c r="FAL252" s="9"/>
      <c r="FAM252" s="9"/>
      <c r="FAN252" s="9"/>
      <c r="FAO252" s="9"/>
      <c r="FAP252" s="9"/>
      <c r="FAQ252" s="9"/>
      <c r="FAR252" s="9"/>
      <c r="FAS252" s="9"/>
      <c r="FAT252" s="9"/>
      <c r="FAU252" s="9"/>
      <c r="FAV252" s="9"/>
      <c r="FAW252" s="9"/>
      <c r="FAX252" s="9"/>
      <c r="FAY252" s="9"/>
      <c r="FAZ252" s="9"/>
      <c r="FBA252" s="9"/>
      <c r="FBB252" s="9"/>
      <c r="FBC252" s="9"/>
      <c r="FBD252" s="9"/>
      <c r="FBE252" s="9"/>
      <c r="FBF252" s="9"/>
      <c r="FBG252" s="9"/>
      <c r="FBH252" s="9"/>
      <c r="FBI252" s="9"/>
      <c r="FBJ252" s="9"/>
      <c r="FBK252" s="9"/>
      <c r="FBL252" s="9"/>
      <c r="FBM252" s="9"/>
      <c r="FBN252" s="9"/>
      <c r="FBO252" s="9"/>
      <c r="FBP252" s="9"/>
      <c r="FBQ252" s="9"/>
      <c r="FBR252" s="9"/>
      <c r="FBS252" s="9"/>
      <c r="FBT252" s="9"/>
      <c r="FBU252" s="9"/>
      <c r="FBV252" s="9"/>
      <c r="FBW252" s="9"/>
      <c r="FBX252" s="9"/>
      <c r="FBY252" s="9"/>
      <c r="FBZ252" s="9"/>
      <c r="FCA252" s="9"/>
      <c r="FCB252" s="9"/>
      <c r="FCC252" s="9"/>
      <c r="FCD252" s="9"/>
      <c r="FCE252" s="9"/>
      <c r="FCF252" s="9"/>
      <c r="FCG252" s="9"/>
      <c r="FCH252" s="9"/>
      <c r="FCI252" s="9"/>
      <c r="FCJ252" s="9"/>
      <c r="FCK252" s="9"/>
      <c r="FCL252" s="9"/>
      <c r="FCM252" s="9"/>
      <c r="FCN252" s="9"/>
      <c r="FCO252" s="9"/>
      <c r="FCP252" s="9"/>
      <c r="FCQ252" s="9"/>
      <c r="FCR252" s="9"/>
      <c r="FCS252" s="9"/>
      <c r="FCT252" s="9"/>
      <c r="FCU252" s="9"/>
      <c r="FCV252" s="9"/>
      <c r="FCW252" s="9"/>
      <c r="FCX252" s="9"/>
      <c r="FCY252" s="9"/>
      <c r="FCZ252" s="9"/>
      <c r="FDA252" s="9"/>
      <c r="FDB252" s="9"/>
      <c r="FDC252" s="9"/>
      <c r="FDD252" s="9"/>
      <c r="FDE252" s="9"/>
      <c r="FDF252" s="9"/>
      <c r="FDG252" s="9"/>
      <c r="FDH252" s="9"/>
      <c r="FDI252" s="9"/>
      <c r="FDJ252" s="9"/>
      <c r="FDK252" s="9"/>
      <c r="FDL252" s="9"/>
      <c r="FDM252" s="9"/>
      <c r="FDN252" s="9"/>
      <c r="FDO252" s="9"/>
      <c r="FDP252" s="9"/>
      <c r="FDQ252" s="9"/>
      <c r="FDR252" s="9"/>
      <c r="FDS252" s="9"/>
      <c r="FDT252" s="9"/>
      <c r="FDU252" s="9"/>
      <c r="FDV252" s="9"/>
      <c r="FDW252" s="9"/>
      <c r="FDX252" s="9"/>
      <c r="FDY252" s="9"/>
      <c r="FDZ252" s="9"/>
      <c r="FEA252" s="9"/>
      <c r="FEB252" s="9"/>
      <c r="FEC252" s="9"/>
      <c r="FED252" s="9"/>
      <c r="FEE252" s="9"/>
      <c r="FEF252" s="9"/>
      <c r="FEG252" s="9"/>
      <c r="FEH252" s="9"/>
      <c r="FEI252" s="9"/>
      <c r="FEJ252" s="9"/>
      <c r="FEK252" s="9"/>
      <c r="FEL252" s="9"/>
      <c r="FEM252" s="9"/>
      <c r="FEN252" s="9"/>
      <c r="FEO252" s="9"/>
      <c r="FEP252" s="9"/>
      <c r="FEQ252" s="9"/>
      <c r="FER252" s="9"/>
      <c r="FES252" s="9"/>
      <c r="FET252" s="9"/>
      <c r="FEU252" s="9"/>
      <c r="FEV252" s="9"/>
      <c r="FEW252" s="9"/>
      <c r="FEX252" s="9"/>
      <c r="FEY252" s="9"/>
      <c r="FEZ252" s="9"/>
      <c r="FFA252" s="9"/>
      <c r="FFB252" s="9"/>
      <c r="FFC252" s="9"/>
      <c r="FFD252" s="9"/>
      <c r="FFE252" s="9"/>
      <c r="FFF252" s="9"/>
      <c r="FFG252" s="9"/>
      <c r="FFH252" s="9"/>
      <c r="FFI252" s="9"/>
      <c r="FFJ252" s="9"/>
      <c r="FFK252" s="9"/>
      <c r="FFL252" s="9"/>
      <c r="FFM252" s="9"/>
      <c r="FFN252" s="9"/>
      <c r="FFO252" s="9"/>
      <c r="FFP252" s="9"/>
      <c r="FFQ252" s="9"/>
      <c r="FFR252" s="9"/>
      <c r="FFS252" s="9"/>
      <c r="FFT252" s="9"/>
      <c r="FFU252" s="9"/>
      <c r="FFV252" s="9"/>
      <c r="FFW252" s="9"/>
      <c r="FFX252" s="9"/>
      <c r="FFY252" s="9"/>
      <c r="FFZ252" s="9"/>
      <c r="FGA252" s="9"/>
      <c r="FGB252" s="9"/>
      <c r="FGC252" s="9"/>
      <c r="FGD252" s="9"/>
      <c r="FGE252" s="9"/>
      <c r="FGF252" s="9"/>
      <c r="FGG252" s="9"/>
      <c r="FGH252" s="9"/>
      <c r="FGI252" s="9"/>
      <c r="FGJ252" s="9"/>
      <c r="FGK252" s="9"/>
      <c r="FGL252" s="9"/>
      <c r="FGM252" s="9"/>
      <c r="FGN252" s="9"/>
      <c r="FGO252" s="9"/>
      <c r="FGP252" s="9"/>
      <c r="FGQ252" s="9"/>
      <c r="FGR252" s="9"/>
      <c r="FGS252" s="9"/>
      <c r="FGT252" s="9"/>
      <c r="FGU252" s="9"/>
      <c r="FGV252" s="9"/>
      <c r="FGW252" s="9"/>
      <c r="FGX252" s="9"/>
      <c r="FGY252" s="9"/>
      <c r="FGZ252" s="9"/>
      <c r="FHA252" s="9"/>
      <c r="FHB252" s="9"/>
      <c r="FHC252" s="9"/>
      <c r="FHD252" s="9"/>
      <c r="FHE252" s="9"/>
      <c r="FHF252" s="9"/>
      <c r="FHG252" s="9"/>
      <c r="FHH252" s="9"/>
      <c r="FHI252" s="9"/>
      <c r="FHJ252" s="9"/>
      <c r="FHK252" s="9"/>
      <c r="FHL252" s="9"/>
      <c r="FHM252" s="9"/>
      <c r="FHN252" s="9"/>
      <c r="FHO252" s="9"/>
      <c r="FHP252" s="9"/>
      <c r="FHQ252" s="9"/>
      <c r="FHR252" s="9"/>
      <c r="FHS252" s="9"/>
      <c r="FHT252" s="9"/>
      <c r="FHU252" s="9"/>
      <c r="FHV252" s="9"/>
      <c r="FHW252" s="9"/>
      <c r="FHX252" s="9"/>
      <c r="FHY252" s="9"/>
      <c r="FHZ252" s="9"/>
      <c r="FIA252" s="9"/>
      <c r="FIB252" s="9"/>
      <c r="FIC252" s="9"/>
      <c r="FID252" s="9"/>
      <c r="FIE252" s="9"/>
      <c r="FIF252" s="9"/>
      <c r="FIG252" s="9"/>
      <c r="FIH252" s="9"/>
      <c r="FII252" s="9"/>
      <c r="FIJ252" s="9"/>
      <c r="FIK252" s="9"/>
      <c r="FIL252" s="9"/>
      <c r="FIM252" s="9"/>
      <c r="FIN252" s="9"/>
      <c r="FIO252" s="9"/>
      <c r="FIP252" s="9"/>
      <c r="FIQ252" s="9"/>
      <c r="FIR252" s="9"/>
      <c r="FIS252" s="9"/>
      <c r="FIT252" s="9"/>
      <c r="FIU252" s="9"/>
      <c r="FIV252" s="9"/>
      <c r="FIW252" s="9"/>
      <c r="FIX252" s="9"/>
      <c r="FIY252" s="9"/>
      <c r="FIZ252" s="9"/>
      <c r="FJA252" s="9"/>
      <c r="FJB252" s="9"/>
      <c r="FJC252" s="9"/>
      <c r="FJD252" s="9"/>
      <c r="FJE252" s="9"/>
      <c r="FJF252" s="9"/>
      <c r="FJG252" s="9"/>
      <c r="FJH252" s="9"/>
      <c r="FJI252" s="9"/>
      <c r="FJJ252" s="9"/>
      <c r="FJK252" s="9"/>
      <c r="FJL252" s="9"/>
      <c r="FJM252" s="9"/>
      <c r="FJN252" s="9"/>
      <c r="FJO252" s="9"/>
      <c r="FJP252" s="9"/>
      <c r="FJQ252" s="9"/>
      <c r="FJR252" s="9"/>
      <c r="FJS252" s="9"/>
      <c r="FJT252" s="9"/>
      <c r="FJU252" s="9"/>
      <c r="FJV252" s="9"/>
      <c r="FJW252" s="9"/>
      <c r="FJX252" s="9"/>
      <c r="FJY252" s="9"/>
      <c r="FJZ252" s="9"/>
      <c r="FKA252" s="9"/>
      <c r="FKB252" s="9"/>
      <c r="FKC252" s="9"/>
      <c r="FKD252" s="9"/>
      <c r="FKE252" s="9"/>
      <c r="FKF252" s="9"/>
      <c r="FKG252" s="9"/>
      <c r="FKH252" s="9"/>
      <c r="FKI252" s="9"/>
      <c r="FKJ252" s="9"/>
      <c r="FKK252" s="9"/>
      <c r="FKL252" s="9"/>
      <c r="FKM252" s="9"/>
      <c r="FKN252" s="9"/>
      <c r="FKO252" s="9"/>
      <c r="FKP252" s="9"/>
      <c r="FKQ252" s="9"/>
      <c r="FKR252" s="9"/>
      <c r="FKS252" s="9"/>
      <c r="FKT252" s="9"/>
      <c r="FKU252" s="9"/>
      <c r="FKV252" s="9"/>
      <c r="FKW252" s="9"/>
      <c r="FKX252" s="9"/>
      <c r="FKY252" s="9"/>
      <c r="FKZ252" s="9"/>
      <c r="FLA252" s="9"/>
      <c r="FLB252" s="9"/>
      <c r="FLC252" s="9"/>
      <c r="FLD252" s="9"/>
      <c r="FLE252" s="9"/>
      <c r="FLF252" s="9"/>
      <c r="FLG252" s="9"/>
      <c r="FLH252" s="9"/>
      <c r="FLI252" s="9"/>
      <c r="FLJ252" s="9"/>
      <c r="FLK252" s="9"/>
      <c r="FLL252" s="9"/>
      <c r="FLM252" s="9"/>
      <c r="FLN252" s="9"/>
      <c r="FLO252" s="9"/>
      <c r="FLP252" s="9"/>
      <c r="FLQ252" s="9"/>
      <c r="FLR252" s="9"/>
      <c r="FLS252" s="9"/>
      <c r="FLT252" s="9"/>
      <c r="FLU252" s="9"/>
      <c r="FLV252" s="9"/>
      <c r="FLW252" s="9"/>
      <c r="FLX252" s="9"/>
      <c r="FLY252" s="9"/>
      <c r="FLZ252" s="9"/>
      <c r="FMA252" s="9"/>
      <c r="FMB252" s="9"/>
      <c r="FMC252" s="9"/>
      <c r="FMD252" s="9"/>
      <c r="FME252" s="9"/>
      <c r="FMF252" s="9"/>
      <c r="FMG252" s="9"/>
      <c r="FMH252" s="9"/>
      <c r="FMI252" s="9"/>
      <c r="FMJ252" s="9"/>
      <c r="FMK252" s="9"/>
      <c r="FML252" s="9"/>
      <c r="FMM252" s="9"/>
      <c r="FMN252" s="9"/>
      <c r="FMO252" s="9"/>
      <c r="FMP252" s="9"/>
      <c r="FMQ252" s="9"/>
      <c r="FMR252" s="9"/>
      <c r="FMS252" s="9"/>
      <c r="FMT252" s="9"/>
      <c r="FMU252" s="9"/>
      <c r="FMV252" s="9"/>
      <c r="FMW252" s="9"/>
      <c r="FMX252" s="9"/>
      <c r="FMY252" s="9"/>
      <c r="FMZ252" s="9"/>
      <c r="FNA252" s="9"/>
      <c r="FNB252" s="9"/>
      <c r="FNC252" s="9"/>
      <c r="FND252" s="9"/>
      <c r="FNE252" s="9"/>
      <c r="FNF252" s="9"/>
      <c r="FNG252" s="9"/>
      <c r="FNH252" s="9"/>
      <c r="FNI252" s="9"/>
      <c r="FNJ252" s="9"/>
      <c r="FNK252" s="9"/>
      <c r="FNL252" s="9"/>
      <c r="FNM252" s="9"/>
      <c r="FNN252" s="9"/>
      <c r="FNO252" s="9"/>
      <c r="FNP252" s="9"/>
      <c r="FNQ252" s="9"/>
      <c r="FNR252" s="9"/>
      <c r="FNS252" s="9"/>
      <c r="FNT252" s="9"/>
      <c r="FNU252" s="9"/>
      <c r="FNV252" s="9"/>
      <c r="FNW252" s="9"/>
      <c r="FNX252" s="9"/>
      <c r="FNY252" s="9"/>
      <c r="FNZ252" s="9"/>
      <c r="FOA252" s="9"/>
      <c r="FOB252" s="9"/>
      <c r="FOC252" s="9"/>
      <c r="FOD252" s="9"/>
      <c r="FOE252" s="9"/>
      <c r="FOF252" s="9"/>
      <c r="FOG252" s="9"/>
      <c r="FOH252" s="9"/>
      <c r="FOI252" s="9"/>
      <c r="FOJ252" s="9"/>
      <c r="FOK252" s="9"/>
      <c r="FOL252" s="9"/>
      <c r="FOM252" s="9"/>
      <c r="FON252" s="9"/>
      <c r="FOO252" s="9"/>
      <c r="FOP252" s="9"/>
      <c r="FOQ252" s="9"/>
      <c r="FOR252" s="9"/>
      <c r="FOS252" s="9"/>
      <c r="FOT252" s="9"/>
      <c r="FOU252" s="9"/>
      <c r="FOV252" s="9"/>
      <c r="FOW252" s="9"/>
      <c r="FOX252" s="9"/>
      <c r="FOY252" s="9"/>
      <c r="FOZ252" s="9"/>
      <c r="FPA252" s="9"/>
      <c r="FPB252" s="9"/>
      <c r="FPC252" s="9"/>
      <c r="FPD252" s="9"/>
      <c r="FPE252" s="9"/>
      <c r="FPF252" s="9"/>
      <c r="FPG252" s="9"/>
      <c r="FPH252" s="9"/>
      <c r="FPI252" s="9"/>
      <c r="FPJ252" s="9"/>
      <c r="FPK252" s="9"/>
      <c r="FPL252" s="9"/>
      <c r="FPM252" s="9"/>
      <c r="FPN252" s="9"/>
      <c r="FPO252" s="9"/>
      <c r="FPP252" s="9"/>
      <c r="FPQ252" s="9"/>
      <c r="FPR252" s="9"/>
      <c r="FPS252" s="9"/>
      <c r="FPT252" s="9"/>
      <c r="FPU252" s="9"/>
      <c r="FPV252" s="9"/>
      <c r="FPW252" s="9"/>
      <c r="FPX252" s="9"/>
      <c r="FPY252" s="9"/>
      <c r="FPZ252" s="9"/>
      <c r="FQA252" s="9"/>
      <c r="FQB252" s="9"/>
      <c r="FQC252" s="9"/>
      <c r="FQD252" s="9"/>
      <c r="FQE252" s="9"/>
      <c r="FQF252" s="9"/>
      <c r="FQG252" s="9"/>
      <c r="FQH252" s="9"/>
      <c r="FQI252" s="9"/>
      <c r="FQJ252" s="9"/>
      <c r="FQK252" s="9"/>
      <c r="FQL252" s="9"/>
      <c r="FQM252" s="9"/>
      <c r="FQN252" s="9"/>
      <c r="FQO252" s="9"/>
      <c r="FQP252" s="9"/>
      <c r="FQQ252" s="9"/>
      <c r="FQR252" s="9"/>
      <c r="FQS252" s="9"/>
      <c r="FQT252" s="9"/>
      <c r="FQU252" s="9"/>
      <c r="FQV252" s="9"/>
      <c r="FQW252" s="9"/>
      <c r="FQX252" s="9"/>
      <c r="FQY252" s="9"/>
      <c r="FQZ252" s="9"/>
      <c r="FRA252" s="9"/>
      <c r="FRB252" s="9"/>
      <c r="FRC252" s="9"/>
      <c r="FRD252" s="9"/>
      <c r="FRE252" s="9"/>
      <c r="FRF252" s="9"/>
      <c r="FRG252" s="9"/>
      <c r="FRH252" s="9"/>
      <c r="FRI252" s="9"/>
      <c r="FRJ252" s="9"/>
      <c r="FRK252" s="9"/>
      <c r="FRL252" s="9"/>
      <c r="FRM252" s="9"/>
      <c r="FRN252" s="9"/>
      <c r="FRO252" s="9"/>
      <c r="FRP252" s="9"/>
      <c r="FRQ252" s="9"/>
      <c r="FRR252" s="9"/>
      <c r="FRS252" s="9"/>
      <c r="FRT252" s="9"/>
      <c r="FRU252" s="9"/>
      <c r="FRV252" s="9"/>
      <c r="FRW252" s="9"/>
      <c r="FRX252" s="9"/>
      <c r="FRY252" s="9"/>
      <c r="FRZ252" s="9"/>
      <c r="FSA252" s="9"/>
      <c r="FSB252" s="9"/>
      <c r="FSC252" s="9"/>
      <c r="FSD252" s="9"/>
      <c r="FSE252" s="9"/>
      <c r="FSF252" s="9"/>
      <c r="FSG252" s="9"/>
      <c r="FSH252" s="9"/>
      <c r="FSI252" s="9"/>
      <c r="FSJ252" s="9"/>
      <c r="FSK252" s="9"/>
      <c r="FSL252" s="9"/>
      <c r="FSM252" s="9"/>
      <c r="FSN252" s="9"/>
      <c r="FSO252" s="9"/>
      <c r="FSP252" s="9"/>
      <c r="FSQ252" s="9"/>
      <c r="FSR252" s="9"/>
      <c r="FSS252" s="9"/>
      <c r="FST252" s="9"/>
      <c r="FSU252" s="9"/>
      <c r="FSV252" s="9"/>
      <c r="FSW252" s="9"/>
      <c r="FSX252" s="9"/>
      <c r="FSY252" s="9"/>
      <c r="FSZ252" s="9"/>
      <c r="FTA252" s="9"/>
      <c r="FTB252" s="9"/>
      <c r="FTC252" s="9"/>
      <c r="FTD252" s="9"/>
      <c r="FTE252" s="9"/>
      <c r="FTF252" s="9"/>
      <c r="FTG252" s="9"/>
      <c r="FTH252" s="9"/>
      <c r="FTI252" s="9"/>
      <c r="FTJ252" s="9"/>
      <c r="FTK252" s="9"/>
      <c r="FTL252" s="9"/>
      <c r="FTM252" s="9"/>
      <c r="FTN252" s="9"/>
      <c r="FTO252" s="9"/>
      <c r="FTP252" s="9"/>
      <c r="FTQ252" s="9"/>
      <c r="FTR252" s="9"/>
      <c r="FTS252" s="9"/>
      <c r="FTT252" s="9"/>
      <c r="FTU252" s="9"/>
      <c r="FTV252" s="9"/>
      <c r="FTW252" s="9"/>
      <c r="FTX252" s="9"/>
      <c r="FTY252" s="9"/>
      <c r="FTZ252" s="9"/>
      <c r="FUA252" s="9"/>
      <c r="FUB252" s="9"/>
      <c r="FUC252" s="9"/>
      <c r="FUD252" s="9"/>
      <c r="FUE252" s="9"/>
      <c r="FUF252" s="9"/>
      <c r="FUG252" s="9"/>
      <c r="FUH252" s="9"/>
      <c r="FUI252" s="9"/>
      <c r="FUJ252" s="9"/>
      <c r="FUK252" s="9"/>
      <c r="FUL252" s="9"/>
      <c r="FUM252" s="9"/>
      <c r="FUN252" s="9"/>
      <c r="FUO252" s="9"/>
      <c r="FUP252" s="9"/>
      <c r="FUQ252" s="9"/>
      <c r="FUR252" s="9"/>
      <c r="FUS252" s="9"/>
      <c r="FUT252" s="9"/>
      <c r="FUU252" s="9"/>
      <c r="FUV252" s="9"/>
      <c r="FUW252" s="9"/>
      <c r="FUX252" s="9"/>
      <c r="FUY252" s="9"/>
      <c r="FUZ252" s="9"/>
      <c r="FVA252" s="9"/>
      <c r="FVB252" s="9"/>
      <c r="FVC252" s="9"/>
      <c r="FVD252" s="9"/>
      <c r="FVE252" s="9"/>
      <c r="FVF252" s="9"/>
      <c r="FVG252" s="9"/>
      <c r="FVH252" s="9"/>
      <c r="FVI252" s="9"/>
      <c r="FVJ252" s="9"/>
      <c r="FVK252" s="9"/>
      <c r="FVL252" s="9"/>
      <c r="FVM252" s="9"/>
      <c r="FVN252" s="9"/>
      <c r="FVO252" s="9"/>
      <c r="FVP252" s="9"/>
      <c r="FVQ252" s="9"/>
      <c r="FVR252" s="9"/>
      <c r="FVS252" s="9"/>
      <c r="FVT252" s="9"/>
      <c r="FVU252" s="9"/>
      <c r="FVV252" s="9"/>
      <c r="FVW252" s="9"/>
      <c r="FVX252" s="9"/>
      <c r="FVY252" s="9"/>
      <c r="FVZ252" s="9"/>
      <c r="FWA252" s="9"/>
      <c r="FWB252" s="9"/>
      <c r="FWC252" s="9"/>
      <c r="FWD252" s="9"/>
      <c r="FWE252" s="9"/>
      <c r="FWF252" s="9"/>
      <c r="FWG252" s="9"/>
      <c r="FWH252" s="9"/>
      <c r="FWI252" s="9"/>
      <c r="FWJ252" s="9"/>
      <c r="FWK252" s="9"/>
      <c r="FWL252" s="9"/>
      <c r="FWM252" s="9"/>
      <c r="FWN252" s="9"/>
      <c r="FWO252" s="9"/>
      <c r="FWP252" s="9"/>
      <c r="FWQ252" s="9"/>
      <c r="FWR252" s="9"/>
      <c r="FWS252" s="9"/>
      <c r="FWT252" s="9"/>
      <c r="FWU252" s="9"/>
      <c r="FWV252" s="9"/>
      <c r="FWW252" s="9"/>
      <c r="FWX252" s="9"/>
      <c r="FWY252" s="9"/>
      <c r="FWZ252" s="9"/>
      <c r="FXA252" s="9"/>
      <c r="FXB252" s="9"/>
      <c r="FXC252" s="9"/>
      <c r="FXD252" s="9"/>
      <c r="FXE252" s="9"/>
      <c r="FXF252" s="9"/>
      <c r="FXG252" s="9"/>
      <c r="FXH252" s="9"/>
      <c r="FXI252" s="9"/>
      <c r="FXJ252" s="9"/>
      <c r="FXK252" s="9"/>
      <c r="FXL252" s="9"/>
      <c r="FXM252" s="9"/>
      <c r="FXN252" s="9"/>
      <c r="FXO252" s="9"/>
      <c r="FXP252" s="9"/>
      <c r="FXQ252" s="9"/>
      <c r="FXR252" s="9"/>
      <c r="FXS252" s="9"/>
      <c r="FXT252" s="9"/>
      <c r="FXU252" s="9"/>
      <c r="FXV252" s="9"/>
      <c r="FXW252" s="9"/>
      <c r="FXX252" s="9"/>
      <c r="FXY252" s="9"/>
      <c r="FXZ252" s="9"/>
      <c r="FYA252" s="9"/>
      <c r="FYB252" s="9"/>
      <c r="FYC252" s="9"/>
      <c r="FYD252" s="9"/>
      <c r="FYE252" s="9"/>
      <c r="FYF252" s="9"/>
      <c r="FYG252" s="9"/>
      <c r="FYH252" s="9"/>
      <c r="FYI252" s="9"/>
      <c r="FYJ252" s="9"/>
      <c r="FYK252" s="9"/>
      <c r="FYL252" s="9"/>
      <c r="FYM252" s="9"/>
      <c r="FYN252" s="9"/>
      <c r="FYO252" s="9"/>
      <c r="FYP252" s="9"/>
      <c r="FYQ252" s="9"/>
      <c r="FYR252" s="9"/>
      <c r="FYS252" s="9"/>
      <c r="FYT252" s="9"/>
      <c r="FYU252" s="9"/>
      <c r="FYV252" s="9"/>
      <c r="FYW252" s="9"/>
      <c r="FYX252" s="9"/>
      <c r="FYY252" s="9"/>
      <c r="FYZ252" s="9"/>
      <c r="FZA252" s="9"/>
      <c r="FZB252" s="9"/>
      <c r="FZC252" s="9"/>
      <c r="FZD252" s="9"/>
      <c r="FZE252" s="9"/>
      <c r="FZF252" s="9"/>
      <c r="FZG252" s="9"/>
      <c r="FZH252" s="9"/>
      <c r="FZI252" s="9"/>
      <c r="FZJ252" s="9"/>
      <c r="FZK252" s="9"/>
      <c r="FZL252" s="9"/>
      <c r="FZM252" s="9"/>
      <c r="FZN252" s="9"/>
      <c r="FZO252" s="9"/>
      <c r="FZP252" s="9"/>
      <c r="FZQ252" s="9"/>
      <c r="FZR252" s="9"/>
      <c r="FZS252" s="9"/>
      <c r="FZT252" s="9"/>
      <c r="FZU252" s="9"/>
      <c r="FZV252" s="9"/>
      <c r="FZW252" s="9"/>
      <c r="FZX252" s="9"/>
      <c r="FZY252" s="9"/>
      <c r="FZZ252" s="9"/>
      <c r="GAA252" s="9"/>
      <c r="GAB252" s="9"/>
      <c r="GAC252" s="9"/>
      <c r="GAD252" s="9"/>
      <c r="GAE252" s="9"/>
      <c r="GAF252" s="9"/>
      <c r="GAG252" s="9"/>
      <c r="GAH252" s="9"/>
      <c r="GAI252" s="9"/>
      <c r="GAJ252" s="9"/>
      <c r="GAK252" s="9"/>
      <c r="GAL252" s="9"/>
      <c r="GAM252" s="9"/>
      <c r="GAN252" s="9"/>
      <c r="GAO252" s="9"/>
      <c r="GAP252" s="9"/>
      <c r="GAQ252" s="9"/>
      <c r="GAR252" s="9"/>
      <c r="GAS252" s="9"/>
      <c r="GAT252" s="9"/>
      <c r="GAU252" s="9"/>
      <c r="GAV252" s="9"/>
      <c r="GAW252" s="9"/>
      <c r="GAX252" s="9"/>
      <c r="GAY252" s="9"/>
      <c r="GAZ252" s="9"/>
      <c r="GBA252" s="9"/>
      <c r="GBB252" s="9"/>
      <c r="GBC252" s="9"/>
      <c r="GBD252" s="9"/>
      <c r="GBE252" s="9"/>
      <c r="GBF252" s="9"/>
      <c r="GBG252" s="9"/>
      <c r="GBH252" s="9"/>
      <c r="GBI252" s="9"/>
      <c r="GBJ252" s="9"/>
      <c r="GBK252" s="9"/>
      <c r="GBL252" s="9"/>
      <c r="GBM252" s="9"/>
      <c r="GBN252" s="9"/>
      <c r="GBO252" s="9"/>
      <c r="GBP252" s="9"/>
      <c r="GBQ252" s="9"/>
      <c r="GBR252" s="9"/>
      <c r="GBS252" s="9"/>
      <c r="GBT252" s="9"/>
      <c r="GBU252" s="9"/>
      <c r="GBV252" s="9"/>
      <c r="GBW252" s="9"/>
      <c r="GBX252" s="9"/>
      <c r="GBY252" s="9"/>
      <c r="GBZ252" s="9"/>
      <c r="GCA252" s="9"/>
      <c r="GCB252" s="9"/>
      <c r="GCC252" s="9"/>
      <c r="GCD252" s="9"/>
      <c r="GCE252" s="9"/>
      <c r="GCF252" s="9"/>
      <c r="GCG252" s="9"/>
      <c r="GCH252" s="9"/>
      <c r="GCI252" s="9"/>
      <c r="GCJ252" s="9"/>
      <c r="GCK252" s="9"/>
      <c r="GCL252" s="9"/>
      <c r="GCM252" s="9"/>
      <c r="GCN252" s="9"/>
      <c r="GCO252" s="9"/>
      <c r="GCP252" s="9"/>
      <c r="GCQ252" s="9"/>
      <c r="GCR252" s="9"/>
      <c r="GCS252" s="9"/>
      <c r="GCT252" s="9"/>
      <c r="GCU252" s="9"/>
      <c r="GCV252" s="9"/>
      <c r="GCW252" s="9"/>
      <c r="GCX252" s="9"/>
      <c r="GCY252" s="9"/>
      <c r="GCZ252" s="9"/>
      <c r="GDA252" s="9"/>
      <c r="GDB252" s="9"/>
      <c r="GDC252" s="9"/>
      <c r="GDD252" s="9"/>
      <c r="GDE252" s="9"/>
      <c r="GDF252" s="9"/>
      <c r="GDG252" s="9"/>
      <c r="GDH252" s="9"/>
      <c r="GDI252" s="9"/>
      <c r="GDJ252" s="9"/>
      <c r="GDK252" s="9"/>
      <c r="GDL252" s="9"/>
      <c r="GDM252" s="9"/>
      <c r="GDN252" s="9"/>
      <c r="GDO252" s="9"/>
      <c r="GDP252" s="9"/>
      <c r="GDQ252" s="9"/>
      <c r="GDR252" s="9"/>
      <c r="GDS252" s="9"/>
      <c r="GDT252" s="9"/>
      <c r="GDU252" s="9"/>
      <c r="GDV252" s="9"/>
      <c r="GDW252" s="9"/>
      <c r="GDX252" s="9"/>
      <c r="GDY252" s="9"/>
      <c r="GDZ252" s="9"/>
      <c r="GEA252" s="9"/>
      <c r="GEB252" s="9"/>
      <c r="GEC252" s="9"/>
      <c r="GED252" s="9"/>
      <c r="GEE252" s="9"/>
      <c r="GEF252" s="9"/>
      <c r="GEG252" s="9"/>
      <c r="GEH252" s="9"/>
      <c r="GEI252" s="9"/>
      <c r="GEJ252" s="9"/>
      <c r="GEK252" s="9"/>
      <c r="GEL252" s="9"/>
      <c r="GEM252" s="9"/>
      <c r="GEN252" s="9"/>
      <c r="GEO252" s="9"/>
      <c r="GEP252" s="9"/>
      <c r="GEQ252" s="9"/>
      <c r="GER252" s="9"/>
      <c r="GES252" s="9"/>
      <c r="GET252" s="9"/>
      <c r="GEU252" s="9"/>
      <c r="GEV252" s="9"/>
      <c r="GEW252" s="9"/>
      <c r="GEX252" s="9"/>
      <c r="GEY252" s="9"/>
      <c r="GEZ252" s="9"/>
      <c r="GFA252" s="9"/>
      <c r="GFB252" s="9"/>
      <c r="GFC252" s="9"/>
      <c r="GFD252" s="9"/>
      <c r="GFE252" s="9"/>
      <c r="GFF252" s="9"/>
      <c r="GFG252" s="9"/>
      <c r="GFH252" s="9"/>
      <c r="GFI252" s="9"/>
      <c r="GFJ252" s="9"/>
      <c r="GFK252" s="9"/>
      <c r="GFL252" s="9"/>
      <c r="GFM252" s="9"/>
      <c r="GFN252" s="9"/>
      <c r="GFO252" s="9"/>
      <c r="GFP252" s="9"/>
      <c r="GFQ252" s="9"/>
      <c r="GFR252" s="9"/>
      <c r="GFS252" s="9"/>
      <c r="GFT252" s="9"/>
      <c r="GFU252" s="9"/>
      <c r="GFV252" s="9"/>
      <c r="GFW252" s="9"/>
      <c r="GFX252" s="9"/>
      <c r="GFY252" s="9"/>
      <c r="GFZ252" s="9"/>
      <c r="GGA252" s="9"/>
      <c r="GGB252" s="9"/>
      <c r="GGC252" s="9"/>
      <c r="GGD252" s="9"/>
      <c r="GGE252" s="9"/>
      <c r="GGF252" s="9"/>
      <c r="GGG252" s="9"/>
      <c r="GGH252" s="9"/>
      <c r="GGI252" s="9"/>
      <c r="GGJ252" s="9"/>
      <c r="GGK252" s="9"/>
      <c r="GGL252" s="9"/>
      <c r="GGM252" s="9"/>
      <c r="GGN252" s="9"/>
      <c r="GGO252" s="9"/>
      <c r="GGP252" s="9"/>
      <c r="GGQ252" s="9"/>
      <c r="GGR252" s="9"/>
      <c r="GGS252" s="9"/>
      <c r="GGT252" s="9"/>
      <c r="GGU252" s="9"/>
      <c r="GGV252" s="9"/>
      <c r="GGW252" s="9"/>
      <c r="GGX252" s="9"/>
      <c r="GGY252" s="9"/>
      <c r="GGZ252" s="9"/>
      <c r="GHA252" s="9"/>
      <c r="GHB252" s="9"/>
      <c r="GHC252" s="9"/>
      <c r="GHD252" s="9"/>
      <c r="GHE252" s="9"/>
      <c r="GHF252" s="9"/>
      <c r="GHG252" s="9"/>
      <c r="GHH252" s="9"/>
      <c r="GHI252" s="9"/>
      <c r="GHJ252" s="9"/>
      <c r="GHK252" s="9"/>
      <c r="GHL252" s="9"/>
      <c r="GHM252" s="9"/>
      <c r="GHN252" s="9"/>
      <c r="GHO252" s="9"/>
      <c r="GHP252" s="9"/>
      <c r="GHQ252" s="9"/>
      <c r="GHR252" s="9"/>
      <c r="GHS252" s="9"/>
      <c r="GHT252" s="9"/>
      <c r="GHU252" s="9"/>
      <c r="GHV252" s="9"/>
      <c r="GHW252" s="9"/>
      <c r="GHX252" s="9"/>
      <c r="GHY252" s="9"/>
      <c r="GHZ252" s="9"/>
      <c r="GIA252" s="9"/>
      <c r="GIB252" s="9"/>
      <c r="GIC252" s="9"/>
      <c r="GID252" s="9"/>
      <c r="GIE252" s="9"/>
      <c r="GIF252" s="9"/>
      <c r="GIG252" s="9"/>
      <c r="GIH252" s="9"/>
      <c r="GII252" s="9"/>
      <c r="GIJ252" s="9"/>
      <c r="GIK252" s="9"/>
      <c r="GIL252" s="9"/>
      <c r="GIM252" s="9"/>
      <c r="GIN252" s="9"/>
      <c r="GIO252" s="9"/>
      <c r="GIP252" s="9"/>
      <c r="GIQ252" s="9"/>
      <c r="GIR252" s="9"/>
      <c r="GIS252" s="9"/>
      <c r="GIT252" s="9"/>
      <c r="GIU252" s="9"/>
      <c r="GIV252" s="9"/>
      <c r="GIW252" s="9"/>
      <c r="GIX252" s="9"/>
      <c r="GIY252" s="9"/>
      <c r="GIZ252" s="9"/>
      <c r="GJA252" s="9"/>
      <c r="GJB252" s="9"/>
      <c r="GJC252" s="9"/>
      <c r="GJD252" s="9"/>
      <c r="GJE252" s="9"/>
      <c r="GJF252" s="9"/>
      <c r="GJG252" s="9"/>
      <c r="GJH252" s="9"/>
      <c r="GJI252" s="9"/>
      <c r="GJJ252" s="9"/>
      <c r="GJK252" s="9"/>
      <c r="GJL252" s="9"/>
      <c r="GJM252" s="9"/>
      <c r="GJN252" s="9"/>
      <c r="GJO252" s="9"/>
      <c r="GJP252" s="9"/>
      <c r="GJQ252" s="9"/>
      <c r="GJR252" s="9"/>
      <c r="GJS252" s="9"/>
      <c r="GJT252" s="9"/>
      <c r="GJU252" s="9"/>
      <c r="GJV252" s="9"/>
      <c r="GJW252" s="9"/>
      <c r="GJX252" s="9"/>
      <c r="GJY252" s="9"/>
      <c r="GJZ252" s="9"/>
      <c r="GKA252" s="9"/>
      <c r="GKB252" s="9"/>
      <c r="GKC252" s="9"/>
      <c r="GKD252" s="9"/>
      <c r="GKE252" s="9"/>
      <c r="GKF252" s="9"/>
      <c r="GKG252" s="9"/>
      <c r="GKH252" s="9"/>
      <c r="GKI252" s="9"/>
      <c r="GKJ252" s="9"/>
      <c r="GKK252" s="9"/>
      <c r="GKL252" s="9"/>
      <c r="GKM252" s="9"/>
      <c r="GKN252" s="9"/>
      <c r="GKO252" s="9"/>
      <c r="GKP252" s="9"/>
      <c r="GKQ252" s="9"/>
      <c r="GKR252" s="9"/>
      <c r="GKS252" s="9"/>
      <c r="GKT252" s="9"/>
      <c r="GKU252" s="9"/>
      <c r="GKV252" s="9"/>
      <c r="GKW252" s="9"/>
      <c r="GKX252" s="9"/>
      <c r="GKY252" s="9"/>
      <c r="GKZ252" s="9"/>
      <c r="GLA252" s="9"/>
      <c r="GLB252" s="9"/>
      <c r="GLC252" s="9"/>
      <c r="GLD252" s="9"/>
      <c r="GLE252" s="9"/>
      <c r="GLF252" s="9"/>
      <c r="GLG252" s="9"/>
      <c r="GLH252" s="9"/>
      <c r="GLI252" s="9"/>
      <c r="GLJ252" s="9"/>
      <c r="GLK252" s="9"/>
      <c r="GLL252" s="9"/>
      <c r="GLM252" s="9"/>
      <c r="GLN252" s="9"/>
      <c r="GLO252" s="9"/>
      <c r="GLP252" s="9"/>
      <c r="GLQ252" s="9"/>
      <c r="GLR252" s="9"/>
      <c r="GLS252" s="9"/>
      <c r="GLT252" s="9"/>
      <c r="GLU252" s="9"/>
      <c r="GLV252" s="9"/>
      <c r="GLW252" s="9"/>
      <c r="GLX252" s="9"/>
      <c r="GLY252" s="9"/>
      <c r="GLZ252" s="9"/>
      <c r="GMA252" s="9"/>
      <c r="GMB252" s="9"/>
      <c r="GMC252" s="9"/>
      <c r="GMD252" s="9"/>
      <c r="GME252" s="9"/>
      <c r="GMF252" s="9"/>
      <c r="GMG252" s="9"/>
      <c r="GMH252" s="9"/>
      <c r="GMI252" s="9"/>
      <c r="GMJ252" s="9"/>
      <c r="GMK252" s="9"/>
      <c r="GML252" s="9"/>
      <c r="GMM252" s="9"/>
      <c r="GMN252" s="9"/>
      <c r="GMO252" s="9"/>
      <c r="GMP252" s="9"/>
      <c r="GMQ252" s="9"/>
      <c r="GMR252" s="9"/>
      <c r="GMS252" s="9"/>
      <c r="GMT252" s="9"/>
      <c r="GMU252" s="9"/>
      <c r="GMV252" s="9"/>
      <c r="GMW252" s="9"/>
      <c r="GMX252" s="9"/>
      <c r="GMY252" s="9"/>
      <c r="GMZ252" s="9"/>
      <c r="GNA252" s="9"/>
      <c r="GNB252" s="9"/>
      <c r="GNC252" s="9"/>
      <c r="GND252" s="9"/>
      <c r="GNE252" s="9"/>
      <c r="GNF252" s="9"/>
      <c r="GNG252" s="9"/>
      <c r="GNH252" s="9"/>
      <c r="GNI252" s="9"/>
      <c r="GNJ252" s="9"/>
      <c r="GNK252" s="9"/>
      <c r="GNL252" s="9"/>
      <c r="GNM252" s="9"/>
      <c r="GNN252" s="9"/>
      <c r="GNO252" s="9"/>
      <c r="GNP252" s="9"/>
      <c r="GNQ252" s="9"/>
      <c r="GNR252" s="9"/>
      <c r="GNS252" s="9"/>
      <c r="GNT252" s="9"/>
      <c r="GNU252" s="9"/>
      <c r="GNV252" s="9"/>
      <c r="GNW252" s="9"/>
      <c r="GNX252" s="9"/>
      <c r="GNY252" s="9"/>
      <c r="GNZ252" s="9"/>
      <c r="GOA252" s="9"/>
      <c r="GOB252" s="9"/>
      <c r="GOC252" s="9"/>
      <c r="GOD252" s="9"/>
      <c r="GOE252" s="9"/>
      <c r="GOF252" s="9"/>
      <c r="GOG252" s="9"/>
      <c r="GOH252" s="9"/>
      <c r="GOI252" s="9"/>
      <c r="GOJ252" s="9"/>
      <c r="GOK252" s="9"/>
      <c r="GOL252" s="9"/>
      <c r="GOM252" s="9"/>
      <c r="GON252" s="9"/>
      <c r="GOO252" s="9"/>
      <c r="GOP252" s="9"/>
      <c r="GOQ252" s="9"/>
      <c r="GOR252" s="9"/>
      <c r="GOS252" s="9"/>
      <c r="GOT252" s="9"/>
      <c r="GOU252" s="9"/>
      <c r="GOV252" s="9"/>
      <c r="GOW252" s="9"/>
      <c r="GOX252" s="9"/>
      <c r="GOY252" s="9"/>
      <c r="GOZ252" s="9"/>
      <c r="GPA252" s="9"/>
      <c r="GPB252" s="9"/>
      <c r="GPC252" s="9"/>
      <c r="GPD252" s="9"/>
      <c r="GPE252" s="9"/>
      <c r="GPF252" s="9"/>
      <c r="GPG252" s="9"/>
      <c r="GPH252" s="9"/>
      <c r="GPI252" s="9"/>
      <c r="GPJ252" s="9"/>
      <c r="GPK252" s="9"/>
      <c r="GPL252" s="9"/>
      <c r="GPM252" s="9"/>
      <c r="GPN252" s="9"/>
      <c r="GPO252" s="9"/>
      <c r="GPP252" s="9"/>
      <c r="GPQ252" s="9"/>
      <c r="GPR252" s="9"/>
      <c r="GPS252" s="9"/>
      <c r="GPT252" s="9"/>
      <c r="GPU252" s="9"/>
      <c r="GPV252" s="9"/>
      <c r="GPW252" s="9"/>
      <c r="GPX252" s="9"/>
      <c r="GPY252" s="9"/>
      <c r="GPZ252" s="9"/>
      <c r="GQA252" s="9"/>
      <c r="GQB252" s="9"/>
      <c r="GQC252" s="9"/>
      <c r="GQD252" s="9"/>
      <c r="GQE252" s="9"/>
      <c r="GQF252" s="9"/>
      <c r="GQG252" s="9"/>
      <c r="GQH252" s="9"/>
      <c r="GQI252" s="9"/>
      <c r="GQJ252" s="9"/>
      <c r="GQK252" s="9"/>
      <c r="GQL252" s="9"/>
      <c r="GQM252" s="9"/>
      <c r="GQN252" s="9"/>
      <c r="GQO252" s="9"/>
      <c r="GQP252" s="9"/>
      <c r="GQQ252" s="9"/>
      <c r="GQR252" s="9"/>
      <c r="GQS252" s="9"/>
      <c r="GQT252" s="9"/>
      <c r="GQU252" s="9"/>
      <c r="GQV252" s="9"/>
      <c r="GQW252" s="9"/>
      <c r="GQX252" s="9"/>
      <c r="GQY252" s="9"/>
      <c r="GQZ252" s="9"/>
      <c r="GRA252" s="9"/>
      <c r="GRB252" s="9"/>
      <c r="GRC252" s="9"/>
      <c r="GRD252" s="9"/>
      <c r="GRE252" s="9"/>
      <c r="GRF252" s="9"/>
      <c r="GRG252" s="9"/>
      <c r="GRH252" s="9"/>
      <c r="GRI252" s="9"/>
      <c r="GRJ252" s="9"/>
      <c r="GRK252" s="9"/>
      <c r="GRL252" s="9"/>
      <c r="GRM252" s="9"/>
      <c r="GRN252" s="9"/>
      <c r="GRO252" s="9"/>
      <c r="GRP252" s="9"/>
      <c r="GRQ252" s="9"/>
      <c r="GRR252" s="9"/>
      <c r="GRS252" s="9"/>
      <c r="GRT252" s="9"/>
      <c r="GRU252" s="9"/>
      <c r="GRV252" s="9"/>
      <c r="GRW252" s="9"/>
      <c r="GRX252" s="9"/>
      <c r="GRY252" s="9"/>
      <c r="GRZ252" s="9"/>
      <c r="GSA252" s="9"/>
      <c r="GSB252" s="9"/>
      <c r="GSC252" s="9"/>
      <c r="GSD252" s="9"/>
      <c r="GSE252" s="9"/>
      <c r="GSF252" s="9"/>
      <c r="GSG252" s="9"/>
      <c r="GSH252" s="9"/>
      <c r="GSI252" s="9"/>
      <c r="GSJ252" s="9"/>
      <c r="GSK252" s="9"/>
      <c r="GSL252" s="9"/>
      <c r="GSM252" s="9"/>
      <c r="GSN252" s="9"/>
      <c r="GSO252" s="9"/>
      <c r="GSP252" s="9"/>
      <c r="GSQ252" s="9"/>
      <c r="GSR252" s="9"/>
      <c r="GSS252" s="9"/>
      <c r="GST252" s="9"/>
      <c r="GSU252" s="9"/>
      <c r="GSV252" s="9"/>
      <c r="GSW252" s="9"/>
      <c r="GSX252" s="9"/>
      <c r="GSY252" s="9"/>
      <c r="GSZ252" s="9"/>
      <c r="GTA252" s="9"/>
      <c r="GTB252" s="9"/>
      <c r="GTC252" s="9"/>
      <c r="GTD252" s="9"/>
      <c r="GTE252" s="9"/>
      <c r="GTF252" s="9"/>
      <c r="GTG252" s="9"/>
      <c r="GTH252" s="9"/>
      <c r="GTI252" s="9"/>
      <c r="GTJ252" s="9"/>
      <c r="GTK252" s="9"/>
      <c r="GTL252" s="9"/>
      <c r="GTM252" s="9"/>
      <c r="GTN252" s="9"/>
      <c r="GTO252" s="9"/>
      <c r="GTP252" s="9"/>
      <c r="GTQ252" s="9"/>
      <c r="GTR252" s="9"/>
      <c r="GTS252" s="9"/>
      <c r="GTT252" s="9"/>
      <c r="GTU252" s="9"/>
      <c r="GTV252" s="9"/>
      <c r="GTW252" s="9"/>
      <c r="GTX252" s="9"/>
      <c r="GTY252" s="9"/>
      <c r="GTZ252" s="9"/>
      <c r="GUA252" s="9"/>
      <c r="GUB252" s="9"/>
      <c r="GUC252" s="9"/>
      <c r="GUD252" s="9"/>
      <c r="GUE252" s="9"/>
      <c r="GUF252" s="9"/>
      <c r="GUG252" s="9"/>
      <c r="GUH252" s="9"/>
      <c r="GUI252" s="9"/>
      <c r="GUJ252" s="9"/>
      <c r="GUK252" s="9"/>
      <c r="GUL252" s="9"/>
      <c r="GUM252" s="9"/>
      <c r="GUN252" s="9"/>
      <c r="GUO252" s="9"/>
      <c r="GUP252" s="9"/>
      <c r="GUQ252" s="9"/>
      <c r="GUR252" s="9"/>
      <c r="GUS252" s="9"/>
      <c r="GUT252" s="9"/>
      <c r="GUU252" s="9"/>
      <c r="GUV252" s="9"/>
      <c r="GUW252" s="9"/>
      <c r="GUX252" s="9"/>
      <c r="GUY252" s="9"/>
      <c r="GUZ252" s="9"/>
      <c r="GVA252" s="9"/>
      <c r="GVB252" s="9"/>
      <c r="GVC252" s="9"/>
      <c r="GVD252" s="9"/>
      <c r="GVE252" s="9"/>
      <c r="GVF252" s="9"/>
      <c r="GVG252" s="9"/>
      <c r="GVH252" s="9"/>
      <c r="GVI252" s="9"/>
      <c r="GVJ252" s="9"/>
      <c r="GVK252" s="9"/>
      <c r="GVL252" s="9"/>
      <c r="GVM252" s="9"/>
      <c r="GVN252" s="9"/>
      <c r="GVO252" s="9"/>
      <c r="GVP252" s="9"/>
      <c r="GVQ252" s="9"/>
      <c r="GVR252" s="9"/>
      <c r="GVS252" s="9"/>
      <c r="GVT252" s="9"/>
      <c r="GVU252" s="9"/>
      <c r="GVV252" s="9"/>
      <c r="GVW252" s="9"/>
      <c r="GVX252" s="9"/>
      <c r="GVY252" s="9"/>
      <c r="GVZ252" s="9"/>
      <c r="GWA252" s="9"/>
      <c r="GWB252" s="9"/>
      <c r="GWC252" s="9"/>
      <c r="GWD252" s="9"/>
      <c r="GWE252" s="9"/>
      <c r="GWF252" s="9"/>
      <c r="GWG252" s="9"/>
      <c r="GWH252" s="9"/>
      <c r="GWI252" s="9"/>
      <c r="GWJ252" s="9"/>
      <c r="GWK252" s="9"/>
      <c r="GWL252" s="9"/>
      <c r="GWM252" s="9"/>
      <c r="GWN252" s="9"/>
      <c r="GWO252" s="9"/>
      <c r="GWP252" s="9"/>
      <c r="GWQ252" s="9"/>
      <c r="GWR252" s="9"/>
      <c r="GWS252" s="9"/>
      <c r="GWT252" s="9"/>
      <c r="GWU252" s="9"/>
      <c r="GWV252" s="9"/>
      <c r="GWW252" s="9"/>
      <c r="GWX252" s="9"/>
      <c r="GWY252" s="9"/>
      <c r="GWZ252" s="9"/>
      <c r="GXA252" s="9"/>
      <c r="GXB252" s="9"/>
      <c r="GXC252" s="9"/>
      <c r="GXD252" s="9"/>
      <c r="GXE252" s="9"/>
      <c r="GXF252" s="9"/>
      <c r="GXG252" s="9"/>
      <c r="GXH252" s="9"/>
      <c r="GXI252" s="9"/>
      <c r="GXJ252" s="9"/>
      <c r="GXK252" s="9"/>
      <c r="GXL252" s="9"/>
      <c r="GXM252" s="9"/>
      <c r="GXN252" s="9"/>
      <c r="GXO252" s="9"/>
      <c r="GXP252" s="9"/>
      <c r="GXQ252" s="9"/>
      <c r="GXR252" s="9"/>
      <c r="GXS252" s="9"/>
      <c r="GXT252" s="9"/>
      <c r="GXU252" s="9"/>
      <c r="GXV252" s="9"/>
      <c r="GXW252" s="9"/>
      <c r="GXX252" s="9"/>
      <c r="GXY252" s="9"/>
      <c r="GXZ252" s="9"/>
      <c r="GYA252" s="9"/>
      <c r="GYB252" s="9"/>
      <c r="GYC252" s="9"/>
      <c r="GYD252" s="9"/>
      <c r="GYE252" s="9"/>
      <c r="GYF252" s="9"/>
      <c r="GYG252" s="9"/>
      <c r="GYH252" s="9"/>
      <c r="GYI252" s="9"/>
      <c r="GYJ252" s="9"/>
      <c r="GYK252" s="9"/>
      <c r="GYL252" s="9"/>
      <c r="GYM252" s="9"/>
      <c r="GYN252" s="9"/>
      <c r="GYO252" s="9"/>
      <c r="GYP252" s="9"/>
      <c r="GYQ252" s="9"/>
      <c r="GYR252" s="9"/>
      <c r="GYS252" s="9"/>
      <c r="GYT252" s="9"/>
      <c r="GYU252" s="9"/>
      <c r="GYV252" s="9"/>
      <c r="GYW252" s="9"/>
      <c r="GYX252" s="9"/>
      <c r="GYY252" s="9"/>
      <c r="GYZ252" s="9"/>
      <c r="GZA252" s="9"/>
      <c r="GZB252" s="9"/>
      <c r="GZC252" s="9"/>
      <c r="GZD252" s="9"/>
      <c r="GZE252" s="9"/>
      <c r="GZF252" s="9"/>
      <c r="GZG252" s="9"/>
      <c r="GZH252" s="9"/>
      <c r="GZI252" s="9"/>
      <c r="GZJ252" s="9"/>
      <c r="GZK252" s="9"/>
      <c r="GZL252" s="9"/>
      <c r="GZM252" s="9"/>
      <c r="GZN252" s="9"/>
      <c r="GZO252" s="9"/>
      <c r="GZP252" s="9"/>
      <c r="GZQ252" s="9"/>
      <c r="GZR252" s="9"/>
      <c r="GZS252" s="9"/>
      <c r="GZT252" s="9"/>
      <c r="GZU252" s="9"/>
      <c r="GZV252" s="9"/>
      <c r="GZW252" s="9"/>
      <c r="GZX252" s="9"/>
      <c r="GZY252" s="9"/>
      <c r="GZZ252" s="9"/>
      <c r="HAA252" s="9"/>
      <c r="HAB252" s="9"/>
      <c r="HAC252" s="9"/>
      <c r="HAD252" s="9"/>
      <c r="HAE252" s="9"/>
      <c r="HAF252" s="9"/>
      <c r="HAG252" s="9"/>
      <c r="HAH252" s="9"/>
      <c r="HAI252" s="9"/>
      <c r="HAJ252" s="9"/>
      <c r="HAK252" s="9"/>
      <c r="HAL252" s="9"/>
      <c r="HAM252" s="9"/>
      <c r="HAN252" s="9"/>
      <c r="HAO252" s="9"/>
      <c r="HAP252" s="9"/>
      <c r="HAQ252" s="9"/>
      <c r="HAR252" s="9"/>
      <c r="HAS252" s="9"/>
      <c r="HAT252" s="9"/>
      <c r="HAU252" s="9"/>
      <c r="HAV252" s="9"/>
      <c r="HAW252" s="9"/>
      <c r="HAX252" s="9"/>
      <c r="HAY252" s="9"/>
      <c r="HAZ252" s="9"/>
      <c r="HBA252" s="9"/>
      <c r="HBB252" s="9"/>
      <c r="HBC252" s="9"/>
      <c r="HBD252" s="9"/>
      <c r="HBE252" s="9"/>
      <c r="HBF252" s="9"/>
      <c r="HBG252" s="9"/>
      <c r="HBH252" s="9"/>
      <c r="HBI252" s="9"/>
      <c r="HBJ252" s="9"/>
      <c r="HBK252" s="9"/>
      <c r="HBL252" s="9"/>
      <c r="HBM252" s="9"/>
      <c r="HBN252" s="9"/>
      <c r="HBO252" s="9"/>
      <c r="HBP252" s="9"/>
      <c r="HBQ252" s="9"/>
      <c r="HBR252" s="9"/>
      <c r="HBS252" s="9"/>
      <c r="HBT252" s="9"/>
      <c r="HBU252" s="9"/>
      <c r="HBV252" s="9"/>
      <c r="HBW252" s="9"/>
      <c r="HBX252" s="9"/>
      <c r="HBY252" s="9"/>
      <c r="HBZ252" s="9"/>
      <c r="HCA252" s="9"/>
      <c r="HCB252" s="9"/>
      <c r="HCC252" s="9"/>
      <c r="HCD252" s="9"/>
      <c r="HCE252" s="9"/>
      <c r="HCF252" s="9"/>
      <c r="HCG252" s="9"/>
      <c r="HCH252" s="9"/>
      <c r="HCI252" s="9"/>
      <c r="HCJ252" s="9"/>
      <c r="HCK252" s="9"/>
      <c r="HCL252" s="9"/>
      <c r="HCM252" s="9"/>
      <c r="HCN252" s="9"/>
      <c r="HCO252" s="9"/>
      <c r="HCP252" s="9"/>
      <c r="HCQ252" s="9"/>
      <c r="HCR252" s="9"/>
      <c r="HCS252" s="9"/>
      <c r="HCT252" s="9"/>
      <c r="HCU252" s="9"/>
      <c r="HCV252" s="9"/>
      <c r="HCW252" s="9"/>
      <c r="HCX252" s="9"/>
      <c r="HCY252" s="9"/>
      <c r="HCZ252" s="9"/>
      <c r="HDA252" s="9"/>
      <c r="HDB252" s="9"/>
      <c r="HDC252" s="9"/>
      <c r="HDD252" s="9"/>
      <c r="HDE252" s="9"/>
      <c r="HDF252" s="9"/>
      <c r="HDG252" s="9"/>
      <c r="HDH252" s="9"/>
      <c r="HDI252" s="9"/>
      <c r="HDJ252" s="9"/>
      <c r="HDK252" s="9"/>
      <c r="HDL252" s="9"/>
      <c r="HDM252" s="9"/>
      <c r="HDN252" s="9"/>
      <c r="HDO252" s="9"/>
      <c r="HDP252" s="9"/>
      <c r="HDQ252" s="9"/>
      <c r="HDR252" s="9"/>
      <c r="HDS252" s="9"/>
      <c r="HDT252" s="9"/>
      <c r="HDU252" s="9"/>
      <c r="HDV252" s="9"/>
      <c r="HDW252" s="9"/>
      <c r="HDX252" s="9"/>
      <c r="HDY252" s="9"/>
      <c r="HDZ252" s="9"/>
      <c r="HEA252" s="9"/>
      <c r="HEB252" s="9"/>
      <c r="HEC252" s="9"/>
      <c r="HED252" s="9"/>
      <c r="HEE252" s="9"/>
      <c r="HEF252" s="9"/>
      <c r="HEG252" s="9"/>
      <c r="HEH252" s="9"/>
      <c r="HEI252" s="9"/>
      <c r="HEJ252" s="9"/>
      <c r="HEK252" s="9"/>
      <c r="HEL252" s="9"/>
      <c r="HEM252" s="9"/>
      <c r="HEN252" s="9"/>
      <c r="HEO252" s="9"/>
      <c r="HEP252" s="9"/>
      <c r="HEQ252" s="9"/>
      <c r="HER252" s="9"/>
      <c r="HES252" s="9"/>
      <c r="HET252" s="9"/>
      <c r="HEU252" s="9"/>
      <c r="HEV252" s="9"/>
      <c r="HEW252" s="9"/>
      <c r="HEX252" s="9"/>
      <c r="HEY252" s="9"/>
      <c r="HEZ252" s="9"/>
      <c r="HFA252" s="9"/>
      <c r="HFB252" s="9"/>
      <c r="HFC252" s="9"/>
      <c r="HFD252" s="9"/>
      <c r="HFE252" s="9"/>
      <c r="HFF252" s="9"/>
      <c r="HFG252" s="9"/>
      <c r="HFH252" s="9"/>
      <c r="HFI252" s="9"/>
      <c r="HFJ252" s="9"/>
      <c r="HFK252" s="9"/>
      <c r="HFL252" s="9"/>
      <c r="HFM252" s="9"/>
      <c r="HFN252" s="9"/>
      <c r="HFO252" s="9"/>
      <c r="HFP252" s="9"/>
      <c r="HFQ252" s="9"/>
      <c r="HFR252" s="9"/>
      <c r="HFS252" s="9"/>
      <c r="HFT252" s="9"/>
      <c r="HFU252" s="9"/>
      <c r="HFV252" s="9"/>
      <c r="HFW252" s="9"/>
      <c r="HFX252" s="9"/>
      <c r="HFY252" s="9"/>
      <c r="HFZ252" s="9"/>
      <c r="HGA252" s="9"/>
      <c r="HGB252" s="9"/>
      <c r="HGC252" s="9"/>
      <c r="HGD252" s="9"/>
      <c r="HGE252" s="9"/>
      <c r="HGF252" s="9"/>
      <c r="HGG252" s="9"/>
      <c r="HGH252" s="9"/>
      <c r="HGI252" s="9"/>
      <c r="HGJ252" s="9"/>
      <c r="HGK252" s="9"/>
      <c r="HGL252" s="9"/>
      <c r="HGM252" s="9"/>
      <c r="HGN252" s="9"/>
      <c r="HGO252" s="9"/>
      <c r="HGP252" s="9"/>
      <c r="HGQ252" s="9"/>
      <c r="HGR252" s="9"/>
      <c r="HGS252" s="9"/>
      <c r="HGT252" s="9"/>
      <c r="HGU252" s="9"/>
      <c r="HGV252" s="9"/>
      <c r="HGW252" s="9"/>
      <c r="HGX252" s="9"/>
      <c r="HGY252" s="9"/>
      <c r="HGZ252" s="9"/>
      <c r="HHA252" s="9"/>
      <c r="HHB252" s="9"/>
      <c r="HHC252" s="9"/>
      <c r="HHD252" s="9"/>
      <c r="HHE252" s="9"/>
      <c r="HHF252" s="9"/>
      <c r="HHG252" s="9"/>
      <c r="HHH252" s="9"/>
      <c r="HHI252" s="9"/>
      <c r="HHJ252" s="9"/>
      <c r="HHK252" s="9"/>
      <c r="HHL252" s="9"/>
      <c r="HHM252" s="9"/>
      <c r="HHN252" s="9"/>
      <c r="HHO252" s="9"/>
      <c r="HHP252" s="9"/>
      <c r="HHQ252" s="9"/>
      <c r="HHR252" s="9"/>
      <c r="HHS252" s="9"/>
      <c r="HHT252" s="9"/>
      <c r="HHU252" s="9"/>
      <c r="HHV252" s="9"/>
      <c r="HHW252" s="9"/>
      <c r="HHX252" s="9"/>
      <c r="HHY252" s="9"/>
      <c r="HHZ252" s="9"/>
      <c r="HIA252" s="9"/>
      <c r="HIB252" s="9"/>
      <c r="HIC252" s="9"/>
      <c r="HID252" s="9"/>
      <c r="HIE252" s="9"/>
      <c r="HIF252" s="9"/>
      <c r="HIG252" s="9"/>
      <c r="HIH252" s="9"/>
      <c r="HII252" s="9"/>
      <c r="HIJ252" s="9"/>
      <c r="HIK252" s="9"/>
      <c r="HIL252" s="9"/>
      <c r="HIM252" s="9"/>
      <c r="HIN252" s="9"/>
      <c r="HIO252" s="9"/>
      <c r="HIP252" s="9"/>
      <c r="HIQ252" s="9"/>
      <c r="HIR252" s="9"/>
      <c r="HIS252" s="9"/>
      <c r="HIT252" s="9"/>
      <c r="HIU252" s="9"/>
      <c r="HIV252" s="9"/>
      <c r="HIW252" s="9"/>
      <c r="HIX252" s="9"/>
      <c r="HIY252" s="9"/>
      <c r="HIZ252" s="9"/>
      <c r="HJA252" s="9"/>
      <c r="HJB252" s="9"/>
      <c r="HJC252" s="9"/>
      <c r="HJD252" s="9"/>
      <c r="HJE252" s="9"/>
      <c r="HJF252" s="9"/>
      <c r="HJG252" s="9"/>
      <c r="HJH252" s="9"/>
      <c r="HJI252" s="9"/>
      <c r="HJJ252" s="9"/>
      <c r="HJK252" s="9"/>
      <c r="HJL252" s="9"/>
      <c r="HJM252" s="9"/>
      <c r="HJN252" s="9"/>
      <c r="HJO252" s="9"/>
      <c r="HJP252" s="9"/>
      <c r="HJQ252" s="9"/>
      <c r="HJR252" s="9"/>
      <c r="HJS252" s="9"/>
      <c r="HJT252" s="9"/>
      <c r="HJU252" s="9"/>
      <c r="HJV252" s="9"/>
      <c r="HJW252" s="9"/>
      <c r="HJX252" s="9"/>
      <c r="HJY252" s="9"/>
      <c r="HJZ252" s="9"/>
      <c r="HKA252" s="9"/>
      <c r="HKB252" s="9"/>
      <c r="HKC252" s="9"/>
      <c r="HKD252" s="9"/>
      <c r="HKE252" s="9"/>
      <c r="HKF252" s="9"/>
      <c r="HKG252" s="9"/>
      <c r="HKH252" s="9"/>
      <c r="HKI252" s="9"/>
      <c r="HKJ252" s="9"/>
      <c r="HKK252" s="9"/>
      <c r="HKL252" s="9"/>
      <c r="HKM252" s="9"/>
      <c r="HKN252" s="9"/>
      <c r="HKO252" s="9"/>
      <c r="HKP252" s="9"/>
      <c r="HKQ252" s="9"/>
      <c r="HKR252" s="9"/>
      <c r="HKS252" s="9"/>
      <c r="HKT252" s="9"/>
      <c r="HKU252" s="9"/>
      <c r="HKV252" s="9"/>
      <c r="HKW252" s="9"/>
      <c r="HKX252" s="9"/>
      <c r="HKY252" s="9"/>
      <c r="HKZ252" s="9"/>
      <c r="HLA252" s="9"/>
      <c r="HLB252" s="9"/>
      <c r="HLC252" s="9"/>
      <c r="HLD252" s="9"/>
      <c r="HLE252" s="9"/>
      <c r="HLF252" s="9"/>
      <c r="HLG252" s="9"/>
      <c r="HLH252" s="9"/>
      <c r="HLI252" s="9"/>
      <c r="HLJ252" s="9"/>
      <c r="HLK252" s="9"/>
      <c r="HLL252" s="9"/>
      <c r="HLM252" s="9"/>
      <c r="HLN252" s="9"/>
      <c r="HLO252" s="9"/>
      <c r="HLP252" s="9"/>
      <c r="HLQ252" s="9"/>
      <c r="HLR252" s="9"/>
      <c r="HLS252" s="9"/>
      <c r="HLT252" s="9"/>
      <c r="HLU252" s="9"/>
      <c r="HLV252" s="9"/>
      <c r="HLW252" s="9"/>
      <c r="HLX252" s="9"/>
      <c r="HLY252" s="9"/>
      <c r="HLZ252" s="9"/>
      <c r="HMA252" s="9"/>
      <c r="HMB252" s="9"/>
      <c r="HMC252" s="9"/>
      <c r="HMD252" s="9"/>
      <c r="HME252" s="9"/>
      <c r="HMF252" s="9"/>
      <c r="HMG252" s="9"/>
      <c r="HMH252" s="9"/>
      <c r="HMI252" s="9"/>
      <c r="HMJ252" s="9"/>
      <c r="HMK252" s="9"/>
      <c r="HML252" s="9"/>
      <c r="HMM252" s="9"/>
      <c r="HMN252" s="9"/>
      <c r="HMO252" s="9"/>
      <c r="HMP252" s="9"/>
      <c r="HMQ252" s="9"/>
      <c r="HMR252" s="9"/>
      <c r="HMS252" s="9"/>
      <c r="HMT252" s="9"/>
      <c r="HMU252" s="9"/>
      <c r="HMV252" s="9"/>
      <c r="HMW252" s="9"/>
      <c r="HMX252" s="9"/>
      <c r="HMY252" s="9"/>
      <c r="HMZ252" s="9"/>
      <c r="HNA252" s="9"/>
      <c r="HNB252" s="9"/>
      <c r="HNC252" s="9"/>
      <c r="HND252" s="9"/>
      <c r="HNE252" s="9"/>
      <c r="HNF252" s="9"/>
      <c r="HNG252" s="9"/>
      <c r="HNH252" s="9"/>
      <c r="HNI252" s="9"/>
      <c r="HNJ252" s="9"/>
      <c r="HNK252" s="9"/>
      <c r="HNL252" s="9"/>
      <c r="HNM252" s="9"/>
      <c r="HNN252" s="9"/>
      <c r="HNO252" s="9"/>
      <c r="HNP252" s="9"/>
      <c r="HNQ252" s="9"/>
      <c r="HNR252" s="9"/>
      <c r="HNS252" s="9"/>
      <c r="HNT252" s="9"/>
      <c r="HNU252" s="9"/>
      <c r="HNV252" s="9"/>
      <c r="HNW252" s="9"/>
      <c r="HNX252" s="9"/>
      <c r="HNY252" s="9"/>
      <c r="HNZ252" s="9"/>
      <c r="HOA252" s="9"/>
      <c r="HOB252" s="9"/>
      <c r="HOC252" s="9"/>
      <c r="HOD252" s="9"/>
      <c r="HOE252" s="9"/>
      <c r="HOF252" s="9"/>
      <c r="HOG252" s="9"/>
      <c r="HOH252" s="9"/>
      <c r="HOI252" s="9"/>
      <c r="HOJ252" s="9"/>
      <c r="HOK252" s="9"/>
      <c r="HOL252" s="9"/>
      <c r="HOM252" s="9"/>
      <c r="HON252" s="9"/>
      <c r="HOO252" s="9"/>
      <c r="HOP252" s="9"/>
      <c r="HOQ252" s="9"/>
      <c r="HOR252" s="9"/>
      <c r="HOS252" s="9"/>
      <c r="HOT252" s="9"/>
      <c r="HOU252" s="9"/>
      <c r="HOV252" s="9"/>
      <c r="HOW252" s="9"/>
      <c r="HOX252" s="9"/>
      <c r="HOY252" s="9"/>
      <c r="HOZ252" s="9"/>
      <c r="HPA252" s="9"/>
      <c r="HPB252" s="9"/>
      <c r="HPC252" s="9"/>
      <c r="HPD252" s="9"/>
      <c r="HPE252" s="9"/>
      <c r="HPF252" s="9"/>
      <c r="HPG252" s="9"/>
      <c r="HPH252" s="9"/>
      <c r="HPI252" s="9"/>
      <c r="HPJ252" s="9"/>
      <c r="HPK252" s="9"/>
      <c r="HPL252" s="9"/>
      <c r="HPM252" s="9"/>
      <c r="HPN252" s="9"/>
      <c r="HPO252" s="9"/>
      <c r="HPP252" s="9"/>
      <c r="HPQ252" s="9"/>
      <c r="HPR252" s="9"/>
      <c r="HPS252" s="9"/>
      <c r="HPT252" s="9"/>
      <c r="HPU252" s="9"/>
      <c r="HPV252" s="9"/>
      <c r="HPW252" s="9"/>
      <c r="HPX252" s="9"/>
      <c r="HPY252" s="9"/>
      <c r="HPZ252" s="9"/>
      <c r="HQA252" s="9"/>
      <c r="HQB252" s="9"/>
      <c r="HQC252" s="9"/>
      <c r="HQD252" s="9"/>
      <c r="HQE252" s="9"/>
      <c r="HQF252" s="9"/>
      <c r="HQG252" s="9"/>
      <c r="HQH252" s="9"/>
      <c r="HQI252" s="9"/>
      <c r="HQJ252" s="9"/>
      <c r="HQK252" s="9"/>
      <c r="HQL252" s="9"/>
      <c r="HQM252" s="9"/>
      <c r="HQN252" s="9"/>
      <c r="HQO252" s="9"/>
      <c r="HQP252" s="9"/>
      <c r="HQQ252" s="9"/>
      <c r="HQR252" s="9"/>
      <c r="HQS252" s="9"/>
      <c r="HQT252" s="9"/>
      <c r="HQU252" s="9"/>
      <c r="HQV252" s="9"/>
      <c r="HQW252" s="9"/>
      <c r="HQX252" s="9"/>
      <c r="HQY252" s="9"/>
      <c r="HQZ252" s="9"/>
      <c r="HRA252" s="9"/>
      <c r="HRB252" s="9"/>
      <c r="HRC252" s="9"/>
      <c r="HRD252" s="9"/>
      <c r="HRE252" s="9"/>
      <c r="HRF252" s="9"/>
      <c r="HRG252" s="9"/>
      <c r="HRH252" s="9"/>
      <c r="HRI252" s="9"/>
      <c r="HRJ252" s="9"/>
      <c r="HRK252" s="9"/>
      <c r="HRL252" s="9"/>
      <c r="HRM252" s="9"/>
      <c r="HRN252" s="9"/>
      <c r="HRO252" s="9"/>
      <c r="HRP252" s="9"/>
      <c r="HRQ252" s="9"/>
      <c r="HRR252" s="9"/>
      <c r="HRS252" s="9"/>
      <c r="HRT252" s="9"/>
      <c r="HRU252" s="9"/>
      <c r="HRV252" s="9"/>
      <c r="HRW252" s="9"/>
      <c r="HRX252" s="9"/>
      <c r="HRY252" s="9"/>
      <c r="HRZ252" s="9"/>
      <c r="HSA252" s="9"/>
      <c r="HSB252" s="9"/>
      <c r="HSC252" s="9"/>
      <c r="HSD252" s="9"/>
      <c r="HSE252" s="9"/>
      <c r="HSF252" s="9"/>
      <c r="HSG252" s="9"/>
      <c r="HSH252" s="9"/>
      <c r="HSI252" s="9"/>
      <c r="HSJ252" s="9"/>
      <c r="HSK252" s="9"/>
      <c r="HSL252" s="9"/>
      <c r="HSM252" s="9"/>
      <c r="HSN252" s="9"/>
      <c r="HSO252" s="9"/>
      <c r="HSP252" s="9"/>
      <c r="HSQ252" s="9"/>
      <c r="HSR252" s="9"/>
      <c r="HSS252" s="9"/>
      <c r="HST252" s="9"/>
      <c r="HSU252" s="9"/>
      <c r="HSV252" s="9"/>
      <c r="HSW252" s="9"/>
      <c r="HSX252" s="9"/>
      <c r="HSY252" s="9"/>
      <c r="HSZ252" s="9"/>
      <c r="HTA252" s="9"/>
      <c r="HTB252" s="9"/>
      <c r="HTC252" s="9"/>
      <c r="HTD252" s="9"/>
      <c r="HTE252" s="9"/>
      <c r="HTF252" s="9"/>
      <c r="HTG252" s="9"/>
      <c r="HTH252" s="9"/>
      <c r="HTI252" s="9"/>
      <c r="HTJ252" s="9"/>
      <c r="HTK252" s="9"/>
      <c r="HTL252" s="9"/>
      <c r="HTM252" s="9"/>
      <c r="HTN252" s="9"/>
      <c r="HTO252" s="9"/>
      <c r="HTP252" s="9"/>
      <c r="HTQ252" s="9"/>
      <c r="HTR252" s="9"/>
      <c r="HTS252" s="9"/>
      <c r="HTT252" s="9"/>
      <c r="HTU252" s="9"/>
      <c r="HTV252" s="9"/>
      <c r="HTW252" s="9"/>
      <c r="HTX252" s="9"/>
      <c r="HTY252" s="9"/>
      <c r="HTZ252" s="9"/>
      <c r="HUA252" s="9"/>
      <c r="HUB252" s="9"/>
      <c r="HUC252" s="9"/>
      <c r="HUD252" s="9"/>
      <c r="HUE252" s="9"/>
      <c r="HUF252" s="9"/>
      <c r="HUG252" s="9"/>
      <c r="HUH252" s="9"/>
      <c r="HUI252" s="9"/>
      <c r="HUJ252" s="9"/>
      <c r="HUK252" s="9"/>
      <c r="HUL252" s="9"/>
      <c r="HUM252" s="9"/>
      <c r="HUN252" s="9"/>
      <c r="HUO252" s="9"/>
      <c r="HUP252" s="9"/>
      <c r="HUQ252" s="9"/>
      <c r="HUR252" s="9"/>
      <c r="HUS252" s="9"/>
      <c r="HUT252" s="9"/>
      <c r="HUU252" s="9"/>
      <c r="HUV252" s="9"/>
      <c r="HUW252" s="9"/>
      <c r="HUX252" s="9"/>
      <c r="HUY252" s="9"/>
      <c r="HUZ252" s="9"/>
      <c r="HVA252" s="9"/>
      <c r="HVB252" s="9"/>
      <c r="HVC252" s="9"/>
      <c r="HVD252" s="9"/>
      <c r="HVE252" s="9"/>
      <c r="HVF252" s="9"/>
      <c r="HVG252" s="9"/>
      <c r="HVH252" s="9"/>
      <c r="HVI252" s="9"/>
      <c r="HVJ252" s="9"/>
      <c r="HVK252" s="9"/>
      <c r="HVL252" s="9"/>
      <c r="HVM252" s="9"/>
      <c r="HVN252" s="9"/>
      <c r="HVO252" s="9"/>
      <c r="HVP252" s="9"/>
      <c r="HVQ252" s="9"/>
      <c r="HVR252" s="9"/>
      <c r="HVS252" s="9"/>
      <c r="HVT252" s="9"/>
      <c r="HVU252" s="9"/>
      <c r="HVV252" s="9"/>
      <c r="HVW252" s="9"/>
      <c r="HVX252" s="9"/>
      <c r="HVY252" s="9"/>
      <c r="HVZ252" s="9"/>
      <c r="HWA252" s="9"/>
      <c r="HWB252" s="9"/>
      <c r="HWC252" s="9"/>
      <c r="HWD252" s="9"/>
      <c r="HWE252" s="9"/>
      <c r="HWF252" s="9"/>
      <c r="HWG252" s="9"/>
      <c r="HWH252" s="9"/>
      <c r="HWI252" s="9"/>
      <c r="HWJ252" s="9"/>
      <c r="HWK252" s="9"/>
      <c r="HWL252" s="9"/>
      <c r="HWM252" s="9"/>
      <c r="HWN252" s="9"/>
      <c r="HWO252" s="9"/>
      <c r="HWP252" s="9"/>
      <c r="HWQ252" s="9"/>
      <c r="HWR252" s="9"/>
      <c r="HWS252" s="9"/>
      <c r="HWT252" s="9"/>
      <c r="HWU252" s="9"/>
      <c r="HWV252" s="9"/>
      <c r="HWW252" s="9"/>
      <c r="HWX252" s="9"/>
      <c r="HWY252" s="9"/>
      <c r="HWZ252" s="9"/>
      <c r="HXA252" s="9"/>
      <c r="HXB252" s="9"/>
      <c r="HXC252" s="9"/>
      <c r="HXD252" s="9"/>
      <c r="HXE252" s="9"/>
      <c r="HXF252" s="9"/>
      <c r="HXG252" s="9"/>
      <c r="HXH252" s="9"/>
      <c r="HXI252" s="9"/>
      <c r="HXJ252" s="9"/>
      <c r="HXK252" s="9"/>
      <c r="HXL252" s="9"/>
      <c r="HXM252" s="9"/>
      <c r="HXN252" s="9"/>
      <c r="HXO252" s="9"/>
      <c r="HXP252" s="9"/>
      <c r="HXQ252" s="9"/>
      <c r="HXR252" s="9"/>
      <c r="HXS252" s="9"/>
      <c r="HXT252" s="9"/>
      <c r="HXU252" s="9"/>
      <c r="HXV252" s="9"/>
      <c r="HXW252" s="9"/>
      <c r="HXX252" s="9"/>
      <c r="HXY252" s="9"/>
      <c r="HXZ252" s="9"/>
      <c r="HYA252" s="9"/>
      <c r="HYB252" s="9"/>
      <c r="HYC252" s="9"/>
      <c r="HYD252" s="9"/>
      <c r="HYE252" s="9"/>
      <c r="HYF252" s="9"/>
      <c r="HYG252" s="9"/>
      <c r="HYH252" s="9"/>
      <c r="HYI252" s="9"/>
      <c r="HYJ252" s="9"/>
      <c r="HYK252" s="9"/>
      <c r="HYL252" s="9"/>
      <c r="HYM252" s="9"/>
      <c r="HYN252" s="9"/>
      <c r="HYO252" s="9"/>
      <c r="HYP252" s="9"/>
      <c r="HYQ252" s="9"/>
      <c r="HYR252" s="9"/>
      <c r="HYS252" s="9"/>
      <c r="HYT252" s="9"/>
      <c r="HYU252" s="9"/>
      <c r="HYV252" s="9"/>
      <c r="HYW252" s="9"/>
      <c r="HYX252" s="9"/>
      <c r="HYY252" s="9"/>
      <c r="HYZ252" s="9"/>
      <c r="HZA252" s="9"/>
      <c r="HZB252" s="9"/>
      <c r="HZC252" s="9"/>
      <c r="HZD252" s="9"/>
      <c r="HZE252" s="9"/>
      <c r="HZF252" s="9"/>
      <c r="HZG252" s="9"/>
      <c r="HZH252" s="9"/>
      <c r="HZI252" s="9"/>
      <c r="HZJ252" s="9"/>
      <c r="HZK252" s="9"/>
      <c r="HZL252" s="9"/>
      <c r="HZM252" s="9"/>
      <c r="HZN252" s="9"/>
      <c r="HZO252" s="9"/>
      <c r="HZP252" s="9"/>
      <c r="HZQ252" s="9"/>
      <c r="HZR252" s="9"/>
      <c r="HZS252" s="9"/>
      <c r="HZT252" s="9"/>
      <c r="HZU252" s="9"/>
      <c r="HZV252" s="9"/>
      <c r="HZW252" s="9"/>
      <c r="HZX252" s="9"/>
      <c r="HZY252" s="9"/>
      <c r="HZZ252" s="9"/>
      <c r="IAA252" s="9"/>
      <c r="IAB252" s="9"/>
      <c r="IAC252" s="9"/>
      <c r="IAD252" s="9"/>
      <c r="IAE252" s="9"/>
      <c r="IAF252" s="9"/>
      <c r="IAG252" s="9"/>
      <c r="IAH252" s="9"/>
      <c r="IAI252" s="9"/>
      <c r="IAJ252" s="9"/>
      <c r="IAK252" s="9"/>
      <c r="IAL252" s="9"/>
      <c r="IAM252" s="9"/>
      <c r="IAN252" s="9"/>
      <c r="IAO252" s="9"/>
      <c r="IAP252" s="9"/>
      <c r="IAQ252" s="9"/>
      <c r="IAR252" s="9"/>
      <c r="IAS252" s="9"/>
      <c r="IAT252" s="9"/>
      <c r="IAU252" s="9"/>
      <c r="IAV252" s="9"/>
      <c r="IAW252" s="9"/>
      <c r="IAX252" s="9"/>
      <c r="IAY252" s="9"/>
      <c r="IAZ252" s="9"/>
      <c r="IBA252" s="9"/>
      <c r="IBB252" s="9"/>
      <c r="IBC252" s="9"/>
      <c r="IBD252" s="9"/>
      <c r="IBE252" s="9"/>
      <c r="IBF252" s="9"/>
      <c r="IBG252" s="9"/>
      <c r="IBH252" s="9"/>
      <c r="IBI252" s="9"/>
      <c r="IBJ252" s="9"/>
      <c r="IBK252" s="9"/>
      <c r="IBL252" s="9"/>
      <c r="IBM252" s="9"/>
      <c r="IBN252" s="9"/>
      <c r="IBO252" s="9"/>
      <c r="IBP252" s="9"/>
      <c r="IBQ252" s="9"/>
      <c r="IBR252" s="9"/>
      <c r="IBS252" s="9"/>
      <c r="IBT252" s="9"/>
      <c r="IBU252" s="9"/>
      <c r="IBV252" s="9"/>
      <c r="IBW252" s="9"/>
      <c r="IBX252" s="9"/>
      <c r="IBY252" s="9"/>
      <c r="IBZ252" s="9"/>
      <c r="ICA252" s="9"/>
      <c r="ICB252" s="9"/>
      <c r="ICC252" s="9"/>
      <c r="ICD252" s="9"/>
      <c r="ICE252" s="9"/>
      <c r="ICF252" s="9"/>
      <c r="ICG252" s="9"/>
      <c r="ICH252" s="9"/>
      <c r="ICI252" s="9"/>
      <c r="ICJ252" s="9"/>
      <c r="ICK252" s="9"/>
      <c r="ICL252" s="9"/>
      <c r="ICM252" s="9"/>
      <c r="ICN252" s="9"/>
      <c r="ICO252" s="9"/>
      <c r="ICP252" s="9"/>
      <c r="ICQ252" s="9"/>
      <c r="ICR252" s="9"/>
      <c r="ICS252" s="9"/>
      <c r="ICT252" s="9"/>
      <c r="ICU252" s="9"/>
      <c r="ICV252" s="9"/>
      <c r="ICW252" s="9"/>
      <c r="ICX252" s="9"/>
      <c r="ICY252" s="9"/>
      <c r="ICZ252" s="9"/>
      <c r="IDA252" s="9"/>
      <c r="IDB252" s="9"/>
      <c r="IDC252" s="9"/>
      <c r="IDD252" s="9"/>
      <c r="IDE252" s="9"/>
      <c r="IDF252" s="9"/>
      <c r="IDG252" s="9"/>
      <c r="IDH252" s="9"/>
      <c r="IDI252" s="9"/>
      <c r="IDJ252" s="9"/>
      <c r="IDK252" s="9"/>
      <c r="IDL252" s="9"/>
      <c r="IDM252" s="9"/>
      <c r="IDN252" s="9"/>
      <c r="IDO252" s="9"/>
      <c r="IDP252" s="9"/>
      <c r="IDQ252" s="9"/>
      <c r="IDR252" s="9"/>
      <c r="IDS252" s="9"/>
      <c r="IDT252" s="9"/>
      <c r="IDU252" s="9"/>
      <c r="IDV252" s="9"/>
      <c r="IDW252" s="9"/>
      <c r="IDX252" s="9"/>
      <c r="IDY252" s="9"/>
      <c r="IDZ252" s="9"/>
      <c r="IEA252" s="9"/>
      <c r="IEB252" s="9"/>
      <c r="IEC252" s="9"/>
      <c r="IED252" s="9"/>
      <c r="IEE252" s="9"/>
      <c r="IEF252" s="9"/>
      <c r="IEG252" s="9"/>
      <c r="IEH252" s="9"/>
      <c r="IEI252" s="9"/>
      <c r="IEJ252" s="9"/>
      <c r="IEK252" s="9"/>
      <c r="IEL252" s="9"/>
      <c r="IEM252" s="9"/>
      <c r="IEN252" s="9"/>
      <c r="IEO252" s="9"/>
      <c r="IEP252" s="9"/>
      <c r="IEQ252" s="9"/>
      <c r="IER252" s="9"/>
      <c r="IES252" s="9"/>
      <c r="IET252" s="9"/>
      <c r="IEU252" s="9"/>
      <c r="IEV252" s="9"/>
      <c r="IEW252" s="9"/>
      <c r="IEX252" s="9"/>
      <c r="IEY252" s="9"/>
      <c r="IEZ252" s="9"/>
      <c r="IFA252" s="9"/>
      <c r="IFB252" s="9"/>
      <c r="IFC252" s="9"/>
      <c r="IFD252" s="9"/>
      <c r="IFE252" s="9"/>
      <c r="IFF252" s="9"/>
      <c r="IFG252" s="9"/>
      <c r="IFH252" s="9"/>
      <c r="IFI252" s="9"/>
      <c r="IFJ252" s="9"/>
      <c r="IFK252" s="9"/>
      <c r="IFL252" s="9"/>
      <c r="IFM252" s="9"/>
      <c r="IFN252" s="9"/>
      <c r="IFO252" s="9"/>
      <c r="IFP252" s="9"/>
      <c r="IFQ252" s="9"/>
      <c r="IFR252" s="9"/>
      <c r="IFS252" s="9"/>
      <c r="IFT252" s="9"/>
      <c r="IFU252" s="9"/>
      <c r="IFV252" s="9"/>
      <c r="IFW252" s="9"/>
      <c r="IFX252" s="9"/>
      <c r="IFY252" s="9"/>
      <c r="IFZ252" s="9"/>
      <c r="IGA252" s="9"/>
      <c r="IGB252" s="9"/>
      <c r="IGC252" s="9"/>
      <c r="IGD252" s="9"/>
      <c r="IGE252" s="9"/>
      <c r="IGF252" s="9"/>
      <c r="IGG252" s="9"/>
      <c r="IGH252" s="9"/>
      <c r="IGI252" s="9"/>
      <c r="IGJ252" s="9"/>
      <c r="IGK252" s="9"/>
      <c r="IGL252" s="9"/>
      <c r="IGM252" s="9"/>
      <c r="IGN252" s="9"/>
      <c r="IGO252" s="9"/>
      <c r="IGP252" s="9"/>
      <c r="IGQ252" s="9"/>
      <c r="IGR252" s="9"/>
      <c r="IGS252" s="9"/>
      <c r="IGT252" s="9"/>
      <c r="IGU252" s="9"/>
      <c r="IGV252" s="9"/>
      <c r="IGW252" s="9"/>
      <c r="IGX252" s="9"/>
      <c r="IGY252" s="9"/>
      <c r="IGZ252" s="9"/>
      <c r="IHA252" s="9"/>
      <c r="IHB252" s="9"/>
      <c r="IHC252" s="9"/>
      <c r="IHD252" s="9"/>
      <c r="IHE252" s="9"/>
      <c r="IHF252" s="9"/>
      <c r="IHG252" s="9"/>
      <c r="IHH252" s="9"/>
      <c r="IHI252" s="9"/>
      <c r="IHJ252" s="9"/>
      <c r="IHK252" s="9"/>
      <c r="IHL252" s="9"/>
      <c r="IHM252" s="9"/>
      <c r="IHN252" s="9"/>
      <c r="IHO252" s="9"/>
      <c r="IHP252" s="9"/>
      <c r="IHQ252" s="9"/>
      <c r="IHR252" s="9"/>
      <c r="IHS252" s="9"/>
      <c r="IHT252" s="9"/>
      <c r="IHU252" s="9"/>
      <c r="IHV252" s="9"/>
      <c r="IHW252" s="9"/>
      <c r="IHX252" s="9"/>
      <c r="IHY252" s="9"/>
      <c r="IHZ252" s="9"/>
      <c r="IIA252" s="9"/>
      <c r="IIB252" s="9"/>
      <c r="IIC252" s="9"/>
      <c r="IID252" s="9"/>
      <c r="IIE252" s="9"/>
      <c r="IIF252" s="9"/>
      <c r="IIG252" s="9"/>
      <c r="IIH252" s="9"/>
      <c r="III252" s="9"/>
      <c r="IIJ252" s="9"/>
      <c r="IIK252" s="9"/>
      <c r="IIL252" s="9"/>
      <c r="IIM252" s="9"/>
      <c r="IIN252" s="9"/>
      <c r="IIO252" s="9"/>
      <c r="IIP252" s="9"/>
      <c r="IIQ252" s="9"/>
      <c r="IIR252" s="9"/>
      <c r="IIS252" s="9"/>
      <c r="IIT252" s="9"/>
      <c r="IIU252" s="9"/>
      <c r="IIV252" s="9"/>
      <c r="IIW252" s="9"/>
      <c r="IIX252" s="9"/>
      <c r="IIY252" s="9"/>
      <c r="IIZ252" s="9"/>
      <c r="IJA252" s="9"/>
      <c r="IJB252" s="9"/>
      <c r="IJC252" s="9"/>
      <c r="IJD252" s="9"/>
      <c r="IJE252" s="9"/>
      <c r="IJF252" s="9"/>
      <c r="IJG252" s="9"/>
      <c r="IJH252" s="9"/>
      <c r="IJI252" s="9"/>
      <c r="IJJ252" s="9"/>
      <c r="IJK252" s="9"/>
      <c r="IJL252" s="9"/>
      <c r="IJM252" s="9"/>
      <c r="IJN252" s="9"/>
      <c r="IJO252" s="9"/>
      <c r="IJP252" s="9"/>
      <c r="IJQ252" s="9"/>
      <c r="IJR252" s="9"/>
      <c r="IJS252" s="9"/>
      <c r="IJT252" s="9"/>
      <c r="IJU252" s="9"/>
      <c r="IJV252" s="9"/>
      <c r="IJW252" s="9"/>
      <c r="IJX252" s="9"/>
      <c r="IJY252" s="9"/>
      <c r="IJZ252" s="9"/>
      <c r="IKA252" s="9"/>
      <c r="IKB252" s="9"/>
      <c r="IKC252" s="9"/>
      <c r="IKD252" s="9"/>
      <c r="IKE252" s="9"/>
      <c r="IKF252" s="9"/>
      <c r="IKG252" s="9"/>
      <c r="IKH252" s="9"/>
      <c r="IKI252" s="9"/>
      <c r="IKJ252" s="9"/>
      <c r="IKK252" s="9"/>
      <c r="IKL252" s="9"/>
      <c r="IKM252" s="9"/>
      <c r="IKN252" s="9"/>
      <c r="IKO252" s="9"/>
      <c r="IKP252" s="9"/>
      <c r="IKQ252" s="9"/>
      <c r="IKR252" s="9"/>
      <c r="IKS252" s="9"/>
      <c r="IKT252" s="9"/>
      <c r="IKU252" s="9"/>
      <c r="IKV252" s="9"/>
      <c r="IKW252" s="9"/>
      <c r="IKX252" s="9"/>
      <c r="IKY252" s="9"/>
      <c r="IKZ252" s="9"/>
      <c r="ILA252" s="9"/>
      <c r="ILB252" s="9"/>
      <c r="ILC252" s="9"/>
      <c r="ILD252" s="9"/>
      <c r="ILE252" s="9"/>
      <c r="ILF252" s="9"/>
      <c r="ILG252" s="9"/>
      <c r="ILH252" s="9"/>
      <c r="ILI252" s="9"/>
      <c r="ILJ252" s="9"/>
      <c r="ILK252" s="9"/>
      <c r="ILL252" s="9"/>
      <c r="ILM252" s="9"/>
      <c r="ILN252" s="9"/>
      <c r="ILO252" s="9"/>
      <c r="ILP252" s="9"/>
      <c r="ILQ252" s="9"/>
      <c r="ILR252" s="9"/>
      <c r="ILS252" s="9"/>
      <c r="ILT252" s="9"/>
      <c r="ILU252" s="9"/>
      <c r="ILV252" s="9"/>
      <c r="ILW252" s="9"/>
      <c r="ILX252" s="9"/>
      <c r="ILY252" s="9"/>
      <c r="ILZ252" s="9"/>
      <c r="IMA252" s="9"/>
      <c r="IMB252" s="9"/>
      <c r="IMC252" s="9"/>
      <c r="IMD252" s="9"/>
      <c r="IME252" s="9"/>
      <c r="IMF252" s="9"/>
      <c r="IMG252" s="9"/>
      <c r="IMH252" s="9"/>
      <c r="IMI252" s="9"/>
      <c r="IMJ252" s="9"/>
      <c r="IMK252" s="9"/>
      <c r="IML252" s="9"/>
      <c r="IMM252" s="9"/>
      <c r="IMN252" s="9"/>
      <c r="IMO252" s="9"/>
      <c r="IMP252" s="9"/>
      <c r="IMQ252" s="9"/>
      <c r="IMR252" s="9"/>
      <c r="IMS252" s="9"/>
      <c r="IMT252" s="9"/>
      <c r="IMU252" s="9"/>
      <c r="IMV252" s="9"/>
      <c r="IMW252" s="9"/>
      <c r="IMX252" s="9"/>
      <c r="IMY252" s="9"/>
      <c r="IMZ252" s="9"/>
      <c r="INA252" s="9"/>
      <c r="INB252" s="9"/>
      <c r="INC252" s="9"/>
      <c r="IND252" s="9"/>
      <c r="INE252" s="9"/>
      <c r="INF252" s="9"/>
      <c r="ING252" s="9"/>
      <c r="INH252" s="9"/>
      <c r="INI252" s="9"/>
      <c r="INJ252" s="9"/>
      <c r="INK252" s="9"/>
      <c r="INL252" s="9"/>
      <c r="INM252" s="9"/>
      <c r="INN252" s="9"/>
      <c r="INO252" s="9"/>
      <c r="INP252" s="9"/>
      <c r="INQ252" s="9"/>
      <c r="INR252" s="9"/>
      <c r="INS252" s="9"/>
      <c r="INT252" s="9"/>
      <c r="INU252" s="9"/>
      <c r="INV252" s="9"/>
      <c r="INW252" s="9"/>
      <c r="INX252" s="9"/>
      <c r="INY252" s="9"/>
      <c r="INZ252" s="9"/>
      <c r="IOA252" s="9"/>
      <c r="IOB252" s="9"/>
      <c r="IOC252" s="9"/>
      <c r="IOD252" s="9"/>
      <c r="IOE252" s="9"/>
      <c r="IOF252" s="9"/>
      <c r="IOG252" s="9"/>
      <c r="IOH252" s="9"/>
      <c r="IOI252" s="9"/>
      <c r="IOJ252" s="9"/>
      <c r="IOK252" s="9"/>
      <c r="IOL252" s="9"/>
      <c r="IOM252" s="9"/>
      <c r="ION252" s="9"/>
      <c r="IOO252" s="9"/>
      <c r="IOP252" s="9"/>
      <c r="IOQ252" s="9"/>
      <c r="IOR252" s="9"/>
      <c r="IOS252" s="9"/>
      <c r="IOT252" s="9"/>
      <c r="IOU252" s="9"/>
      <c r="IOV252" s="9"/>
      <c r="IOW252" s="9"/>
      <c r="IOX252" s="9"/>
      <c r="IOY252" s="9"/>
      <c r="IOZ252" s="9"/>
      <c r="IPA252" s="9"/>
      <c r="IPB252" s="9"/>
      <c r="IPC252" s="9"/>
      <c r="IPD252" s="9"/>
      <c r="IPE252" s="9"/>
      <c r="IPF252" s="9"/>
      <c r="IPG252" s="9"/>
      <c r="IPH252" s="9"/>
      <c r="IPI252" s="9"/>
      <c r="IPJ252" s="9"/>
      <c r="IPK252" s="9"/>
      <c r="IPL252" s="9"/>
      <c r="IPM252" s="9"/>
      <c r="IPN252" s="9"/>
      <c r="IPO252" s="9"/>
      <c r="IPP252" s="9"/>
      <c r="IPQ252" s="9"/>
      <c r="IPR252" s="9"/>
      <c r="IPS252" s="9"/>
      <c r="IPT252" s="9"/>
      <c r="IPU252" s="9"/>
      <c r="IPV252" s="9"/>
      <c r="IPW252" s="9"/>
      <c r="IPX252" s="9"/>
      <c r="IPY252" s="9"/>
      <c r="IPZ252" s="9"/>
      <c r="IQA252" s="9"/>
      <c r="IQB252" s="9"/>
      <c r="IQC252" s="9"/>
      <c r="IQD252" s="9"/>
      <c r="IQE252" s="9"/>
      <c r="IQF252" s="9"/>
      <c r="IQG252" s="9"/>
      <c r="IQH252" s="9"/>
      <c r="IQI252" s="9"/>
      <c r="IQJ252" s="9"/>
      <c r="IQK252" s="9"/>
      <c r="IQL252" s="9"/>
      <c r="IQM252" s="9"/>
      <c r="IQN252" s="9"/>
      <c r="IQO252" s="9"/>
      <c r="IQP252" s="9"/>
      <c r="IQQ252" s="9"/>
      <c r="IQR252" s="9"/>
      <c r="IQS252" s="9"/>
      <c r="IQT252" s="9"/>
      <c r="IQU252" s="9"/>
      <c r="IQV252" s="9"/>
      <c r="IQW252" s="9"/>
      <c r="IQX252" s="9"/>
      <c r="IQY252" s="9"/>
      <c r="IQZ252" s="9"/>
      <c r="IRA252" s="9"/>
      <c r="IRB252" s="9"/>
      <c r="IRC252" s="9"/>
      <c r="IRD252" s="9"/>
      <c r="IRE252" s="9"/>
      <c r="IRF252" s="9"/>
      <c r="IRG252" s="9"/>
      <c r="IRH252" s="9"/>
      <c r="IRI252" s="9"/>
      <c r="IRJ252" s="9"/>
      <c r="IRK252" s="9"/>
      <c r="IRL252" s="9"/>
      <c r="IRM252" s="9"/>
      <c r="IRN252" s="9"/>
      <c r="IRO252" s="9"/>
      <c r="IRP252" s="9"/>
      <c r="IRQ252" s="9"/>
      <c r="IRR252" s="9"/>
      <c r="IRS252" s="9"/>
      <c r="IRT252" s="9"/>
      <c r="IRU252" s="9"/>
      <c r="IRV252" s="9"/>
      <c r="IRW252" s="9"/>
      <c r="IRX252" s="9"/>
      <c r="IRY252" s="9"/>
      <c r="IRZ252" s="9"/>
      <c r="ISA252" s="9"/>
      <c r="ISB252" s="9"/>
      <c r="ISC252" s="9"/>
      <c r="ISD252" s="9"/>
      <c r="ISE252" s="9"/>
      <c r="ISF252" s="9"/>
      <c r="ISG252" s="9"/>
      <c r="ISH252" s="9"/>
      <c r="ISI252" s="9"/>
      <c r="ISJ252" s="9"/>
      <c r="ISK252" s="9"/>
      <c r="ISL252" s="9"/>
      <c r="ISM252" s="9"/>
      <c r="ISN252" s="9"/>
      <c r="ISO252" s="9"/>
      <c r="ISP252" s="9"/>
      <c r="ISQ252" s="9"/>
      <c r="ISR252" s="9"/>
      <c r="ISS252" s="9"/>
      <c r="IST252" s="9"/>
      <c r="ISU252" s="9"/>
      <c r="ISV252" s="9"/>
      <c r="ISW252" s="9"/>
      <c r="ISX252" s="9"/>
      <c r="ISY252" s="9"/>
      <c r="ISZ252" s="9"/>
      <c r="ITA252" s="9"/>
      <c r="ITB252" s="9"/>
      <c r="ITC252" s="9"/>
      <c r="ITD252" s="9"/>
      <c r="ITE252" s="9"/>
      <c r="ITF252" s="9"/>
      <c r="ITG252" s="9"/>
      <c r="ITH252" s="9"/>
      <c r="ITI252" s="9"/>
      <c r="ITJ252" s="9"/>
      <c r="ITK252" s="9"/>
      <c r="ITL252" s="9"/>
      <c r="ITM252" s="9"/>
      <c r="ITN252" s="9"/>
      <c r="ITO252" s="9"/>
      <c r="ITP252" s="9"/>
      <c r="ITQ252" s="9"/>
      <c r="ITR252" s="9"/>
      <c r="ITS252" s="9"/>
      <c r="ITT252" s="9"/>
      <c r="ITU252" s="9"/>
      <c r="ITV252" s="9"/>
      <c r="ITW252" s="9"/>
      <c r="ITX252" s="9"/>
      <c r="ITY252" s="9"/>
      <c r="ITZ252" s="9"/>
      <c r="IUA252" s="9"/>
      <c r="IUB252" s="9"/>
      <c r="IUC252" s="9"/>
      <c r="IUD252" s="9"/>
      <c r="IUE252" s="9"/>
      <c r="IUF252" s="9"/>
      <c r="IUG252" s="9"/>
      <c r="IUH252" s="9"/>
      <c r="IUI252" s="9"/>
      <c r="IUJ252" s="9"/>
      <c r="IUK252" s="9"/>
      <c r="IUL252" s="9"/>
      <c r="IUM252" s="9"/>
      <c r="IUN252" s="9"/>
      <c r="IUO252" s="9"/>
      <c r="IUP252" s="9"/>
      <c r="IUQ252" s="9"/>
      <c r="IUR252" s="9"/>
      <c r="IUS252" s="9"/>
      <c r="IUT252" s="9"/>
      <c r="IUU252" s="9"/>
      <c r="IUV252" s="9"/>
      <c r="IUW252" s="9"/>
      <c r="IUX252" s="9"/>
      <c r="IUY252" s="9"/>
      <c r="IUZ252" s="9"/>
      <c r="IVA252" s="9"/>
      <c r="IVB252" s="9"/>
      <c r="IVC252" s="9"/>
      <c r="IVD252" s="9"/>
      <c r="IVE252" s="9"/>
      <c r="IVF252" s="9"/>
      <c r="IVG252" s="9"/>
      <c r="IVH252" s="9"/>
      <c r="IVI252" s="9"/>
      <c r="IVJ252" s="9"/>
      <c r="IVK252" s="9"/>
      <c r="IVL252" s="9"/>
      <c r="IVM252" s="9"/>
      <c r="IVN252" s="9"/>
      <c r="IVO252" s="9"/>
      <c r="IVP252" s="9"/>
      <c r="IVQ252" s="9"/>
      <c r="IVR252" s="9"/>
      <c r="IVS252" s="9"/>
      <c r="IVT252" s="9"/>
      <c r="IVU252" s="9"/>
      <c r="IVV252" s="9"/>
      <c r="IVW252" s="9"/>
      <c r="IVX252" s="9"/>
      <c r="IVY252" s="9"/>
      <c r="IVZ252" s="9"/>
      <c r="IWA252" s="9"/>
      <c r="IWB252" s="9"/>
      <c r="IWC252" s="9"/>
      <c r="IWD252" s="9"/>
      <c r="IWE252" s="9"/>
      <c r="IWF252" s="9"/>
      <c r="IWG252" s="9"/>
      <c r="IWH252" s="9"/>
      <c r="IWI252" s="9"/>
      <c r="IWJ252" s="9"/>
      <c r="IWK252" s="9"/>
      <c r="IWL252" s="9"/>
      <c r="IWM252" s="9"/>
      <c r="IWN252" s="9"/>
      <c r="IWO252" s="9"/>
      <c r="IWP252" s="9"/>
      <c r="IWQ252" s="9"/>
      <c r="IWR252" s="9"/>
      <c r="IWS252" s="9"/>
      <c r="IWT252" s="9"/>
      <c r="IWU252" s="9"/>
      <c r="IWV252" s="9"/>
      <c r="IWW252" s="9"/>
      <c r="IWX252" s="9"/>
      <c r="IWY252" s="9"/>
      <c r="IWZ252" s="9"/>
      <c r="IXA252" s="9"/>
      <c r="IXB252" s="9"/>
      <c r="IXC252" s="9"/>
      <c r="IXD252" s="9"/>
      <c r="IXE252" s="9"/>
      <c r="IXF252" s="9"/>
      <c r="IXG252" s="9"/>
      <c r="IXH252" s="9"/>
      <c r="IXI252" s="9"/>
      <c r="IXJ252" s="9"/>
      <c r="IXK252" s="9"/>
      <c r="IXL252" s="9"/>
      <c r="IXM252" s="9"/>
      <c r="IXN252" s="9"/>
      <c r="IXO252" s="9"/>
      <c r="IXP252" s="9"/>
      <c r="IXQ252" s="9"/>
      <c r="IXR252" s="9"/>
      <c r="IXS252" s="9"/>
      <c r="IXT252" s="9"/>
      <c r="IXU252" s="9"/>
      <c r="IXV252" s="9"/>
      <c r="IXW252" s="9"/>
      <c r="IXX252" s="9"/>
      <c r="IXY252" s="9"/>
      <c r="IXZ252" s="9"/>
      <c r="IYA252" s="9"/>
      <c r="IYB252" s="9"/>
      <c r="IYC252" s="9"/>
      <c r="IYD252" s="9"/>
      <c r="IYE252" s="9"/>
      <c r="IYF252" s="9"/>
      <c r="IYG252" s="9"/>
      <c r="IYH252" s="9"/>
      <c r="IYI252" s="9"/>
      <c r="IYJ252" s="9"/>
      <c r="IYK252" s="9"/>
      <c r="IYL252" s="9"/>
      <c r="IYM252" s="9"/>
      <c r="IYN252" s="9"/>
      <c r="IYO252" s="9"/>
      <c r="IYP252" s="9"/>
      <c r="IYQ252" s="9"/>
      <c r="IYR252" s="9"/>
      <c r="IYS252" s="9"/>
      <c r="IYT252" s="9"/>
      <c r="IYU252" s="9"/>
      <c r="IYV252" s="9"/>
      <c r="IYW252" s="9"/>
      <c r="IYX252" s="9"/>
      <c r="IYY252" s="9"/>
      <c r="IYZ252" s="9"/>
      <c r="IZA252" s="9"/>
      <c r="IZB252" s="9"/>
      <c r="IZC252" s="9"/>
      <c r="IZD252" s="9"/>
      <c r="IZE252" s="9"/>
      <c r="IZF252" s="9"/>
      <c r="IZG252" s="9"/>
      <c r="IZH252" s="9"/>
      <c r="IZI252" s="9"/>
      <c r="IZJ252" s="9"/>
      <c r="IZK252" s="9"/>
      <c r="IZL252" s="9"/>
      <c r="IZM252" s="9"/>
      <c r="IZN252" s="9"/>
      <c r="IZO252" s="9"/>
      <c r="IZP252" s="9"/>
      <c r="IZQ252" s="9"/>
      <c r="IZR252" s="9"/>
      <c r="IZS252" s="9"/>
      <c r="IZT252" s="9"/>
      <c r="IZU252" s="9"/>
      <c r="IZV252" s="9"/>
      <c r="IZW252" s="9"/>
      <c r="IZX252" s="9"/>
      <c r="IZY252" s="9"/>
      <c r="IZZ252" s="9"/>
      <c r="JAA252" s="9"/>
      <c r="JAB252" s="9"/>
      <c r="JAC252" s="9"/>
      <c r="JAD252" s="9"/>
      <c r="JAE252" s="9"/>
      <c r="JAF252" s="9"/>
      <c r="JAG252" s="9"/>
      <c r="JAH252" s="9"/>
      <c r="JAI252" s="9"/>
      <c r="JAJ252" s="9"/>
      <c r="JAK252" s="9"/>
      <c r="JAL252" s="9"/>
      <c r="JAM252" s="9"/>
      <c r="JAN252" s="9"/>
      <c r="JAO252" s="9"/>
      <c r="JAP252" s="9"/>
      <c r="JAQ252" s="9"/>
      <c r="JAR252" s="9"/>
      <c r="JAS252" s="9"/>
      <c r="JAT252" s="9"/>
      <c r="JAU252" s="9"/>
      <c r="JAV252" s="9"/>
      <c r="JAW252" s="9"/>
      <c r="JAX252" s="9"/>
      <c r="JAY252" s="9"/>
      <c r="JAZ252" s="9"/>
      <c r="JBA252" s="9"/>
      <c r="JBB252" s="9"/>
      <c r="JBC252" s="9"/>
      <c r="JBD252" s="9"/>
      <c r="JBE252" s="9"/>
      <c r="JBF252" s="9"/>
      <c r="JBG252" s="9"/>
      <c r="JBH252" s="9"/>
      <c r="JBI252" s="9"/>
      <c r="JBJ252" s="9"/>
      <c r="JBK252" s="9"/>
      <c r="JBL252" s="9"/>
      <c r="JBM252" s="9"/>
      <c r="JBN252" s="9"/>
      <c r="JBO252" s="9"/>
      <c r="JBP252" s="9"/>
      <c r="JBQ252" s="9"/>
      <c r="JBR252" s="9"/>
      <c r="JBS252" s="9"/>
      <c r="JBT252" s="9"/>
      <c r="JBU252" s="9"/>
      <c r="JBV252" s="9"/>
      <c r="JBW252" s="9"/>
      <c r="JBX252" s="9"/>
      <c r="JBY252" s="9"/>
      <c r="JBZ252" s="9"/>
      <c r="JCA252" s="9"/>
      <c r="JCB252" s="9"/>
      <c r="JCC252" s="9"/>
      <c r="JCD252" s="9"/>
      <c r="JCE252" s="9"/>
      <c r="JCF252" s="9"/>
      <c r="JCG252" s="9"/>
      <c r="JCH252" s="9"/>
      <c r="JCI252" s="9"/>
      <c r="JCJ252" s="9"/>
      <c r="JCK252" s="9"/>
      <c r="JCL252" s="9"/>
      <c r="JCM252" s="9"/>
      <c r="JCN252" s="9"/>
      <c r="JCO252" s="9"/>
      <c r="JCP252" s="9"/>
      <c r="JCQ252" s="9"/>
      <c r="JCR252" s="9"/>
      <c r="JCS252" s="9"/>
      <c r="JCT252" s="9"/>
      <c r="JCU252" s="9"/>
      <c r="JCV252" s="9"/>
      <c r="JCW252" s="9"/>
      <c r="JCX252" s="9"/>
      <c r="JCY252" s="9"/>
      <c r="JCZ252" s="9"/>
      <c r="JDA252" s="9"/>
      <c r="JDB252" s="9"/>
      <c r="JDC252" s="9"/>
      <c r="JDD252" s="9"/>
      <c r="JDE252" s="9"/>
      <c r="JDF252" s="9"/>
      <c r="JDG252" s="9"/>
      <c r="JDH252" s="9"/>
      <c r="JDI252" s="9"/>
      <c r="JDJ252" s="9"/>
      <c r="JDK252" s="9"/>
      <c r="JDL252" s="9"/>
      <c r="JDM252" s="9"/>
      <c r="JDN252" s="9"/>
      <c r="JDO252" s="9"/>
      <c r="JDP252" s="9"/>
      <c r="JDQ252" s="9"/>
      <c r="JDR252" s="9"/>
      <c r="JDS252" s="9"/>
      <c r="JDT252" s="9"/>
      <c r="JDU252" s="9"/>
      <c r="JDV252" s="9"/>
      <c r="JDW252" s="9"/>
      <c r="JDX252" s="9"/>
      <c r="JDY252" s="9"/>
      <c r="JDZ252" s="9"/>
      <c r="JEA252" s="9"/>
      <c r="JEB252" s="9"/>
      <c r="JEC252" s="9"/>
      <c r="JED252" s="9"/>
      <c r="JEE252" s="9"/>
      <c r="JEF252" s="9"/>
      <c r="JEG252" s="9"/>
      <c r="JEH252" s="9"/>
      <c r="JEI252" s="9"/>
      <c r="JEJ252" s="9"/>
      <c r="JEK252" s="9"/>
      <c r="JEL252" s="9"/>
      <c r="JEM252" s="9"/>
      <c r="JEN252" s="9"/>
      <c r="JEO252" s="9"/>
      <c r="JEP252" s="9"/>
      <c r="JEQ252" s="9"/>
      <c r="JER252" s="9"/>
      <c r="JES252" s="9"/>
      <c r="JET252" s="9"/>
      <c r="JEU252" s="9"/>
      <c r="JEV252" s="9"/>
      <c r="JEW252" s="9"/>
      <c r="JEX252" s="9"/>
      <c r="JEY252" s="9"/>
      <c r="JEZ252" s="9"/>
      <c r="JFA252" s="9"/>
      <c r="JFB252" s="9"/>
      <c r="JFC252" s="9"/>
      <c r="JFD252" s="9"/>
      <c r="JFE252" s="9"/>
      <c r="JFF252" s="9"/>
      <c r="JFG252" s="9"/>
      <c r="JFH252" s="9"/>
      <c r="JFI252" s="9"/>
      <c r="JFJ252" s="9"/>
      <c r="JFK252" s="9"/>
      <c r="JFL252" s="9"/>
      <c r="JFM252" s="9"/>
      <c r="JFN252" s="9"/>
      <c r="JFO252" s="9"/>
      <c r="JFP252" s="9"/>
      <c r="JFQ252" s="9"/>
      <c r="JFR252" s="9"/>
      <c r="JFS252" s="9"/>
      <c r="JFT252" s="9"/>
      <c r="JFU252" s="9"/>
      <c r="JFV252" s="9"/>
      <c r="JFW252" s="9"/>
      <c r="JFX252" s="9"/>
      <c r="JFY252" s="9"/>
      <c r="JFZ252" s="9"/>
      <c r="JGA252" s="9"/>
      <c r="JGB252" s="9"/>
      <c r="JGC252" s="9"/>
      <c r="JGD252" s="9"/>
      <c r="JGE252" s="9"/>
      <c r="JGF252" s="9"/>
      <c r="JGG252" s="9"/>
      <c r="JGH252" s="9"/>
      <c r="JGI252" s="9"/>
      <c r="JGJ252" s="9"/>
      <c r="JGK252" s="9"/>
      <c r="JGL252" s="9"/>
      <c r="JGM252" s="9"/>
      <c r="JGN252" s="9"/>
      <c r="JGO252" s="9"/>
      <c r="JGP252" s="9"/>
      <c r="JGQ252" s="9"/>
      <c r="JGR252" s="9"/>
      <c r="JGS252" s="9"/>
      <c r="JGT252" s="9"/>
      <c r="JGU252" s="9"/>
      <c r="JGV252" s="9"/>
      <c r="JGW252" s="9"/>
      <c r="JGX252" s="9"/>
      <c r="JGY252" s="9"/>
      <c r="JGZ252" s="9"/>
      <c r="JHA252" s="9"/>
      <c r="JHB252" s="9"/>
      <c r="JHC252" s="9"/>
      <c r="JHD252" s="9"/>
      <c r="JHE252" s="9"/>
      <c r="JHF252" s="9"/>
      <c r="JHG252" s="9"/>
      <c r="JHH252" s="9"/>
      <c r="JHI252" s="9"/>
      <c r="JHJ252" s="9"/>
      <c r="JHK252" s="9"/>
      <c r="JHL252" s="9"/>
      <c r="JHM252" s="9"/>
      <c r="JHN252" s="9"/>
      <c r="JHO252" s="9"/>
      <c r="JHP252" s="9"/>
      <c r="JHQ252" s="9"/>
      <c r="JHR252" s="9"/>
      <c r="JHS252" s="9"/>
      <c r="JHT252" s="9"/>
      <c r="JHU252" s="9"/>
      <c r="JHV252" s="9"/>
      <c r="JHW252" s="9"/>
      <c r="JHX252" s="9"/>
      <c r="JHY252" s="9"/>
      <c r="JHZ252" s="9"/>
      <c r="JIA252" s="9"/>
      <c r="JIB252" s="9"/>
      <c r="JIC252" s="9"/>
      <c r="JID252" s="9"/>
      <c r="JIE252" s="9"/>
      <c r="JIF252" s="9"/>
      <c r="JIG252" s="9"/>
      <c r="JIH252" s="9"/>
      <c r="JII252" s="9"/>
      <c r="JIJ252" s="9"/>
      <c r="JIK252" s="9"/>
      <c r="JIL252" s="9"/>
      <c r="JIM252" s="9"/>
      <c r="JIN252" s="9"/>
      <c r="JIO252" s="9"/>
      <c r="JIP252" s="9"/>
      <c r="JIQ252" s="9"/>
      <c r="JIR252" s="9"/>
      <c r="JIS252" s="9"/>
      <c r="JIT252" s="9"/>
      <c r="JIU252" s="9"/>
      <c r="JIV252" s="9"/>
      <c r="JIW252" s="9"/>
      <c r="JIX252" s="9"/>
      <c r="JIY252" s="9"/>
      <c r="JIZ252" s="9"/>
      <c r="JJA252" s="9"/>
      <c r="JJB252" s="9"/>
      <c r="JJC252" s="9"/>
      <c r="JJD252" s="9"/>
      <c r="JJE252" s="9"/>
      <c r="JJF252" s="9"/>
      <c r="JJG252" s="9"/>
      <c r="JJH252" s="9"/>
      <c r="JJI252" s="9"/>
      <c r="JJJ252" s="9"/>
      <c r="JJK252" s="9"/>
      <c r="JJL252" s="9"/>
      <c r="JJM252" s="9"/>
      <c r="JJN252" s="9"/>
      <c r="JJO252" s="9"/>
      <c r="JJP252" s="9"/>
      <c r="JJQ252" s="9"/>
      <c r="JJR252" s="9"/>
      <c r="JJS252" s="9"/>
      <c r="JJT252" s="9"/>
      <c r="JJU252" s="9"/>
      <c r="JJV252" s="9"/>
      <c r="JJW252" s="9"/>
      <c r="JJX252" s="9"/>
      <c r="JJY252" s="9"/>
      <c r="JJZ252" s="9"/>
      <c r="JKA252" s="9"/>
      <c r="JKB252" s="9"/>
      <c r="JKC252" s="9"/>
      <c r="JKD252" s="9"/>
      <c r="JKE252" s="9"/>
      <c r="JKF252" s="9"/>
      <c r="JKG252" s="9"/>
      <c r="JKH252" s="9"/>
      <c r="JKI252" s="9"/>
      <c r="JKJ252" s="9"/>
      <c r="JKK252" s="9"/>
      <c r="JKL252" s="9"/>
      <c r="JKM252" s="9"/>
      <c r="JKN252" s="9"/>
      <c r="JKO252" s="9"/>
      <c r="JKP252" s="9"/>
      <c r="JKQ252" s="9"/>
      <c r="JKR252" s="9"/>
      <c r="JKS252" s="9"/>
      <c r="JKT252" s="9"/>
      <c r="JKU252" s="9"/>
      <c r="JKV252" s="9"/>
      <c r="JKW252" s="9"/>
      <c r="JKX252" s="9"/>
      <c r="JKY252" s="9"/>
      <c r="JKZ252" s="9"/>
      <c r="JLA252" s="9"/>
      <c r="JLB252" s="9"/>
      <c r="JLC252" s="9"/>
      <c r="JLD252" s="9"/>
      <c r="JLE252" s="9"/>
      <c r="JLF252" s="9"/>
      <c r="JLG252" s="9"/>
      <c r="JLH252" s="9"/>
      <c r="JLI252" s="9"/>
      <c r="JLJ252" s="9"/>
      <c r="JLK252" s="9"/>
      <c r="JLL252" s="9"/>
      <c r="JLM252" s="9"/>
      <c r="JLN252" s="9"/>
      <c r="JLO252" s="9"/>
      <c r="JLP252" s="9"/>
      <c r="JLQ252" s="9"/>
      <c r="JLR252" s="9"/>
      <c r="JLS252" s="9"/>
      <c r="JLT252" s="9"/>
      <c r="JLU252" s="9"/>
      <c r="JLV252" s="9"/>
      <c r="JLW252" s="9"/>
      <c r="JLX252" s="9"/>
      <c r="JLY252" s="9"/>
      <c r="JLZ252" s="9"/>
      <c r="JMA252" s="9"/>
      <c r="JMB252" s="9"/>
      <c r="JMC252" s="9"/>
      <c r="JMD252" s="9"/>
      <c r="JME252" s="9"/>
      <c r="JMF252" s="9"/>
      <c r="JMG252" s="9"/>
      <c r="JMH252" s="9"/>
      <c r="JMI252" s="9"/>
      <c r="JMJ252" s="9"/>
      <c r="JMK252" s="9"/>
      <c r="JML252" s="9"/>
      <c r="JMM252" s="9"/>
      <c r="JMN252" s="9"/>
      <c r="JMO252" s="9"/>
      <c r="JMP252" s="9"/>
      <c r="JMQ252" s="9"/>
      <c r="JMR252" s="9"/>
      <c r="JMS252" s="9"/>
      <c r="JMT252" s="9"/>
      <c r="JMU252" s="9"/>
      <c r="JMV252" s="9"/>
      <c r="JMW252" s="9"/>
      <c r="JMX252" s="9"/>
      <c r="JMY252" s="9"/>
      <c r="JMZ252" s="9"/>
      <c r="JNA252" s="9"/>
      <c r="JNB252" s="9"/>
      <c r="JNC252" s="9"/>
      <c r="JND252" s="9"/>
      <c r="JNE252" s="9"/>
      <c r="JNF252" s="9"/>
      <c r="JNG252" s="9"/>
      <c r="JNH252" s="9"/>
      <c r="JNI252" s="9"/>
      <c r="JNJ252" s="9"/>
      <c r="JNK252" s="9"/>
      <c r="JNL252" s="9"/>
      <c r="JNM252" s="9"/>
      <c r="JNN252" s="9"/>
      <c r="JNO252" s="9"/>
      <c r="JNP252" s="9"/>
      <c r="JNQ252" s="9"/>
      <c r="JNR252" s="9"/>
      <c r="JNS252" s="9"/>
      <c r="JNT252" s="9"/>
      <c r="JNU252" s="9"/>
      <c r="JNV252" s="9"/>
      <c r="JNW252" s="9"/>
      <c r="JNX252" s="9"/>
      <c r="JNY252" s="9"/>
      <c r="JNZ252" s="9"/>
      <c r="JOA252" s="9"/>
      <c r="JOB252" s="9"/>
      <c r="JOC252" s="9"/>
      <c r="JOD252" s="9"/>
      <c r="JOE252" s="9"/>
      <c r="JOF252" s="9"/>
      <c r="JOG252" s="9"/>
      <c r="JOH252" s="9"/>
      <c r="JOI252" s="9"/>
      <c r="JOJ252" s="9"/>
      <c r="JOK252" s="9"/>
      <c r="JOL252" s="9"/>
      <c r="JOM252" s="9"/>
      <c r="JON252" s="9"/>
      <c r="JOO252" s="9"/>
      <c r="JOP252" s="9"/>
      <c r="JOQ252" s="9"/>
      <c r="JOR252" s="9"/>
      <c r="JOS252" s="9"/>
      <c r="JOT252" s="9"/>
      <c r="JOU252" s="9"/>
      <c r="JOV252" s="9"/>
      <c r="JOW252" s="9"/>
      <c r="JOX252" s="9"/>
      <c r="JOY252" s="9"/>
      <c r="JOZ252" s="9"/>
      <c r="JPA252" s="9"/>
      <c r="JPB252" s="9"/>
      <c r="JPC252" s="9"/>
      <c r="JPD252" s="9"/>
      <c r="JPE252" s="9"/>
      <c r="JPF252" s="9"/>
      <c r="JPG252" s="9"/>
      <c r="JPH252" s="9"/>
      <c r="JPI252" s="9"/>
      <c r="JPJ252" s="9"/>
      <c r="JPK252" s="9"/>
      <c r="JPL252" s="9"/>
      <c r="JPM252" s="9"/>
      <c r="JPN252" s="9"/>
      <c r="JPO252" s="9"/>
      <c r="JPP252" s="9"/>
      <c r="JPQ252" s="9"/>
      <c r="JPR252" s="9"/>
      <c r="JPS252" s="9"/>
      <c r="JPT252" s="9"/>
      <c r="JPU252" s="9"/>
      <c r="JPV252" s="9"/>
      <c r="JPW252" s="9"/>
      <c r="JPX252" s="9"/>
      <c r="JPY252" s="9"/>
      <c r="JPZ252" s="9"/>
      <c r="JQA252" s="9"/>
      <c r="JQB252" s="9"/>
      <c r="JQC252" s="9"/>
      <c r="JQD252" s="9"/>
      <c r="JQE252" s="9"/>
      <c r="JQF252" s="9"/>
      <c r="JQG252" s="9"/>
      <c r="JQH252" s="9"/>
      <c r="JQI252" s="9"/>
      <c r="JQJ252" s="9"/>
      <c r="JQK252" s="9"/>
      <c r="JQL252" s="9"/>
      <c r="JQM252" s="9"/>
      <c r="JQN252" s="9"/>
      <c r="JQO252" s="9"/>
      <c r="JQP252" s="9"/>
      <c r="JQQ252" s="9"/>
      <c r="JQR252" s="9"/>
      <c r="JQS252" s="9"/>
      <c r="JQT252" s="9"/>
      <c r="JQU252" s="9"/>
      <c r="JQV252" s="9"/>
      <c r="JQW252" s="9"/>
      <c r="JQX252" s="9"/>
      <c r="JQY252" s="9"/>
      <c r="JQZ252" s="9"/>
      <c r="JRA252" s="9"/>
      <c r="JRB252" s="9"/>
      <c r="JRC252" s="9"/>
      <c r="JRD252" s="9"/>
      <c r="JRE252" s="9"/>
      <c r="JRF252" s="9"/>
      <c r="JRG252" s="9"/>
      <c r="JRH252" s="9"/>
      <c r="JRI252" s="9"/>
      <c r="JRJ252" s="9"/>
      <c r="JRK252" s="9"/>
      <c r="JRL252" s="9"/>
      <c r="JRM252" s="9"/>
      <c r="JRN252" s="9"/>
      <c r="JRO252" s="9"/>
      <c r="JRP252" s="9"/>
      <c r="JRQ252" s="9"/>
      <c r="JRR252" s="9"/>
      <c r="JRS252" s="9"/>
      <c r="JRT252" s="9"/>
      <c r="JRU252" s="9"/>
      <c r="JRV252" s="9"/>
      <c r="JRW252" s="9"/>
      <c r="JRX252" s="9"/>
      <c r="JRY252" s="9"/>
      <c r="JRZ252" s="9"/>
      <c r="JSA252" s="9"/>
      <c r="JSB252" s="9"/>
      <c r="JSC252" s="9"/>
      <c r="JSD252" s="9"/>
      <c r="JSE252" s="9"/>
      <c r="JSF252" s="9"/>
      <c r="JSG252" s="9"/>
      <c r="JSH252" s="9"/>
      <c r="JSI252" s="9"/>
      <c r="JSJ252" s="9"/>
      <c r="JSK252" s="9"/>
      <c r="JSL252" s="9"/>
      <c r="JSM252" s="9"/>
      <c r="JSN252" s="9"/>
      <c r="JSO252" s="9"/>
      <c r="JSP252" s="9"/>
      <c r="JSQ252" s="9"/>
      <c r="JSR252" s="9"/>
      <c r="JSS252" s="9"/>
      <c r="JST252" s="9"/>
      <c r="JSU252" s="9"/>
      <c r="JSV252" s="9"/>
      <c r="JSW252" s="9"/>
      <c r="JSX252" s="9"/>
      <c r="JSY252" s="9"/>
      <c r="JSZ252" s="9"/>
      <c r="JTA252" s="9"/>
      <c r="JTB252" s="9"/>
      <c r="JTC252" s="9"/>
      <c r="JTD252" s="9"/>
      <c r="JTE252" s="9"/>
      <c r="JTF252" s="9"/>
      <c r="JTG252" s="9"/>
      <c r="JTH252" s="9"/>
      <c r="JTI252" s="9"/>
      <c r="JTJ252" s="9"/>
      <c r="JTK252" s="9"/>
      <c r="JTL252" s="9"/>
      <c r="JTM252" s="9"/>
      <c r="JTN252" s="9"/>
      <c r="JTO252" s="9"/>
      <c r="JTP252" s="9"/>
      <c r="JTQ252" s="9"/>
      <c r="JTR252" s="9"/>
      <c r="JTS252" s="9"/>
      <c r="JTT252" s="9"/>
      <c r="JTU252" s="9"/>
      <c r="JTV252" s="9"/>
      <c r="JTW252" s="9"/>
      <c r="JTX252" s="9"/>
      <c r="JTY252" s="9"/>
      <c r="JTZ252" s="9"/>
      <c r="JUA252" s="9"/>
      <c r="JUB252" s="9"/>
      <c r="JUC252" s="9"/>
      <c r="JUD252" s="9"/>
      <c r="JUE252" s="9"/>
      <c r="JUF252" s="9"/>
      <c r="JUG252" s="9"/>
      <c r="JUH252" s="9"/>
      <c r="JUI252" s="9"/>
      <c r="JUJ252" s="9"/>
      <c r="JUK252" s="9"/>
      <c r="JUL252" s="9"/>
      <c r="JUM252" s="9"/>
      <c r="JUN252" s="9"/>
      <c r="JUO252" s="9"/>
      <c r="JUP252" s="9"/>
      <c r="JUQ252" s="9"/>
      <c r="JUR252" s="9"/>
      <c r="JUS252" s="9"/>
      <c r="JUT252" s="9"/>
      <c r="JUU252" s="9"/>
      <c r="JUV252" s="9"/>
      <c r="JUW252" s="9"/>
      <c r="JUX252" s="9"/>
      <c r="JUY252" s="9"/>
      <c r="JUZ252" s="9"/>
      <c r="JVA252" s="9"/>
      <c r="JVB252" s="9"/>
      <c r="JVC252" s="9"/>
      <c r="JVD252" s="9"/>
      <c r="JVE252" s="9"/>
      <c r="JVF252" s="9"/>
      <c r="JVG252" s="9"/>
      <c r="JVH252" s="9"/>
      <c r="JVI252" s="9"/>
      <c r="JVJ252" s="9"/>
      <c r="JVK252" s="9"/>
      <c r="JVL252" s="9"/>
      <c r="JVM252" s="9"/>
      <c r="JVN252" s="9"/>
      <c r="JVO252" s="9"/>
      <c r="JVP252" s="9"/>
      <c r="JVQ252" s="9"/>
      <c r="JVR252" s="9"/>
      <c r="JVS252" s="9"/>
      <c r="JVT252" s="9"/>
      <c r="JVU252" s="9"/>
      <c r="JVV252" s="9"/>
      <c r="JVW252" s="9"/>
      <c r="JVX252" s="9"/>
      <c r="JVY252" s="9"/>
      <c r="JVZ252" s="9"/>
      <c r="JWA252" s="9"/>
      <c r="JWB252" s="9"/>
      <c r="JWC252" s="9"/>
      <c r="JWD252" s="9"/>
      <c r="JWE252" s="9"/>
      <c r="JWF252" s="9"/>
      <c r="JWG252" s="9"/>
      <c r="JWH252" s="9"/>
      <c r="JWI252" s="9"/>
      <c r="JWJ252" s="9"/>
      <c r="JWK252" s="9"/>
      <c r="JWL252" s="9"/>
      <c r="JWM252" s="9"/>
      <c r="JWN252" s="9"/>
      <c r="JWO252" s="9"/>
      <c r="JWP252" s="9"/>
      <c r="JWQ252" s="9"/>
      <c r="JWR252" s="9"/>
      <c r="JWS252" s="9"/>
      <c r="JWT252" s="9"/>
      <c r="JWU252" s="9"/>
      <c r="JWV252" s="9"/>
      <c r="JWW252" s="9"/>
      <c r="JWX252" s="9"/>
      <c r="JWY252" s="9"/>
      <c r="JWZ252" s="9"/>
      <c r="JXA252" s="9"/>
      <c r="JXB252" s="9"/>
      <c r="JXC252" s="9"/>
      <c r="JXD252" s="9"/>
      <c r="JXE252" s="9"/>
      <c r="JXF252" s="9"/>
      <c r="JXG252" s="9"/>
      <c r="JXH252" s="9"/>
      <c r="JXI252" s="9"/>
      <c r="JXJ252" s="9"/>
      <c r="JXK252" s="9"/>
      <c r="JXL252" s="9"/>
      <c r="JXM252" s="9"/>
      <c r="JXN252" s="9"/>
      <c r="JXO252" s="9"/>
      <c r="JXP252" s="9"/>
      <c r="JXQ252" s="9"/>
      <c r="JXR252" s="9"/>
      <c r="JXS252" s="9"/>
      <c r="JXT252" s="9"/>
      <c r="JXU252" s="9"/>
      <c r="JXV252" s="9"/>
      <c r="JXW252" s="9"/>
      <c r="JXX252" s="9"/>
      <c r="JXY252" s="9"/>
      <c r="JXZ252" s="9"/>
      <c r="JYA252" s="9"/>
      <c r="JYB252" s="9"/>
      <c r="JYC252" s="9"/>
      <c r="JYD252" s="9"/>
      <c r="JYE252" s="9"/>
      <c r="JYF252" s="9"/>
      <c r="JYG252" s="9"/>
      <c r="JYH252" s="9"/>
      <c r="JYI252" s="9"/>
      <c r="JYJ252" s="9"/>
      <c r="JYK252" s="9"/>
      <c r="JYL252" s="9"/>
      <c r="JYM252" s="9"/>
      <c r="JYN252" s="9"/>
      <c r="JYO252" s="9"/>
      <c r="JYP252" s="9"/>
      <c r="JYQ252" s="9"/>
      <c r="JYR252" s="9"/>
      <c r="JYS252" s="9"/>
      <c r="JYT252" s="9"/>
      <c r="JYU252" s="9"/>
      <c r="JYV252" s="9"/>
      <c r="JYW252" s="9"/>
      <c r="JYX252" s="9"/>
      <c r="JYY252" s="9"/>
      <c r="JYZ252" s="9"/>
      <c r="JZA252" s="9"/>
      <c r="JZB252" s="9"/>
      <c r="JZC252" s="9"/>
      <c r="JZD252" s="9"/>
      <c r="JZE252" s="9"/>
      <c r="JZF252" s="9"/>
      <c r="JZG252" s="9"/>
      <c r="JZH252" s="9"/>
      <c r="JZI252" s="9"/>
      <c r="JZJ252" s="9"/>
      <c r="JZK252" s="9"/>
      <c r="JZL252" s="9"/>
      <c r="JZM252" s="9"/>
      <c r="JZN252" s="9"/>
      <c r="JZO252" s="9"/>
      <c r="JZP252" s="9"/>
      <c r="JZQ252" s="9"/>
      <c r="JZR252" s="9"/>
      <c r="JZS252" s="9"/>
      <c r="JZT252" s="9"/>
      <c r="JZU252" s="9"/>
      <c r="JZV252" s="9"/>
      <c r="JZW252" s="9"/>
      <c r="JZX252" s="9"/>
      <c r="JZY252" s="9"/>
      <c r="JZZ252" s="9"/>
      <c r="KAA252" s="9"/>
      <c r="KAB252" s="9"/>
      <c r="KAC252" s="9"/>
      <c r="KAD252" s="9"/>
      <c r="KAE252" s="9"/>
      <c r="KAF252" s="9"/>
      <c r="KAG252" s="9"/>
      <c r="KAH252" s="9"/>
      <c r="KAI252" s="9"/>
      <c r="KAJ252" s="9"/>
      <c r="KAK252" s="9"/>
      <c r="KAL252" s="9"/>
      <c r="KAM252" s="9"/>
      <c r="KAN252" s="9"/>
      <c r="KAO252" s="9"/>
      <c r="KAP252" s="9"/>
      <c r="KAQ252" s="9"/>
      <c r="KAR252" s="9"/>
      <c r="KAS252" s="9"/>
      <c r="KAT252" s="9"/>
      <c r="KAU252" s="9"/>
      <c r="KAV252" s="9"/>
      <c r="KAW252" s="9"/>
      <c r="KAX252" s="9"/>
      <c r="KAY252" s="9"/>
      <c r="KAZ252" s="9"/>
      <c r="KBA252" s="9"/>
      <c r="KBB252" s="9"/>
      <c r="KBC252" s="9"/>
      <c r="KBD252" s="9"/>
      <c r="KBE252" s="9"/>
      <c r="KBF252" s="9"/>
      <c r="KBG252" s="9"/>
      <c r="KBH252" s="9"/>
      <c r="KBI252" s="9"/>
      <c r="KBJ252" s="9"/>
      <c r="KBK252" s="9"/>
      <c r="KBL252" s="9"/>
      <c r="KBM252" s="9"/>
      <c r="KBN252" s="9"/>
      <c r="KBO252" s="9"/>
      <c r="KBP252" s="9"/>
      <c r="KBQ252" s="9"/>
      <c r="KBR252" s="9"/>
      <c r="KBS252" s="9"/>
      <c r="KBT252" s="9"/>
      <c r="KBU252" s="9"/>
      <c r="KBV252" s="9"/>
      <c r="KBW252" s="9"/>
      <c r="KBX252" s="9"/>
      <c r="KBY252" s="9"/>
      <c r="KBZ252" s="9"/>
      <c r="KCA252" s="9"/>
      <c r="KCB252" s="9"/>
      <c r="KCC252" s="9"/>
      <c r="KCD252" s="9"/>
      <c r="KCE252" s="9"/>
      <c r="KCF252" s="9"/>
      <c r="KCG252" s="9"/>
      <c r="KCH252" s="9"/>
      <c r="KCI252" s="9"/>
      <c r="KCJ252" s="9"/>
      <c r="KCK252" s="9"/>
      <c r="KCL252" s="9"/>
      <c r="KCM252" s="9"/>
      <c r="KCN252" s="9"/>
      <c r="KCO252" s="9"/>
      <c r="KCP252" s="9"/>
      <c r="KCQ252" s="9"/>
      <c r="KCR252" s="9"/>
      <c r="KCS252" s="9"/>
      <c r="KCT252" s="9"/>
      <c r="KCU252" s="9"/>
      <c r="KCV252" s="9"/>
      <c r="KCW252" s="9"/>
      <c r="KCX252" s="9"/>
      <c r="KCY252" s="9"/>
      <c r="KCZ252" s="9"/>
      <c r="KDA252" s="9"/>
      <c r="KDB252" s="9"/>
      <c r="KDC252" s="9"/>
      <c r="KDD252" s="9"/>
      <c r="KDE252" s="9"/>
      <c r="KDF252" s="9"/>
      <c r="KDG252" s="9"/>
      <c r="KDH252" s="9"/>
      <c r="KDI252" s="9"/>
      <c r="KDJ252" s="9"/>
      <c r="KDK252" s="9"/>
      <c r="KDL252" s="9"/>
      <c r="KDM252" s="9"/>
      <c r="KDN252" s="9"/>
      <c r="KDO252" s="9"/>
      <c r="KDP252" s="9"/>
      <c r="KDQ252" s="9"/>
      <c r="KDR252" s="9"/>
      <c r="KDS252" s="9"/>
      <c r="KDT252" s="9"/>
      <c r="KDU252" s="9"/>
      <c r="KDV252" s="9"/>
      <c r="KDW252" s="9"/>
      <c r="KDX252" s="9"/>
      <c r="KDY252" s="9"/>
      <c r="KDZ252" s="9"/>
      <c r="KEA252" s="9"/>
      <c r="KEB252" s="9"/>
      <c r="KEC252" s="9"/>
      <c r="KED252" s="9"/>
      <c r="KEE252" s="9"/>
      <c r="KEF252" s="9"/>
      <c r="KEG252" s="9"/>
      <c r="KEH252" s="9"/>
      <c r="KEI252" s="9"/>
      <c r="KEJ252" s="9"/>
      <c r="KEK252" s="9"/>
      <c r="KEL252" s="9"/>
      <c r="KEM252" s="9"/>
      <c r="KEN252" s="9"/>
      <c r="KEO252" s="9"/>
      <c r="KEP252" s="9"/>
      <c r="KEQ252" s="9"/>
      <c r="KER252" s="9"/>
      <c r="KES252" s="9"/>
      <c r="KET252" s="9"/>
      <c r="KEU252" s="9"/>
      <c r="KEV252" s="9"/>
      <c r="KEW252" s="9"/>
      <c r="KEX252" s="9"/>
      <c r="KEY252" s="9"/>
      <c r="KEZ252" s="9"/>
      <c r="KFA252" s="9"/>
      <c r="KFB252" s="9"/>
      <c r="KFC252" s="9"/>
      <c r="KFD252" s="9"/>
      <c r="KFE252" s="9"/>
      <c r="KFF252" s="9"/>
      <c r="KFG252" s="9"/>
      <c r="KFH252" s="9"/>
      <c r="KFI252" s="9"/>
      <c r="KFJ252" s="9"/>
      <c r="KFK252" s="9"/>
      <c r="KFL252" s="9"/>
      <c r="KFM252" s="9"/>
      <c r="KFN252" s="9"/>
      <c r="KFO252" s="9"/>
      <c r="KFP252" s="9"/>
      <c r="KFQ252" s="9"/>
      <c r="KFR252" s="9"/>
      <c r="KFS252" s="9"/>
      <c r="KFT252" s="9"/>
      <c r="KFU252" s="9"/>
      <c r="KFV252" s="9"/>
      <c r="KFW252" s="9"/>
      <c r="KFX252" s="9"/>
      <c r="KFY252" s="9"/>
      <c r="KFZ252" s="9"/>
      <c r="KGA252" s="9"/>
      <c r="KGB252" s="9"/>
      <c r="KGC252" s="9"/>
      <c r="KGD252" s="9"/>
      <c r="KGE252" s="9"/>
      <c r="KGF252" s="9"/>
      <c r="KGG252" s="9"/>
      <c r="KGH252" s="9"/>
      <c r="KGI252" s="9"/>
      <c r="KGJ252" s="9"/>
      <c r="KGK252" s="9"/>
      <c r="KGL252" s="9"/>
      <c r="KGM252" s="9"/>
      <c r="KGN252" s="9"/>
      <c r="KGO252" s="9"/>
      <c r="KGP252" s="9"/>
      <c r="KGQ252" s="9"/>
      <c r="KGR252" s="9"/>
      <c r="KGS252" s="9"/>
      <c r="KGT252" s="9"/>
      <c r="KGU252" s="9"/>
      <c r="KGV252" s="9"/>
      <c r="KGW252" s="9"/>
      <c r="KGX252" s="9"/>
      <c r="KGY252" s="9"/>
      <c r="KGZ252" s="9"/>
      <c r="KHA252" s="9"/>
      <c r="KHB252" s="9"/>
      <c r="KHC252" s="9"/>
      <c r="KHD252" s="9"/>
      <c r="KHE252" s="9"/>
      <c r="KHF252" s="9"/>
      <c r="KHG252" s="9"/>
      <c r="KHH252" s="9"/>
      <c r="KHI252" s="9"/>
      <c r="KHJ252" s="9"/>
      <c r="KHK252" s="9"/>
      <c r="KHL252" s="9"/>
      <c r="KHM252" s="9"/>
      <c r="KHN252" s="9"/>
      <c r="KHO252" s="9"/>
      <c r="KHP252" s="9"/>
      <c r="KHQ252" s="9"/>
      <c r="KHR252" s="9"/>
      <c r="KHS252" s="9"/>
      <c r="KHT252" s="9"/>
      <c r="KHU252" s="9"/>
      <c r="KHV252" s="9"/>
      <c r="KHW252" s="9"/>
      <c r="KHX252" s="9"/>
      <c r="KHY252" s="9"/>
      <c r="KHZ252" s="9"/>
      <c r="KIA252" s="9"/>
      <c r="KIB252" s="9"/>
      <c r="KIC252" s="9"/>
      <c r="KID252" s="9"/>
      <c r="KIE252" s="9"/>
      <c r="KIF252" s="9"/>
      <c r="KIG252" s="9"/>
      <c r="KIH252" s="9"/>
      <c r="KII252" s="9"/>
      <c r="KIJ252" s="9"/>
      <c r="KIK252" s="9"/>
      <c r="KIL252" s="9"/>
      <c r="KIM252" s="9"/>
      <c r="KIN252" s="9"/>
      <c r="KIO252" s="9"/>
      <c r="KIP252" s="9"/>
      <c r="KIQ252" s="9"/>
      <c r="KIR252" s="9"/>
      <c r="KIS252" s="9"/>
      <c r="KIT252" s="9"/>
      <c r="KIU252" s="9"/>
      <c r="KIV252" s="9"/>
      <c r="KIW252" s="9"/>
      <c r="KIX252" s="9"/>
      <c r="KIY252" s="9"/>
      <c r="KIZ252" s="9"/>
      <c r="KJA252" s="9"/>
      <c r="KJB252" s="9"/>
      <c r="KJC252" s="9"/>
      <c r="KJD252" s="9"/>
      <c r="KJE252" s="9"/>
      <c r="KJF252" s="9"/>
      <c r="KJG252" s="9"/>
      <c r="KJH252" s="9"/>
      <c r="KJI252" s="9"/>
      <c r="KJJ252" s="9"/>
      <c r="KJK252" s="9"/>
      <c r="KJL252" s="9"/>
      <c r="KJM252" s="9"/>
      <c r="KJN252" s="9"/>
      <c r="KJO252" s="9"/>
      <c r="KJP252" s="9"/>
      <c r="KJQ252" s="9"/>
      <c r="KJR252" s="9"/>
      <c r="KJS252" s="9"/>
      <c r="KJT252" s="9"/>
      <c r="KJU252" s="9"/>
      <c r="KJV252" s="9"/>
      <c r="KJW252" s="9"/>
      <c r="KJX252" s="9"/>
      <c r="KJY252" s="9"/>
      <c r="KJZ252" s="9"/>
      <c r="KKA252" s="9"/>
      <c r="KKB252" s="9"/>
      <c r="KKC252" s="9"/>
      <c r="KKD252" s="9"/>
      <c r="KKE252" s="9"/>
      <c r="KKF252" s="9"/>
      <c r="KKG252" s="9"/>
      <c r="KKH252" s="9"/>
      <c r="KKI252" s="9"/>
      <c r="KKJ252" s="9"/>
      <c r="KKK252" s="9"/>
      <c r="KKL252" s="9"/>
      <c r="KKM252" s="9"/>
      <c r="KKN252" s="9"/>
      <c r="KKO252" s="9"/>
      <c r="KKP252" s="9"/>
      <c r="KKQ252" s="9"/>
      <c r="KKR252" s="9"/>
      <c r="KKS252" s="9"/>
      <c r="KKT252" s="9"/>
      <c r="KKU252" s="9"/>
      <c r="KKV252" s="9"/>
      <c r="KKW252" s="9"/>
      <c r="KKX252" s="9"/>
      <c r="KKY252" s="9"/>
      <c r="KKZ252" s="9"/>
      <c r="KLA252" s="9"/>
      <c r="KLB252" s="9"/>
      <c r="KLC252" s="9"/>
      <c r="KLD252" s="9"/>
      <c r="KLE252" s="9"/>
      <c r="KLF252" s="9"/>
      <c r="KLG252" s="9"/>
      <c r="KLH252" s="9"/>
      <c r="KLI252" s="9"/>
      <c r="KLJ252" s="9"/>
      <c r="KLK252" s="9"/>
      <c r="KLL252" s="9"/>
      <c r="KLM252" s="9"/>
      <c r="KLN252" s="9"/>
      <c r="KLO252" s="9"/>
      <c r="KLP252" s="9"/>
      <c r="KLQ252" s="9"/>
      <c r="KLR252" s="9"/>
      <c r="KLS252" s="9"/>
      <c r="KLT252" s="9"/>
      <c r="KLU252" s="9"/>
      <c r="KLV252" s="9"/>
      <c r="KLW252" s="9"/>
      <c r="KLX252" s="9"/>
      <c r="KLY252" s="9"/>
      <c r="KLZ252" s="9"/>
      <c r="KMA252" s="9"/>
      <c r="KMB252" s="9"/>
      <c r="KMC252" s="9"/>
      <c r="KMD252" s="9"/>
      <c r="KME252" s="9"/>
      <c r="KMF252" s="9"/>
      <c r="KMG252" s="9"/>
      <c r="KMH252" s="9"/>
      <c r="KMI252" s="9"/>
      <c r="KMJ252" s="9"/>
      <c r="KMK252" s="9"/>
      <c r="KML252" s="9"/>
      <c r="KMM252" s="9"/>
      <c r="KMN252" s="9"/>
      <c r="KMO252" s="9"/>
      <c r="KMP252" s="9"/>
      <c r="KMQ252" s="9"/>
      <c r="KMR252" s="9"/>
      <c r="KMS252" s="9"/>
      <c r="KMT252" s="9"/>
      <c r="KMU252" s="9"/>
      <c r="KMV252" s="9"/>
      <c r="KMW252" s="9"/>
      <c r="KMX252" s="9"/>
      <c r="KMY252" s="9"/>
      <c r="KMZ252" s="9"/>
      <c r="KNA252" s="9"/>
      <c r="KNB252" s="9"/>
      <c r="KNC252" s="9"/>
      <c r="KND252" s="9"/>
      <c r="KNE252" s="9"/>
      <c r="KNF252" s="9"/>
      <c r="KNG252" s="9"/>
      <c r="KNH252" s="9"/>
      <c r="KNI252" s="9"/>
      <c r="KNJ252" s="9"/>
      <c r="KNK252" s="9"/>
      <c r="KNL252" s="9"/>
      <c r="KNM252" s="9"/>
      <c r="KNN252" s="9"/>
      <c r="KNO252" s="9"/>
      <c r="KNP252" s="9"/>
      <c r="KNQ252" s="9"/>
      <c r="KNR252" s="9"/>
      <c r="KNS252" s="9"/>
      <c r="KNT252" s="9"/>
      <c r="KNU252" s="9"/>
      <c r="KNV252" s="9"/>
      <c r="KNW252" s="9"/>
      <c r="KNX252" s="9"/>
      <c r="KNY252" s="9"/>
      <c r="KNZ252" s="9"/>
      <c r="KOA252" s="9"/>
      <c r="KOB252" s="9"/>
      <c r="KOC252" s="9"/>
      <c r="KOD252" s="9"/>
      <c r="KOE252" s="9"/>
      <c r="KOF252" s="9"/>
      <c r="KOG252" s="9"/>
      <c r="KOH252" s="9"/>
      <c r="KOI252" s="9"/>
      <c r="KOJ252" s="9"/>
      <c r="KOK252" s="9"/>
      <c r="KOL252" s="9"/>
      <c r="KOM252" s="9"/>
      <c r="KON252" s="9"/>
      <c r="KOO252" s="9"/>
      <c r="KOP252" s="9"/>
      <c r="KOQ252" s="9"/>
      <c r="KOR252" s="9"/>
      <c r="KOS252" s="9"/>
      <c r="KOT252" s="9"/>
      <c r="KOU252" s="9"/>
      <c r="KOV252" s="9"/>
      <c r="KOW252" s="9"/>
      <c r="KOX252" s="9"/>
      <c r="KOY252" s="9"/>
      <c r="KOZ252" s="9"/>
      <c r="KPA252" s="9"/>
      <c r="KPB252" s="9"/>
      <c r="KPC252" s="9"/>
      <c r="KPD252" s="9"/>
      <c r="KPE252" s="9"/>
      <c r="KPF252" s="9"/>
      <c r="KPG252" s="9"/>
      <c r="KPH252" s="9"/>
      <c r="KPI252" s="9"/>
      <c r="KPJ252" s="9"/>
      <c r="KPK252" s="9"/>
      <c r="KPL252" s="9"/>
      <c r="KPM252" s="9"/>
      <c r="KPN252" s="9"/>
      <c r="KPO252" s="9"/>
      <c r="KPP252" s="9"/>
      <c r="KPQ252" s="9"/>
      <c r="KPR252" s="9"/>
      <c r="KPS252" s="9"/>
      <c r="KPT252" s="9"/>
      <c r="KPU252" s="9"/>
      <c r="KPV252" s="9"/>
      <c r="KPW252" s="9"/>
      <c r="KPX252" s="9"/>
      <c r="KPY252" s="9"/>
      <c r="KPZ252" s="9"/>
      <c r="KQA252" s="9"/>
      <c r="KQB252" s="9"/>
      <c r="KQC252" s="9"/>
      <c r="KQD252" s="9"/>
      <c r="KQE252" s="9"/>
      <c r="KQF252" s="9"/>
      <c r="KQG252" s="9"/>
      <c r="KQH252" s="9"/>
      <c r="KQI252" s="9"/>
      <c r="KQJ252" s="9"/>
      <c r="KQK252" s="9"/>
      <c r="KQL252" s="9"/>
      <c r="KQM252" s="9"/>
      <c r="KQN252" s="9"/>
      <c r="KQO252" s="9"/>
      <c r="KQP252" s="9"/>
      <c r="KQQ252" s="9"/>
      <c r="KQR252" s="9"/>
      <c r="KQS252" s="9"/>
      <c r="KQT252" s="9"/>
      <c r="KQU252" s="9"/>
      <c r="KQV252" s="9"/>
      <c r="KQW252" s="9"/>
      <c r="KQX252" s="9"/>
      <c r="KQY252" s="9"/>
      <c r="KQZ252" s="9"/>
      <c r="KRA252" s="9"/>
      <c r="KRB252" s="9"/>
      <c r="KRC252" s="9"/>
      <c r="KRD252" s="9"/>
      <c r="KRE252" s="9"/>
      <c r="KRF252" s="9"/>
      <c r="KRG252" s="9"/>
      <c r="KRH252" s="9"/>
      <c r="KRI252" s="9"/>
      <c r="KRJ252" s="9"/>
      <c r="KRK252" s="9"/>
      <c r="KRL252" s="9"/>
      <c r="KRM252" s="9"/>
      <c r="KRN252" s="9"/>
      <c r="KRO252" s="9"/>
      <c r="KRP252" s="9"/>
      <c r="KRQ252" s="9"/>
      <c r="KRR252" s="9"/>
      <c r="KRS252" s="9"/>
      <c r="KRT252" s="9"/>
      <c r="KRU252" s="9"/>
      <c r="KRV252" s="9"/>
      <c r="KRW252" s="9"/>
      <c r="KRX252" s="9"/>
      <c r="KRY252" s="9"/>
      <c r="KRZ252" s="9"/>
      <c r="KSA252" s="9"/>
      <c r="KSB252" s="9"/>
      <c r="KSC252" s="9"/>
      <c r="KSD252" s="9"/>
      <c r="KSE252" s="9"/>
      <c r="KSF252" s="9"/>
      <c r="KSG252" s="9"/>
      <c r="KSH252" s="9"/>
      <c r="KSI252" s="9"/>
      <c r="KSJ252" s="9"/>
      <c r="KSK252" s="9"/>
      <c r="KSL252" s="9"/>
      <c r="KSM252" s="9"/>
      <c r="KSN252" s="9"/>
      <c r="KSO252" s="9"/>
      <c r="KSP252" s="9"/>
      <c r="KSQ252" s="9"/>
      <c r="KSR252" s="9"/>
      <c r="KSS252" s="9"/>
      <c r="KST252" s="9"/>
      <c r="KSU252" s="9"/>
      <c r="KSV252" s="9"/>
      <c r="KSW252" s="9"/>
      <c r="KSX252" s="9"/>
      <c r="KSY252" s="9"/>
      <c r="KSZ252" s="9"/>
      <c r="KTA252" s="9"/>
      <c r="KTB252" s="9"/>
      <c r="KTC252" s="9"/>
      <c r="KTD252" s="9"/>
      <c r="KTE252" s="9"/>
      <c r="KTF252" s="9"/>
      <c r="KTG252" s="9"/>
      <c r="KTH252" s="9"/>
      <c r="KTI252" s="9"/>
      <c r="KTJ252" s="9"/>
      <c r="KTK252" s="9"/>
      <c r="KTL252" s="9"/>
      <c r="KTM252" s="9"/>
      <c r="KTN252" s="9"/>
      <c r="KTO252" s="9"/>
      <c r="KTP252" s="9"/>
      <c r="KTQ252" s="9"/>
      <c r="KTR252" s="9"/>
      <c r="KTS252" s="9"/>
      <c r="KTT252" s="9"/>
      <c r="KTU252" s="9"/>
      <c r="KTV252" s="9"/>
      <c r="KTW252" s="9"/>
      <c r="KTX252" s="9"/>
      <c r="KTY252" s="9"/>
      <c r="KTZ252" s="9"/>
      <c r="KUA252" s="9"/>
      <c r="KUB252" s="9"/>
      <c r="KUC252" s="9"/>
      <c r="KUD252" s="9"/>
      <c r="KUE252" s="9"/>
      <c r="KUF252" s="9"/>
      <c r="KUG252" s="9"/>
      <c r="KUH252" s="9"/>
      <c r="KUI252" s="9"/>
      <c r="KUJ252" s="9"/>
      <c r="KUK252" s="9"/>
      <c r="KUL252" s="9"/>
      <c r="KUM252" s="9"/>
      <c r="KUN252" s="9"/>
      <c r="KUO252" s="9"/>
      <c r="KUP252" s="9"/>
      <c r="KUQ252" s="9"/>
      <c r="KUR252" s="9"/>
      <c r="KUS252" s="9"/>
      <c r="KUT252" s="9"/>
      <c r="KUU252" s="9"/>
      <c r="KUV252" s="9"/>
      <c r="KUW252" s="9"/>
      <c r="KUX252" s="9"/>
      <c r="KUY252" s="9"/>
      <c r="KUZ252" s="9"/>
      <c r="KVA252" s="9"/>
      <c r="KVB252" s="9"/>
      <c r="KVC252" s="9"/>
      <c r="KVD252" s="9"/>
      <c r="KVE252" s="9"/>
      <c r="KVF252" s="9"/>
      <c r="KVG252" s="9"/>
      <c r="KVH252" s="9"/>
      <c r="KVI252" s="9"/>
      <c r="KVJ252" s="9"/>
      <c r="KVK252" s="9"/>
      <c r="KVL252" s="9"/>
      <c r="KVM252" s="9"/>
      <c r="KVN252" s="9"/>
      <c r="KVO252" s="9"/>
      <c r="KVP252" s="9"/>
      <c r="KVQ252" s="9"/>
      <c r="KVR252" s="9"/>
      <c r="KVS252" s="9"/>
      <c r="KVT252" s="9"/>
      <c r="KVU252" s="9"/>
      <c r="KVV252" s="9"/>
      <c r="KVW252" s="9"/>
      <c r="KVX252" s="9"/>
      <c r="KVY252" s="9"/>
      <c r="KVZ252" s="9"/>
      <c r="KWA252" s="9"/>
      <c r="KWB252" s="9"/>
      <c r="KWC252" s="9"/>
      <c r="KWD252" s="9"/>
      <c r="KWE252" s="9"/>
      <c r="KWF252" s="9"/>
      <c r="KWG252" s="9"/>
      <c r="KWH252" s="9"/>
      <c r="KWI252" s="9"/>
      <c r="KWJ252" s="9"/>
      <c r="KWK252" s="9"/>
      <c r="KWL252" s="9"/>
      <c r="KWM252" s="9"/>
      <c r="KWN252" s="9"/>
      <c r="KWO252" s="9"/>
      <c r="KWP252" s="9"/>
      <c r="KWQ252" s="9"/>
      <c r="KWR252" s="9"/>
      <c r="KWS252" s="9"/>
      <c r="KWT252" s="9"/>
      <c r="KWU252" s="9"/>
      <c r="KWV252" s="9"/>
      <c r="KWW252" s="9"/>
      <c r="KWX252" s="9"/>
      <c r="KWY252" s="9"/>
      <c r="KWZ252" s="9"/>
      <c r="KXA252" s="9"/>
      <c r="KXB252" s="9"/>
      <c r="KXC252" s="9"/>
      <c r="KXD252" s="9"/>
      <c r="KXE252" s="9"/>
      <c r="KXF252" s="9"/>
      <c r="KXG252" s="9"/>
      <c r="KXH252" s="9"/>
      <c r="KXI252" s="9"/>
      <c r="KXJ252" s="9"/>
      <c r="KXK252" s="9"/>
      <c r="KXL252" s="9"/>
      <c r="KXM252" s="9"/>
      <c r="KXN252" s="9"/>
      <c r="KXO252" s="9"/>
      <c r="KXP252" s="9"/>
      <c r="KXQ252" s="9"/>
      <c r="KXR252" s="9"/>
      <c r="KXS252" s="9"/>
      <c r="KXT252" s="9"/>
      <c r="KXU252" s="9"/>
      <c r="KXV252" s="9"/>
      <c r="KXW252" s="9"/>
      <c r="KXX252" s="9"/>
      <c r="KXY252" s="9"/>
      <c r="KXZ252" s="9"/>
      <c r="KYA252" s="9"/>
      <c r="KYB252" s="9"/>
      <c r="KYC252" s="9"/>
      <c r="KYD252" s="9"/>
      <c r="KYE252" s="9"/>
      <c r="KYF252" s="9"/>
      <c r="KYG252" s="9"/>
      <c r="KYH252" s="9"/>
      <c r="KYI252" s="9"/>
      <c r="KYJ252" s="9"/>
      <c r="KYK252" s="9"/>
      <c r="KYL252" s="9"/>
      <c r="KYM252" s="9"/>
      <c r="KYN252" s="9"/>
      <c r="KYO252" s="9"/>
      <c r="KYP252" s="9"/>
      <c r="KYQ252" s="9"/>
      <c r="KYR252" s="9"/>
      <c r="KYS252" s="9"/>
      <c r="KYT252" s="9"/>
      <c r="KYU252" s="9"/>
      <c r="KYV252" s="9"/>
      <c r="KYW252" s="9"/>
      <c r="KYX252" s="9"/>
      <c r="KYY252" s="9"/>
      <c r="KYZ252" s="9"/>
      <c r="KZA252" s="9"/>
      <c r="KZB252" s="9"/>
      <c r="KZC252" s="9"/>
      <c r="KZD252" s="9"/>
      <c r="KZE252" s="9"/>
      <c r="KZF252" s="9"/>
      <c r="KZG252" s="9"/>
      <c r="KZH252" s="9"/>
      <c r="KZI252" s="9"/>
      <c r="KZJ252" s="9"/>
      <c r="KZK252" s="9"/>
      <c r="KZL252" s="9"/>
      <c r="KZM252" s="9"/>
      <c r="KZN252" s="9"/>
      <c r="KZO252" s="9"/>
      <c r="KZP252" s="9"/>
      <c r="KZQ252" s="9"/>
      <c r="KZR252" s="9"/>
      <c r="KZS252" s="9"/>
      <c r="KZT252" s="9"/>
      <c r="KZU252" s="9"/>
      <c r="KZV252" s="9"/>
      <c r="KZW252" s="9"/>
      <c r="KZX252" s="9"/>
      <c r="KZY252" s="9"/>
      <c r="KZZ252" s="9"/>
      <c r="LAA252" s="9"/>
      <c r="LAB252" s="9"/>
      <c r="LAC252" s="9"/>
      <c r="LAD252" s="9"/>
      <c r="LAE252" s="9"/>
      <c r="LAF252" s="9"/>
      <c r="LAG252" s="9"/>
      <c r="LAH252" s="9"/>
      <c r="LAI252" s="9"/>
      <c r="LAJ252" s="9"/>
      <c r="LAK252" s="9"/>
      <c r="LAL252" s="9"/>
      <c r="LAM252" s="9"/>
      <c r="LAN252" s="9"/>
      <c r="LAO252" s="9"/>
      <c r="LAP252" s="9"/>
      <c r="LAQ252" s="9"/>
      <c r="LAR252" s="9"/>
      <c r="LAS252" s="9"/>
      <c r="LAT252" s="9"/>
      <c r="LAU252" s="9"/>
      <c r="LAV252" s="9"/>
      <c r="LAW252" s="9"/>
      <c r="LAX252" s="9"/>
      <c r="LAY252" s="9"/>
      <c r="LAZ252" s="9"/>
      <c r="LBA252" s="9"/>
      <c r="LBB252" s="9"/>
      <c r="LBC252" s="9"/>
      <c r="LBD252" s="9"/>
      <c r="LBE252" s="9"/>
      <c r="LBF252" s="9"/>
      <c r="LBG252" s="9"/>
      <c r="LBH252" s="9"/>
      <c r="LBI252" s="9"/>
      <c r="LBJ252" s="9"/>
      <c r="LBK252" s="9"/>
      <c r="LBL252" s="9"/>
      <c r="LBM252" s="9"/>
      <c r="LBN252" s="9"/>
      <c r="LBO252" s="9"/>
      <c r="LBP252" s="9"/>
      <c r="LBQ252" s="9"/>
      <c r="LBR252" s="9"/>
      <c r="LBS252" s="9"/>
      <c r="LBT252" s="9"/>
      <c r="LBU252" s="9"/>
      <c r="LBV252" s="9"/>
      <c r="LBW252" s="9"/>
      <c r="LBX252" s="9"/>
      <c r="LBY252" s="9"/>
      <c r="LBZ252" s="9"/>
      <c r="LCA252" s="9"/>
      <c r="LCB252" s="9"/>
      <c r="LCC252" s="9"/>
      <c r="LCD252" s="9"/>
      <c r="LCE252" s="9"/>
      <c r="LCF252" s="9"/>
      <c r="LCG252" s="9"/>
      <c r="LCH252" s="9"/>
      <c r="LCI252" s="9"/>
      <c r="LCJ252" s="9"/>
      <c r="LCK252" s="9"/>
      <c r="LCL252" s="9"/>
      <c r="LCM252" s="9"/>
      <c r="LCN252" s="9"/>
      <c r="LCO252" s="9"/>
      <c r="LCP252" s="9"/>
      <c r="LCQ252" s="9"/>
      <c r="LCR252" s="9"/>
      <c r="LCS252" s="9"/>
      <c r="LCT252" s="9"/>
      <c r="LCU252" s="9"/>
      <c r="LCV252" s="9"/>
      <c r="LCW252" s="9"/>
      <c r="LCX252" s="9"/>
      <c r="LCY252" s="9"/>
      <c r="LCZ252" s="9"/>
      <c r="LDA252" s="9"/>
      <c r="LDB252" s="9"/>
      <c r="LDC252" s="9"/>
      <c r="LDD252" s="9"/>
      <c r="LDE252" s="9"/>
      <c r="LDF252" s="9"/>
      <c r="LDG252" s="9"/>
      <c r="LDH252" s="9"/>
      <c r="LDI252" s="9"/>
      <c r="LDJ252" s="9"/>
      <c r="LDK252" s="9"/>
      <c r="LDL252" s="9"/>
      <c r="LDM252" s="9"/>
      <c r="LDN252" s="9"/>
      <c r="LDO252" s="9"/>
      <c r="LDP252" s="9"/>
      <c r="LDQ252" s="9"/>
      <c r="LDR252" s="9"/>
      <c r="LDS252" s="9"/>
      <c r="LDT252" s="9"/>
      <c r="LDU252" s="9"/>
      <c r="LDV252" s="9"/>
      <c r="LDW252" s="9"/>
      <c r="LDX252" s="9"/>
      <c r="LDY252" s="9"/>
      <c r="LDZ252" s="9"/>
      <c r="LEA252" s="9"/>
      <c r="LEB252" s="9"/>
      <c r="LEC252" s="9"/>
      <c r="LED252" s="9"/>
      <c r="LEE252" s="9"/>
      <c r="LEF252" s="9"/>
      <c r="LEG252" s="9"/>
      <c r="LEH252" s="9"/>
      <c r="LEI252" s="9"/>
      <c r="LEJ252" s="9"/>
      <c r="LEK252" s="9"/>
      <c r="LEL252" s="9"/>
      <c r="LEM252" s="9"/>
      <c r="LEN252" s="9"/>
      <c r="LEO252" s="9"/>
      <c r="LEP252" s="9"/>
      <c r="LEQ252" s="9"/>
      <c r="LER252" s="9"/>
      <c r="LES252" s="9"/>
      <c r="LET252" s="9"/>
      <c r="LEU252" s="9"/>
      <c r="LEV252" s="9"/>
      <c r="LEW252" s="9"/>
      <c r="LEX252" s="9"/>
      <c r="LEY252" s="9"/>
      <c r="LEZ252" s="9"/>
      <c r="LFA252" s="9"/>
      <c r="LFB252" s="9"/>
      <c r="LFC252" s="9"/>
      <c r="LFD252" s="9"/>
      <c r="LFE252" s="9"/>
      <c r="LFF252" s="9"/>
      <c r="LFG252" s="9"/>
      <c r="LFH252" s="9"/>
      <c r="LFI252" s="9"/>
      <c r="LFJ252" s="9"/>
      <c r="LFK252" s="9"/>
      <c r="LFL252" s="9"/>
      <c r="LFM252" s="9"/>
      <c r="LFN252" s="9"/>
      <c r="LFO252" s="9"/>
      <c r="LFP252" s="9"/>
      <c r="LFQ252" s="9"/>
      <c r="LFR252" s="9"/>
      <c r="LFS252" s="9"/>
      <c r="LFT252" s="9"/>
      <c r="LFU252" s="9"/>
      <c r="LFV252" s="9"/>
      <c r="LFW252" s="9"/>
      <c r="LFX252" s="9"/>
      <c r="LFY252" s="9"/>
      <c r="LFZ252" s="9"/>
      <c r="LGA252" s="9"/>
      <c r="LGB252" s="9"/>
      <c r="LGC252" s="9"/>
      <c r="LGD252" s="9"/>
      <c r="LGE252" s="9"/>
      <c r="LGF252" s="9"/>
      <c r="LGG252" s="9"/>
      <c r="LGH252" s="9"/>
      <c r="LGI252" s="9"/>
      <c r="LGJ252" s="9"/>
      <c r="LGK252" s="9"/>
      <c r="LGL252" s="9"/>
      <c r="LGM252" s="9"/>
      <c r="LGN252" s="9"/>
      <c r="LGO252" s="9"/>
      <c r="LGP252" s="9"/>
      <c r="LGQ252" s="9"/>
      <c r="LGR252" s="9"/>
      <c r="LGS252" s="9"/>
      <c r="LGT252" s="9"/>
      <c r="LGU252" s="9"/>
      <c r="LGV252" s="9"/>
      <c r="LGW252" s="9"/>
      <c r="LGX252" s="9"/>
      <c r="LGY252" s="9"/>
      <c r="LGZ252" s="9"/>
      <c r="LHA252" s="9"/>
      <c r="LHB252" s="9"/>
      <c r="LHC252" s="9"/>
      <c r="LHD252" s="9"/>
      <c r="LHE252" s="9"/>
      <c r="LHF252" s="9"/>
      <c r="LHG252" s="9"/>
      <c r="LHH252" s="9"/>
      <c r="LHI252" s="9"/>
      <c r="LHJ252" s="9"/>
      <c r="LHK252" s="9"/>
      <c r="LHL252" s="9"/>
      <c r="LHM252" s="9"/>
      <c r="LHN252" s="9"/>
      <c r="LHO252" s="9"/>
      <c r="LHP252" s="9"/>
      <c r="LHQ252" s="9"/>
      <c r="LHR252" s="9"/>
      <c r="LHS252" s="9"/>
      <c r="LHT252" s="9"/>
      <c r="LHU252" s="9"/>
      <c r="LHV252" s="9"/>
      <c r="LHW252" s="9"/>
      <c r="LHX252" s="9"/>
      <c r="LHY252" s="9"/>
      <c r="LHZ252" s="9"/>
      <c r="LIA252" s="9"/>
      <c r="LIB252" s="9"/>
      <c r="LIC252" s="9"/>
      <c r="LID252" s="9"/>
      <c r="LIE252" s="9"/>
      <c r="LIF252" s="9"/>
      <c r="LIG252" s="9"/>
      <c r="LIH252" s="9"/>
      <c r="LII252" s="9"/>
      <c r="LIJ252" s="9"/>
      <c r="LIK252" s="9"/>
      <c r="LIL252" s="9"/>
      <c r="LIM252" s="9"/>
      <c r="LIN252" s="9"/>
      <c r="LIO252" s="9"/>
      <c r="LIP252" s="9"/>
      <c r="LIQ252" s="9"/>
      <c r="LIR252" s="9"/>
      <c r="LIS252" s="9"/>
      <c r="LIT252" s="9"/>
      <c r="LIU252" s="9"/>
      <c r="LIV252" s="9"/>
      <c r="LIW252" s="9"/>
      <c r="LIX252" s="9"/>
      <c r="LIY252" s="9"/>
      <c r="LIZ252" s="9"/>
      <c r="LJA252" s="9"/>
      <c r="LJB252" s="9"/>
      <c r="LJC252" s="9"/>
      <c r="LJD252" s="9"/>
      <c r="LJE252" s="9"/>
      <c r="LJF252" s="9"/>
      <c r="LJG252" s="9"/>
      <c r="LJH252" s="9"/>
      <c r="LJI252" s="9"/>
      <c r="LJJ252" s="9"/>
      <c r="LJK252" s="9"/>
      <c r="LJL252" s="9"/>
      <c r="LJM252" s="9"/>
      <c r="LJN252" s="9"/>
      <c r="LJO252" s="9"/>
      <c r="LJP252" s="9"/>
      <c r="LJQ252" s="9"/>
      <c r="LJR252" s="9"/>
      <c r="LJS252" s="9"/>
      <c r="LJT252" s="9"/>
      <c r="LJU252" s="9"/>
      <c r="LJV252" s="9"/>
      <c r="LJW252" s="9"/>
      <c r="LJX252" s="9"/>
      <c r="LJY252" s="9"/>
      <c r="LJZ252" s="9"/>
      <c r="LKA252" s="9"/>
      <c r="LKB252" s="9"/>
      <c r="LKC252" s="9"/>
      <c r="LKD252" s="9"/>
      <c r="LKE252" s="9"/>
      <c r="LKF252" s="9"/>
      <c r="LKG252" s="9"/>
      <c r="LKH252" s="9"/>
      <c r="LKI252" s="9"/>
      <c r="LKJ252" s="9"/>
      <c r="LKK252" s="9"/>
      <c r="LKL252" s="9"/>
      <c r="LKM252" s="9"/>
      <c r="LKN252" s="9"/>
      <c r="LKO252" s="9"/>
      <c r="LKP252" s="9"/>
      <c r="LKQ252" s="9"/>
      <c r="LKR252" s="9"/>
      <c r="LKS252" s="9"/>
      <c r="LKT252" s="9"/>
      <c r="LKU252" s="9"/>
      <c r="LKV252" s="9"/>
      <c r="LKW252" s="9"/>
      <c r="LKX252" s="9"/>
      <c r="LKY252" s="9"/>
      <c r="LKZ252" s="9"/>
      <c r="LLA252" s="9"/>
      <c r="LLB252" s="9"/>
      <c r="LLC252" s="9"/>
      <c r="LLD252" s="9"/>
      <c r="LLE252" s="9"/>
      <c r="LLF252" s="9"/>
      <c r="LLG252" s="9"/>
      <c r="LLH252" s="9"/>
      <c r="LLI252" s="9"/>
      <c r="LLJ252" s="9"/>
      <c r="LLK252" s="9"/>
      <c r="LLL252" s="9"/>
      <c r="LLM252" s="9"/>
      <c r="LLN252" s="9"/>
      <c r="LLO252" s="9"/>
      <c r="LLP252" s="9"/>
      <c r="LLQ252" s="9"/>
      <c r="LLR252" s="9"/>
      <c r="LLS252" s="9"/>
      <c r="LLT252" s="9"/>
      <c r="LLU252" s="9"/>
      <c r="LLV252" s="9"/>
      <c r="LLW252" s="9"/>
      <c r="LLX252" s="9"/>
      <c r="LLY252" s="9"/>
      <c r="LLZ252" s="9"/>
      <c r="LMA252" s="9"/>
      <c r="LMB252" s="9"/>
      <c r="LMC252" s="9"/>
      <c r="LMD252" s="9"/>
      <c r="LME252" s="9"/>
      <c r="LMF252" s="9"/>
      <c r="LMG252" s="9"/>
      <c r="LMH252" s="9"/>
      <c r="LMI252" s="9"/>
      <c r="LMJ252" s="9"/>
      <c r="LMK252" s="9"/>
      <c r="LML252" s="9"/>
      <c r="LMM252" s="9"/>
      <c r="LMN252" s="9"/>
      <c r="LMO252" s="9"/>
      <c r="LMP252" s="9"/>
      <c r="LMQ252" s="9"/>
      <c r="LMR252" s="9"/>
      <c r="LMS252" s="9"/>
      <c r="LMT252" s="9"/>
      <c r="LMU252" s="9"/>
      <c r="LMV252" s="9"/>
      <c r="LMW252" s="9"/>
      <c r="LMX252" s="9"/>
      <c r="LMY252" s="9"/>
      <c r="LMZ252" s="9"/>
      <c r="LNA252" s="9"/>
      <c r="LNB252" s="9"/>
      <c r="LNC252" s="9"/>
      <c r="LND252" s="9"/>
      <c r="LNE252" s="9"/>
      <c r="LNF252" s="9"/>
      <c r="LNG252" s="9"/>
      <c r="LNH252" s="9"/>
      <c r="LNI252" s="9"/>
      <c r="LNJ252" s="9"/>
      <c r="LNK252" s="9"/>
      <c r="LNL252" s="9"/>
      <c r="LNM252" s="9"/>
      <c r="LNN252" s="9"/>
      <c r="LNO252" s="9"/>
      <c r="LNP252" s="9"/>
      <c r="LNQ252" s="9"/>
      <c r="LNR252" s="9"/>
      <c r="LNS252" s="9"/>
      <c r="LNT252" s="9"/>
      <c r="LNU252" s="9"/>
      <c r="LNV252" s="9"/>
      <c r="LNW252" s="9"/>
      <c r="LNX252" s="9"/>
      <c r="LNY252" s="9"/>
      <c r="LNZ252" s="9"/>
      <c r="LOA252" s="9"/>
      <c r="LOB252" s="9"/>
      <c r="LOC252" s="9"/>
      <c r="LOD252" s="9"/>
      <c r="LOE252" s="9"/>
      <c r="LOF252" s="9"/>
      <c r="LOG252" s="9"/>
      <c r="LOH252" s="9"/>
      <c r="LOI252" s="9"/>
      <c r="LOJ252" s="9"/>
      <c r="LOK252" s="9"/>
      <c r="LOL252" s="9"/>
      <c r="LOM252" s="9"/>
      <c r="LON252" s="9"/>
      <c r="LOO252" s="9"/>
      <c r="LOP252" s="9"/>
      <c r="LOQ252" s="9"/>
      <c r="LOR252" s="9"/>
      <c r="LOS252" s="9"/>
      <c r="LOT252" s="9"/>
      <c r="LOU252" s="9"/>
      <c r="LOV252" s="9"/>
      <c r="LOW252" s="9"/>
      <c r="LOX252" s="9"/>
      <c r="LOY252" s="9"/>
      <c r="LOZ252" s="9"/>
      <c r="LPA252" s="9"/>
      <c r="LPB252" s="9"/>
      <c r="LPC252" s="9"/>
      <c r="LPD252" s="9"/>
      <c r="LPE252" s="9"/>
      <c r="LPF252" s="9"/>
      <c r="LPG252" s="9"/>
      <c r="LPH252" s="9"/>
      <c r="LPI252" s="9"/>
      <c r="LPJ252" s="9"/>
      <c r="LPK252" s="9"/>
      <c r="LPL252" s="9"/>
      <c r="LPM252" s="9"/>
      <c r="LPN252" s="9"/>
      <c r="LPO252" s="9"/>
      <c r="LPP252" s="9"/>
      <c r="LPQ252" s="9"/>
      <c r="LPR252" s="9"/>
      <c r="LPS252" s="9"/>
      <c r="LPT252" s="9"/>
      <c r="LPU252" s="9"/>
      <c r="LPV252" s="9"/>
      <c r="LPW252" s="9"/>
      <c r="LPX252" s="9"/>
      <c r="LPY252" s="9"/>
      <c r="LPZ252" s="9"/>
      <c r="LQA252" s="9"/>
      <c r="LQB252" s="9"/>
      <c r="LQC252" s="9"/>
      <c r="LQD252" s="9"/>
      <c r="LQE252" s="9"/>
      <c r="LQF252" s="9"/>
      <c r="LQG252" s="9"/>
      <c r="LQH252" s="9"/>
      <c r="LQI252" s="9"/>
      <c r="LQJ252" s="9"/>
      <c r="LQK252" s="9"/>
      <c r="LQL252" s="9"/>
      <c r="LQM252" s="9"/>
      <c r="LQN252" s="9"/>
      <c r="LQO252" s="9"/>
      <c r="LQP252" s="9"/>
      <c r="LQQ252" s="9"/>
      <c r="LQR252" s="9"/>
      <c r="LQS252" s="9"/>
      <c r="LQT252" s="9"/>
      <c r="LQU252" s="9"/>
      <c r="LQV252" s="9"/>
      <c r="LQW252" s="9"/>
      <c r="LQX252" s="9"/>
      <c r="LQY252" s="9"/>
      <c r="LQZ252" s="9"/>
      <c r="LRA252" s="9"/>
      <c r="LRB252" s="9"/>
      <c r="LRC252" s="9"/>
      <c r="LRD252" s="9"/>
      <c r="LRE252" s="9"/>
      <c r="LRF252" s="9"/>
      <c r="LRG252" s="9"/>
      <c r="LRH252" s="9"/>
      <c r="LRI252" s="9"/>
      <c r="LRJ252" s="9"/>
      <c r="LRK252" s="9"/>
      <c r="LRL252" s="9"/>
      <c r="LRM252" s="9"/>
      <c r="LRN252" s="9"/>
      <c r="LRO252" s="9"/>
      <c r="LRP252" s="9"/>
      <c r="LRQ252" s="9"/>
      <c r="LRR252" s="9"/>
      <c r="LRS252" s="9"/>
      <c r="LRT252" s="9"/>
      <c r="LRU252" s="9"/>
      <c r="LRV252" s="9"/>
      <c r="LRW252" s="9"/>
      <c r="LRX252" s="9"/>
      <c r="LRY252" s="9"/>
      <c r="LRZ252" s="9"/>
      <c r="LSA252" s="9"/>
      <c r="LSB252" s="9"/>
      <c r="LSC252" s="9"/>
      <c r="LSD252" s="9"/>
      <c r="LSE252" s="9"/>
      <c r="LSF252" s="9"/>
      <c r="LSG252" s="9"/>
      <c r="LSH252" s="9"/>
      <c r="LSI252" s="9"/>
      <c r="LSJ252" s="9"/>
      <c r="LSK252" s="9"/>
      <c r="LSL252" s="9"/>
      <c r="LSM252" s="9"/>
      <c r="LSN252" s="9"/>
      <c r="LSO252" s="9"/>
      <c r="LSP252" s="9"/>
      <c r="LSQ252" s="9"/>
      <c r="LSR252" s="9"/>
      <c r="LSS252" s="9"/>
      <c r="LST252" s="9"/>
      <c r="LSU252" s="9"/>
      <c r="LSV252" s="9"/>
      <c r="LSW252" s="9"/>
      <c r="LSX252" s="9"/>
      <c r="LSY252" s="9"/>
      <c r="LSZ252" s="9"/>
      <c r="LTA252" s="9"/>
      <c r="LTB252" s="9"/>
      <c r="LTC252" s="9"/>
      <c r="LTD252" s="9"/>
      <c r="LTE252" s="9"/>
      <c r="LTF252" s="9"/>
      <c r="LTG252" s="9"/>
      <c r="LTH252" s="9"/>
      <c r="LTI252" s="9"/>
      <c r="LTJ252" s="9"/>
      <c r="LTK252" s="9"/>
      <c r="LTL252" s="9"/>
      <c r="LTM252" s="9"/>
      <c r="LTN252" s="9"/>
      <c r="LTO252" s="9"/>
      <c r="LTP252" s="9"/>
      <c r="LTQ252" s="9"/>
      <c r="LTR252" s="9"/>
      <c r="LTS252" s="9"/>
      <c r="LTT252" s="9"/>
      <c r="LTU252" s="9"/>
      <c r="LTV252" s="9"/>
      <c r="LTW252" s="9"/>
      <c r="LTX252" s="9"/>
      <c r="LTY252" s="9"/>
      <c r="LTZ252" s="9"/>
      <c r="LUA252" s="9"/>
      <c r="LUB252" s="9"/>
      <c r="LUC252" s="9"/>
      <c r="LUD252" s="9"/>
      <c r="LUE252" s="9"/>
      <c r="LUF252" s="9"/>
      <c r="LUG252" s="9"/>
      <c r="LUH252" s="9"/>
      <c r="LUI252" s="9"/>
      <c r="LUJ252" s="9"/>
      <c r="LUK252" s="9"/>
      <c r="LUL252" s="9"/>
      <c r="LUM252" s="9"/>
      <c r="LUN252" s="9"/>
      <c r="LUO252" s="9"/>
      <c r="LUP252" s="9"/>
      <c r="LUQ252" s="9"/>
      <c r="LUR252" s="9"/>
      <c r="LUS252" s="9"/>
      <c r="LUT252" s="9"/>
      <c r="LUU252" s="9"/>
      <c r="LUV252" s="9"/>
      <c r="LUW252" s="9"/>
      <c r="LUX252" s="9"/>
      <c r="LUY252" s="9"/>
      <c r="LUZ252" s="9"/>
      <c r="LVA252" s="9"/>
      <c r="LVB252" s="9"/>
      <c r="LVC252" s="9"/>
      <c r="LVD252" s="9"/>
      <c r="LVE252" s="9"/>
      <c r="LVF252" s="9"/>
      <c r="LVG252" s="9"/>
      <c r="LVH252" s="9"/>
      <c r="LVI252" s="9"/>
      <c r="LVJ252" s="9"/>
      <c r="LVK252" s="9"/>
      <c r="LVL252" s="9"/>
      <c r="LVM252" s="9"/>
      <c r="LVN252" s="9"/>
      <c r="LVO252" s="9"/>
      <c r="LVP252" s="9"/>
      <c r="LVQ252" s="9"/>
      <c r="LVR252" s="9"/>
      <c r="LVS252" s="9"/>
      <c r="LVT252" s="9"/>
      <c r="LVU252" s="9"/>
      <c r="LVV252" s="9"/>
      <c r="LVW252" s="9"/>
      <c r="LVX252" s="9"/>
      <c r="LVY252" s="9"/>
      <c r="LVZ252" s="9"/>
      <c r="LWA252" s="9"/>
      <c r="LWB252" s="9"/>
      <c r="LWC252" s="9"/>
      <c r="LWD252" s="9"/>
      <c r="LWE252" s="9"/>
      <c r="LWF252" s="9"/>
      <c r="LWG252" s="9"/>
      <c r="LWH252" s="9"/>
      <c r="LWI252" s="9"/>
      <c r="LWJ252" s="9"/>
      <c r="LWK252" s="9"/>
      <c r="LWL252" s="9"/>
      <c r="LWM252" s="9"/>
      <c r="LWN252" s="9"/>
      <c r="LWO252" s="9"/>
      <c r="LWP252" s="9"/>
      <c r="LWQ252" s="9"/>
      <c r="LWR252" s="9"/>
      <c r="LWS252" s="9"/>
      <c r="LWT252" s="9"/>
      <c r="LWU252" s="9"/>
      <c r="LWV252" s="9"/>
      <c r="LWW252" s="9"/>
      <c r="LWX252" s="9"/>
      <c r="LWY252" s="9"/>
      <c r="LWZ252" s="9"/>
      <c r="LXA252" s="9"/>
      <c r="LXB252" s="9"/>
      <c r="LXC252" s="9"/>
      <c r="LXD252" s="9"/>
      <c r="LXE252" s="9"/>
      <c r="LXF252" s="9"/>
      <c r="LXG252" s="9"/>
      <c r="LXH252" s="9"/>
      <c r="LXI252" s="9"/>
      <c r="LXJ252" s="9"/>
      <c r="LXK252" s="9"/>
      <c r="LXL252" s="9"/>
      <c r="LXM252" s="9"/>
      <c r="LXN252" s="9"/>
      <c r="LXO252" s="9"/>
      <c r="LXP252" s="9"/>
      <c r="LXQ252" s="9"/>
      <c r="LXR252" s="9"/>
      <c r="LXS252" s="9"/>
      <c r="LXT252" s="9"/>
      <c r="LXU252" s="9"/>
      <c r="LXV252" s="9"/>
      <c r="LXW252" s="9"/>
      <c r="LXX252" s="9"/>
      <c r="LXY252" s="9"/>
      <c r="LXZ252" s="9"/>
      <c r="LYA252" s="9"/>
      <c r="LYB252" s="9"/>
      <c r="LYC252" s="9"/>
      <c r="LYD252" s="9"/>
      <c r="LYE252" s="9"/>
      <c r="LYF252" s="9"/>
      <c r="LYG252" s="9"/>
      <c r="LYH252" s="9"/>
      <c r="LYI252" s="9"/>
      <c r="LYJ252" s="9"/>
      <c r="LYK252" s="9"/>
      <c r="LYL252" s="9"/>
      <c r="LYM252" s="9"/>
      <c r="LYN252" s="9"/>
      <c r="LYO252" s="9"/>
      <c r="LYP252" s="9"/>
      <c r="LYQ252" s="9"/>
      <c r="LYR252" s="9"/>
      <c r="LYS252" s="9"/>
      <c r="LYT252" s="9"/>
      <c r="LYU252" s="9"/>
      <c r="LYV252" s="9"/>
      <c r="LYW252" s="9"/>
      <c r="LYX252" s="9"/>
      <c r="LYY252" s="9"/>
      <c r="LYZ252" s="9"/>
      <c r="LZA252" s="9"/>
      <c r="LZB252" s="9"/>
      <c r="LZC252" s="9"/>
      <c r="LZD252" s="9"/>
      <c r="LZE252" s="9"/>
      <c r="LZF252" s="9"/>
      <c r="LZG252" s="9"/>
      <c r="LZH252" s="9"/>
      <c r="LZI252" s="9"/>
      <c r="LZJ252" s="9"/>
      <c r="LZK252" s="9"/>
      <c r="LZL252" s="9"/>
      <c r="LZM252" s="9"/>
      <c r="LZN252" s="9"/>
      <c r="LZO252" s="9"/>
      <c r="LZP252" s="9"/>
      <c r="LZQ252" s="9"/>
      <c r="LZR252" s="9"/>
      <c r="LZS252" s="9"/>
      <c r="LZT252" s="9"/>
      <c r="LZU252" s="9"/>
      <c r="LZV252" s="9"/>
      <c r="LZW252" s="9"/>
      <c r="LZX252" s="9"/>
      <c r="LZY252" s="9"/>
      <c r="LZZ252" s="9"/>
      <c r="MAA252" s="9"/>
      <c r="MAB252" s="9"/>
      <c r="MAC252" s="9"/>
      <c r="MAD252" s="9"/>
      <c r="MAE252" s="9"/>
      <c r="MAF252" s="9"/>
      <c r="MAG252" s="9"/>
      <c r="MAH252" s="9"/>
      <c r="MAI252" s="9"/>
      <c r="MAJ252" s="9"/>
      <c r="MAK252" s="9"/>
      <c r="MAL252" s="9"/>
      <c r="MAM252" s="9"/>
      <c r="MAN252" s="9"/>
      <c r="MAO252" s="9"/>
      <c r="MAP252" s="9"/>
      <c r="MAQ252" s="9"/>
      <c r="MAR252" s="9"/>
      <c r="MAS252" s="9"/>
      <c r="MAT252" s="9"/>
      <c r="MAU252" s="9"/>
      <c r="MAV252" s="9"/>
      <c r="MAW252" s="9"/>
      <c r="MAX252" s="9"/>
      <c r="MAY252" s="9"/>
      <c r="MAZ252" s="9"/>
      <c r="MBA252" s="9"/>
      <c r="MBB252" s="9"/>
      <c r="MBC252" s="9"/>
      <c r="MBD252" s="9"/>
      <c r="MBE252" s="9"/>
      <c r="MBF252" s="9"/>
      <c r="MBG252" s="9"/>
      <c r="MBH252" s="9"/>
      <c r="MBI252" s="9"/>
      <c r="MBJ252" s="9"/>
      <c r="MBK252" s="9"/>
      <c r="MBL252" s="9"/>
      <c r="MBM252" s="9"/>
      <c r="MBN252" s="9"/>
      <c r="MBO252" s="9"/>
      <c r="MBP252" s="9"/>
      <c r="MBQ252" s="9"/>
      <c r="MBR252" s="9"/>
      <c r="MBS252" s="9"/>
      <c r="MBT252" s="9"/>
      <c r="MBU252" s="9"/>
      <c r="MBV252" s="9"/>
      <c r="MBW252" s="9"/>
      <c r="MBX252" s="9"/>
      <c r="MBY252" s="9"/>
      <c r="MBZ252" s="9"/>
      <c r="MCA252" s="9"/>
      <c r="MCB252" s="9"/>
      <c r="MCC252" s="9"/>
      <c r="MCD252" s="9"/>
      <c r="MCE252" s="9"/>
      <c r="MCF252" s="9"/>
      <c r="MCG252" s="9"/>
      <c r="MCH252" s="9"/>
      <c r="MCI252" s="9"/>
      <c r="MCJ252" s="9"/>
      <c r="MCK252" s="9"/>
      <c r="MCL252" s="9"/>
      <c r="MCM252" s="9"/>
      <c r="MCN252" s="9"/>
      <c r="MCO252" s="9"/>
      <c r="MCP252" s="9"/>
      <c r="MCQ252" s="9"/>
      <c r="MCR252" s="9"/>
      <c r="MCS252" s="9"/>
      <c r="MCT252" s="9"/>
      <c r="MCU252" s="9"/>
      <c r="MCV252" s="9"/>
      <c r="MCW252" s="9"/>
      <c r="MCX252" s="9"/>
      <c r="MCY252" s="9"/>
      <c r="MCZ252" s="9"/>
      <c r="MDA252" s="9"/>
      <c r="MDB252" s="9"/>
      <c r="MDC252" s="9"/>
      <c r="MDD252" s="9"/>
      <c r="MDE252" s="9"/>
      <c r="MDF252" s="9"/>
      <c r="MDG252" s="9"/>
      <c r="MDH252" s="9"/>
      <c r="MDI252" s="9"/>
      <c r="MDJ252" s="9"/>
      <c r="MDK252" s="9"/>
      <c r="MDL252" s="9"/>
      <c r="MDM252" s="9"/>
      <c r="MDN252" s="9"/>
      <c r="MDO252" s="9"/>
      <c r="MDP252" s="9"/>
      <c r="MDQ252" s="9"/>
      <c r="MDR252" s="9"/>
      <c r="MDS252" s="9"/>
      <c r="MDT252" s="9"/>
      <c r="MDU252" s="9"/>
      <c r="MDV252" s="9"/>
      <c r="MDW252" s="9"/>
      <c r="MDX252" s="9"/>
      <c r="MDY252" s="9"/>
      <c r="MDZ252" s="9"/>
      <c r="MEA252" s="9"/>
      <c r="MEB252" s="9"/>
      <c r="MEC252" s="9"/>
      <c r="MED252" s="9"/>
      <c r="MEE252" s="9"/>
      <c r="MEF252" s="9"/>
      <c r="MEG252" s="9"/>
      <c r="MEH252" s="9"/>
      <c r="MEI252" s="9"/>
      <c r="MEJ252" s="9"/>
      <c r="MEK252" s="9"/>
      <c r="MEL252" s="9"/>
      <c r="MEM252" s="9"/>
      <c r="MEN252" s="9"/>
      <c r="MEO252" s="9"/>
      <c r="MEP252" s="9"/>
      <c r="MEQ252" s="9"/>
      <c r="MER252" s="9"/>
      <c r="MES252" s="9"/>
      <c r="MET252" s="9"/>
      <c r="MEU252" s="9"/>
      <c r="MEV252" s="9"/>
      <c r="MEW252" s="9"/>
      <c r="MEX252" s="9"/>
      <c r="MEY252" s="9"/>
      <c r="MEZ252" s="9"/>
      <c r="MFA252" s="9"/>
      <c r="MFB252" s="9"/>
      <c r="MFC252" s="9"/>
      <c r="MFD252" s="9"/>
      <c r="MFE252" s="9"/>
      <c r="MFF252" s="9"/>
      <c r="MFG252" s="9"/>
      <c r="MFH252" s="9"/>
      <c r="MFI252" s="9"/>
      <c r="MFJ252" s="9"/>
      <c r="MFK252" s="9"/>
      <c r="MFL252" s="9"/>
      <c r="MFM252" s="9"/>
      <c r="MFN252" s="9"/>
      <c r="MFO252" s="9"/>
      <c r="MFP252" s="9"/>
      <c r="MFQ252" s="9"/>
      <c r="MFR252" s="9"/>
      <c r="MFS252" s="9"/>
      <c r="MFT252" s="9"/>
      <c r="MFU252" s="9"/>
      <c r="MFV252" s="9"/>
      <c r="MFW252" s="9"/>
      <c r="MFX252" s="9"/>
      <c r="MFY252" s="9"/>
      <c r="MFZ252" s="9"/>
      <c r="MGA252" s="9"/>
      <c r="MGB252" s="9"/>
      <c r="MGC252" s="9"/>
      <c r="MGD252" s="9"/>
      <c r="MGE252" s="9"/>
      <c r="MGF252" s="9"/>
      <c r="MGG252" s="9"/>
      <c r="MGH252" s="9"/>
      <c r="MGI252" s="9"/>
      <c r="MGJ252" s="9"/>
      <c r="MGK252" s="9"/>
      <c r="MGL252" s="9"/>
      <c r="MGM252" s="9"/>
      <c r="MGN252" s="9"/>
      <c r="MGO252" s="9"/>
      <c r="MGP252" s="9"/>
      <c r="MGQ252" s="9"/>
      <c r="MGR252" s="9"/>
      <c r="MGS252" s="9"/>
      <c r="MGT252" s="9"/>
      <c r="MGU252" s="9"/>
      <c r="MGV252" s="9"/>
      <c r="MGW252" s="9"/>
      <c r="MGX252" s="9"/>
      <c r="MGY252" s="9"/>
      <c r="MGZ252" s="9"/>
      <c r="MHA252" s="9"/>
      <c r="MHB252" s="9"/>
      <c r="MHC252" s="9"/>
      <c r="MHD252" s="9"/>
      <c r="MHE252" s="9"/>
      <c r="MHF252" s="9"/>
      <c r="MHG252" s="9"/>
      <c r="MHH252" s="9"/>
      <c r="MHI252" s="9"/>
      <c r="MHJ252" s="9"/>
      <c r="MHK252" s="9"/>
      <c r="MHL252" s="9"/>
      <c r="MHM252" s="9"/>
      <c r="MHN252" s="9"/>
      <c r="MHO252" s="9"/>
      <c r="MHP252" s="9"/>
      <c r="MHQ252" s="9"/>
      <c r="MHR252" s="9"/>
      <c r="MHS252" s="9"/>
      <c r="MHT252" s="9"/>
      <c r="MHU252" s="9"/>
      <c r="MHV252" s="9"/>
      <c r="MHW252" s="9"/>
      <c r="MHX252" s="9"/>
      <c r="MHY252" s="9"/>
      <c r="MHZ252" s="9"/>
      <c r="MIA252" s="9"/>
      <c r="MIB252" s="9"/>
      <c r="MIC252" s="9"/>
      <c r="MID252" s="9"/>
      <c r="MIE252" s="9"/>
      <c r="MIF252" s="9"/>
      <c r="MIG252" s="9"/>
      <c r="MIH252" s="9"/>
      <c r="MII252" s="9"/>
      <c r="MIJ252" s="9"/>
      <c r="MIK252" s="9"/>
      <c r="MIL252" s="9"/>
      <c r="MIM252" s="9"/>
      <c r="MIN252" s="9"/>
      <c r="MIO252" s="9"/>
      <c r="MIP252" s="9"/>
      <c r="MIQ252" s="9"/>
      <c r="MIR252" s="9"/>
      <c r="MIS252" s="9"/>
      <c r="MIT252" s="9"/>
      <c r="MIU252" s="9"/>
      <c r="MIV252" s="9"/>
      <c r="MIW252" s="9"/>
      <c r="MIX252" s="9"/>
      <c r="MIY252" s="9"/>
      <c r="MIZ252" s="9"/>
      <c r="MJA252" s="9"/>
      <c r="MJB252" s="9"/>
      <c r="MJC252" s="9"/>
      <c r="MJD252" s="9"/>
      <c r="MJE252" s="9"/>
      <c r="MJF252" s="9"/>
      <c r="MJG252" s="9"/>
      <c r="MJH252" s="9"/>
      <c r="MJI252" s="9"/>
      <c r="MJJ252" s="9"/>
      <c r="MJK252" s="9"/>
      <c r="MJL252" s="9"/>
      <c r="MJM252" s="9"/>
      <c r="MJN252" s="9"/>
      <c r="MJO252" s="9"/>
      <c r="MJP252" s="9"/>
      <c r="MJQ252" s="9"/>
      <c r="MJR252" s="9"/>
      <c r="MJS252" s="9"/>
      <c r="MJT252" s="9"/>
      <c r="MJU252" s="9"/>
      <c r="MJV252" s="9"/>
      <c r="MJW252" s="9"/>
      <c r="MJX252" s="9"/>
      <c r="MJY252" s="9"/>
      <c r="MJZ252" s="9"/>
      <c r="MKA252" s="9"/>
      <c r="MKB252" s="9"/>
      <c r="MKC252" s="9"/>
      <c r="MKD252" s="9"/>
      <c r="MKE252" s="9"/>
      <c r="MKF252" s="9"/>
      <c r="MKG252" s="9"/>
      <c r="MKH252" s="9"/>
      <c r="MKI252" s="9"/>
      <c r="MKJ252" s="9"/>
      <c r="MKK252" s="9"/>
      <c r="MKL252" s="9"/>
      <c r="MKM252" s="9"/>
      <c r="MKN252" s="9"/>
      <c r="MKO252" s="9"/>
      <c r="MKP252" s="9"/>
      <c r="MKQ252" s="9"/>
      <c r="MKR252" s="9"/>
      <c r="MKS252" s="9"/>
      <c r="MKT252" s="9"/>
      <c r="MKU252" s="9"/>
      <c r="MKV252" s="9"/>
      <c r="MKW252" s="9"/>
      <c r="MKX252" s="9"/>
      <c r="MKY252" s="9"/>
      <c r="MKZ252" s="9"/>
      <c r="MLA252" s="9"/>
      <c r="MLB252" s="9"/>
      <c r="MLC252" s="9"/>
      <c r="MLD252" s="9"/>
      <c r="MLE252" s="9"/>
      <c r="MLF252" s="9"/>
      <c r="MLG252" s="9"/>
      <c r="MLH252" s="9"/>
      <c r="MLI252" s="9"/>
      <c r="MLJ252" s="9"/>
      <c r="MLK252" s="9"/>
      <c r="MLL252" s="9"/>
      <c r="MLM252" s="9"/>
      <c r="MLN252" s="9"/>
      <c r="MLO252" s="9"/>
      <c r="MLP252" s="9"/>
      <c r="MLQ252" s="9"/>
      <c r="MLR252" s="9"/>
      <c r="MLS252" s="9"/>
      <c r="MLT252" s="9"/>
      <c r="MLU252" s="9"/>
      <c r="MLV252" s="9"/>
      <c r="MLW252" s="9"/>
      <c r="MLX252" s="9"/>
      <c r="MLY252" s="9"/>
      <c r="MLZ252" s="9"/>
      <c r="MMA252" s="9"/>
      <c r="MMB252" s="9"/>
      <c r="MMC252" s="9"/>
      <c r="MMD252" s="9"/>
      <c r="MME252" s="9"/>
      <c r="MMF252" s="9"/>
      <c r="MMG252" s="9"/>
      <c r="MMH252" s="9"/>
      <c r="MMI252" s="9"/>
      <c r="MMJ252" s="9"/>
      <c r="MMK252" s="9"/>
      <c r="MML252" s="9"/>
      <c r="MMM252" s="9"/>
      <c r="MMN252" s="9"/>
      <c r="MMO252" s="9"/>
      <c r="MMP252" s="9"/>
      <c r="MMQ252" s="9"/>
      <c r="MMR252" s="9"/>
      <c r="MMS252" s="9"/>
      <c r="MMT252" s="9"/>
      <c r="MMU252" s="9"/>
      <c r="MMV252" s="9"/>
      <c r="MMW252" s="9"/>
      <c r="MMX252" s="9"/>
      <c r="MMY252" s="9"/>
      <c r="MMZ252" s="9"/>
      <c r="MNA252" s="9"/>
      <c r="MNB252" s="9"/>
      <c r="MNC252" s="9"/>
      <c r="MND252" s="9"/>
      <c r="MNE252" s="9"/>
      <c r="MNF252" s="9"/>
      <c r="MNG252" s="9"/>
      <c r="MNH252" s="9"/>
      <c r="MNI252" s="9"/>
      <c r="MNJ252" s="9"/>
      <c r="MNK252" s="9"/>
      <c r="MNL252" s="9"/>
      <c r="MNM252" s="9"/>
      <c r="MNN252" s="9"/>
      <c r="MNO252" s="9"/>
      <c r="MNP252" s="9"/>
      <c r="MNQ252" s="9"/>
      <c r="MNR252" s="9"/>
      <c r="MNS252" s="9"/>
      <c r="MNT252" s="9"/>
      <c r="MNU252" s="9"/>
      <c r="MNV252" s="9"/>
      <c r="MNW252" s="9"/>
      <c r="MNX252" s="9"/>
      <c r="MNY252" s="9"/>
      <c r="MNZ252" s="9"/>
      <c r="MOA252" s="9"/>
      <c r="MOB252" s="9"/>
      <c r="MOC252" s="9"/>
      <c r="MOD252" s="9"/>
      <c r="MOE252" s="9"/>
      <c r="MOF252" s="9"/>
      <c r="MOG252" s="9"/>
      <c r="MOH252" s="9"/>
      <c r="MOI252" s="9"/>
      <c r="MOJ252" s="9"/>
      <c r="MOK252" s="9"/>
      <c r="MOL252" s="9"/>
      <c r="MOM252" s="9"/>
      <c r="MON252" s="9"/>
      <c r="MOO252" s="9"/>
      <c r="MOP252" s="9"/>
      <c r="MOQ252" s="9"/>
      <c r="MOR252" s="9"/>
      <c r="MOS252" s="9"/>
      <c r="MOT252" s="9"/>
      <c r="MOU252" s="9"/>
      <c r="MOV252" s="9"/>
      <c r="MOW252" s="9"/>
      <c r="MOX252" s="9"/>
      <c r="MOY252" s="9"/>
      <c r="MOZ252" s="9"/>
      <c r="MPA252" s="9"/>
      <c r="MPB252" s="9"/>
      <c r="MPC252" s="9"/>
      <c r="MPD252" s="9"/>
      <c r="MPE252" s="9"/>
      <c r="MPF252" s="9"/>
      <c r="MPG252" s="9"/>
      <c r="MPH252" s="9"/>
      <c r="MPI252" s="9"/>
      <c r="MPJ252" s="9"/>
      <c r="MPK252" s="9"/>
      <c r="MPL252" s="9"/>
      <c r="MPM252" s="9"/>
      <c r="MPN252" s="9"/>
      <c r="MPO252" s="9"/>
      <c r="MPP252" s="9"/>
      <c r="MPQ252" s="9"/>
      <c r="MPR252" s="9"/>
      <c r="MPS252" s="9"/>
      <c r="MPT252" s="9"/>
      <c r="MPU252" s="9"/>
      <c r="MPV252" s="9"/>
      <c r="MPW252" s="9"/>
      <c r="MPX252" s="9"/>
      <c r="MPY252" s="9"/>
      <c r="MPZ252" s="9"/>
      <c r="MQA252" s="9"/>
      <c r="MQB252" s="9"/>
      <c r="MQC252" s="9"/>
      <c r="MQD252" s="9"/>
      <c r="MQE252" s="9"/>
      <c r="MQF252" s="9"/>
      <c r="MQG252" s="9"/>
      <c r="MQH252" s="9"/>
      <c r="MQI252" s="9"/>
      <c r="MQJ252" s="9"/>
      <c r="MQK252" s="9"/>
      <c r="MQL252" s="9"/>
      <c r="MQM252" s="9"/>
      <c r="MQN252" s="9"/>
      <c r="MQO252" s="9"/>
      <c r="MQP252" s="9"/>
      <c r="MQQ252" s="9"/>
      <c r="MQR252" s="9"/>
      <c r="MQS252" s="9"/>
      <c r="MQT252" s="9"/>
      <c r="MQU252" s="9"/>
      <c r="MQV252" s="9"/>
      <c r="MQW252" s="9"/>
      <c r="MQX252" s="9"/>
      <c r="MQY252" s="9"/>
      <c r="MQZ252" s="9"/>
      <c r="MRA252" s="9"/>
      <c r="MRB252" s="9"/>
      <c r="MRC252" s="9"/>
      <c r="MRD252" s="9"/>
      <c r="MRE252" s="9"/>
      <c r="MRF252" s="9"/>
      <c r="MRG252" s="9"/>
      <c r="MRH252" s="9"/>
      <c r="MRI252" s="9"/>
      <c r="MRJ252" s="9"/>
      <c r="MRK252" s="9"/>
      <c r="MRL252" s="9"/>
      <c r="MRM252" s="9"/>
      <c r="MRN252" s="9"/>
      <c r="MRO252" s="9"/>
      <c r="MRP252" s="9"/>
      <c r="MRQ252" s="9"/>
      <c r="MRR252" s="9"/>
      <c r="MRS252" s="9"/>
      <c r="MRT252" s="9"/>
      <c r="MRU252" s="9"/>
      <c r="MRV252" s="9"/>
      <c r="MRW252" s="9"/>
      <c r="MRX252" s="9"/>
      <c r="MRY252" s="9"/>
      <c r="MRZ252" s="9"/>
      <c r="MSA252" s="9"/>
      <c r="MSB252" s="9"/>
      <c r="MSC252" s="9"/>
      <c r="MSD252" s="9"/>
      <c r="MSE252" s="9"/>
      <c r="MSF252" s="9"/>
      <c r="MSG252" s="9"/>
      <c r="MSH252" s="9"/>
      <c r="MSI252" s="9"/>
      <c r="MSJ252" s="9"/>
      <c r="MSK252" s="9"/>
      <c r="MSL252" s="9"/>
      <c r="MSM252" s="9"/>
      <c r="MSN252" s="9"/>
      <c r="MSO252" s="9"/>
      <c r="MSP252" s="9"/>
      <c r="MSQ252" s="9"/>
      <c r="MSR252" s="9"/>
      <c r="MSS252" s="9"/>
      <c r="MST252" s="9"/>
      <c r="MSU252" s="9"/>
      <c r="MSV252" s="9"/>
      <c r="MSW252" s="9"/>
      <c r="MSX252" s="9"/>
      <c r="MSY252" s="9"/>
      <c r="MSZ252" s="9"/>
      <c r="MTA252" s="9"/>
      <c r="MTB252" s="9"/>
      <c r="MTC252" s="9"/>
      <c r="MTD252" s="9"/>
      <c r="MTE252" s="9"/>
      <c r="MTF252" s="9"/>
      <c r="MTG252" s="9"/>
      <c r="MTH252" s="9"/>
      <c r="MTI252" s="9"/>
      <c r="MTJ252" s="9"/>
      <c r="MTK252" s="9"/>
      <c r="MTL252" s="9"/>
      <c r="MTM252" s="9"/>
      <c r="MTN252" s="9"/>
      <c r="MTO252" s="9"/>
      <c r="MTP252" s="9"/>
      <c r="MTQ252" s="9"/>
      <c r="MTR252" s="9"/>
      <c r="MTS252" s="9"/>
      <c r="MTT252" s="9"/>
      <c r="MTU252" s="9"/>
      <c r="MTV252" s="9"/>
      <c r="MTW252" s="9"/>
      <c r="MTX252" s="9"/>
      <c r="MTY252" s="9"/>
      <c r="MTZ252" s="9"/>
      <c r="MUA252" s="9"/>
      <c r="MUB252" s="9"/>
      <c r="MUC252" s="9"/>
      <c r="MUD252" s="9"/>
      <c r="MUE252" s="9"/>
      <c r="MUF252" s="9"/>
      <c r="MUG252" s="9"/>
      <c r="MUH252" s="9"/>
      <c r="MUI252" s="9"/>
      <c r="MUJ252" s="9"/>
      <c r="MUK252" s="9"/>
      <c r="MUL252" s="9"/>
      <c r="MUM252" s="9"/>
      <c r="MUN252" s="9"/>
      <c r="MUO252" s="9"/>
      <c r="MUP252" s="9"/>
      <c r="MUQ252" s="9"/>
      <c r="MUR252" s="9"/>
      <c r="MUS252" s="9"/>
      <c r="MUT252" s="9"/>
      <c r="MUU252" s="9"/>
      <c r="MUV252" s="9"/>
      <c r="MUW252" s="9"/>
      <c r="MUX252" s="9"/>
      <c r="MUY252" s="9"/>
      <c r="MUZ252" s="9"/>
      <c r="MVA252" s="9"/>
      <c r="MVB252" s="9"/>
      <c r="MVC252" s="9"/>
      <c r="MVD252" s="9"/>
      <c r="MVE252" s="9"/>
      <c r="MVF252" s="9"/>
      <c r="MVG252" s="9"/>
      <c r="MVH252" s="9"/>
      <c r="MVI252" s="9"/>
      <c r="MVJ252" s="9"/>
      <c r="MVK252" s="9"/>
      <c r="MVL252" s="9"/>
      <c r="MVM252" s="9"/>
      <c r="MVN252" s="9"/>
      <c r="MVO252" s="9"/>
      <c r="MVP252" s="9"/>
      <c r="MVQ252" s="9"/>
      <c r="MVR252" s="9"/>
      <c r="MVS252" s="9"/>
      <c r="MVT252" s="9"/>
      <c r="MVU252" s="9"/>
      <c r="MVV252" s="9"/>
      <c r="MVW252" s="9"/>
      <c r="MVX252" s="9"/>
      <c r="MVY252" s="9"/>
      <c r="MVZ252" s="9"/>
      <c r="MWA252" s="9"/>
      <c r="MWB252" s="9"/>
      <c r="MWC252" s="9"/>
      <c r="MWD252" s="9"/>
      <c r="MWE252" s="9"/>
      <c r="MWF252" s="9"/>
      <c r="MWG252" s="9"/>
      <c r="MWH252" s="9"/>
      <c r="MWI252" s="9"/>
      <c r="MWJ252" s="9"/>
      <c r="MWK252" s="9"/>
      <c r="MWL252" s="9"/>
      <c r="MWM252" s="9"/>
      <c r="MWN252" s="9"/>
      <c r="MWO252" s="9"/>
      <c r="MWP252" s="9"/>
      <c r="MWQ252" s="9"/>
      <c r="MWR252" s="9"/>
      <c r="MWS252" s="9"/>
      <c r="MWT252" s="9"/>
      <c r="MWU252" s="9"/>
      <c r="MWV252" s="9"/>
      <c r="MWW252" s="9"/>
      <c r="MWX252" s="9"/>
      <c r="MWY252" s="9"/>
      <c r="MWZ252" s="9"/>
      <c r="MXA252" s="9"/>
      <c r="MXB252" s="9"/>
      <c r="MXC252" s="9"/>
      <c r="MXD252" s="9"/>
      <c r="MXE252" s="9"/>
      <c r="MXF252" s="9"/>
      <c r="MXG252" s="9"/>
      <c r="MXH252" s="9"/>
      <c r="MXI252" s="9"/>
      <c r="MXJ252" s="9"/>
      <c r="MXK252" s="9"/>
      <c r="MXL252" s="9"/>
      <c r="MXM252" s="9"/>
      <c r="MXN252" s="9"/>
      <c r="MXO252" s="9"/>
      <c r="MXP252" s="9"/>
      <c r="MXQ252" s="9"/>
      <c r="MXR252" s="9"/>
      <c r="MXS252" s="9"/>
      <c r="MXT252" s="9"/>
      <c r="MXU252" s="9"/>
      <c r="MXV252" s="9"/>
      <c r="MXW252" s="9"/>
      <c r="MXX252" s="9"/>
      <c r="MXY252" s="9"/>
      <c r="MXZ252" s="9"/>
      <c r="MYA252" s="9"/>
      <c r="MYB252" s="9"/>
      <c r="MYC252" s="9"/>
      <c r="MYD252" s="9"/>
      <c r="MYE252" s="9"/>
      <c r="MYF252" s="9"/>
      <c r="MYG252" s="9"/>
      <c r="MYH252" s="9"/>
      <c r="MYI252" s="9"/>
      <c r="MYJ252" s="9"/>
      <c r="MYK252" s="9"/>
      <c r="MYL252" s="9"/>
      <c r="MYM252" s="9"/>
      <c r="MYN252" s="9"/>
      <c r="MYO252" s="9"/>
      <c r="MYP252" s="9"/>
      <c r="MYQ252" s="9"/>
      <c r="MYR252" s="9"/>
      <c r="MYS252" s="9"/>
      <c r="MYT252" s="9"/>
      <c r="MYU252" s="9"/>
      <c r="MYV252" s="9"/>
      <c r="MYW252" s="9"/>
      <c r="MYX252" s="9"/>
      <c r="MYY252" s="9"/>
      <c r="MYZ252" s="9"/>
      <c r="MZA252" s="9"/>
      <c r="MZB252" s="9"/>
      <c r="MZC252" s="9"/>
      <c r="MZD252" s="9"/>
      <c r="MZE252" s="9"/>
      <c r="MZF252" s="9"/>
      <c r="MZG252" s="9"/>
      <c r="MZH252" s="9"/>
      <c r="MZI252" s="9"/>
      <c r="MZJ252" s="9"/>
      <c r="MZK252" s="9"/>
      <c r="MZL252" s="9"/>
      <c r="MZM252" s="9"/>
      <c r="MZN252" s="9"/>
      <c r="MZO252" s="9"/>
      <c r="MZP252" s="9"/>
      <c r="MZQ252" s="9"/>
      <c r="MZR252" s="9"/>
      <c r="MZS252" s="9"/>
      <c r="MZT252" s="9"/>
      <c r="MZU252" s="9"/>
      <c r="MZV252" s="9"/>
      <c r="MZW252" s="9"/>
      <c r="MZX252" s="9"/>
      <c r="MZY252" s="9"/>
      <c r="MZZ252" s="9"/>
      <c r="NAA252" s="9"/>
      <c r="NAB252" s="9"/>
      <c r="NAC252" s="9"/>
      <c r="NAD252" s="9"/>
      <c r="NAE252" s="9"/>
      <c r="NAF252" s="9"/>
      <c r="NAG252" s="9"/>
      <c r="NAH252" s="9"/>
      <c r="NAI252" s="9"/>
      <c r="NAJ252" s="9"/>
      <c r="NAK252" s="9"/>
      <c r="NAL252" s="9"/>
      <c r="NAM252" s="9"/>
      <c r="NAN252" s="9"/>
      <c r="NAO252" s="9"/>
      <c r="NAP252" s="9"/>
      <c r="NAQ252" s="9"/>
      <c r="NAR252" s="9"/>
      <c r="NAS252" s="9"/>
      <c r="NAT252" s="9"/>
      <c r="NAU252" s="9"/>
      <c r="NAV252" s="9"/>
      <c r="NAW252" s="9"/>
      <c r="NAX252" s="9"/>
      <c r="NAY252" s="9"/>
      <c r="NAZ252" s="9"/>
      <c r="NBA252" s="9"/>
      <c r="NBB252" s="9"/>
      <c r="NBC252" s="9"/>
      <c r="NBD252" s="9"/>
      <c r="NBE252" s="9"/>
      <c r="NBF252" s="9"/>
      <c r="NBG252" s="9"/>
      <c r="NBH252" s="9"/>
      <c r="NBI252" s="9"/>
      <c r="NBJ252" s="9"/>
      <c r="NBK252" s="9"/>
      <c r="NBL252" s="9"/>
      <c r="NBM252" s="9"/>
      <c r="NBN252" s="9"/>
      <c r="NBO252" s="9"/>
      <c r="NBP252" s="9"/>
      <c r="NBQ252" s="9"/>
      <c r="NBR252" s="9"/>
      <c r="NBS252" s="9"/>
      <c r="NBT252" s="9"/>
      <c r="NBU252" s="9"/>
      <c r="NBV252" s="9"/>
      <c r="NBW252" s="9"/>
      <c r="NBX252" s="9"/>
      <c r="NBY252" s="9"/>
      <c r="NBZ252" s="9"/>
      <c r="NCA252" s="9"/>
      <c r="NCB252" s="9"/>
      <c r="NCC252" s="9"/>
      <c r="NCD252" s="9"/>
      <c r="NCE252" s="9"/>
      <c r="NCF252" s="9"/>
      <c r="NCG252" s="9"/>
      <c r="NCH252" s="9"/>
      <c r="NCI252" s="9"/>
      <c r="NCJ252" s="9"/>
      <c r="NCK252" s="9"/>
      <c r="NCL252" s="9"/>
      <c r="NCM252" s="9"/>
      <c r="NCN252" s="9"/>
      <c r="NCO252" s="9"/>
      <c r="NCP252" s="9"/>
      <c r="NCQ252" s="9"/>
      <c r="NCR252" s="9"/>
      <c r="NCS252" s="9"/>
      <c r="NCT252" s="9"/>
      <c r="NCU252" s="9"/>
      <c r="NCV252" s="9"/>
      <c r="NCW252" s="9"/>
      <c r="NCX252" s="9"/>
      <c r="NCY252" s="9"/>
      <c r="NCZ252" s="9"/>
      <c r="NDA252" s="9"/>
      <c r="NDB252" s="9"/>
      <c r="NDC252" s="9"/>
      <c r="NDD252" s="9"/>
      <c r="NDE252" s="9"/>
      <c r="NDF252" s="9"/>
      <c r="NDG252" s="9"/>
      <c r="NDH252" s="9"/>
      <c r="NDI252" s="9"/>
      <c r="NDJ252" s="9"/>
      <c r="NDK252" s="9"/>
      <c r="NDL252" s="9"/>
      <c r="NDM252" s="9"/>
      <c r="NDN252" s="9"/>
      <c r="NDO252" s="9"/>
      <c r="NDP252" s="9"/>
      <c r="NDQ252" s="9"/>
      <c r="NDR252" s="9"/>
      <c r="NDS252" s="9"/>
      <c r="NDT252" s="9"/>
      <c r="NDU252" s="9"/>
      <c r="NDV252" s="9"/>
      <c r="NDW252" s="9"/>
      <c r="NDX252" s="9"/>
      <c r="NDY252" s="9"/>
      <c r="NDZ252" s="9"/>
      <c r="NEA252" s="9"/>
      <c r="NEB252" s="9"/>
      <c r="NEC252" s="9"/>
      <c r="NED252" s="9"/>
      <c r="NEE252" s="9"/>
      <c r="NEF252" s="9"/>
      <c r="NEG252" s="9"/>
      <c r="NEH252" s="9"/>
      <c r="NEI252" s="9"/>
      <c r="NEJ252" s="9"/>
      <c r="NEK252" s="9"/>
      <c r="NEL252" s="9"/>
      <c r="NEM252" s="9"/>
      <c r="NEN252" s="9"/>
      <c r="NEO252" s="9"/>
      <c r="NEP252" s="9"/>
      <c r="NEQ252" s="9"/>
      <c r="NER252" s="9"/>
      <c r="NES252" s="9"/>
      <c r="NET252" s="9"/>
      <c r="NEU252" s="9"/>
      <c r="NEV252" s="9"/>
      <c r="NEW252" s="9"/>
      <c r="NEX252" s="9"/>
      <c r="NEY252" s="9"/>
      <c r="NEZ252" s="9"/>
      <c r="NFA252" s="9"/>
      <c r="NFB252" s="9"/>
      <c r="NFC252" s="9"/>
      <c r="NFD252" s="9"/>
      <c r="NFE252" s="9"/>
      <c r="NFF252" s="9"/>
      <c r="NFG252" s="9"/>
      <c r="NFH252" s="9"/>
      <c r="NFI252" s="9"/>
      <c r="NFJ252" s="9"/>
      <c r="NFK252" s="9"/>
      <c r="NFL252" s="9"/>
      <c r="NFM252" s="9"/>
      <c r="NFN252" s="9"/>
      <c r="NFO252" s="9"/>
      <c r="NFP252" s="9"/>
      <c r="NFQ252" s="9"/>
      <c r="NFR252" s="9"/>
      <c r="NFS252" s="9"/>
      <c r="NFT252" s="9"/>
      <c r="NFU252" s="9"/>
      <c r="NFV252" s="9"/>
      <c r="NFW252" s="9"/>
      <c r="NFX252" s="9"/>
      <c r="NFY252" s="9"/>
      <c r="NFZ252" s="9"/>
      <c r="NGA252" s="9"/>
      <c r="NGB252" s="9"/>
      <c r="NGC252" s="9"/>
      <c r="NGD252" s="9"/>
      <c r="NGE252" s="9"/>
      <c r="NGF252" s="9"/>
      <c r="NGG252" s="9"/>
      <c r="NGH252" s="9"/>
      <c r="NGI252" s="9"/>
      <c r="NGJ252" s="9"/>
      <c r="NGK252" s="9"/>
      <c r="NGL252" s="9"/>
      <c r="NGM252" s="9"/>
      <c r="NGN252" s="9"/>
      <c r="NGO252" s="9"/>
      <c r="NGP252" s="9"/>
      <c r="NGQ252" s="9"/>
      <c r="NGR252" s="9"/>
      <c r="NGS252" s="9"/>
      <c r="NGT252" s="9"/>
      <c r="NGU252" s="9"/>
      <c r="NGV252" s="9"/>
      <c r="NGW252" s="9"/>
      <c r="NGX252" s="9"/>
      <c r="NGY252" s="9"/>
      <c r="NGZ252" s="9"/>
      <c r="NHA252" s="9"/>
      <c r="NHB252" s="9"/>
      <c r="NHC252" s="9"/>
      <c r="NHD252" s="9"/>
      <c r="NHE252" s="9"/>
      <c r="NHF252" s="9"/>
      <c r="NHG252" s="9"/>
      <c r="NHH252" s="9"/>
      <c r="NHI252" s="9"/>
      <c r="NHJ252" s="9"/>
      <c r="NHK252" s="9"/>
      <c r="NHL252" s="9"/>
      <c r="NHM252" s="9"/>
      <c r="NHN252" s="9"/>
      <c r="NHO252" s="9"/>
      <c r="NHP252" s="9"/>
      <c r="NHQ252" s="9"/>
      <c r="NHR252" s="9"/>
      <c r="NHS252" s="9"/>
      <c r="NHT252" s="9"/>
      <c r="NHU252" s="9"/>
      <c r="NHV252" s="9"/>
      <c r="NHW252" s="9"/>
      <c r="NHX252" s="9"/>
      <c r="NHY252" s="9"/>
      <c r="NHZ252" s="9"/>
      <c r="NIA252" s="9"/>
      <c r="NIB252" s="9"/>
      <c r="NIC252" s="9"/>
      <c r="NID252" s="9"/>
      <c r="NIE252" s="9"/>
      <c r="NIF252" s="9"/>
      <c r="NIG252" s="9"/>
      <c r="NIH252" s="9"/>
      <c r="NII252" s="9"/>
      <c r="NIJ252" s="9"/>
      <c r="NIK252" s="9"/>
      <c r="NIL252" s="9"/>
      <c r="NIM252" s="9"/>
      <c r="NIN252" s="9"/>
      <c r="NIO252" s="9"/>
      <c r="NIP252" s="9"/>
      <c r="NIQ252" s="9"/>
      <c r="NIR252" s="9"/>
      <c r="NIS252" s="9"/>
      <c r="NIT252" s="9"/>
      <c r="NIU252" s="9"/>
      <c r="NIV252" s="9"/>
      <c r="NIW252" s="9"/>
      <c r="NIX252" s="9"/>
      <c r="NIY252" s="9"/>
      <c r="NIZ252" s="9"/>
      <c r="NJA252" s="9"/>
      <c r="NJB252" s="9"/>
      <c r="NJC252" s="9"/>
      <c r="NJD252" s="9"/>
      <c r="NJE252" s="9"/>
      <c r="NJF252" s="9"/>
      <c r="NJG252" s="9"/>
      <c r="NJH252" s="9"/>
      <c r="NJI252" s="9"/>
      <c r="NJJ252" s="9"/>
      <c r="NJK252" s="9"/>
      <c r="NJL252" s="9"/>
      <c r="NJM252" s="9"/>
      <c r="NJN252" s="9"/>
      <c r="NJO252" s="9"/>
      <c r="NJP252" s="9"/>
      <c r="NJQ252" s="9"/>
      <c r="NJR252" s="9"/>
      <c r="NJS252" s="9"/>
      <c r="NJT252" s="9"/>
      <c r="NJU252" s="9"/>
      <c r="NJV252" s="9"/>
      <c r="NJW252" s="9"/>
      <c r="NJX252" s="9"/>
      <c r="NJY252" s="9"/>
      <c r="NJZ252" s="9"/>
      <c r="NKA252" s="9"/>
      <c r="NKB252" s="9"/>
      <c r="NKC252" s="9"/>
      <c r="NKD252" s="9"/>
      <c r="NKE252" s="9"/>
      <c r="NKF252" s="9"/>
      <c r="NKG252" s="9"/>
      <c r="NKH252" s="9"/>
      <c r="NKI252" s="9"/>
      <c r="NKJ252" s="9"/>
      <c r="NKK252" s="9"/>
      <c r="NKL252" s="9"/>
      <c r="NKM252" s="9"/>
      <c r="NKN252" s="9"/>
      <c r="NKO252" s="9"/>
      <c r="NKP252" s="9"/>
      <c r="NKQ252" s="9"/>
      <c r="NKR252" s="9"/>
      <c r="NKS252" s="9"/>
      <c r="NKT252" s="9"/>
      <c r="NKU252" s="9"/>
      <c r="NKV252" s="9"/>
      <c r="NKW252" s="9"/>
      <c r="NKX252" s="9"/>
      <c r="NKY252" s="9"/>
      <c r="NKZ252" s="9"/>
      <c r="NLA252" s="9"/>
      <c r="NLB252" s="9"/>
      <c r="NLC252" s="9"/>
      <c r="NLD252" s="9"/>
      <c r="NLE252" s="9"/>
      <c r="NLF252" s="9"/>
      <c r="NLG252" s="9"/>
      <c r="NLH252" s="9"/>
      <c r="NLI252" s="9"/>
      <c r="NLJ252" s="9"/>
      <c r="NLK252" s="9"/>
      <c r="NLL252" s="9"/>
      <c r="NLM252" s="9"/>
      <c r="NLN252" s="9"/>
      <c r="NLO252" s="9"/>
      <c r="NLP252" s="9"/>
      <c r="NLQ252" s="9"/>
      <c r="NLR252" s="9"/>
      <c r="NLS252" s="9"/>
      <c r="NLT252" s="9"/>
      <c r="NLU252" s="9"/>
      <c r="NLV252" s="9"/>
      <c r="NLW252" s="9"/>
      <c r="NLX252" s="9"/>
      <c r="NLY252" s="9"/>
      <c r="NLZ252" s="9"/>
      <c r="NMA252" s="9"/>
      <c r="NMB252" s="9"/>
      <c r="NMC252" s="9"/>
      <c r="NMD252" s="9"/>
      <c r="NME252" s="9"/>
      <c r="NMF252" s="9"/>
      <c r="NMG252" s="9"/>
      <c r="NMH252" s="9"/>
      <c r="NMI252" s="9"/>
      <c r="NMJ252" s="9"/>
      <c r="NMK252" s="9"/>
      <c r="NML252" s="9"/>
      <c r="NMM252" s="9"/>
      <c r="NMN252" s="9"/>
      <c r="NMO252" s="9"/>
      <c r="NMP252" s="9"/>
      <c r="NMQ252" s="9"/>
      <c r="NMR252" s="9"/>
      <c r="NMS252" s="9"/>
      <c r="NMT252" s="9"/>
      <c r="NMU252" s="9"/>
      <c r="NMV252" s="9"/>
      <c r="NMW252" s="9"/>
      <c r="NMX252" s="9"/>
      <c r="NMY252" s="9"/>
      <c r="NMZ252" s="9"/>
      <c r="NNA252" s="9"/>
      <c r="NNB252" s="9"/>
      <c r="NNC252" s="9"/>
      <c r="NND252" s="9"/>
      <c r="NNE252" s="9"/>
      <c r="NNF252" s="9"/>
      <c r="NNG252" s="9"/>
      <c r="NNH252" s="9"/>
      <c r="NNI252" s="9"/>
      <c r="NNJ252" s="9"/>
      <c r="NNK252" s="9"/>
      <c r="NNL252" s="9"/>
      <c r="NNM252" s="9"/>
      <c r="NNN252" s="9"/>
      <c r="NNO252" s="9"/>
      <c r="NNP252" s="9"/>
      <c r="NNQ252" s="9"/>
      <c r="NNR252" s="9"/>
      <c r="NNS252" s="9"/>
      <c r="NNT252" s="9"/>
      <c r="NNU252" s="9"/>
      <c r="NNV252" s="9"/>
      <c r="NNW252" s="9"/>
      <c r="NNX252" s="9"/>
      <c r="NNY252" s="9"/>
      <c r="NNZ252" s="9"/>
      <c r="NOA252" s="9"/>
      <c r="NOB252" s="9"/>
      <c r="NOC252" s="9"/>
      <c r="NOD252" s="9"/>
      <c r="NOE252" s="9"/>
      <c r="NOF252" s="9"/>
      <c r="NOG252" s="9"/>
      <c r="NOH252" s="9"/>
      <c r="NOI252" s="9"/>
      <c r="NOJ252" s="9"/>
      <c r="NOK252" s="9"/>
      <c r="NOL252" s="9"/>
      <c r="NOM252" s="9"/>
      <c r="NON252" s="9"/>
      <c r="NOO252" s="9"/>
      <c r="NOP252" s="9"/>
      <c r="NOQ252" s="9"/>
      <c r="NOR252" s="9"/>
      <c r="NOS252" s="9"/>
      <c r="NOT252" s="9"/>
      <c r="NOU252" s="9"/>
      <c r="NOV252" s="9"/>
      <c r="NOW252" s="9"/>
      <c r="NOX252" s="9"/>
      <c r="NOY252" s="9"/>
      <c r="NOZ252" s="9"/>
      <c r="NPA252" s="9"/>
      <c r="NPB252" s="9"/>
      <c r="NPC252" s="9"/>
      <c r="NPD252" s="9"/>
      <c r="NPE252" s="9"/>
      <c r="NPF252" s="9"/>
      <c r="NPG252" s="9"/>
      <c r="NPH252" s="9"/>
      <c r="NPI252" s="9"/>
      <c r="NPJ252" s="9"/>
      <c r="NPK252" s="9"/>
      <c r="NPL252" s="9"/>
      <c r="NPM252" s="9"/>
      <c r="NPN252" s="9"/>
      <c r="NPO252" s="9"/>
      <c r="NPP252" s="9"/>
      <c r="NPQ252" s="9"/>
      <c r="NPR252" s="9"/>
      <c r="NPS252" s="9"/>
      <c r="NPT252" s="9"/>
      <c r="NPU252" s="9"/>
      <c r="NPV252" s="9"/>
      <c r="NPW252" s="9"/>
      <c r="NPX252" s="9"/>
      <c r="NPY252" s="9"/>
      <c r="NPZ252" s="9"/>
      <c r="NQA252" s="9"/>
      <c r="NQB252" s="9"/>
      <c r="NQC252" s="9"/>
      <c r="NQD252" s="9"/>
      <c r="NQE252" s="9"/>
      <c r="NQF252" s="9"/>
      <c r="NQG252" s="9"/>
      <c r="NQH252" s="9"/>
      <c r="NQI252" s="9"/>
      <c r="NQJ252" s="9"/>
      <c r="NQK252" s="9"/>
      <c r="NQL252" s="9"/>
      <c r="NQM252" s="9"/>
      <c r="NQN252" s="9"/>
      <c r="NQO252" s="9"/>
      <c r="NQP252" s="9"/>
      <c r="NQQ252" s="9"/>
      <c r="NQR252" s="9"/>
      <c r="NQS252" s="9"/>
      <c r="NQT252" s="9"/>
      <c r="NQU252" s="9"/>
      <c r="NQV252" s="9"/>
      <c r="NQW252" s="9"/>
      <c r="NQX252" s="9"/>
      <c r="NQY252" s="9"/>
      <c r="NQZ252" s="9"/>
      <c r="NRA252" s="9"/>
      <c r="NRB252" s="9"/>
      <c r="NRC252" s="9"/>
      <c r="NRD252" s="9"/>
      <c r="NRE252" s="9"/>
      <c r="NRF252" s="9"/>
      <c r="NRG252" s="9"/>
      <c r="NRH252" s="9"/>
      <c r="NRI252" s="9"/>
      <c r="NRJ252" s="9"/>
      <c r="NRK252" s="9"/>
      <c r="NRL252" s="9"/>
      <c r="NRM252" s="9"/>
      <c r="NRN252" s="9"/>
      <c r="NRO252" s="9"/>
      <c r="NRP252" s="9"/>
      <c r="NRQ252" s="9"/>
      <c r="NRR252" s="9"/>
      <c r="NRS252" s="9"/>
      <c r="NRT252" s="9"/>
      <c r="NRU252" s="9"/>
      <c r="NRV252" s="9"/>
      <c r="NRW252" s="9"/>
      <c r="NRX252" s="9"/>
      <c r="NRY252" s="9"/>
      <c r="NRZ252" s="9"/>
      <c r="NSA252" s="9"/>
      <c r="NSB252" s="9"/>
      <c r="NSC252" s="9"/>
      <c r="NSD252" s="9"/>
      <c r="NSE252" s="9"/>
      <c r="NSF252" s="9"/>
      <c r="NSG252" s="9"/>
      <c r="NSH252" s="9"/>
      <c r="NSI252" s="9"/>
      <c r="NSJ252" s="9"/>
      <c r="NSK252" s="9"/>
      <c r="NSL252" s="9"/>
      <c r="NSM252" s="9"/>
      <c r="NSN252" s="9"/>
      <c r="NSO252" s="9"/>
      <c r="NSP252" s="9"/>
      <c r="NSQ252" s="9"/>
      <c r="NSR252" s="9"/>
      <c r="NSS252" s="9"/>
      <c r="NST252" s="9"/>
      <c r="NSU252" s="9"/>
      <c r="NSV252" s="9"/>
      <c r="NSW252" s="9"/>
      <c r="NSX252" s="9"/>
      <c r="NSY252" s="9"/>
      <c r="NSZ252" s="9"/>
      <c r="NTA252" s="9"/>
      <c r="NTB252" s="9"/>
      <c r="NTC252" s="9"/>
      <c r="NTD252" s="9"/>
      <c r="NTE252" s="9"/>
      <c r="NTF252" s="9"/>
      <c r="NTG252" s="9"/>
      <c r="NTH252" s="9"/>
      <c r="NTI252" s="9"/>
      <c r="NTJ252" s="9"/>
      <c r="NTK252" s="9"/>
      <c r="NTL252" s="9"/>
      <c r="NTM252" s="9"/>
      <c r="NTN252" s="9"/>
      <c r="NTO252" s="9"/>
      <c r="NTP252" s="9"/>
      <c r="NTQ252" s="9"/>
      <c r="NTR252" s="9"/>
      <c r="NTS252" s="9"/>
      <c r="NTT252" s="9"/>
      <c r="NTU252" s="9"/>
      <c r="NTV252" s="9"/>
      <c r="NTW252" s="9"/>
      <c r="NTX252" s="9"/>
      <c r="NTY252" s="9"/>
      <c r="NTZ252" s="9"/>
      <c r="NUA252" s="9"/>
      <c r="NUB252" s="9"/>
      <c r="NUC252" s="9"/>
      <c r="NUD252" s="9"/>
      <c r="NUE252" s="9"/>
      <c r="NUF252" s="9"/>
      <c r="NUG252" s="9"/>
      <c r="NUH252" s="9"/>
      <c r="NUI252" s="9"/>
      <c r="NUJ252" s="9"/>
      <c r="NUK252" s="9"/>
      <c r="NUL252" s="9"/>
      <c r="NUM252" s="9"/>
      <c r="NUN252" s="9"/>
      <c r="NUO252" s="9"/>
      <c r="NUP252" s="9"/>
      <c r="NUQ252" s="9"/>
      <c r="NUR252" s="9"/>
      <c r="NUS252" s="9"/>
      <c r="NUT252" s="9"/>
      <c r="NUU252" s="9"/>
      <c r="NUV252" s="9"/>
      <c r="NUW252" s="9"/>
      <c r="NUX252" s="9"/>
      <c r="NUY252" s="9"/>
      <c r="NUZ252" s="9"/>
      <c r="NVA252" s="9"/>
      <c r="NVB252" s="9"/>
      <c r="NVC252" s="9"/>
      <c r="NVD252" s="9"/>
      <c r="NVE252" s="9"/>
      <c r="NVF252" s="9"/>
      <c r="NVG252" s="9"/>
      <c r="NVH252" s="9"/>
      <c r="NVI252" s="9"/>
      <c r="NVJ252" s="9"/>
      <c r="NVK252" s="9"/>
      <c r="NVL252" s="9"/>
      <c r="NVM252" s="9"/>
      <c r="NVN252" s="9"/>
      <c r="NVO252" s="9"/>
      <c r="NVP252" s="9"/>
      <c r="NVQ252" s="9"/>
      <c r="NVR252" s="9"/>
      <c r="NVS252" s="9"/>
      <c r="NVT252" s="9"/>
      <c r="NVU252" s="9"/>
      <c r="NVV252" s="9"/>
      <c r="NVW252" s="9"/>
      <c r="NVX252" s="9"/>
      <c r="NVY252" s="9"/>
      <c r="NVZ252" s="9"/>
      <c r="NWA252" s="9"/>
      <c r="NWB252" s="9"/>
      <c r="NWC252" s="9"/>
      <c r="NWD252" s="9"/>
      <c r="NWE252" s="9"/>
      <c r="NWF252" s="9"/>
      <c r="NWG252" s="9"/>
      <c r="NWH252" s="9"/>
      <c r="NWI252" s="9"/>
      <c r="NWJ252" s="9"/>
      <c r="NWK252" s="9"/>
      <c r="NWL252" s="9"/>
      <c r="NWM252" s="9"/>
      <c r="NWN252" s="9"/>
      <c r="NWO252" s="9"/>
      <c r="NWP252" s="9"/>
      <c r="NWQ252" s="9"/>
      <c r="NWR252" s="9"/>
      <c r="NWS252" s="9"/>
      <c r="NWT252" s="9"/>
      <c r="NWU252" s="9"/>
      <c r="NWV252" s="9"/>
      <c r="NWW252" s="9"/>
      <c r="NWX252" s="9"/>
      <c r="NWY252" s="9"/>
      <c r="NWZ252" s="9"/>
      <c r="NXA252" s="9"/>
      <c r="NXB252" s="9"/>
      <c r="NXC252" s="9"/>
      <c r="NXD252" s="9"/>
      <c r="NXE252" s="9"/>
      <c r="NXF252" s="9"/>
      <c r="NXG252" s="9"/>
      <c r="NXH252" s="9"/>
      <c r="NXI252" s="9"/>
      <c r="NXJ252" s="9"/>
      <c r="NXK252" s="9"/>
      <c r="NXL252" s="9"/>
      <c r="NXM252" s="9"/>
      <c r="NXN252" s="9"/>
      <c r="NXO252" s="9"/>
      <c r="NXP252" s="9"/>
      <c r="NXQ252" s="9"/>
      <c r="NXR252" s="9"/>
      <c r="NXS252" s="9"/>
      <c r="NXT252" s="9"/>
      <c r="NXU252" s="9"/>
      <c r="NXV252" s="9"/>
      <c r="NXW252" s="9"/>
      <c r="NXX252" s="9"/>
      <c r="NXY252" s="9"/>
      <c r="NXZ252" s="9"/>
      <c r="NYA252" s="9"/>
      <c r="NYB252" s="9"/>
      <c r="NYC252" s="9"/>
      <c r="NYD252" s="9"/>
      <c r="NYE252" s="9"/>
      <c r="NYF252" s="9"/>
      <c r="NYG252" s="9"/>
      <c r="NYH252" s="9"/>
      <c r="NYI252" s="9"/>
      <c r="NYJ252" s="9"/>
      <c r="NYK252" s="9"/>
      <c r="NYL252" s="9"/>
      <c r="NYM252" s="9"/>
      <c r="NYN252" s="9"/>
      <c r="NYO252" s="9"/>
      <c r="NYP252" s="9"/>
      <c r="NYQ252" s="9"/>
      <c r="NYR252" s="9"/>
      <c r="NYS252" s="9"/>
      <c r="NYT252" s="9"/>
      <c r="NYU252" s="9"/>
      <c r="NYV252" s="9"/>
      <c r="NYW252" s="9"/>
      <c r="NYX252" s="9"/>
      <c r="NYY252" s="9"/>
      <c r="NYZ252" s="9"/>
      <c r="NZA252" s="9"/>
      <c r="NZB252" s="9"/>
      <c r="NZC252" s="9"/>
      <c r="NZD252" s="9"/>
      <c r="NZE252" s="9"/>
      <c r="NZF252" s="9"/>
      <c r="NZG252" s="9"/>
      <c r="NZH252" s="9"/>
      <c r="NZI252" s="9"/>
      <c r="NZJ252" s="9"/>
      <c r="NZK252" s="9"/>
      <c r="NZL252" s="9"/>
      <c r="NZM252" s="9"/>
      <c r="NZN252" s="9"/>
      <c r="NZO252" s="9"/>
      <c r="NZP252" s="9"/>
      <c r="NZQ252" s="9"/>
      <c r="NZR252" s="9"/>
      <c r="NZS252" s="9"/>
      <c r="NZT252" s="9"/>
      <c r="NZU252" s="9"/>
      <c r="NZV252" s="9"/>
      <c r="NZW252" s="9"/>
      <c r="NZX252" s="9"/>
      <c r="NZY252" s="9"/>
      <c r="NZZ252" s="9"/>
      <c r="OAA252" s="9"/>
      <c r="OAB252" s="9"/>
      <c r="OAC252" s="9"/>
      <c r="OAD252" s="9"/>
      <c r="OAE252" s="9"/>
      <c r="OAF252" s="9"/>
      <c r="OAG252" s="9"/>
      <c r="OAH252" s="9"/>
      <c r="OAI252" s="9"/>
      <c r="OAJ252" s="9"/>
      <c r="OAK252" s="9"/>
      <c r="OAL252" s="9"/>
      <c r="OAM252" s="9"/>
      <c r="OAN252" s="9"/>
      <c r="OAO252" s="9"/>
      <c r="OAP252" s="9"/>
      <c r="OAQ252" s="9"/>
      <c r="OAR252" s="9"/>
      <c r="OAS252" s="9"/>
      <c r="OAT252" s="9"/>
      <c r="OAU252" s="9"/>
      <c r="OAV252" s="9"/>
      <c r="OAW252" s="9"/>
      <c r="OAX252" s="9"/>
      <c r="OAY252" s="9"/>
      <c r="OAZ252" s="9"/>
      <c r="OBA252" s="9"/>
      <c r="OBB252" s="9"/>
      <c r="OBC252" s="9"/>
      <c r="OBD252" s="9"/>
      <c r="OBE252" s="9"/>
      <c r="OBF252" s="9"/>
      <c r="OBG252" s="9"/>
      <c r="OBH252" s="9"/>
      <c r="OBI252" s="9"/>
      <c r="OBJ252" s="9"/>
      <c r="OBK252" s="9"/>
      <c r="OBL252" s="9"/>
      <c r="OBM252" s="9"/>
      <c r="OBN252" s="9"/>
      <c r="OBO252" s="9"/>
      <c r="OBP252" s="9"/>
      <c r="OBQ252" s="9"/>
      <c r="OBR252" s="9"/>
      <c r="OBS252" s="9"/>
      <c r="OBT252" s="9"/>
      <c r="OBU252" s="9"/>
      <c r="OBV252" s="9"/>
      <c r="OBW252" s="9"/>
      <c r="OBX252" s="9"/>
      <c r="OBY252" s="9"/>
      <c r="OBZ252" s="9"/>
      <c r="OCA252" s="9"/>
      <c r="OCB252" s="9"/>
      <c r="OCC252" s="9"/>
      <c r="OCD252" s="9"/>
      <c r="OCE252" s="9"/>
      <c r="OCF252" s="9"/>
      <c r="OCG252" s="9"/>
      <c r="OCH252" s="9"/>
      <c r="OCI252" s="9"/>
      <c r="OCJ252" s="9"/>
      <c r="OCK252" s="9"/>
      <c r="OCL252" s="9"/>
      <c r="OCM252" s="9"/>
      <c r="OCN252" s="9"/>
      <c r="OCO252" s="9"/>
      <c r="OCP252" s="9"/>
      <c r="OCQ252" s="9"/>
      <c r="OCR252" s="9"/>
      <c r="OCS252" s="9"/>
      <c r="OCT252" s="9"/>
      <c r="OCU252" s="9"/>
      <c r="OCV252" s="9"/>
      <c r="OCW252" s="9"/>
      <c r="OCX252" s="9"/>
      <c r="OCY252" s="9"/>
      <c r="OCZ252" s="9"/>
      <c r="ODA252" s="9"/>
      <c r="ODB252" s="9"/>
      <c r="ODC252" s="9"/>
      <c r="ODD252" s="9"/>
      <c r="ODE252" s="9"/>
      <c r="ODF252" s="9"/>
      <c r="ODG252" s="9"/>
      <c r="ODH252" s="9"/>
      <c r="ODI252" s="9"/>
      <c r="ODJ252" s="9"/>
      <c r="ODK252" s="9"/>
      <c r="ODL252" s="9"/>
      <c r="ODM252" s="9"/>
      <c r="ODN252" s="9"/>
      <c r="ODO252" s="9"/>
      <c r="ODP252" s="9"/>
      <c r="ODQ252" s="9"/>
      <c r="ODR252" s="9"/>
      <c r="ODS252" s="9"/>
      <c r="ODT252" s="9"/>
      <c r="ODU252" s="9"/>
      <c r="ODV252" s="9"/>
      <c r="ODW252" s="9"/>
      <c r="ODX252" s="9"/>
      <c r="ODY252" s="9"/>
      <c r="ODZ252" s="9"/>
      <c r="OEA252" s="9"/>
      <c r="OEB252" s="9"/>
      <c r="OEC252" s="9"/>
      <c r="OED252" s="9"/>
      <c r="OEE252" s="9"/>
      <c r="OEF252" s="9"/>
      <c r="OEG252" s="9"/>
      <c r="OEH252" s="9"/>
      <c r="OEI252" s="9"/>
      <c r="OEJ252" s="9"/>
      <c r="OEK252" s="9"/>
      <c r="OEL252" s="9"/>
      <c r="OEM252" s="9"/>
      <c r="OEN252" s="9"/>
      <c r="OEO252" s="9"/>
      <c r="OEP252" s="9"/>
      <c r="OEQ252" s="9"/>
      <c r="OER252" s="9"/>
      <c r="OES252" s="9"/>
      <c r="OET252" s="9"/>
      <c r="OEU252" s="9"/>
      <c r="OEV252" s="9"/>
      <c r="OEW252" s="9"/>
      <c r="OEX252" s="9"/>
      <c r="OEY252" s="9"/>
      <c r="OEZ252" s="9"/>
      <c r="OFA252" s="9"/>
      <c r="OFB252" s="9"/>
      <c r="OFC252" s="9"/>
      <c r="OFD252" s="9"/>
      <c r="OFE252" s="9"/>
      <c r="OFF252" s="9"/>
      <c r="OFG252" s="9"/>
      <c r="OFH252" s="9"/>
      <c r="OFI252" s="9"/>
      <c r="OFJ252" s="9"/>
      <c r="OFK252" s="9"/>
      <c r="OFL252" s="9"/>
      <c r="OFM252" s="9"/>
      <c r="OFN252" s="9"/>
      <c r="OFO252" s="9"/>
      <c r="OFP252" s="9"/>
      <c r="OFQ252" s="9"/>
      <c r="OFR252" s="9"/>
      <c r="OFS252" s="9"/>
      <c r="OFT252" s="9"/>
      <c r="OFU252" s="9"/>
      <c r="OFV252" s="9"/>
      <c r="OFW252" s="9"/>
      <c r="OFX252" s="9"/>
      <c r="OFY252" s="9"/>
      <c r="OFZ252" s="9"/>
      <c r="OGA252" s="9"/>
      <c r="OGB252" s="9"/>
      <c r="OGC252" s="9"/>
      <c r="OGD252" s="9"/>
      <c r="OGE252" s="9"/>
      <c r="OGF252" s="9"/>
      <c r="OGG252" s="9"/>
      <c r="OGH252" s="9"/>
      <c r="OGI252" s="9"/>
      <c r="OGJ252" s="9"/>
      <c r="OGK252" s="9"/>
      <c r="OGL252" s="9"/>
      <c r="OGM252" s="9"/>
      <c r="OGN252" s="9"/>
      <c r="OGO252" s="9"/>
      <c r="OGP252" s="9"/>
      <c r="OGQ252" s="9"/>
      <c r="OGR252" s="9"/>
      <c r="OGS252" s="9"/>
      <c r="OGT252" s="9"/>
      <c r="OGU252" s="9"/>
      <c r="OGV252" s="9"/>
      <c r="OGW252" s="9"/>
      <c r="OGX252" s="9"/>
      <c r="OGY252" s="9"/>
      <c r="OGZ252" s="9"/>
      <c r="OHA252" s="9"/>
      <c r="OHB252" s="9"/>
      <c r="OHC252" s="9"/>
      <c r="OHD252" s="9"/>
      <c r="OHE252" s="9"/>
      <c r="OHF252" s="9"/>
      <c r="OHG252" s="9"/>
      <c r="OHH252" s="9"/>
      <c r="OHI252" s="9"/>
      <c r="OHJ252" s="9"/>
      <c r="OHK252" s="9"/>
      <c r="OHL252" s="9"/>
      <c r="OHM252" s="9"/>
      <c r="OHN252" s="9"/>
      <c r="OHO252" s="9"/>
      <c r="OHP252" s="9"/>
      <c r="OHQ252" s="9"/>
      <c r="OHR252" s="9"/>
      <c r="OHS252" s="9"/>
      <c r="OHT252" s="9"/>
      <c r="OHU252" s="9"/>
      <c r="OHV252" s="9"/>
      <c r="OHW252" s="9"/>
      <c r="OHX252" s="9"/>
      <c r="OHY252" s="9"/>
      <c r="OHZ252" s="9"/>
      <c r="OIA252" s="9"/>
      <c r="OIB252" s="9"/>
      <c r="OIC252" s="9"/>
      <c r="OID252" s="9"/>
      <c r="OIE252" s="9"/>
      <c r="OIF252" s="9"/>
      <c r="OIG252" s="9"/>
      <c r="OIH252" s="9"/>
      <c r="OII252" s="9"/>
      <c r="OIJ252" s="9"/>
      <c r="OIK252" s="9"/>
      <c r="OIL252" s="9"/>
      <c r="OIM252" s="9"/>
      <c r="OIN252" s="9"/>
      <c r="OIO252" s="9"/>
      <c r="OIP252" s="9"/>
      <c r="OIQ252" s="9"/>
      <c r="OIR252" s="9"/>
      <c r="OIS252" s="9"/>
      <c r="OIT252" s="9"/>
      <c r="OIU252" s="9"/>
      <c r="OIV252" s="9"/>
      <c r="OIW252" s="9"/>
      <c r="OIX252" s="9"/>
      <c r="OIY252" s="9"/>
      <c r="OIZ252" s="9"/>
      <c r="OJA252" s="9"/>
      <c r="OJB252" s="9"/>
      <c r="OJC252" s="9"/>
      <c r="OJD252" s="9"/>
      <c r="OJE252" s="9"/>
      <c r="OJF252" s="9"/>
      <c r="OJG252" s="9"/>
      <c r="OJH252" s="9"/>
      <c r="OJI252" s="9"/>
      <c r="OJJ252" s="9"/>
      <c r="OJK252" s="9"/>
      <c r="OJL252" s="9"/>
      <c r="OJM252" s="9"/>
      <c r="OJN252" s="9"/>
      <c r="OJO252" s="9"/>
      <c r="OJP252" s="9"/>
      <c r="OJQ252" s="9"/>
      <c r="OJR252" s="9"/>
      <c r="OJS252" s="9"/>
      <c r="OJT252" s="9"/>
      <c r="OJU252" s="9"/>
      <c r="OJV252" s="9"/>
      <c r="OJW252" s="9"/>
      <c r="OJX252" s="9"/>
      <c r="OJY252" s="9"/>
      <c r="OJZ252" s="9"/>
      <c r="OKA252" s="9"/>
      <c r="OKB252" s="9"/>
      <c r="OKC252" s="9"/>
      <c r="OKD252" s="9"/>
      <c r="OKE252" s="9"/>
      <c r="OKF252" s="9"/>
      <c r="OKG252" s="9"/>
      <c r="OKH252" s="9"/>
      <c r="OKI252" s="9"/>
      <c r="OKJ252" s="9"/>
      <c r="OKK252" s="9"/>
      <c r="OKL252" s="9"/>
      <c r="OKM252" s="9"/>
      <c r="OKN252" s="9"/>
      <c r="OKO252" s="9"/>
      <c r="OKP252" s="9"/>
      <c r="OKQ252" s="9"/>
      <c r="OKR252" s="9"/>
      <c r="OKS252" s="9"/>
      <c r="OKT252" s="9"/>
      <c r="OKU252" s="9"/>
      <c r="OKV252" s="9"/>
      <c r="OKW252" s="9"/>
      <c r="OKX252" s="9"/>
      <c r="OKY252" s="9"/>
      <c r="OKZ252" s="9"/>
      <c r="OLA252" s="9"/>
      <c r="OLB252" s="9"/>
      <c r="OLC252" s="9"/>
      <c r="OLD252" s="9"/>
      <c r="OLE252" s="9"/>
      <c r="OLF252" s="9"/>
      <c r="OLG252" s="9"/>
      <c r="OLH252" s="9"/>
      <c r="OLI252" s="9"/>
      <c r="OLJ252" s="9"/>
      <c r="OLK252" s="9"/>
      <c r="OLL252" s="9"/>
      <c r="OLM252" s="9"/>
      <c r="OLN252" s="9"/>
      <c r="OLO252" s="9"/>
      <c r="OLP252" s="9"/>
      <c r="OLQ252" s="9"/>
      <c r="OLR252" s="9"/>
      <c r="OLS252" s="9"/>
      <c r="OLT252" s="9"/>
      <c r="OLU252" s="9"/>
      <c r="OLV252" s="9"/>
      <c r="OLW252" s="9"/>
      <c r="OLX252" s="9"/>
      <c r="OLY252" s="9"/>
      <c r="OLZ252" s="9"/>
      <c r="OMA252" s="9"/>
      <c r="OMB252" s="9"/>
      <c r="OMC252" s="9"/>
      <c r="OMD252" s="9"/>
      <c r="OME252" s="9"/>
      <c r="OMF252" s="9"/>
      <c r="OMG252" s="9"/>
      <c r="OMH252" s="9"/>
      <c r="OMI252" s="9"/>
      <c r="OMJ252" s="9"/>
      <c r="OMK252" s="9"/>
      <c r="OML252" s="9"/>
      <c r="OMM252" s="9"/>
      <c r="OMN252" s="9"/>
      <c r="OMO252" s="9"/>
      <c r="OMP252" s="9"/>
      <c r="OMQ252" s="9"/>
      <c r="OMR252" s="9"/>
      <c r="OMS252" s="9"/>
      <c r="OMT252" s="9"/>
      <c r="OMU252" s="9"/>
      <c r="OMV252" s="9"/>
      <c r="OMW252" s="9"/>
      <c r="OMX252" s="9"/>
      <c r="OMY252" s="9"/>
      <c r="OMZ252" s="9"/>
      <c r="ONA252" s="9"/>
      <c r="ONB252" s="9"/>
      <c r="ONC252" s="9"/>
      <c r="OND252" s="9"/>
      <c r="ONE252" s="9"/>
      <c r="ONF252" s="9"/>
      <c r="ONG252" s="9"/>
      <c r="ONH252" s="9"/>
      <c r="ONI252" s="9"/>
      <c r="ONJ252" s="9"/>
      <c r="ONK252" s="9"/>
      <c r="ONL252" s="9"/>
      <c r="ONM252" s="9"/>
      <c r="ONN252" s="9"/>
      <c r="ONO252" s="9"/>
      <c r="ONP252" s="9"/>
      <c r="ONQ252" s="9"/>
      <c r="ONR252" s="9"/>
      <c r="ONS252" s="9"/>
      <c r="ONT252" s="9"/>
      <c r="ONU252" s="9"/>
      <c r="ONV252" s="9"/>
      <c r="ONW252" s="9"/>
      <c r="ONX252" s="9"/>
      <c r="ONY252" s="9"/>
      <c r="ONZ252" s="9"/>
      <c r="OOA252" s="9"/>
      <c r="OOB252" s="9"/>
      <c r="OOC252" s="9"/>
      <c r="OOD252" s="9"/>
      <c r="OOE252" s="9"/>
      <c r="OOF252" s="9"/>
      <c r="OOG252" s="9"/>
      <c r="OOH252" s="9"/>
      <c r="OOI252" s="9"/>
      <c r="OOJ252" s="9"/>
      <c r="OOK252" s="9"/>
      <c r="OOL252" s="9"/>
      <c r="OOM252" s="9"/>
      <c r="OON252" s="9"/>
      <c r="OOO252" s="9"/>
      <c r="OOP252" s="9"/>
      <c r="OOQ252" s="9"/>
      <c r="OOR252" s="9"/>
      <c r="OOS252" s="9"/>
      <c r="OOT252" s="9"/>
      <c r="OOU252" s="9"/>
      <c r="OOV252" s="9"/>
      <c r="OOW252" s="9"/>
      <c r="OOX252" s="9"/>
      <c r="OOY252" s="9"/>
      <c r="OOZ252" s="9"/>
      <c r="OPA252" s="9"/>
      <c r="OPB252" s="9"/>
      <c r="OPC252" s="9"/>
      <c r="OPD252" s="9"/>
      <c r="OPE252" s="9"/>
      <c r="OPF252" s="9"/>
      <c r="OPG252" s="9"/>
      <c r="OPH252" s="9"/>
      <c r="OPI252" s="9"/>
      <c r="OPJ252" s="9"/>
      <c r="OPK252" s="9"/>
      <c r="OPL252" s="9"/>
      <c r="OPM252" s="9"/>
      <c r="OPN252" s="9"/>
      <c r="OPO252" s="9"/>
      <c r="OPP252" s="9"/>
      <c r="OPQ252" s="9"/>
      <c r="OPR252" s="9"/>
      <c r="OPS252" s="9"/>
      <c r="OPT252" s="9"/>
      <c r="OPU252" s="9"/>
      <c r="OPV252" s="9"/>
      <c r="OPW252" s="9"/>
      <c r="OPX252" s="9"/>
      <c r="OPY252" s="9"/>
      <c r="OPZ252" s="9"/>
      <c r="OQA252" s="9"/>
      <c r="OQB252" s="9"/>
      <c r="OQC252" s="9"/>
      <c r="OQD252" s="9"/>
      <c r="OQE252" s="9"/>
      <c r="OQF252" s="9"/>
      <c r="OQG252" s="9"/>
      <c r="OQH252" s="9"/>
      <c r="OQI252" s="9"/>
      <c r="OQJ252" s="9"/>
      <c r="OQK252" s="9"/>
      <c r="OQL252" s="9"/>
      <c r="OQM252" s="9"/>
      <c r="OQN252" s="9"/>
      <c r="OQO252" s="9"/>
      <c r="OQP252" s="9"/>
      <c r="OQQ252" s="9"/>
      <c r="OQR252" s="9"/>
      <c r="OQS252" s="9"/>
      <c r="OQT252" s="9"/>
      <c r="OQU252" s="9"/>
      <c r="OQV252" s="9"/>
      <c r="OQW252" s="9"/>
      <c r="OQX252" s="9"/>
      <c r="OQY252" s="9"/>
      <c r="OQZ252" s="9"/>
      <c r="ORA252" s="9"/>
      <c r="ORB252" s="9"/>
      <c r="ORC252" s="9"/>
      <c r="ORD252" s="9"/>
      <c r="ORE252" s="9"/>
      <c r="ORF252" s="9"/>
      <c r="ORG252" s="9"/>
      <c r="ORH252" s="9"/>
      <c r="ORI252" s="9"/>
      <c r="ORJ252" s="9"/>
      <c r="ORK252" s="9"/>
      <c r="ORL252" s="9"/>
      <c r="ORM252" s="9"/>
      <c r="ORN252" s="9"/>
      <c r="ORO252" s="9"/>
      <c r="ORP252" s="9"/>
      <c r="ORQ252" s="9"/>
      <c r="ORR252" s="9"/>
      <c r="ORS252" s="9"/>
      <c r="ORT252" s="9"/>
      <c r="ORU252" s="9"/>
      <c r="ORV252" s="9"/>
      <c r="ORW252" s="9"/>
      <c r="ORX252" s="9"/>
      <c r="ORY252" s="9"/>
      <c r="ORZ252" s="9"/>
      <c r="OSA252" s="9"/>
      <c r="OSB252" s="9"/>
      <c r="OSC252" s="9"/>
      <c r="OSD252" s="9"/>
      <c r="OSE252" s="9"/>
      <c r="OSF252" s="9"/>
      <c r="OSG252" s="9"/>
      <c r="OSH252" s="9"/>
      <c r="OSI252" s="9"/>
      <c r="OSJ252" s="9"/>
      <c r="OSK252" s="9"/>
      <c r="OSL252" s="9"/>
      <c r="OSM252" s="9"/>
      <c r="OSN252" s="9"/>
      <c r="OSO252" s="9"/>
      <c r="OSP252" s="9"/>
      <c r="OSQ252" s="9"/>
      <c r="OSR252" s="9"/>
      <c r="OSS252" s="9"/>
      <c r="OST252" s="9"/>
      <c r="OSU252" s="9"/>
      <c r="OSV252" s="9"/>
      <c r="OSW252" s="9"/>
      <c r="OSX252" s="9"/>
      <c r="OSY252" s="9"/>
      <c r="OSZ252" s="9"/>
      <c r="OTA252" s="9"/>
      <c r="OTB252" s="9"/>
      <c r="OTC252" s="9"/>
      <c r="OTD252" s="9"/>
      <c r="OTE252" s="9"/>
      <c r="OTF252" s="9"/>
      <c r="OTG252" s="9"/>
      <c r="OTH252" s="9"/>
      <c r="OTI252" s="9"/>
      <c r="OTJ252" s="9"/>
      <c r="OTK252" s="9"/>
      <c r="OTL252" s="9"/>
      <c r="OTM252" s="9"/>
      <c r="OTN252" s="9"/>
      <c r="OTO252" s="9"/>
      <c r="OTP252" s="9"/>
      <c r="OTQ252" s="9"/>
      <c r="OTR252" s="9"/>
      <c r="OTS252" s="9"/>
      <c r="OTT252" s="9"/>
      <c r="OTU252" s="9"/>
      <c r="OTV252" s="9"/>
      <c r="OTW252" s="9"/>
      <c r="OTX252" s="9"/>
      <c r="OTY252" s="9"/>
      <c r="OTZ252" s="9"/>
      <c r="OUA252" s="9"/>
      <c r="OUB252" s="9"/>
      <c r="OUC252" s="9"/>
      <c r="OUD252" s="9"/>
      <c r="OUE252" s="9"/>
      <c r="OUF252" s="9"/>
      <c r="OUG252" s="9"/>
      <c r="OUH252" s="9"/>
      <c r="OUI252" s="9"/>
      <c r="OUJ252" s="9"/>
      <c r="OUK252" s="9"/>
      <c r="OUL252" s="9"/>
      <c r="OUM252" s="9"/>
      <c r="OUN252" s="9"/>
      <c r="OUO252" s="9"/>
      <c r="OUP252" s="9"/>
      <c r="OUQ252" s="9"/>
      <c r="OUR252" s="9"/>
      <c r="OUS252" s="9"/>
      <c r="OUT252" s="9"/>
      <c r="OUU252" s="9"/>
      <c r="OUV252" s="9"/>
      <c r="OUW252" s="9"/>
      <c r="OUX252" s="9"/>
      <c r="OUY252" s="9"/>
      <c r="OUZ252" s="9"/>
      <c r="OVA252" s="9"/>
      <c r="OVB252" s="9"/>
      <c r="OVC252" s="9"/>
      <c r="OVD252" s="9"/>
      <c r="OVE252" s="9"/>
      <c r="OVF252" s="9"/>
      <c r="OVG252" s="9"/>
      <c r="OVH252" s="9"/>
      <c r="OVI252" s="9"/>
      <c r="OVJ252" s="9"/>
      <c r="OVK252" s="9"/>
      <c r="OVL252" s="9"/>
      <c r="OVM252" s="9"/>
      <c r="OVN252" s="9"/>
      <c r="OVO252" s="9"/>
      <c r="OVP252" s="9"/>
      <c r="OVQ252" s="9"/>
      <c r="OVR252" s="9"/>
      <c r="OVS252" s="9"/>
      <c r="OVT252" s="9"/>
      <c r="OVU252" s="9"/>
      <c r="OVV252" s="9"/>
      <c r="OVW252" s="9"/>
      <c r="OVX252" s="9"/>
      <c r="OVY252" s="9"/>
      <c r="OVZ252" s="9"/>
      <c r="OWA252" s="9"/>
      <c r="OWB252" s="9"/>
      <c r="OWC252" s="9"/>
      <c r="OWD252" s="9"/>
      <c r="OWE252" s="9"/>
      <c r="OWF252" s="9"/>
      <c r="OWG252" s="9"/>
      <c r="OWH252" s="9"/>
      <c r="OWI252" s="9"/>
      <c r="OWJ252" s="9"/>
      <c r="OWK252" s="9"/>
      <c r="OWL252" s="9"/>
      <c r="OWM252" s="9"/>
      <c r="OWN252" s="9"/>
      <c r="OWO252" s="9"/>
      <c r="OWP252" s="9"/>
      <c r="OWQ252" s="9"/>
      <c r="OWR252" s="9"/>
      <c r="OWS252" s="9"/>
      <c r="OWT252" s="9"/>
      <c r="OWU252" s="9"/>
      <c r="OWV252" s="9"/>
      <c r="OWW252" s="9"/>
      <c r="OWX252" s="9"/>
      <c r="OWY252" s="9"/>
      <c r="OWZ252" s="9"/>
      <c r="OXA252" s="9"/>
      <c r="OXB252" s="9"/>
      <c r="OXC252" s="9"/>
      <c r="OXD252" s="9"/>
      <c r="OXE252" s="9"/>
      <c r="OXF252" s="9"/>
      <c r="OXG252" s="9"/>
      <c r="OXH252" s="9"/>
      <c r="OXI252" s="9"/>
      <c r="OXJ252" s="9"/>
      <c r="OXK252" s="9"/>
      <c r="OXL252" s="9"/>
      <c r="OXM252" s="9"/>
      <c r="OXN252" s="9"/>
      <c r="OXO252" s="9"/>
      <c r="OXP252" s="9"/>
      <c r="OXQ252" s="9"/>
      <c r="OXR252" s="9"/>
      <c r="OXS252" s="9"/>
      <c r="OXT252" s="9"/>
      <c r="OXU252" s="9"/>
      <c r="OXV252" s="9"/>
      <c r="OXW252" s="9"/>
      <c r="OXX252" s="9"/>
      <c r="OXY252" s="9"/>
      <c r="OXZ252" s="9"/>
      <c r="OYA252" s="9"/>
      <c r="OYB252" s="9"/>
      <c r="OYC252" s="9"/>
      <c r="OYD252" s="9"/>
      <c r="OYE252" s="9"/>
      <c r="OYF252" s="9"/>
      <c r="OYG252" s="9"/>
      <c r="OYH252" s="9"/>
      <c r="OYI252" s="9"/>
      <c r="OYJ252" s="9"/>
      <c r="OYK252" s="9"/>
      <c r="OYL252" s="9"/>
      <c r="OYM252" s="9"/>
      <c r="OYN252" s="9"/>
      <c r="OYO252" s="9"/>
      <c r="OYP252" s="9"/>
      <c r="OYQ252" s="9"/>
      <c r="OYR252" s="9"/>
      <c r="OYS252" s="9"/>
      <c r="OYT252" s="9"/>
      <c r="OYU252" s="9"/>
      <c r="OYV252" s="9"/>
      <c r="OYW252" s="9"/>
      <c r="OYX252" s="9"/>
      <c r="OYY252" s="9"/>
      <c r="OYZ252" s="9"/>
      <c r="OZA252" s="9"/>
      <c r="OZB252" s="9"/>
      <c r="OZC252" s="9"/>
      <c r="OZD252" s="9"/>
      <c r="OZE252" s="9"/>
      <c r="OZF252" s="9"/>
      <c r="OZG252" s="9"/>
      <c r="OZH252" s="9"/>
      <c r="OZI252" s="9"/>
      <c r="OZJ252" s="9"/>
      <c r="OZK252" s="9"/>
      <c r="OZL252" s="9"/>
      <c r="OZM252" s="9"/>
      <c r="OZN252" s="9"/>
      <c r="OZO252" s="9"/>
      <c r="OZP252" s="9"/>
      <c r="OZQ252" s="9"/>
      <c r="OZR252" s="9"/>
      <c r="OZS252" s="9"/>
      <c r="OZT252" s="9"/>
      <c r="OZU252" s="9"/>
      <c r="OZV252" s="9"/>
      <c r="OZW252" s="9"/>
      <c r="OZX252" s="9"/>
      <c r="OZY252" s="9"/>
      <c r="OZZ252" s="9"/>
      <c r="PAA252" s="9"/>
      <c r="PAB252" s="9"/>
      <c r="PAC252" s="9"/>
      <c r="PAD252" s="9"/>
      <c r="PAE252" s="9"/>
      <c r="PAF252" s="9"/>
      <c r="PAG252" s="9"/>
      <c r="PAH252" s="9"/>
      <c r="PAI252" s="9"/>
      <c r="PAJ252" s="9"/>
      <c r="PAK252" s="9"/>
      <c r="PAL252" s="9"/>
      <c r="PAM252" s="9"/>
      <c r="PAN252" s="9"/>
      <c r="PAO252" s="9"/>
      <c r="PAP252" s="9"/>
      <c r="PAQ252" s="9"/>
      <c r="PAR252" s="9"/>
      <c r="PAS252" s="9"/>
      <c r="PAT252" s="9"/>
      <c r="PAU252" s="9"/>
      <c r="PAV252" s="9"/>
      <c r="PAW252" s="9"/>
      <c r="PAX252" s="9"/>
      <c r="PAY252" s="9"/>
      <c r="PAZ252" s="9"/>
      <c r="PBA252" s="9"/>
      <c r="PBB252" s="9"/>
      <c r="PBC252" s="9"/>
      <c r="PBD252" s="9"/>
      <c r="PBE252" s="9"/>
      <c r="PBF252" s="9"/>
      <c r="PBG252" s="9"/>
      <c r="PBH252" s="9"/>
      <c r="PBI252" s="9"/>
      <c r="PBJ252" s="9"/>
      <c r="PBK252" s="9"/>
      <c r="PBL252" s="9"/>
      <c r="PBM252" s="9"/>
      <c r="PBN252" s="9"/>
      <c r="PBO252" s="9"/>
      <c r="PBP252" s="9"/>
      <c r="PBQ252" s="9"/>
      <c r="PBR252" s="9"/>
      <c r="PBS252" s="9"/>
      <c r="PBT252" s="9"/>
      <c r="PBU252" s="9"/>
      <c r="PBV252" s="9"/>
      <c r="PBW252" s="9"/>
      <c r="PBX252" s="9"/>
      <c r="PBY252" s="9"/>
      <c r="PBZ252" s="9"/>
      <c r="PCA252" s="9"/>
      <c r="PCB252" s="9"/>
      <c r="PCC252" s="9"/>
      <c r="PCD252" s="9"/>
      <c r="PCE252" s="9"/>
      <c r="PCF252" s="9"/>
      <c r="PCG252" s="9"/>
      <c r="PCH252" s="9"/>
      <c r="PCI252" s="9"/>
      <c r="PCJ252" s="9"/>
      <c r="PCK252" s="9"/>
      <c r="PCL252" s="9"/>
      <c r="PCM252" s="9"/>
      <c r="PCN252" s="9"/>
      <c r="PCO252" s="9"/>
      <c r="PCP252" s="9"/>
      <c r="PCQ252" s="9"/>
      <c r="PCR252" s="9"/>
      <c r="PCS252" s="9"/>
      <c r="PCT252" s="9"/>
      <c r="PCU252" s="9"/>
      <c r="PCV252" s="9"/>
      <c r="PCW252" s="9"/>
      <c r="PCX252" s="9"/>
      <c r="PCY252" s="9"/>
      <c r="PCZ252" s="9"/>
      <c r="PDA252" s="9"/>
      <c r="PDB252" s="9"/>
      <c r="PDC252" s="9"/>
      <c r="PDD252" s="9"/>
      <c r="PDE252" s="9"/>
      <c r="PDF252" s="9"/>
      <c r="PDG252" s="9"/>
      <c r="PDH252" s="9"/>
      <c r="PDI252" s="9"/>
      <c r="PDJ252" s="9"/>
      <c r="PDK252" s="9"/>
      <c r="PDL252" s="9"/>
      <c r="PDM252" s="9"/>
      <c r="PDN252" s="9"/>
      <c r="PDO252" s="9"/>
      <c r="PDP252" s="9"/>
      <c r="PDQ252" s="9"/>
      <c r="PDR252" s="9"/>
      <c r="PDS252" s="9"/>
      <c r="PDT252" s="9"/>
      <c r="PDU252" s="9"/>
      <c r="PDV252" s="9"/>
      <c r="PDW252" s="9"/>
      <c r="PDX252" s="9"/>
      <c r="PDY252" s="9"/>
      <c r="PDZ252" s="9"/>
      <c r="PEA252" s="9"/>
      <c r="PEB252" s="9"/>
      <c r="PEC252" s="9"/>
      <c r="PED252" s="9"/>
      <c r="PEE252" s="9"/>
      <c r="PEF252" s="9"/>
      <c r="PEG252" s="9"/>
      <c r="PEH252" s="9"/>
      <c r="PEI252" s="9"/>
      <c r="PEJ252" s="9"/>
      <c r="PEK252" s="9"/>
      <c r="PEL252" s="9"/>
      <c r="PEM252" s="9"/>
      <c r="PEN252" s="9"/>
      <c r="PEO252" s="9"/>
      <c r="PEP252" s="9"/>
      <c r="PEQ252" s="9"/>
      <c r="PER252" s="9"/>
      <c r="PES252" s="9"/>
      <c r="PET252" s="9"/>
      <c r="PEU252" s="9"/>
      <c r="PEV252" s="9"/>
      <c r="PEW252" s="9"/>
      <c r="PEX252" s="9"/>
      <c r="PEY252" s="9"/>
      <c r="PEZ252" s="9"/>
      <c r="PFA252" s="9"/>
      <c r="PFB252" s="9"/>
      <c r="PFC252" s="9"/>
      <c r="PFD252" s="9"/>
      <c r="PFE252" s="9"/>
      <c r="PFF252" s="9"/>
      <c r="PFG252" s="9"/>
      <c r="PFH252" s="9"/>
      <c r="PFI252" s="9"/>
      <c r="PFJ252" s="9"/>
      <c r="PFK252" s="9"/>
      <c r="PFL252" s="9"/>
      <c r="PFM252" s="9"/>
      <c r="PFN252" s="9"/>
      <c r="PFO252" s="9"/>
      <c r="PFP252" s="9"/>
      <c r="PFQ252" s="9"/>
      <c r="PFR252" s="9"/>
      <c r="PFS252" s="9"/>
      <c r="PFT252" s="9"/>
      <c r="PFU252" s="9"/>
      <c r="PFV252" s="9"/>
      <c r="PFW252" s="9"/>
      <c r="PFX252" s="9"/>
      <c r="PFY252" s="9"/>
      <c r="PFZ252" s="9"/>
      <c r="PGA252" s="9"/>
      <c r="PGB252" s="9"/>
      <c r="PGC252" s="9"/>
      <c r="PGD252" s="9"/>
      <c r="PGE252" s="9"/>
      <c r="PGF252" s="9"/>
      <c r="PGG252" s="9"/>
      <c r="PGH252" s="9"/>
      <c r="PGI252" s="9"/>
      <c r="PGJ252" s="9"/>
      <c r="PGK252" s="9"/>
      <c r="PGL252" s="9"/>
      <c r="PGM252" s="9"/>
      <c r="PGN252" s="9"/>
      <c r="PGO252" s="9"/>
      <c r="PGP252" s="9"/>
      <c r="PGQ252" s="9"/>
      <c r="PGR252" s="9"/>
      <c r="PGS252" s="9"/>
      <c r="PGT252" s="9"/>
      <c r="PGU252" s="9"/>
      <c r="PGV252" s="9"/>
      <c r="PGW252" s="9"/>
      <c r="PGX252" s="9"/>
      <c r="PGY252" s="9"/>
      <c r="PGZ252" s="9"/>
      <c r="PHA252" s="9"/>
      <c r="PHB252" s="9"/>
      <c r="PHC252" s="9"/>
      <c r="PHD252" s="9"/>
      <c r="PHE252" s="9"/>
      <c r="PHF252" s="9"/>
      <c r="PHG252" s="9"/>
      <c r="PHH252" s="9"/>
      <c r="PHI252" s="9"/>
      <c r="PHJ252" s="9"/>
      <c r="PHK252" s="9"/>
      <c r="PHL252" s="9"/>
      <c r="PHM252" s="9"/>
      <c r="PHN252" s="9"/>
      <c r="PHO252" s="9"/>
      <c r="PHP252" s="9"/>
      <c r="PHQ252" s="9"/>
      <c r="PHR252" s="9"/>
      <c r="PHS252" s="9"/>
      <c r="PHT252" s="9"/>
      <c r="PHU252" s="9"/>
      <c r="PHV252" s="9"/>
      <c r="PHW252" s="9"/>
      <c r="PHX252" s="9"/>
      <c r="PHY252" s="9"/>
      <c r="PHZ252" s="9"/>
      <c r="PIA252" s="9"/>
      <c r="PIB252" s="9"/>
      <c r="PIC252" s="9"/>
      <c r="PID252" s="9"/>
      <c r="PIE252" s="9"/>
      <c r="PIF252" s="9"/>
      <c r="PIG252" s="9"/>
      <c r="PIH252" s="9"/>
      <c r="PII252" s="9"/>
      <c r="PIJ252" s="9"/>
      <c r="PIK252" s="9"/>
      <c r="PIL252" s="9"/>
      <c r="PIM252" s="9"/>
      <c r="PIN252" s="9"/>
      <c r="PIO252" s="9"/>
      <c r="PIP252" s="9"/>
      <c r="PIQ252" s="9"/>
      <c r="PIR252" s="9"/>
      <c r="PIS252" s="9"/>
      <c r="PIT252" s="9"/>
      <c r="PIU252" s="9"/>
      <c r="PIV252" s="9"/>
      <c r="PIW252" s="9"/>
      <c r="PIX252" s="9"/>
      <c r="PIY252" s="9"/>
      <c r="PIZ252" s="9"/>
      <c r="PJA252" s="9"/>
      <c r="PJB252" s="9"/>
      <c r="PJC252" s="9"/>
      <c r="PJD252" s="9"/>
      <c r="PJE252" s="9"/>
      <c r="PJF252" s="9"/>
      <c r="PJG252" s="9"/>
      <c r="PJH252" s="9"/>
      <c r="PJI252" s="9"/>
      <c r="PJJ252" s="9"/>
      <c r="PJK252" s="9"/>
      <c r="PJL252" s="9"/>
      <c r="PJM252" s="9"/>
      <c r="PJN252" s="9"/>
      <c r="PJO252" s="9"/>
      <c r="PJP252" s="9"/>
      <c r="PJQ252" s="9"/>
      <c r="PJR252" s="9"/>
      <c r="PJS252" s="9"/>
      <c r="PJT252" s="9"/>
      <c r="PJU252" s="9"/>
      <c r="PJV252" s="9"/>
      <c r="PJW252" s="9"/>
      <c r="PJX252" s="9"/>
      <c r="PJY252" s="9"/>
      <c r="PJZ252" s="9"/>
      <c r="PKA252" s="9"/>
      <c r="PKB252" s="9"/>
      <c r="PKC252" s="9"/>
      <c r="PKD252" s="9"/>
      <c r="PKE252" s="9"/>
      <c r="PKF252" s="9"/>
      <c r="PKG252" s="9"/>
      <c r="PKH252" s="9"/>
      <c r="PKI252" s="9"/>
      <c r="PKJ252" s="9"/>
      <c r="PKK252" s="9"/>
      <c r="PKL252" s="9"/>
      <c r="PKM252" s="9"/>
      <c r="PKN252" s="9"/>
      <c r="PKO252" s="9"/>
      <c r="PKP252" s="9"/>
      <c r="PKQ252" s="9"/>
      <c r="PKR252" s="9"/>
      <c r="PKS252" s="9"/>
      <c r="PKT252" s="9"/>
      <c r="PKU252" s="9"/>
      <c r="PKV252" s="9"/>
      <c r="PKW252" s="9"/>
      <c r="PKX252" s="9"/>
      <c r="PKY252" s="9"/>
      <c r="PKZ252" s="9"/>
      <c r="PLA252" s="9"/>
      <c r="PLB252" s="9"/>
      <c r="PLC252" s="9"/>
      <c r="PLD252" s="9"/>
      <c r="PLE252" s="9"/>
      <c r="PLF252" s="9"/>
      <c r="PLG252" s="9"/>
      <c r="PLH252" s="9"/>
      <c r="PLI252" s="9"/>
      <c r="PLJ252" s="9"/>
      <c r="PLK252" s="9"/>
      <c r="PLL252" s="9"/>
      <c r="PLM252" s="9"/>
      <c r="PLN252" s="9"/>
      <c r="PLO252" s="9"/>
      <c r="PLP252" s="9"/>
      <c r="PLQ252" s="9"/>
      <c r="PLR252" s="9"/>
      <c r="PLS252" s="9"/>
      <c r="PLT252" s="9"/>
      <c r="PLU252" s="9"/>
      <c r="PLV252" s="9"/>
      <c r="PLW252" s="9"/>
      <c r="PLX252" s="9"/>
      <c r="PLY252" s="9"/>
      <c r="PLZ252" s="9"/>
      <c r="PMA252" s="9"/>
      <c r="PMB252" s="9"/>
      <c r="PMC252" s="9"/>
      <c r="PMD252" s="9"/>
      <c r="PME252" s="9"/>
      <c r="PMF252" s="9"/>
      <c r="PMG252" s="9"/>
      <c r="PMH252" s="9"/>
      <c r="PMI252" s="9"/>
      <c r="PMJ252" s="9"/>
      <c r="PMK252" s="9"/>
      <c r="PML252" s="9"/>
      <c r="PMM252" s="9"/>
      <c r="PMN252" s="9"/>
      <c r="PMO252" s="9"/>
      <c r="PMP252" s="9"/>
      <c r="PMQ252" s="9"/>
      <c r="PMR252" s="9"/>
      <c r="PMS252" s="9"/>
      <c r="PMT252" s="9"/>
      <c r="PMU252" s="9"/>
      <c r="PMV252" s="9"/>
      <c r="PMW252" s="9"/>
      <c r="PMX252" s="9"/>
      <c r="PMY252" s="9"/>
      <c r="PMZ252" s="9"/>
      <c r="PNA252" s="9"/>
      <c r="PNB252" s="9"/>
      <c r="PNC252" s="9"/>
      <c r="PND252" s="9"/>
      <c r="PNE252" s="9"/>
      <c r="PNF252" s="9"/>
      <c r="PNG252" s="9"/>
      <c r="PNH252" s="9"/>
      <c r="PNI252" s="9"/>
      <c r="PNJ252" s="9"/>
      <c r="PNK252" s="9"/>
      <c r="PNL252" s="9"/>
      <c r="PNM252" s="9"/>
      <c r="PNN252" s="9"/>
      <c r="PNO252" s="9"/>
      <c r="PNP252" s="9"/>
      <c r="PNQ252" s="9"/>
      <c r="PNR252" s="9"/>
      <c r="PNS252" s="9"/>
      <c r="PNT252" s="9"/>
      <c r="PNU252" s="9"/>
      <c r="PNV252" s="9"/>
      <c r="PNW252" s="9"/>
      <c r="PNX252" s="9"/>
      <c r="PNY252" s="9"/>
      <c r="PNZ252" s="9"/>
      <c r="POA252" s="9"/>
      <c r="POB252" s="9"/>
      <c r="POC252" s="9"/>
      <c r="POD252" s="9"/>
      <c r="POE252" s="9"/>
      <c r="POF252" s="9"/>
      <c r="POG252" s="9"/>
      <c r="POH252" s="9"/>
      <c r="POI252" s="9"/>
      <c r="POJ252" s="9"/>
      <c r="POK252" s="9"/>
      <c r="POL252" s="9"/>
      <c r="POM252" s="9"/>
      <c r="PON252" s="9"/>
      <c r="POO252" s="9"/>
      <c r="POP252" s="9"/>
      <c r="POQ252" s="9"/>
      <c r="POR252" s="9"/>
      <c r="POS252" s="9"/>
      <c r="POT252" s="9"/>
      <c r="POU252" s="9"/>
      <c r="POV252" s="9"/>
      <c r="POW252" s="9"/>
      <c r="POX252" s="9"/>
      <c r="POY252" s="9"/>
      <c r="POZ252" s="9"/>
      <c r="PPA252" s="9"/>
      <c r="PPB252" s="9"/>
      <c r="PPC252" s="9"/>
      <c r="PPD252" s="9"/>
      <c r="PPE252" s="9"/>
      <c r="PPF252" s="9"/>
      <c r="PPG252" s="9"/>
      <c r="PPH252" s="9"/>
      <c r="PPI252" s="9"/>
      <c r="PPJ252" s="9"/>
      <c r="PPK252" s="9"/>
      <c r="PPL252" s="9"/>
      <c r="PPM252" s="9"/>
      <c r="PPN252" s="9"/>
      <c r="PPO252" s="9"/>
      <c r="PPP252" s="9"/>
      <c r="PPQ252" s="9"/>
      <c r="PPR252" s="9"/>
      <c r="PPS252" s="9"/>
      <c r="PPT252" s="9"/>
      <c r="PPU252" s="9"/>
      <c r="PPV252" s="9"/>
      <c r="PPW252" s="9"/>
      <c r="PPX252" s="9"/>
      <c r="PPY252" s="9"/>
      <c r="PPZ252" s="9"/>
      <c r="PQA252" s="9"/>
      <c r="PQB252" s="9"/>
      <c r="PQC252" s="9"/>
      <c r="PQD252" s="9"/>
      <c r="PQE252" s="9"/>
      <c r="PQF252" s="9"/>
      <c r="PQG252" s="9"/>
      <c r="PQH252" s="9"/>
      <c r="PQI252" s="9"/>
      <c r="PQJ252" s="9"/>
      <c r="PQK252" s="9"/>
      <c r="PQL252" s="9"/>
      <c r="PQM252" s="9"/>
      <c r="PQN252" s="9"/>
      <c r="PQO252" s="9"/>
      <c r="PQP252" s="9"/>
      <c r="PQQ252" s="9"/>
      <c r="PQR252" s="9"/>
      <c r="PQS252" s="9"/>
      <c r="PQT252" s="9"/>
      <c r="PQU252" s="9"/>
      <c r="PQV252" s="9"/>
      <c r="PQW252" s="9"/>
      <c r="PQX252" s="9"/>
      <c r="PQY252" s="9"/>
      <c r="PQZ252" s="9"/>
      <c r="PRA252" s="9"/>
      <c r="PRB252" s="9"/>
      <c r="PRC252" s="9"/>
      <c r="PRD252" s="9"/>
      <c r="PRE252" s="9"/>
      <c r="PRF252" s="9"/>
      <c r="PRG252" s="9"/>
      <c r="PRH252" s="9"/>
      <c r="PRI252" s="9"/>
      <c r="PRJ252" s="9"/>
      <c r="PRK252" s="9"/>
      <c r="PRL252" s="9"/>
      <c r="PRM252" s="9"/>
      <c r="PRN252" s="9"/>
      <c r="PRO252" s="9"/>
      <c r="PRP252" s="9"/>
      <c r="PRQ252" s="9"/>
      <c r="PRR252" s="9"/>
      <c r="PRS252" s="9"/>
      <c r="PRT252" s="9"/>
      <c r="PRU252" s="9"/>
      <c r="PRV252" s="9"/>
      <c r="PRW252" s="9"/>
      <c r="PRX252" s="9"/>
      <c r="PRY252" s="9"/>
      <c r="PRZ252" s="9"/>
      <c r="PSA252" s="9"/>
      <c r="PSB252" s="9"/>
      <c r="PSC252" s="9"/>
      <c r="PSD252" s="9"/>
      <c r="PSE252" s="9"/>
      <c r="PSF252" s="9"/>
      <c r="PSG252" s="9"/>
      <c r="PSH252" s="9"/>
      <c r="PSI252" s="9"/>
      <c r="PSJ252" s="9"/>
      <c r="PSK252" s="9"/>
      <c r="PSL252" s="9"/>
      <c r="PSM252" s="9"/>
      <c r="PSN252" s="9"/>
      <c r="PSO252" s="9"/>
      <c r="PSP252" s="9"/>
      <c r="PSQ252" s="9"/>
      <c r="PSR252" s="9"/>
      <c r="PSS252" s="9"/>
      <c r="PST252" s="9"/>
      <c r="PSU252" s="9"/>
      <c r="PSV252" s="9"/>
      <c r="PSW252" s="9"/>
      <c r="PSX252" s="9"/>
      <c r="PSY252" s="9"/>
      <c r="PSZ252" s="9"/>
      <c r="PTA252" s="9"/>
      <c r="PTB252" s="9"/>
      <c r="PTC252" s="9"/>
      <c r="PTD252" s="9"/>
      <c r="PTE252" s="9"/>
      <c r="PTF252" s="9"/>
      <c r="PTG252" s="9"/>
      <c r="PTH252" s="9"/>
      <c r="PTI252" s="9"/>
      <c r="PTJ252" s="9"/>
      <c r="PTK252" s="9"/>
      <c r="PTL252" s="9"/>
      <c r="PTM252" s="9"/>
      <c r="PTN252" s="9"/>
      <c r="PTO252" s="9"/>
      <c r="PTP252" s="9"/>
      <c r="PTQ252" s="9"/>
      <c r="PTR252" s="9"/>
      <c r="PTS252" s="9"/>
      <c r="PTT252" s="9"/>
      <c r="PTU252" s="9"/>
      <c r="PTV252" s="9"/>
      <c r="PTW252" s="9"/>
      <c r="PTX252" s="9"/>
      <c r="PTY252" s="9"/>
      <c r="PTZ252" s="9"/>
      <c r="PUA252" s="9"/>
      <c r="PUB252" s="9"/>
      <c r="PUC252" s="9"/>
      <c r="PUD252" s="9"/>
      <c r="PUE252" s="9"/>
      <c r="PUF252" s="9"/>
      <c r="PUG252" s="9"/>
      <c r="PUH252" s="9"/>
      <c r="PUI252" s="9"/>
      <c r="PUJ252" s="9"/>
      <c r="PUK252" s="9"/>
      <c r="PUL252" s="9"/>
      <c r="PUM252" s="9"/>
      <c r="PUN252" s="9"/>
      <c r="PUO252" s="9"/>
      <c r="PUP252" s="9"/>
      <c r="PUQ252" s="9"/>
      <c r="PUR252" s="9"/>
      <c r="PUS252" s="9"/>
      <c r="PUT252" s="9"/>
      <c r="PUU252" s="9"/>
      <c r="PUV252" s="9"/>
      <c r="PUW252" s="9"/>
      <c r="PUX252" s="9"/>
      <c r="PUY252" s="9"/>
      <c r="PUZ252" s="9"/>
      <c r="PVA252" s="9"/>
      <c r="PVB252" s="9"/>
      <c r="PVC252" s="9"/>
      <c r="PVD252" s="9"/>
      <c r="PVE252" s="9"/>
      <c r="PVF252" s="9"/>
      <c r="PVG252" s="9"/>
      <c r="PVH252" s="9"/>
      <c r="PVI252" s="9"/>
      <c r="PVJ252" s="9"/>
      <c r="PVK252" s="9"/>
      <c r="PVL252" s="9"/>
      <c r="PVM252" s="9"/>
      <c r="PVN252" s="9"/>
      <c r="PVO252" s="9"/>
      <c r="PVP252" s="9"/>
      <c r="PVQ252" s="9"/>
      <c r="PVR252" s="9"/>
      <c r="PVS252" s="9"/>
      <c r="PVT252" s="9"/>
      <c r="PVU252" s="9"/>
      <c r="PVV252" s="9"/>
      <c r="PVW252" s="9"/>
      <c r="PVX252" s="9"/>
      <c r="PVY252" s="9"/>
      <c r="PVZ252" s="9"/>
      <c r="PWA252" s="9"/>
      <c r="PWB252" s="9"/>
      <c r="PWC252" s="9"/>
      <c r="PWD252" s="9"/>
      <c r="PWE252" s="9"/>
      <c r="PWF252" s="9"/>
      <c r="PWG252" s="9"/>
      <c r="PWH252" s="9"/>
      <c r="PWI252" s="9"/>
      <c r="PWJ252" s="9"/>
      <c r="PWK252" s="9"/>
      <c r="PWL252" s="9"/>
      <c r="PWM252" s="9"/>
      <c r="PWN252" s="9"/>
      <c r="PWO252" s="9"/>
      <c r="PWP252" s="9"/>
      <c r="PWQ252" s="9"/>
      <c r="PWR252" s="9"/>
      <c r="PWS252" s="9"/>
      <c r="PWT252" s="9"/>
      <c r="PWU252" s="9"/>
      <c r="PWV252" s="9"/>
      <c r="PWW252" s="9"/>
      <c r="PWX252" s="9"/>
      <c r="PWY252" s="9"/>
      <c r="PWZ252" s="9"/>
      <c r="PXA252" s="9"/>
      <c r="PXB252" s="9"/>
      <c r="PXC252" s="9"/>
      <c r="PXD252" s="9"/>
      <c r="PXE252" s="9"/>
      <c r="PXF252" s="9"/>
      <c r="PXG252" s="9"/>
      <c r="PXH252" s="9"/>
      <c r="PXI252" s="9"/>
      <c r="PXJ252" s="9"/>
      <c r="PXK252" s="9"/>
      <c r="PXL252" s="9"/>
      <c r="PXM252" s="9"/>
      <c r="PXN252" s="9"/>
      <c r="PXO252" s="9"/>
      <c r="PXP252" s="9"/>
      <c r="PXQ252" s="9"/>
      <c r="PXR252" s="9"/>
      <c r="PXS252" s="9"/>
      <c r="PXT252" s="9"/>
      <c r="PXU252" s="9"/>
      <c r="PXV252" s="9"/>
      <c r="PXW252" s="9"/>
      <c r="PXX252" s="9"/>
      <c r="PXY252" s="9"/>
      <c r="PXZ252" s="9"/>
      <c r="PYA252" s="9"/>
      <c r="PYB252" s="9"/>
      <c r="PYC252" s="9"/>
      <c r="PYD252" s="9"/>
      <c r="PYE252" s="9"/>
      <c r="PYF252" s="9"/>
      <c r="PYG252" s="9"/>
      <c r="PYH252" s="9"/>
      <c r="PYI252" s="9"/>
      <c r="PYJ252" s="9"/>
      <c r="PYK252" s="9"/>
      <c r="PYL252" s="9"/>
      <c r="PYM252" s="9"/>
      <c r="PYN252" s="9"/>
      <c r="PYO252" s="9"/>
      <c r="PYP252" s="9"/>
      <c r="PYQ252" s="9"/>
      <c r="PYR252" s="9"/>
      <c r="PYS252" s="9"/>
      <c r="PYT252" s="9"/>
      <c r="PYU252" s="9"/>
      <c r="PYV252" s="9"/>
      <c r="PYW252" s="9"/>
      <c r="PYX252" s="9"/>
      <c r="PYY252" s="9"/>
      <c r="PYZ252" s="9"/>
      <c r="PZA252" s="9"/>
      <c r="PZB252" s="9"/>
      <c r="PZC252" s="9"/>
      <c r="PZD252" s="9"/>
      <c r="PZE252" s="9"/>
      <c r="PZF252" s="9"/>
      <c r="PZG252" s="9"/>
      <c r="PZH252" s="9"/>
      <c r="PZI252" s="9"/>
      <c r="PZJ252" s="9"/>
      <c r="PZK252" s="9"/>
      <c r="PZL252" s="9"/>
      <c r="PZM252" s="9"/>
      <c r="PZN252" s="9"/>
      <c r="PZO252" s="9"/>
      <c r="PZP252" s="9"/>
      <c r="PZQ252" s="9"/>
      <c r="PZR252" s="9"/>
      <c r="PZS252" s="9"/>
      <c r="PZT252" s="9"/>
      <c r="PZU252" s="9"/>
      <c r="PZV252" s="9"/>
      <c r="PZW252" s="9"/>
      <c r="PZX252" s="9"/>
      <c r="PZY252" s="9"/>
      <c r="PZZ252" s="9"/>
      <c r="QAA252" s="9"/>
      <c r="QAB252" s="9"/>
      <c r="QAC252" s="9"/>
      <c r="QAD252" s="9"/>
      <c r="QAE252" s="9"/>
      <c r="QAF252" s="9"/>
      <c r="QAG252" s="9"/>
      <c r="QAH252" s="9"/>
      <c r="QAI252" s="9"/>
      <c r="QAJ252" s="9"/>
      <c r="QAK252" s="9"/>
      <c r="QAL252" s="9"/>
      <c r="QAM252" s="9"/>
      <c r="QAN252" s="9"/>
      <c r="QAO252" s="9"/>
      <c r="QAP252" s="9"/>
      <c r="QAQ252" s="9"/>
      <c r="QAR252" s="9"/>
      <c r="QAS252" s="9"/>
      <c r="QAT252" s="9"/>
      <c r="QAU252" s="9"/>
      <c r="QAV252" s="9"/>
      <c r="QAW252" s="9"/>
      <c r="QAX252" s="9"/>
      <c r="QAY252" s="9"/>
      <c r="QAZ252" s="9"/>
      <c r="QBA252" s="9"/>
      <c r="QBB252" s="9"/>
      <c r="QBC252" s="9"/>
      <c r="QBD252" s="9"/>
      <c r="QBE252" s="9"/>
      <c r="QBF252" s="9"/>
      <c r="QBG252" s="9"/>
      <c r="QBH252" s="9"/>
      <c r="QBI252" s="9"/>
      <c r="QBJ252" s="9"/>
      <c r="QBK252" s="9"/>
      <c r="QBL252" s="9"/>
      <c r="QBM252" s="9"/>
      <c r="QBN252" s="9"/>
      <c r="QBO252" s="9"/>
      <c r="QBP252" s="9"/>
      <c r="QBQ252" s="9"/>
      <c r="QBR252" s="9"/>
      <c r="QBS252" s="9"/>
      <c r="QBT252" s="9"/>
      <c r="QBU252" s="9"/>
      <c r="QBV252" s="9"/>
      <c r="QBW252" s="9"/>
      <c r="QBX252" s="9"/>
      <c r="QBY252" s="9"/>
      <c r="QBZ252" s="9"/>
      <c r="QCA252" s="9"/>
      <c r="QCB252" s="9"/>
      <c r="QCC252" s="9"/>
      <c r="QCD252" s="9"/>
      <c r="QCE252" s="9"/>
      <c r="QCF252" s="9"/>
      <c r="QCG252" s="9"/>
      <c r="QCH252" s="9"/>
      <c r="QCI252" s="9"/>
      <c r="QCJ252" s="9"/>
      <c r="QCK252" s="9"/>
      <c r="QCL252" s="9"/>
      <c r="QCM252" s="9"/>
      <c r="QCN252" s="9"/>
      <c r="QCO252" s="9"/>
      <c r="QCP252" s="9"/>
      <c r="QCQ252" s="9"/>
      <c r="QCR252" s="9"/>
      <c r="QCS252" s="9"/>
      <c r="QCT252" s="9"/>
      <c r="QCU252" s="9"/>
      <c r="QCV252" s="9"/>
      <c r="QCW252" s="9"/>
      <c r="QCX252" s="9"/>
      <c r="QCY252" s="9"/>
      <c r="QCZ252" s="9"/>
      <c r="QDA252" s="9"/>
      <c r="QDB252" s="9"/>
      <c r="QDC252" s="9"/>
      <c r="QDD252" s="9"/>
      <c r="QDE252" s="9"/>
      <c r="QDF252" s="9"/>
      <c r="QDG252" s="9"/>
      <c r="QDH252" s="9"/>
      <c r="QDI252" s="9"/>
      <c r="QDJ252" s="9"/>
      <c r="QDK252" s="9"/>
      <c r="QDL252" s="9"/>
      <c r="QDM252" s="9"/>
      <c r="QDN252" s="9"/>
      <c r="QDO252" s="9"/>
      <c r="QDP252" s="9"/>
      <c r="QDQ252" s="9"/>
      <c r="QDR252" s="9"/>
      <c r="QDS252" s="9"/>
      <c r="QDT252" s="9"/>
      <c r="QDU252" s="9"/>
      <c r="QDV252" s="9"/>
      <c r="QDW252" s="9"/>
      <c r="QDX252" s="9"/>
      <c r="QDY252" s="9"/>
      <c r="QDZ252" s="9"/>
      <c r="QEA252" s="9"/>
      <c r="QEB252" s="9"/>
      <c r="QEC252" s="9"/>
      <c r="QED252" s="9"/>
      <c r="QEE252" s="9"/>
      <c r="QEF252" s="9"/>
      <c r="QEG252" s="9"/>
      <c r="QEH252" s="9"/>
      <c r="QEI252" s="9"/>
      <c r="QEJ252" s="9"/>
      <c r="QEK252" s="9"/>
      <c r="QEL252" s="9"/>
      <c r="QEM252" s="9"/>
      <c r="QEN252" s="9"/>
      <c r="QEO252" s="9"/>
      <c r="QEP252" s="9"/>
      <c r="QEQ252" s="9"/>
      <c r="QER252" s="9"/>
      <c r="QES252" s="9"/>
      <c r="QET252" s="9"/>
      <c r="QEU252" s="9"/>
      <c r="QEV252" s="9"/>
      <c r="QEW252" s="9"/>
      <c r="QEX252" s="9"/>
      <c r="QEY252" s="9"/>
      <c r="QEZ252" s="9"/>
      <c r="QFA252" s="9"/>
      <c r="QFB252" s="9"/>
      <c r="QFC252" s="9"/>
      <c r="QFD252" s="9"/>
      <c r="QFE252" s="9"/>
      <c r="QFF252" s="9"/>
      <c r="QFG252" s="9"/>
      <c r="QFH252" s="9"/>
      <c r="QFI252" s="9"/>
      <c r="QFJ252" s="9"/>
      <c r="QFK252" s="9"/>
      <c r="QFL252" s="9"/>
      <c r="QFM252" s="9"/>
      <c r="QFN252" s="9"/>
      <c r="QFO252" s="9"/>
      <c r="QFP252" s="9"/>
      <c r="QFQ252" s="9"/>
      <c r="QFR252" s="9"/>
      <c r="QFS252" s="9"/>
      <c r="QFT252" s="9"/>
      <c r="QFU252" s="9"/>
      <c r="QFV252" s="9"/>
      <c r="QFW252" s="9"/>
      <c r="QFX252" s="9"/>
      <c r="QFY252" s="9"/>
      <c r="QFZ252" s="9"/>
      <c r="QGA252" s="9"/>
      <c r="QGB252" s="9"/>
      <c r="QGC252" s="9"/>
      <c r="QGD252" s="9"/>
      <c r="QGE252" s="9"/>
      <c r="QGF252" s="9"/>
      <c r="QGG252" s="9"/>
      <c r="QGH252" s="9"/>
      <c r="QGI252" s="9"/>
      <c r="QGJ252" s="9"/>
      <c r="QGK252" s="9"/>
      <c r="QGL252" s="9"/>
      <c r="QGM252" s="9"/>
      <c r="QGN252" s="9"/>
      <c r="QGO252" s="9"/>
      <c r="QGP252" s="9"/>
      <c r="QGQ252" s="9"/>
      <c r="QGR252" s="9"/>
      <c r="QGS252" s="9"/>
      <c r="QGT252" s="9"/>
      <c r="QGU252" s="9"/>
      <c r="QGV252" s="9"/>
      <c r="QGW252" s="9"/>
      <c r="QGX252" s="9"/>
      <c r="QGY252" s="9"/>
      <c r="QGZ252" s="9"/>
      <c r="QHA252" s="9"/>
      <c r="QHB252" s="9"/>
      <c r="QHC252" s="9"/>
      <c r="QHD252" s="9"/>
      <c r="QHE252" s="9"/>
      <c r="QHF252" s="9"/>
      <c r="QHG252" s="9"/>
      <c r="QHH252" s="9"/>
      <c r="QHI252" s="9"/>
      <c r="QHJ252" s="9"/>
      <c r="QHK252" s="9"/>
      <c r="QHL252" s="9"/>
      <c r="QHM252" s="9"/>
      <c r="QHN252" s="9"/>
      <c r="QHO252" s="9"/>
      <c r="QHP252" s="9"/>
      <c r="QHQ252" s="9"/>
      <c r="QHR252" s="9"/>
      <c r="QHS252" s="9"/>
      <c r="QHT252" s="9"/>
      <c r="QHU252" s="9"/>
      <c r="QHV252" s="9"/>
      <c r="QHW252" s="9"/>
      <c r="QHX252" s="9"/>
      <c r="QHY252" s="9"/>
      <c r="QHZ252" s="9"/>
      <c r="QIA252" s="9"/>
      <c r="QIB252" s="9"/>
      <c r="QIC252" s="9"/>
      <c r="QID252" s="9"/>
      <c r="QIE252" s="9"/>
      <c r="QIF252" s="9"/>
      <c r="QIG252" s="9"/>
      <c r="QIH252" s="9"/>
      <c r="QII252" s="9"/>
      <c r="QIJ252" s="9"/>
      <c r="QIK252" s="9"/>
      <c r="QIL252" s="9"/>
      <c r="QIM252" s="9"/>
      <c r="QIN252" s="9"/>
      <c r="QIO252" s="9"/>
      <c r="QIP252" s="9"/>
      <c r="QIQ252" s="9"/>
      <c r="QIR252" s="9"/>
      <c r="QIS252" s="9"/>
      <c r="QIT252" s="9"/>
      <c r="QIU252" s="9"/>
      <c r="QIV252" s="9"/>
      <c r="QIW252" s="9"/>
      <c r="QIX252" s="9"/>
      <c r="QIY252" s="9"/>
      <c r="QIZ252" s="9"/>
      <c r="QJA252" s="9"/>
      <c r="QJB252" s="9"/>
      <c r="QJC252" s="9"/>
      <c r="QJD252" s="9"/>
      <c r="QJE252" s="9"/>
      <c r="QJF252" s="9"/>
      <c r="QJG252" s="9"/>
      <c r="QJH252" s="9"/>
      <c r="QJI252" s="9"/>
      <c r="QJJ252" s="9"/>
      <c r="QJK252" s="9"/>
      <c r="QJL252" s="9"/>
      <c r="QJM252" s="9"/>
      <c r="QJN252" s="9"/>
      <c r="QJO252" s="9"/>
      <c r="QJP252" s="9"/>
      <c r="QJQ252" s="9"/>
      <c r="QJR252" s="9"/>
      <c r="QJS252" s="9"/>
      <c r="QJT252" s="9"/>
      <c r="QJU252" s="9"/>
      <c r="QJV252" s="9"/>
      <c r="QJW252" s="9"/>
      <c r="QJX252" s="9"/>
      <c r="QJY252" s="9"/>
      <c r="QJZ252" s="9"/>
      <c r="QKA252" s="9"/>
      <c r="QKB252" s="9"/>
      <c r="QKC252" s="9"/>
      <c r="QKD252" s="9"/>
      <c r="QKE252" s="9"/>
      <c r="QKF252" s="9"/>
      <c r="QKG252" s="9"/>
      <c r="QKH252" s="9"/>
      <c r="QKI252" s="9"/>
      <c r="QKJ252" s="9"/>
      <c r="QKK252" s="9"/>
      <c r="QKL252" s="9"/>
      <c r="QKM252" s="9"/>
      <c r="QKN252" s="9"/>
      <c r="QKO252" s="9"/>
      <c r="QKP252" s="9"/>
      <c r="QKQ252" s="9"/>
      <c r="QKR252" s="9"/>
      <c r="QKS252" s="9"/>
      <c r="QKT252" s="9"/>
      <c r="QKU252" s="9"/>
      <c r="QKV252" s="9"/>
      <c r="QKW252" s="9"/>
      <c r="QKX252" s="9"/>
      <c r="QKY252" s="9"/>
      <c r="QKZ252" s="9"/>
      <c r="QLA252" s="9"/>
      <c r="QLB252" s="9"/>
      <c r="QLC252" s="9"/>
      <c r="QLD252" s="9"/>
      <c r="QLE252" s="9"/>
      <c r="QLF252" s="9"/>
      <c r="QLG252" s="9"/>
      <c r="QLH252" s="9"/>
      <c r="QLI252" s="9"/>
      <c r="QLJ252" s="9"/>
      <c r="QLK252" s="9"/>
      <c r="QLL252" s="9"/>
      <c r="QLM252" s="9"/>
      <c r="QLN252" s="9"/>
      <c r="QLO252" s="9"/>
      <c r="QLP252" s="9"/>
      <c r="QLQ252" s="9"/>
      <c r="QLR252" s="9"/>
      <c r="QLS252" s="9"/>
      <c r="QLT252" s="9"/>
      <c r="QLU252" s="9"/>
      <c r="QLV252" s="9"/>
      <c r="QLW252" s="9"/>
      <c r="QLX252" s="9"/>
      <c r="QLY252" s="9"/>
      <c r="QLZ252" s="9"/>
      <c r="QMA252" s="9"/>
      <c r="QMB252" s="9"/>
      <c r="QMC252" s="9"/>
      <c r="QMD252" s="9"/>
      <c r="QME252" s="9"/>
      <c r="QMF252" s="9"/>
      <c r="QMG252" s="9"/>
      <c r="QMH252" s="9"/>
      <c r="QMI252" s="9"/>
      <c r="QMJ252" s="9"/>
      <c r="QMK252" s="9"/>
      <c r="QML252" s="9"/>
      <c r="QMM252" s="9"/>
      <c r="QMN252" s="9"/>
      <c r="QMO252" s="9"/>
      <c r="QMP252" s="9"/>
      <c r="QMQ252" s="9"/>
      <c r="QMR252" s="9"/>
      <c r="QMS252" s="9"/>
      <c r="QMT252" s="9"/>
      <c r="QMU252" s="9"/>
      <c r="QMV252" s="9"/>
      <c r="QMW252" s="9"/>
      <c r="QMX252" s="9"/>
      <c r="QMY252" s="9"/>
      <c r="QMZ252" s="9"/>
      <c r="QNA252" s="9"/>
      <c r="QNB252" s="9"/>
      <c r="QNC252" s="9"/>
      <c r="QND252" s="9"/>
      <c r="QNE252" s="9"/>
      <c r="QNF252" s="9"/>
      <c r="QNG252" s="9"/>
      <c r="QNH252" s="9"/>
      <c r="QNI252" s="9"/>
      <c r="QNJ252" s="9"/>
      <c r="QNK252" s="9"/>
      <c r="QNL252" s="9"/>
      <c r="QNM252" s="9"/>
      <c r="QNN252" s="9"/>
      <c r="QNO252" s="9"/>
      <c r="QNP252" s="9"/>
      <c r="QNQ252" s="9"/>
      <c r="QNR252" s="9"/>
      <c r="QNS252" s="9"/>
      <c r="QNT252" s="9"/>
      <c r="QNU252" s="9"/>
      <c r="QNV252" s="9"/>
      <c r="QNW252" s="9"/>
      <c r="QNX252" s="9"/>
      <c r="QNY252" s="9"/>
      <c r="QNZ252" s="9"/>
      <c r="QOA252" s="9"/>
      <c r="QOB252" s="9"/>
      <c r="QOC252" s="9"/>
      <c r="QOD252" s="9"/>
      <c r="QOE252" s="9"/>
      <c r="QOF252" s="9"/>
      <c r="QOG252" s="9"/>
      <c r="QOH252" s="9"/>
      <c r="QOI252" s="9"/>
      <c r="QOJ252" s="9"/>
      <c r="QOK252" s="9"/>
      <c r="QOL252" s="9"/>
      <c r="QOM252" s="9"/>
      <c r="QON252" s="9"/>
      <c r="QOO252" s="9"/>
      <c r="QOP252" s="9"/>
      <c r="QOQ252" s="9"/>
      <c r="QOR252" s="9"/>
      <c r="QOS252" s="9"/>
      <c r="QOT252" s="9"/>
      <c r="QOU252" s="9"/>
      <c r="QOV252" s="9"/>
      <c r="QOW252" s="9"/>
      <c r="QOX252" s="9"/>
      <c r="QOY252" s="9"/>
      <c r="QOZ252" s="9"/>
      <c r="QPA252" s="9"/>
      <c r="QPB252" s="9"/>
      <c r="QPC252" s="9"/>
      <c r="QPD252" s="9"/>
      <c r="QPE252" s="9"/>
      <c r="QPF252" s="9"/>
      <c r="QPG252" s="9"/>
      <c r="QPH252" s="9"/>
      <c r="QPI252" s="9"/>
      <c r="QPJ252" s="9"/>
      <c r="QPK252" s="9"/>
      <c r="QPL252" s="9"/>
      <c r="QPM252" s="9"/>
      <c r="QPN252" s="9"/>
      <c r="QPO252" s="9"/>
      <c r="QPP252" s="9"/>
      <c r="QPQ252" s="9"/>
      <c r="QPR252" s="9"/>
      <c r="QPS252" s="9"/>
      <c r="QPT252" s="9"/>
      <c r="QPU252" s="9"/>
      <c r="QPV252" s="9"/>
      <c r="QPW252" s="9"/>
      <c r="QPX252" s="9"/>
      <c r="QPY252" s="9"/>
      <c r="QPZ252" s="9"/>
      <c r="QQA252" s="9"/>
      <c r="QQB252" s="9"/>
      <c r="QQC252" s="9"/>
      <c r="QQD252" s="9"/>
      <c r="QQE252" s="9"/>
      <c r="QQF252" s="9"/>
      <c r="QQG252" s="9"/>
      <c r="QQH252" s="9"/>
      <c r="QQI252" s="9"/>
      <c r="QQJ252" s="9"/>
      <c r="QQK252" s="9"/>
      <c r="QQL252" s="9"/>
      <c r="QQM252" s="9"/>
      <c r="QQN252" s="9"/>
      <c r="QQO252" s="9"/>
      <c r="QQP252" s="9"/>
      <c r="QQQ252" s="9"/>
      <c r="QQR252" s="9"/>
      <c r="QQS252" s="9"/>
      <c r="QQT252" s="9"/>
      <c r="QQU252" s="9"/>
      <c r="QQV252" s="9"/>
      <c r="QQW252" s="9"/>
      <c r="QQX252" s="9"/>
      <c r="QQY252" s="9"/>
      <c r="QQZ252" s="9"/>
      <c r="QRA252" s="9"/>
      <c r="QRB252" s="9"/>
      <c r="QRC252" s="9"/>
      <c r="QRD252" s="9"/>
      <c r="QRE252" s="9"/>
      <c r="QRF252" s="9"/>
      <c r="QRG252" s="9"/>
      <c r="QRH252" s="9"/>
      <c r="QRI252" s="9"/>
      <c r="QRJ252" s="9"/>
      <c r="QRK252" s="9"/>
      <c r="QRL252" s="9"/>
      <c r="QRM252" s="9"/>
      <c r="QRN252" s="9"/>
      <c r="QRO252" s="9"/>
      <c r="QRP252" s="9"/>
      <c r="QRQ252" s="9"/>
      <c r="QRR252" s="9"/>
      <c r="QRS252" s="9"/>
      <c r="QRT252" s="9"/>
      <c r="QRU252" s="9"/>
      <c r="QRV252" s="9"/>
      <c r="QRW252" s="9"/>
      <c r="QRX252" s="9"/>
      <c r="QRY252" s="9"/>
      <c r="QRZ252" s="9"/>
      <c r="QSA252" s="9"/>
      <c r="QSB252" s="9"/>
      <c r="QSC252" s="9"/>
      <c r="QSD252" s="9"/>
      <c r="QSE252" s="9"/>
      <c r="QSF252" s="9"/>
      <c r="QSG252" s="9"/>
      <c r="QSH252" s="9"/>
      <c r="QSI252" s="9"/>
      <c r="QSJ252" s="9"/>
      <c r="QSK252" s="9"/>
      <c r="QSL252" s="9"/>
      <c r="QSM252" s="9"/>
      <c r="QSN252" s="9"/>
      <c r="QSO252" s="9"/>
      <c r="QSP252" s="9"/>
      <c r="QSQ252" s="9"/>
      <c r="QSR252" s="9"/>
      <c r="QSS252" s="9"/>
      <c r="QST252" s="9"/>
      <c r="QSU252" s="9"/>
      <c r="QSV252" s="9"/>
      <c r="QSW252" s="9"/>
      <c r="QSX252" s="9"/>
      <c r="QSY252" s="9"/>
      <c r="QSZ252" s="9"/>
      <c r="QTA252" s="9"/>
      <c r="QTB252" s="9"/>
      <c r="QTC252" s="9"/>
      <c r="QTD252" s="9"/>
      <c r="QTE252" s="9"/>
      <c r="QTF252" s="9"/>
      <c r="QTG252" s="9"/>
      <c r="QTH252" s="9"/>
      <c r="QTI252" s="9"/>
      <c r="QTJ252" s="9"/>
      <c r="QTK252" s="9"/>
      <c r="QTL252" s="9"/>
      <c r="QTM252" s="9"/>
      <c r="QTN252" s="9"/>
      <c r="QTO252" s="9"/>
      <c r="QTP252" s="9"/>
      <c r="QTQ252" s="9"/>
      <c r="QTR252" s="9"/>
      <c r="QTS252" s="9"/>
      <c r="QTT252" s="9"/>
      <c r="QTU252" s="9"/>
      <c r="QTV252" s="9"/>
      <c r="QTW252" s="9"/>
      <c r="QTX252" s="9"/>
      <c r="QTY252" s="9"/>
      <c r="QTZ252" s="9"/>
      <c r="QUA252" s="9"/>
      <c r="QUB252" s="9"/>
      <c r="QUC252" s="9"/>
      <c r="QUD252" s="9"/>
      <c r="QUE252" s="9"/>
      <c r="QUF252" s="9"/>
      <c r="QUG252" s="9"/>
      <c r="QUH252" s="9"/>
      <c r="QUI252" s="9"/>
      <c r="QUJ252" s="9"/>
      <c r="QUK252" s="9"/>
      <c r="QUL252" s="9"/>
      <c r="QUM252" s="9"/>
      <c r="QUN252" s="9"/>
      <c r="QUO252" s="9"/>
      <c r="QUP252" s="9"/>
      <c r="QUQ252" s="9"/>
      <c r="QUR252" s="9"/>
      <c r="QUS252" s="9"/>
      <c r="QUT252" s="9"/>
      <c r="QUU252" s="9"/>
      <c r="QUV252" s="9"/>
      <c r="QUW252" s="9"/>
      <c r="QUX252" s="9"/>
      <c r="QUY252" s="9"/>
      <c r="QUZ252" s="9"/>
      <c r="QVA252" s="9"/>
      <c r="QVB252" s="9"/>
      <c r="QVC252" s="9"/>
      <c r="QVD252" s="9"/>
      <c r="QVE252" s="9"/>
      <c r="QVF252" s="9"/>
      <c r="QVG252" s="9"/>
      <c r="QVH252" s="9"/>
      <c r="QVI252" s="9"/>
      <c r="QVJ252" s="9"/>
      <c r="QVK252" s="9"/>
      <c r="QVL252" s="9"/>
      <c r="QVM252" s="9"/>
      <c r="QVN252" s="9"/>
      <c r="QVO252" s="9"/>
      <c r="QVP252" s="9"/>
      <c r="QVQ252" s="9"/>
      <c r="QVR252" s="9"/>
      <c r="QVS252" s="9"/>
      <c r="QVT252" s="9"/>
      <c r="QVU252" s="9"/>
      <c r="QVV252" s="9"/>
      <c r="QVW252" s="9"/>
      <c r="QVX252" s="9"/>
      <c r="QVY252" s="9"/>
      <c r="QVZ252" s="9"/>
      <c r="QWA252" s="9"/>
      <c r="QWB252" s="9"/>
      <c r="QWC252" s="9"/>
      <c r="QWD252" s="9"/>
      <c r="QWE252" s="9"/>
      <c r="QWF252" s="9"/>
      <c r="QWG252" s="9"/>
      <c r="QWH252" s="9"/>
      <c r="QWI252" s="9"/>
      <c r="QWJ252" s="9"/>
      <c r="QWK252" s="9"/>
      <c r="QWL252" s="9"/>
      <c r="QWM252" s="9"/>
      <c r="QWN252" s="9"/>
      <c r="QWO252" s="9"/>
      <c r="QWP252" s="9"/>
      <c r="QWQ252" s="9"/>
      <c r="QWR252" s="9"/>
      <c r="QWS252" s="9"/>
      <c r="QWT252" s="9"/>
      <c r="QWU252" s="9"/>
      <c r="QWV252" s="9"/>
      <c r="QWW252" s="9"/>
      <c r="QWX252" s="9"/>
      <c r="QWY252" s="9"/>
      <c r="QWZ252" s="9"/>
      <c r="QXA252" s="9"/>
      <c r="QXB252" s="9"/>
      <c r="QXC252" s="9"/>
      <c r="QXD252" s="9"/>
      <c r="QXE252" s="9"/>
      <c r="QXF252" s="9"/>
      <c r="QXG252" s="9"/>
      <c r="QXH252" s="9"/>
      <c r="QXI252" s="9"/>
      <c r="QXJ252" s="9"/>
      <c r="QXK252" s="9"/>
      <c r="QXL252" s="9"/>
      <c r="QXM252" s="9"/>
      <c r="QXN252" s="9"/>
      <c r="QXO252" s="9"/>
      <c r="QXP252" s="9"/>
      <c r="QXQ252" s="9"/>
      <c r="QXR252" s="9"/>
      <c r="QXS252" s="9"/>
      <c r="QXT252" s="9"/>
      <c r="QXU252" s="9"/>
      <c r="QXV252" s="9"/>
      <c r="QXW252" s="9"/>
      <c r="QXX252" s="9"/>
      <c r="QXY252" s="9"/>
      <c r="QXZ252" s="9"/>
      <c r="QYA252" s="9"/>
      <c r="QYB252" s="9"/>
      <c r="QYC252" s="9"/>
      <c r="QYD252" s="9"/>
      <c r="QYE252" s="9"/>
      <c r="QYF252" s="9"/>
      <c r="QYG252" s="9"/>
      <c r="QYH252" s="9"/>
      <c r="QYI252" s="9"/>
      <c r="QYJ252" s="9"/>
      <c r="QYK252" s="9"/>
      <c r="QYL252" s="9"/>
      <c r="QYM252" s="9"/>
      <c r="QYN252" s="9"/>
      <c r="QYO252" s="9"/>
      <c r="QYP252" s="9"/>
      <c r="QYQ252" s="9"/>
      <c r="QYR252" s="9"/>
      <c r="QYS252" s="9"/>
      <c r="QYT252" s="9"/>
      <c r="QYU252" s="9"/>
      <c r="QYV252" s="9"/>
      <c r="QYW252" s="9"/>
      <c r="QYX252" s="9"/>
      <c r="QYY252" s="9"/>
      <c r="QYZ252" s="9"/>
      <c r="QZA252" s="9"/>
      <c r="QZB252" s="9"/>
      <c r="QZC252" s="9"/>
      <c r="QZD252" s="9"/>
      <c r="QZE252" s="9"/>
      <c r="QZF252" s="9"/>
      <c r="QZG252" s="9"/>
      <c r="QZH252" s="9"/>
      <c r="QZI252" s="9"/>
      <c r="QZJ252" s="9"/>
      <c r="QZK252" s="9"/>
      <c r="QZL252" s="9"/>
      <c r="QZM252" s="9"/>
      <c r="QZN252" s="9"/>
      <c r="QZO252" s="9"/>
      <c r="QZP252" s="9"/>
      <c r="QZQ252" s="9"/>
      <c r="QZR252" s="9"/>
      <c r="QZS252" s="9"/>
      <c r="QZT252" s="9"/>
      <c r="QZU252" s="9"/>
      <c r="QZV252" s="9"/>
      <c r="QZW252" s="9"/>
      <c r="QZX252" s="9"/>
      <c r="QZY252" s="9"/>
      <c r="QZZ252" s="9"/>
      <c r="RAA252" s="9"/>
      <c r="RAB252" s="9"/>
      <c r="RAC252" s="9"/>
      <c r="RAD252" s="9"/>
      <c r="RAE252" s="9"/>
      <c r="RAF252" s="9"/>
      <c r="RAG252" s="9"/>
      <c r="RAH252" s="9"/>
      <c r="RAI252" s="9"/>
      <c r="RAJ252" s="9"/>
      <c r="RAK252" s="9"/>
      <c r="RAL252" s="9"/>
      <c r="RAM252" s="9"/>
      <c r="RAN252" s="9"/>
      <c r="RAO252" s="9"/>
      <c r="RAP252" s="9"/>
      <c r="RAQ252" s="9"/>
      <c r="RAR252" s="9"/>
      <c r="RAS252" s="9"/>
      <c r="RAT252" s="9"/>
      <c r="RAU252" s="9"/>
      <c r="RAV252" s="9"/>
      <c r="RAW252" s="9"/>
      <c r="RAX252" s="9"/>
      <c r="RAY252" s="9"/>
      <c r="RAZ252" s="9"/>
      <c r="RBA252" s="9"/>
      <c r="RBB252" s="9"/>
      <c r="RBC252" s="9"/>
      <c r="RBD252" s="9"/>
      <c r="RBE252" s="9"/>
      <c r="RBF252" s="9"/>
      <c r="RBG252" s="9"/>
      <c r="RBH252" s="9"/>
      <c r="RBI252" s="9"/>
      <c r="RBJ252" s="9"/>
      <c r="RBK252" s="9"/>
      <c r="RBL252" s="9"/>
      <c r="RBM252" s="9"/>
      <c r="RBN252" s="9"/>
      <c r="RBO252" s="9"/>
      <c r="RBP252" s="9"/>
      <c r="RBQ252" s="9"/>
      <c r="RBR252" s="9"/>
      <c r="RBS252" s="9"/>
      <c r="RBT252" s="9"/>
      <c r="RBU252" s="9"/>
      <c r="RBV252" s="9"/>
      <c r="RBW252" s="9"/>
      <c r="RBX252" s="9"/>
      <c r="RBY252" s="9"/>
      <c r="RBZ252" s="9"/>
      <c r="RCA252" s="9"/>
      <c r="RCB252" s="9"/>
      <c r="RCC252" s="9"/>
      <c r="RCD252" s="9"/>
      <c r="RCE252" s="9"/>
      <c r="RCF252" s="9"/>
      <c r="RCG252" s="9"/>
      <c r="RCH252" s="9"/>
      <c r="RCI252" s="9"/>
      <c r="RCJ252" s="9"/>
      <c r="RCK252" s="9"/>
      <c r="RCL252" s="9"/>
      <c r="RCM252" s="9"/>
      <c r="RCN252" s="9"/>
      <c r="RCO252" s="9"/>
      <c r="RCP252" s="9"/>
      <c r="RCQ252" s="9"/>
      <c r="RCR252" s="9"/>
      <c r="RCS252" s="9"/>
      <c r="RCT252" s="9"/>
      <c r="RCU252" s="9"/>
      <c r="RCV252" s="9"/>
      <c r="RCW252" s="9"/>
      <c r="RCX252" s="9"/>
      <c r="RCY252" s="9"/>
      <c r="RCZ252" s="9"/>
      <c r="RDA252" s="9"/>
      <c r="RDB252" s="9"/>
      <c r="RDC252" s="9"/>
      <c r="RDD252" s="9"/>
      <c r="RDE252" s="9"/>
      <c r="RDF252" s="9"/>
      <c r="RDG252" s="9"/>
      <c r="RDH252" s="9"/>
      <c r="RDI252" s="9"/>
      <c r="RDJ252" s="9"/>
      <c r="RDK252" s="9"/>
      <c r="RDL252" s="9"/>
      <c r="RDM252" s="9"/>
      <c r="RDN252" s="9"/>
      <c r="RDO252" s="9"/>
      <c r="RDP252" s="9"/>
      <c r="RDQ252" s="9"/>
      <c r="RDR252" s="9"/>
      <c r="RDS252" s="9"/>
      <c r="RDT252" s="9"/>
      <c r="RDU252" s="9"/>
      <c r="RDV252" s="9"/>
      <c r="RDW252" s="9"/>
      <c r="RDX252" s="9"/>
      <c r="RDY252" s="9"/>
      <c r="RDZ252" s="9"/>
      <c r="REA252" s="9"/>
      <c r="REB252" s="9"/>
      <c r="REC252" s="9"/>
      <c r="RED252" s="9"/>
      <c r="REE252" s="9"/>
      <c r="REF252" s="9"/>
      <c r="REG252" s="9"/>
      <c r="REH252" s="9"/>
      <c r="REI252" s="9"/>
      <c r="REJ252" s="9"/>
      <c r="REK252" s="9"/>
      <c r="REL252" s="9"/>
      <c r="REM252" s="9"/>
      <c r="REN252" s="9"/>
      <c r="REO252" s="9"/>
      <c r="REP252" s="9"/>
      <c r="REQ252" s="9"/>
      <c r="RER252" s="9"/>
      <c r="RES252" s="9"/>
      <c r="RET252" s="9"/>
      <c r="REU252" s="9"/>
      <c r="REV252" s="9"/>
      <c r="REW252" s="9"/>
      <c r="REX252" s="9"/>
      <c r="REY252" s="9"/>
      <c r="REZ252" s="9"/>
      <c r="RFA252" s="9"/>
      <c r="RFB252" s="9"/>
      <c r="RFC252" s="9"/>
      <c r="RFD252" s="9"/>
      <c r="RFE252" s="9"/>
      <c r="RFF252" s="9"/>
      <c r="RFG252" s="9"/>
      <c r="RFH252" s="9"/>
      <c r="RFI252" s="9"/>
      <c r="RFJ252" s="9"/>
      <c r="RFK252" s="9"/>
      <c r="RFL252" s="9"/>
      <c r="RFM252" s="9"/>
      <c r="RFN252" s="9"/>
      <c r="RFO252" s="9"/>
      <c r="RFP252" s="9"/>
      <c r="RFQ252" s="9"/>
      <c r="RFR252" s="9"/>
      <c r="RFS252" s="9"/>
      <c r="RFT252" s="9"/>
      <c r="RFU252" s="9"/>
      <c r="RFV252" s="9"/>
      <c r="RFW252" s="9"/>
      <c r="RFX252" s="9"/>
      <c r="RFY252" s="9"/>
      <c r="RFZ252" s="9"/>
      <c r="RGA252" s="9"/>
      <c r="RGB252" s="9"/>
      <c r="RGC252" s="9"/>
      <c r="RGD252" s="9"/>
      <c r="RGE252" s="9"/>
      <c r="RGF252" s="9"/>
      <c r="RGG252" s="9"/>
      <c r="RGH252" s="9"/>
      <c r="RGI252" s="9"/>
      <c r="RGJ252" s="9"/>
      <c r="RGK252" s="9"/>
      <c r="RGL252" s="9"/>
      <c r="RGM252" s="9"/>
      <c r="RGN252" s="9"/>
      <c r="RGO252" s="9"/>
      <c r="RGP252" s="9"/>
      <c r="RGQ252" s="9"/>
      <c r="RGR252" s="9"/>
      <c r="RGS252" s="9"/>
      <c r="RGT252" s="9"/>
      <c r="RGU252" s="9"/>
      <c r="RGV252" s="9"/>
      <c r="RGW252" s="9"/>
      <c r="RGX252" s="9"/>
      <c r="RGY252" s="9"/>
      <c r="RGZ252" s="9"/>
      <c r="RHA252" s="9"/>
      <c r="RHB252" s="9"/>
      <c r="RHC252" s="9"/>
      <c r="RHD252" s="9"/>
      <c r="RHE252" s="9"/>
      <c r="RHF252" s="9"/>
      <c r="RHG252" s="9"/>
      <c r="RHH252" s="9"/>
      <c r="RHI252" s="9"/>
      <c r="RHJ252" s="9"/>
      <c r="RHK252" s="9"/>
      <c r="RHL252" s="9"/>
      <c r="RHM252" s="9"/>
      <c r="RHN252" s="9"/>
      <c r="RHO252" s="9"/>
      <c r="RHP252" s="9"/>
      <c r="RHQ252" s="9"/>
      <c r="RHR252" s="9"/>
      <c r="RHS252" s="9"/>
      <c r="RHT252" s="9"/>
      <c r="RHU252" s="9"/>
      <c r="RHV252" s="9"/>
      <c r="RHW252" s="9"/>
      <c r="RHX252" s="9"/>
      <c r="RHY252" s="9"/>
      <c r="RHZ252" s="9"/>
      <c r="RIA252" s="9"/>
      <c r="RIB252" s="9"/>
      <c r="RIC252" s="9"/>
      <c r="RID252" s="9"/>
      <c r="RIE252" s="9"/>
      <c r="RIF252" s="9"/>
      <c r="RIG252" s="9"/>
      <c r="RIH252" s="9"/>
      <c r="RII252" s="9"/>
      <c r="RIJ252" s="9"/>
      <c r="RIK252" s="9"/>
      <c r="RIL252" s="9"/>
      <c r="RIM252" s="9"/>
      <c r="RIN252" s="9"/>
      <c r="RIO252" s="9"/>
      <c r="RIP252" s="9"/>
      <c r="RIQ252" s="9"/>
      <c r="RIR252" s="9"/>
      <c r="RIS252" s="9"/>
      <c r="RIT252" s="9"/>
      <c r="RIU252" s="9"/>
      <c r="RIV252" s="9"/>
      <c r="RIW252" s="9"/>
      <c r="RIX252" s="9"/>
      <c r="RIY252" s="9"/>
      <c r="RIZ252" s="9"/>
      <c r="RJA252" s="9"/>
      <c r="RJB252" s="9"/>
      <c r="RJC252" s="9"/>
      <c r="RJD252" s="9"/>
      <c r="RJE252" s="9"/>
      <c r="RJF252" s="9"/>
      <c r="RJG252" s="9"/>
      <c r="RJH252" s="9"/>
      <c r="RJI252" s="9"/>
      <c r="RJJ252" s="9"/>
      <c r="RJK252" s="9"/>
      <c r="RJL252" s="9"/>
      <c r="RJM252" s="9"/>
      <c r="RJN252" s="9"/>
      <c r="RJO252" s="9"/>
      <c r="RJP252" s="9"/>
      <c r="RJQ252" s="9"/>
      <c r="RJR252" s="9"/>
      <c r="RJS252" s="9"/>
      <c r="RJT252" s="9"/>
      <c r="RJU252" s="9"/>
      <c r="RJV252" s="9"/>
      <c r="RJW252" s="9"/>
      <c r="RJX252" s="9"/>
      <c r="RJY252" s="9"/>
      <c r="RJZ252" s="9"/>
      <c r="RKA252" s="9"/>
      <c r="RKB252" s="9"/>
      <c r="RKC252" s="9"/>
      <c r="RKD252" s="9"/>
      <c r="RKE252" s="9"/>
      <c r="RKF252" s="9"/>
      <c r="RKG252" s="9"/>
      <c r="RKH252" s="9"/>
      <c r="RKI252" s="9"/>
      <c r="RKJ252" s="9"/>
      <c r="RKK252" s="9"/>
      <c r="RKL252" s="9"/>
      <c r="RKM252" s="9"/>
      <c r="RKN252" s="9"/>
      <c r="RKO252" s="9"/>
      <c r="RKP252" s="9"/>
      <c r="RKQ252" s="9"/>
      <c r="RKR252" s="9"/>
      <c r="RKS252" s="9"/>
      <c r="RKT252" s="9"/>
      <c r="RKU252" s="9"/>
      <c r="RKV252" s="9"/>
      <c r="RKW252" s="9"/>
      <c r="RKX252" s="9"/>
      <c r="RKY252" s="9"/>
      <c r="RKZ252" s="9"/>
      <c r="RLA252" s="9"/>
      <c r="RLB252" s="9"/>
      <c r="RLC252" s="9"/>
      <c r="RLD252" s="9"/>
      <c r="RLE252" s="9"/>
      <c r="RLF252" s="9"/>
      <c r="RLG252" s="9"/>
      <c r="RLH252" s="9"/>
      <c r="RLI252" s="9"/>
      <c r="RLJ252" s="9"/>
      <c r="RLK252" s="9"/>
      <c r="RLL252" s="9"/>
      <c r="RLM252" s="9"/>
      <c r="RLN252" s="9"/>
      <c r="RLO252" s="9"/>
      <c r="RLP252" s="9"/>
      <c r="RLQ252" s="9"/>
      <c r="RLR252" s="9"/>
      <c r="RLS252" s="9"/>
      <c r="RLT252" s="9"/>
      <c r="RLU252" s="9"/>
      <c r="RLV252" s="9"/>
      <c r="RLW252" s="9"/>
      <c r="RLX252" s="9"/>
      <c r="RLY252" s="9"/>
      <c r="RLZ252" s="9"/>
      <c r="RMA252" s="9"/>
      <c r="RMB252" s="9"/>
      <c r="RMC252" s="9"/>
      <c r="RMD252" s="9"/>
      <c r="RME252" s="9"/>
      <c r="RMF252" s="9"/>
      <c r="RMG252" s="9"/>
      <c r="RMH252" s="9"/>
      <c r="RMI252" s="9"/>
      <c r="RMJ252" s="9"/>
      <c r="RMK252" s="9"/>
      <c r="RML252" s="9"/>
      <c r="RMM252" s="9"/>
      <c r="RMN252" s="9"/>
      <c r="RMO252" s="9"/>
      <c r="RMP252" s="9"/>
      <c r="RMQ252" s="9"/>
      <c r="RMR252" s="9"/>
      <c r="RMS252" s="9"/>
      <c r="RMT252" s="9"/>
      <c r="RMU252" s="9"/>
      <c r="RMV252" s="9"/>
      <c r="RMW252" s="9"/>
      <c r="RMX252" s="9"/>
      <c r="RMY252" s="9"/>
      <c r="RMZ252" s="9"/>
      <c r="RNA252" s="9"/>
      <c r="RNB252" s="9"/>
      <c r="RNC252" s="9"/>
      <c r="RND252" s="9"/>
      <c r="RNE252" s="9"/>
      <c r="RNF252" s="9"/>
      <c r="RNG252" s="9"/>
      <c r="RNH252" s="9"/>
      <c r="RNI252" s="9"/>
      <c r="RNJ252" s="9"/>
      <c r="RNK252" s="9"/>
      <c r="RNL252" s="9"/>
      <c r="RNM252" s="9"/>
      <c r="RNN252" s="9"/>
      <c r="RNO252" s="9"/>
      <c r="RNP252" s="9"/>
      <c r="RNQ252" s="9"/>
      <c r="RNR252" s="9"/>
      <c r="RNS252" s="9"/>
      <c r="RNT252" s="9"/>
      <c r="RNU252" s="9"/>
      <c r="RNV252" s="9"/>
      <c r="RNW252" s="9"/>
      <c r="RNX252" s="9"/>
      <c r="RNY252" s="9"/>
      <c r="RNZ252" s="9"/>
      <c r="ROA252" s="9"/>
      <c r="ROB252" s="9"/>
      <c r="ROC252" s="9"/>
      <c r="ROD252" s="9"/>
      <c r="ROE252" s="9"/>
      <c r="ROF252" s="9"/>
      <c r="ROG252" s="9"/>
      <c r="ROH252" s="9"/>
      <c r="ROI252" s="9"/>
      <c r="ROJ252" s="9"/>
      <c r="ROK252" s="9"/>
      <c r="ROL252" s="9"/>
      <c r="ROM252" s="9"/>
      <c r="RON252" s="9"/>
      <c r="ROO252" s="9"/>
      <c r="ROP252" s="9"/>
      <c r="ROQ252" s="9"/>
      <c r="ROR252" s="9"/>
      <c r="ROS252" s="9"/>
      <c r="ROT252" s="9"/>
      <c r="ROU252" s="9"/>
      <c r="ROV252" s="9"/>
      <c r="ROW252" s="9"/>
      <c r="ROX252" s="9"/>
      <c r="ROY252" s="9"/>
      <c r="ROZ252" s="9"/>
      <c r="RPA252" s="9"/>
      <c r="RPB252" s="9"/>
      <c r="RPC252" s="9"/>
      <c r="RPD252" s="9"/>
      <c r="RPE252" s="9"/>
      <c r="RPF252" s="9"/>
      <c r="RPG252" s="9"/>
      <c r="RPH252" s="9"/>
      <c r="RPI252" s="9"/>
      <c r="RPJ252" s="9"/>
      <c r="RPK252" s="9"/>
      <c r="RPL252" s="9"/>
      <c r="RPM252" s="9"/>
      <c r="RPN252" s="9"/>
      <c r="RPO252" s="9"/>
      <c r="RPP252" s="9"/>
      <c r="RPQ252" s="9"/>
      <c r="RPR252" s="9"/>
      <c r="RPS252" s="9"/>
      <c r="RPT252" s="9"/>
      <c r="RPU252" s="9"/>
      <c r="RPV252" s="9"/>
      <c r="RPW252" s="9"/>
      <c r="RPX252" s="9"/>
      <c r="RPY252" s="9"/>
      <c r="RPZ252" s="9"/>
      <c r="RQA252" s="9"/>
      <c r="RQB252" s="9"/>
      <c r="RQC252" s="9"/>
      <c r="RQD252" s="9"/>
      <c r="RQE252" s="9"/>
      <c r="RQF252" s="9"/>
      <c r="RQG252" s="9"/>
      <c r="RQH252" s="9"/>
      <c r="RQI252" s="9"/>
      <c r="RQJ252" s="9"/>
      <c r="RQK252" s="9"/>
      <c r="RQL252" s="9"/>
      <c r="RQM252" s="9"/>
      <c r="RQN252" s="9"/>
      <c r="RQO252" s="9"/>
      <c r="RQP252" s="9"/>
      <c r="RQQ252" s="9"/>
      <c r="RQR252" s="9"/>
      <c r="RQS252" s="9"/>
      <c r="RQT252" s="9"/>
      <c r="RQU252" s="9"/>
      <c r="RQV252" s="9"/>
      <c r="RQW252" s="9"/>
      <c r="RQX252" s="9"/>
      <c r="RQY252" s="9"/>
      <c r="RQZ252" s="9"/>
      <c r="RRA252" s="9"/>
      <c r="RRB252" s="9"/>
      <c r="RRC252" s="9"/>
      <c r="RRD252" s="9"/>
      <c r="RRE252" s="9"/>
      <c r="RRF252" s="9"/>
      <c r="RRG252" s="9"/>
      <c r="RRH252" s="9"/>
      <c r="RRI252" s="9"/>
      <c r="RRJ252" s="9"/>
      <c r="RRK252" s="9"/>
      <c r="RRL252" s="9"/>
      <c r="RRM252" s="9"/>
      <c r="RRN252" s="9"/>
      <c r="RRO252" s="9"/>
      <c r="RRP252" s="9"/>
      <c r="RRQ252" s="9"/>
      <c r="RRR252" s="9"/>
      <c r="RRS252" s="9"/>
      <c r="RRT252" s="9"/>
      <c r="RRU252" s="9"/>
      <c r="RRV252" s="9"/>
      <c r="RRW252" s="9"/>
      <c r="RRX252" s="9"/>
      <c r="RRY252" s="9"/>
      <c r="RRZ252" s="9"/>
      <c r="RSA252" s="9"/>
      <c r="RSB252" s="9"/>
      <c r="RSC252" s="9"/>
      <c r="RSD252" s="9"/>
      <c r="RSE252" s="9"/>
      <c r="RSF252" s="9"/>
      <c r="RSG252" s="9"/>
      <c r="RSH252" s="9"/>
      <c r="RSI252" s="9"/>
      <c r="RSJ252" s="9"/>
      <c r="RSK252" s="9"/>
      <c r="RSL252" s="9"/>
      <c r="RSM252" s="9"/>
      <c r="RSN252" s="9"/>
      <c r="RSO252" s="9"/>
      <c r="RSP252" s="9"/>
      <c r="RSQ252" s="9"/>
      <c r="RSR252" s="9"/>
      <c r="RSS252" s="9"/>
      <c r="RST252" s="9"/>
      <c r="RSU252" s="9"/>
      <c r="RSV252" s="9"/>
      <c r="RSW252" s="9"/>
      <c r="RSX252" s="9"/>
      <c r="RSY252" s="9"/>
      <c r="RSZ252" s="9"/>
      <c r="RTA252" s="9"/>
      <c r="RTB252" s="9"/>
      <c r="RTC252" s="9"/>
      <c r="RTD252" s="9"/>
      <c r="RTE252" s="9"/>
      <c r="RTF252" s="9"/>
      <c r="RTG252" s="9"/>
      <c r="RTH252" s="9"/>
      <c r="RTI252" s="9"/>
      <c r="RTJ252" s="9"/>
      <c r="RTK252" s="9"/>
      <c r="RTL252" s="9"/>
      <c r="RTM252" s="9"/>
      <c r="RTN252" s="9"/>
      <c r="RTO252" s="9"/>
      <c r="RTP252" s="9"/>
      <c r="RTQ252" s="9"/>
      <c r="RTR252" s="9"/>
      <c r="RTS252" s="9"/>
      <c r="RTT252" s="9"/>
      <c r="RTU252" s="9"/>
      <c r="RTV252" s="9"/>
      <c r="RTW252" s="9"/>
      <c r="RTX252" s="9"/>
      <c r="RTY252" s="9"/>
      <c r="RTZ252" s="9"/>
      <c r="RUA252" s="9"/>
      <c r="RUB252" s="9"/>
      <c r="RUC252" s="9"/>
      <c r="RUD252" s="9"/>
      <c r="RUE252" s="9"/>
      <c r="RUF252" s="9"/>
      <c r="RUG252" s="9"/>
      <c r="RUH252" s="9"/>
      <c r="RUI252" s="9"/>
      <c r="RUJ252" s="9"/>
      <c r="RUK252" s="9"/>
      <c r="RUL252" s="9"/>
      <c r="RUM252" s="9"/>
      <c r="RUN252" s="9"/>
      <c r="RUO252" s="9"/>
      <c r="RUP252" s="9"/>
      <c r="RUQ252" s="9"/>
      <c r="RUR252" s="9"/>
      <c r="RUS252" s="9"/>
      <c r="RUT252" s="9"/>
      <c r="RUU252" s="9"/>
      <c r="RUV252" s="9"/>
      <c r="RUW252" s="9"/>
      <c r="RUX252" s="9"/>
      <c r="RUY252" s="9"/>
      <c r="RUZ252" s="9"/>
      <c r="RVA252" s="9"/>
      <c r="RVB252" s="9"/>
      <c r="RVC252" s="9"/>
      <c r="RVD252" s="9"/>
      <c r="RVE252" s="9"/>
      <c r="RVF252" s="9"/>
      <c r="RVG252" s="9"/>
      <c r="RVH252" s="9"/>
      <c r="RVI252" s="9"/>
      <c r="RVJ252" s="9"/>
      <c r="RVK252" s="9"/>
      <c r="RVL252" s="9"/>
      <c r="RVM252" s="9"/>
      <c r="RVN252" s="9"/>
      <c r="RVO252" s="9"/>
      <c r="RVP252" s="9"/>
      <c r="RVQ252" s="9"/>
      <c r="RVR252" s="9"/>
      <c r="RVS252" s="9"/>
      <c r="RVT252" s="9"/>
      <c r="RVU252" s="9"/>
      <c r="RVV252" s="9"/>
      <c r="RVW252" s="9"/>
      <c r="RVX252" s="9"/>
      <c r="RVY252" s="9"/>
      <c r="RVZ252" s="9"/>
      <c r="RWA252" s="9"/>
      <c r="RWB252" s="9"/>
      <c r="RWC252" s="9"/>
      <c r="RWD252" s="9"/>
      <c r="RWE252" s="9"/>
      <c r="RWF252" s="9"/>
      <c r="RWG252" s="9"/>
      <c r="RWH252" s="9"/>
      <c r="RWI252" s="9"/>
      <c r="RWJ252" s="9"/>
      <c r="RWK252" s="9"/>
      <c r="RWL252" s="9"/>
      <c r="RWM252" s="9"/>
      <c r="RWN252" s="9"/>
      <c r="RWO252" s="9"/>
      <c r="RWP252" s="9"/>
      <c r="RWQ252" s="9"/>
      <c r="RWR252" s="9"/>
      <c r="RWS252" s="9"/>
      <c r="RWT252" s="9"/>
      <c r="RWU252" s="9"/>
      <c r="RWV252" s="9"/>
      <c r="RWW252" s="9"/>
      <c r="RWX252" s="9"/>
      <c r="RWY252" s="9"/>
      <c r="RWZ252" s="9"/>
      <c r="RXA252" s="9"/>
      <c r="RXB252" s="9"/>
      <c r="RXC252" s="9"/>
      <c r="RXD252" s="9"/>
      <c r="RXE252" s="9"/>
      <c r="RXF252" s="9"/>
      <c r="RXG252" s="9"/>
      <c r="RXH252" s="9"/>
      <c r="RXI252" s="9"/>
      <c r="RXJ252" s="9"/>
      <c r="RXK252" s="9"/>
      <c r="RXL252" s="9"/>
      <c r="RXM252" s="9"/>
      <c r="RXN252" s="9"/>
      <c r="RXO252" s="9"/>
      <c r="RXP252" s="9"/>
      <c r="RXQ252" s="9"/>
      <c r="RXR252" s="9"/>
      <c r="RXS252" s="9"/>
      <c r="RXT252" s="9"/>
      <c r="RXU252" s="9"/>
      <c r="RXV252" s="9"/>
      <c r="RXW252" s="9"/>
      <c r="RXX252" s="9"/>
      <c r="RXY252" s="9"/>
      <c r="RXZ252" s="9"/>
      <c r="RYA252" s="9"/>
      <c r="RYB252" s="9"/>
      <c r="RYC252" s="9"/>
      <c r="RYD252" s="9"/>
      <c r="RYE252" s="9"/>
      <c r="RYF252" s="9"/>
      <c r="RYG252" s="9"/>
      <c r="RYH252" s="9"/>
      <c r="RYI252" s="9"/>
      <c r="RYJ252" s="9"/>
      <c r="RYK252" s="9"/>
      <c r="RYL252" s="9"/>
      <c r="RYM252" s="9"/>
      <c r="RYN252" s="9"/>
      <c r="RYO252" s="9"/>
      <c r="RYP252" s="9"/>
      <c r="RYQ252" s="9"/>
      <c r="RYR252" s="9"/>
      <c r="RYS252" s="9"/>
      <c r="RYT252" s="9"/>
      <c r="RYU252" s="9"/>
      <c r="RYV252" s="9"/>
      <c r="RYW252" s="9"/>
      <c r="RYX252" s="9"/>
      <c r="RYY252" s="9"/>
      <c r="RYZ252" s="9"/>
      <c r="RZA252" s="9"/>
      <c r="RZB252" s="9"/>
      <c r="RZC252" s="9"/>
      <c r="RZD252" s="9"/>
      <c r="RZE252" s="9"/>
      <c r="RZF252" s="9"/>
      <c r="RZG252" s="9"/>
      <c r="RZH252" s="9"/>
      <c r="RZI252" s="9"/>
      <c r="RZJ252" s="9"/>
      <c r="RZK252" s="9"/>
      <c r="RZL252" s="9"/>
      <c r="RZM252" s="9"/>
      <c r="RZN252" s="9"/>
      <c r="RZO252" s="9"/>
      <c r="RZP252" s="9"/>
      <c r="RZQ252" s="9"/>
      <c r="RZR252" s="9"/>
      <c r="RZS252" s="9"/>
      <c r="RZT252" s="9"/>
      <c r="RZU252" s="9"/>
      <c r="RZV252" s="9"/>
      <c r="RZW252" s="9"/>
      <c r="RZX252" s="9"/>
      <c r="RZY252" s="9"/>
      <c r="RZZ252" s="9"/>
      <c r="SAA252" s="9"/>
      <c r="SAB252" s="9"/>
      <c r="SAC252" s="9"/>
      <c r="SAD252" s="9"/>
      <c r="SAE252" s="9"/>
      <c r="SAF252" s="9"/>
      <c r="SAG252" s="9"/>
      <c r="SAH252" s="9"/>
      <c r="SAI252" s="9"/>
      <c r="SAJ252" s="9"/>
      <c r="SAK252" s="9"/>
      <c r="SAL252" s="9"/>
      <c r="SAM252" s="9"/>
      <c r="SAN252" s="9"/>
      <c r="SAO252" s="9"/>
      <c r="SAP252" s="9"/>
      <c r="SAQ252" s="9"/>
      <c r="SAR252" s="9"/>
      <c r="SAS252" s="9"/>
      <c r="SAT252" s="9"/>
      <c r="SAU252" s="9"/>
      <c r="SAV252" s="9"/>
      <c r="SAW252" s="9"/>
      <c r="SAX252" s="9"/>
      <c r="SAY252" s="9"/>
      <c r="SAZ252" s="9"/>
      <c r="SBA252" s="9"/>
      <c r="SBB252" s="9"/>
      <c r="SBC252" s="9"/>
      <c r="SBD252" s="9"/>
      <c r="SBE252" s="9"/>
      <c r="SBF252" s="9"/>
      <c r="SBG252" s="9"/>
      <c r="SBH252" s="9"/>
      <c r="SBI252" s="9"/>
      <c r="SBJ252" s="9"/>
      <c r="SBK252" s="9"/>
      <c r="SBL252" s="9"/>
      <c r="SBM252" s="9"/>
      <c r="SBN252" s="9"/>
      <c r="SBO252" s="9"/>
      <c r="SBP252" s="9"/>
      <c r="SBQ252" s="9"/>
      <c r="SBR252" s="9"/>
      <c r="SBS252" s="9"/>
      <c r="SBT252" s="9"/>
      <c r="SBU252" s="9"/>
      <c r="SBV252" s="9"/>
      <c r="SBW252" s="9"/>
      <c r="SBX252" s="9"/>
      <c r="SBY252" s="9"/>
      <c r="SBZ252" s="9"/>
      <c r="SCA252" s="9"/>
      <c r="SCB252" s="9"/>
      <c r="SCC252" s="9"/>
      <c r="SCD252" s="9"/>
      <c r="SCE252" s="9"/>
      <c r="SCF252" s="9"/>
      <c r="SCG252" s="9"/>
      <c r="SCH252" s="9"/>
      <c r="SCI252" s="9"/>
      <c r="SCJ252" s="9"/>
      <c r="SCK252" s="9"/>
      <c r="SCL252" s="9"/>
      <c r="SCM252" s="9"/>
      <c r="SCN252" s="9"/>
      <c r="SCO252" s="9"/>
      <c r="SCP252" s="9"/>
      <c r="SCQ252" s="9"/>
      <c r="SCR252" s="9"/>
      <c r="SCS252" s="9"/>
      <c r="SCT252" s="9"/>
      <c r="SCU252" s="9"/>
      <c r="SCV252" s="9"/>
      <c r="SCW252" s="9"/>
      <c r="SCX252" s="9"/>
      <c r="SCY252" s="9"/>
      <c r="SCZ252" s="9"/>
      <c r="SDA252" s="9"/>
      <c r="SDB252" s="9"/>
      <c r="SDC252" s="9"/>
      <c r="SDD252" s="9"/>
      <c r="SDE252" s="9"/>
      <c r="SDF252" s="9"/>
      <c r="SDG252" s="9"/>
      <c r="SDH252" s="9"/>
      <c r="SDI252" s="9"/>
      <c r="SDJ252" s="9"/>
      <c r="SDK252" s="9"/>
      <c r="SDL252" s="9"/>
      <c r="SDM252" s="9"/>
      <c r="SDN252" s="9"/>
      <c r="SDO252" s="9"/>
      <c r="SDP252" s="9"/>
      <c r="SDQ252" s="9"/>
      <c r="SDR252" s="9"/>
      <c r="SDS252" s="9"/>
      <c r="SDT252" s="9"/>
      <c r="SDU252" s="9"/>
      <c r="SDV252" s="9"/>
      <c r="SDW252" s="9"/>
      <c r="SDX252" s="9"/>
      <c r="SDY252" s="9"/>
      <c r="SDZ252" s="9"/>
      <c r="SEA252" s="9"/>
      <c r="SEB252" s="9"/>
      <c r="SEC252" s="9"/>
      <c r="SED252" s="9"/>
      <c r="SEE252" s="9"/>
      <c r="SEF252" s="9"/>
      <c r="SEG252" s="9"/>
      <c r="SEH252" s="9"/>
      <c r="SEI252" s="9"/>
      <c r="SEJ252" s="9"/>
      <c r="SEK252" s="9"/>
      <c r="SEL252" s="9"/>
      <c r="SEM252" s="9"/>
      <c r="SEN252" s="9"/>
      <c r="SEO252" s="9"/>
      <c r="SEP252" s="9"/>
      <c r="SEQ252" s="9"/>
      <c r="SER252" s="9"/>
      <c r="SES252" s="9"/>
      <c r="SET252" s="9"/>
      <c r="SEU252" s="9"/>
      <c r="SEV252" s="9"/>
      <c r="SEW252" s="9"/>
      <c r="SEX252" s="9"/>
      <c r="SEY252" s="9"/>
      <c r="SEZ252" s="9"/>
      <c r="SFA252" s="9"/>
      <c r="SFB252" s="9"/>
      <c r="SFC252" s="9"/>
      <c r="SFD252" s="9"/>
      <c r="SFE252" s="9"/>
      <c r="SFF252" s="9"/>
      <c r="SFG252" s="9"/>
      <c r="SFH252" s="9"/>
      <c r="SFI252" s="9"/>
      <c r="SFJ252" s="9"/>
      <c r="SFK252" s="9"/>
      <c r="SFL252" s="9"/>
      <c r="SFM252" s="9"/>
      <c r="SFN252" s="9"/>
      <c r="SFO252" s="9"/>
      <c r="SFP252" s="9"/>
      <c r="SFQ252" s="9"/>
      <c r="SFR252" s="9"/>
      <c r="SFS252" s="9"/>
      <c r="SFT252" s="9"/>
      <c r="SFU252" s="9"/>
      <c r="SFV252" s="9"/>
      <c r="SFW252" s="9"/>
      <c r="SFX252" s="9"/>
      <c r="SFY252" s="9"/>
      <c r="SFZ252" s="9"/>
      <c r="SGA252" s="9"/>
      <c r="SGB252" s="9"/>
      <c r="SGC252" s="9"/>
      <c r="SGD252" s="9"/>
      <c r="SGE252" s="9"/>
      <c r="SGF252" s="9"/>
      <c r="SGG252" s="9"/>
      <c r="SGH252" s="9"/>
      <c r="SGI252" s="9"/>
      <c r="SGJ252" s="9"/>
      <c r="SGK252" s="9"/>
      <c r="SGL252" s="9"/>
      <c r="SGM252" s="9"/>
      <c r="SGN252" s="9"/>
      <c r="SGO252" s="9"/>
      <c r="SGP252" s="9"/>
      <c r="SGQ252" s="9"/>
      <c r="SGR252" s="9"/>
      <c r="SGS252" s="9"/>
      <c r="SGT252" s="9"/>
      <c r="SGU252" s="9"/>
      <c r="SGV252" s="9"/>
      <c r="SGW252" s="9"/>
      <c r="SGX252" s="9"/>
      <c r="SGY252" s="9"/>
      <c r="SGZ252" s="9"/>
      <c r="SHA252" s="9"/>
      <c r="SHB252" s="9"/>
      <c r="SHC252" s="9"/>
      <c r="SHD252" s="9"/>
      <c r="SHE252" s="9"/>
      <c r="SHF252" s="9"/>
      <c r="SHG252" s="9"/>
      <c r="SHH252" s="9"/>
      <c r="SHI252" s="9"/>
      <c r="SHJ252" s="9"/>
      <c r="SHK252" s="9"/>
      <c r="SHL252" s="9"/>
      <c r="SHM252" s="9"/>
      <c r="SHN252" s="9"/>
      <c r="SHO252" s="9"/>
      <c r="SHP252" s="9"/>
      <c r="SHQ252" s="9"/>
      <c r="SHR252" s="9"/>
      <c r="SHS252" s="9"/>
      <c r="SHT252" s="9"/>
      <c r="SHU252" s="9"/>
      <c r="SHV252" s="9"/>
      <c r="SHW252" s="9"/>
      <c r="SHX252" s="9"/>
      <c r="SHY252" s="9"/>
      <c r="SHZ252" s="9"/>
      <c r="SIA252" s="9"/>
      <c r="SIB252" s="9"/>
      <c r="SIC252" s="9"/>
      <c r="SID252" s="9"/>
      <c r="SIE252" s="9"/>
      <c r="SIF252" s="9"/>
      <c r="SIG252" s="9"/>
      <c r="SIH252" s="9"/>
      <c r="SII252" s="9"/>
      <c r="SIJ252" s="9"/>
      <c r="SIK252" s="9"/>
      <c r="SIL252" s="9"/>
      <c r="SIM252" s="9"/>
      <c r="SIN252" s="9"/>
      <c r="SIO252" s="9"/>
      <c r="SIP252" s="9"/>
      <c r="SIQ252" s="9"/>
      <c r="SIR252" s="9"/>
      <c r="SIS252" s="9"/>
      <c r="SIT252" s="9"/>
      <c r="SIU252" s="9"/>
      <c r="SIV252" s="9"/>
      <c r="SIW252" s="9"/>
      <c r="SIX252" s="9"/>
      <c r="SIY252" s="9"/>
      <c r="SIZ252" s="9"/>
      <c r="SJA252" s="9"/>
      <c r="SJB252" s="9"/>
      <c r="SJC252" s="9"/>
      <c r="SJD252" s="9"/>
      <c r="SJE252" s="9"/>
      <c r="SJF252" s="9"/>
      <c r="SJG252" s="9"/>
      <c r="SJH252" s="9"/>
      <c r="SJI252" s="9"/>
      <c r="SJJ252" s="9"/>
      <c r="SJK252" s="9"/>
      <c r="SJL252" s="9"/>
      <c r="SJM252" s="9"/>
      <c r="SJN252" s="9"/>
      <c r="SJO252" s="9"/>
      <c r="SJP252" s="9"/>
      <c r="SJQ252" s="9"/>
      <c r="SJR252" s="9"/>
      <c r="SJS252" s="9"/>
      <c r="SJT252" s="9"/>
      <c r="SJU252" s="9"/>
      <c r="SJV252" s="9"/>
      <c r="SJW252" s="9"/>
      <c r="SJX252" s="9"/>
      <c r="SJY252" s="9"/>
      <c r="SJZ252" s="9"/>
      <c r="SKA252" s="9"/>
      <c r="SKB252" s="9"/>
      <c r="SKC252" s="9"/>
      <c r="SKD252" s="9"/>
      <c r="SKE252" s="9"/>
      <c r="SKF252" s="9"/>
      <c r="SKG252" s="9"/>
      <c r="SKH252" s="9"/>
      <c r="SKI252" s="9"/>
      <c r="SKJ252" s="9"/>
      <c r="SKK252" s="9"/>
      <c r="SKL252" s="9"/>
      <c r="SKM252" s="9"/>
      <c r="SKN252" s="9"/>
      <c r="SKO252" s="9"/>
      <c r="SKP252" s="9"/>
      <c r="SKQ252" s="9"/>
      <c r="SKR252" s="9"/>
      <c r="SKS252" s="9"/>
      <c r="SKT252" s="9"/>
      <c r="SKU252" s="9"/>
      <c r="SKV252" s="9"/>
      <c r="SKW252" s="9"/>
      <c r="SKX252" s="9"/>
      <c r="SKY252" s="9"/>
      <c r="SKZ252" s="9"/>
      <c r="SLA252" s="9"/>
      <c r="SLB252" s="9"/>
      <c r="SLC252" s="9"/>
      <c r="SLD252" s="9"/>
      <c r="SLE252" s="9"/>
      <c r="SLF252" s="9"/>
      <c r="SLG252" s="9"/>
      <c r="SLH252" s="9"/>
      <c r="SLI252" s="9"/>
      <c r="SLJ252" s="9"/>
      <c r="SLK252" s="9"/>
      <c r="SLL252" s="9"/>
      <c r="SLM252" s="9"/>
      <c r="SLN252" s="9"/>
      <c r="SLO252" s="9"/>
      <c r="SLP252" s="9"/>
      <c r="SLQ252" s="9"/>
      <c r="SLR252" s="9"/>
      <c r="SLS252" s="9"/>
      <c r="SLT252" s="9"/>
      <c r="SLU252" s="9"/>
      <c r="SLV252" s="9"/>
      <c r="SLW252" s="9"/>
      <c r="SLX252" s="9"/>
      <c r="SLY252" s="9"/>
      <c r="SLZ252" s="9"/>
      <c r="SMA252" s="9"/>
      <c r="SMB252" s="9"/>
      <c r="SMC252" s="9"/>
      <c r="SMD252" s="9"/>
      <c r="SME252" s="9"/>
      <c r="SMF252" s="9"/>
      <c r="SMG252" s="9"/>
      <c r="SMH252" s="9"/>
      <c r="SMI252" s="9"/>
      <c r="SMJ252" s="9"/>
      <c r="SMK252" s="9"/>
      <c r="SML252" s="9"/>
      <c r="SMM252" s="9"/>
      <c r="SMN252" s="9"/>
      <c r="SMO252" s="9"/>
      <c r="SMP252" s="9"/>
      <c r="SMQ252" s="9"/>
      <c r="SMR252" s="9"/>
      <c r="SMS252" s="9"/>
      <c r="SMT252" s="9"/>
      <c r="SMU252" s="9"/>
      <c r="SMV252" s="9"/>
      <c r="SMW252" s="9"/>
      <c r="SMX252" s="9"/>
      <c r="SMY252" s="9"/>
      <c r="SMZ252" s="9"/>
      <c r="SNA252" s="9"/>
      <c r="SNB252" s="9"/>
      <c r="SNC252" s="9"/>
      <c r="SND252" s="9"/>
      <c r="SNE252" s="9"/>
      <c r="SNF252" s="9"/>
      <c r="SNG252" s="9"/>
      <c r="SNH252" s="9"/>
      <c r="SNI252" s="9"/>
      <c r="SNJ252" s="9"/>
      <c r="SNK252" s="9"/>
      <c r="SNL252" s="9"/>
      <c r="SNM252" s="9"/>
      <c r="SNN252" s="9"/>
      <c r="SNO252" s="9"/>
      <c r="SNP252" s="9"/>
      <c r="SNQ252" s="9"/>
      <c r="SNR252" s="9"/>
      <c r="SNS252" s="9"/>
      <c r="SNT252" s="9"/>
      <c r="SNU252" s="9"/>
      <c r="SNV252" s="9"/>
      <c r="SNW252" s="9"/>
      <c r="SNX252" s="9"/>
      <c r="SNY252" s="9"/>
      <c r="SNZ252" s="9"/>
      <c r="SOA252" s="9"/>
      <c r="SOB252" s="9"/>
      <c r="SOC252" s="9"/>
      <c r="SOD252" s="9"/>
      <c r="SOE252" s="9"/>
      <c r="SOF252" s="9"/>
      <c r="SOG252" s="9"/>
      <c r="SOH252" s="9"/>
      <c r="SOI252" s="9"/>
      <c r="SOJ252" s="9"/>
      <c r="SOK252" s="9"/>
      <c r="SOL252" s="9"/>
      <c r="SOM252" s="9"/>
      <c r="SON252" s="9"/>
      <c r="SOO252" s="9"/>
      <c r="SOP252" s="9"/>
      <c r="SOQ252" s="9"/>
      <c r="SOR252" s="9"/>
      <c r="SOS252" s="9"/>
      <c r="SOT252" s="9"/>
      <c r="SOU252" s="9"/>
      <c r="SOV252" s="9"/>
      <c r="SOW252" s="9"/>
      <c r="SOX252" s="9"/>
      <c r="SOY252" s="9"/>
      <c r="SOZ252" s="9"/>
      <c r="SPA252" s="9"/>
      <c r="SPB252" s="9"/>
      <c r="SPC252" s="9"/>
      <c r="SPD252" s="9"/>
      <c r="SPE252" s="9"/>
      <c r="SPF252" s="9"/>
      <c r="SPG252" s="9"/>
      <c r="SPH252" s="9"/>
      <c r="SPI252" s="9"/>
      <c r="SPJ252" s="9"/>
      <c r="SPK252" s="9"/>
      <c r="SPL252" s="9"/>
      <c r="SPM252" s="9"/>
      <c r="SPN252" s="9"/>
      <c r="SPO252" s="9"/>
      <c r="SPP252" s="9"/>
      <c r="SPQ252" s="9"/>
      <c r="SPR252" s="9"/>
      <c r="SPS252" s="9"/>
      <c r="SPT252" s="9"/>
      <c r="SPU252" s="9"/>
      <c r="SPV252" s="9"/>
      <c r="SPW252" s="9"/>
      <c r="SPX252" s="9"/>
      <c r="SPY252" s="9"/>
      <c r="SPZ252" s="9"/>
      <c r="SQA252" s="9"/>
      <c r="SQB252" s="9"/>
      <c r="SQC252" s="9"/>
      <c r="SQD252" s="9"/>
      <c r="SQE252" s="9"/>
      <c r="SQF252" s="9"/>
      <c r="SQG252" s="9"/>
      <c r="SQH252" s="9"/>
      <c r="SQI252" s="9"/>
      <c r="SQJ252" s="9"/>
      <c r="SQK252" s="9"/>
      <c r="SQL252" s="9"/>
      <c r="SQM252" s="9"/>
      <c r="SQN252" s="9"/>
      <c r="SQO252" s="9"/>
      <c r="SQP252" s="9"/>
      <c r="SQQ252" s="9"/>
      <c r="SQR252" s="9"/>
      <c r="SQS252" s="9"/>
      <c r="SQT252" s="9"/>
      <c r="SQU252" s="9"/>
      <c r="SQV252" s="9"/>
      <c r="SQW252" s="9"/>
      <c r="SQX252" s="9"/>
      <c r="SQY252" s="9"/>
      <c r="SQZ252" s="9"/>
      <c r="SRA252" s="9"/>
      <c r="SRB252" s="9"/>
      <c r="SRC252" s="9"/>
      <c r="SRD252" s="9"/>
      <c r="SRE252" s="9"/>
      <c r="SRF252" s="9"/>
      <c r="SRG252" s="9"/>
      <c r="SRH252" s="9"/>
      <c r="SRI252" s="9"/>
      <c r="SRJ252" s="9"/>
      <c r="SRK252" s="9"/>
      <c r="SRL252" s="9"/>
      <c r="SRM252" s="9"/>
      <c r="SRN252" s="9"/>
      <c r="SRO252" s="9"/>
      <c r="SRP252" s="9"/>
      <c r="SRQ252" s="9"/>
      <c r="SRR252" s="9"/>
      <c r="SRS252" s="9"/>
      <c r="SRT252" s="9"/>
      <c r="SRU252" s="9"/>
      <c r="SRV252" s="9"/>
      <c r="SRW252" s="9"/>
      <c r="SRX252" s="9"/>
      <c r="SRY252" s="9"/>
      <c r="SRZ252" s="9"/>
      <c r="SSA252" s="9"/>
      <c r="SSB252" s="9"/>
      <c r="SSC252" s="9"/>
      <c r="SSD252" s="9"/>
      <c r="SSE252" s="9"/>
      <c r="SSF252" s="9"/>
      <c r="SSG252" s="9"/>
      <c r="SSH252" s="9"/>
      <c r="SSI252" s="9"/>
      <c r="SSJ252" s="9"/>
      <c r="SSK252" s="9"/>
      <c r="SSL252" s="9"/>
      <c r="SSM252" s="9"/>
      <c r="SSN252" s="9"/>
      <c r="SSO252" s="9"/>
      <c r="SSP252" s="9"/>
      <c r="SSQ252" s="9"/>
      <c r="SSR252" s="9"/>
      <c r="SSS252" s="9"/>
      <c r="SST252" s="9"/>
      <c r="SSU252" s="9"/>
      <c r="SSV252" s="9"/>
      <c r="SSW252" s="9"/>
      <c r="SSX252" s="9"/>
      <c r="SSY252" s="9"/>
      <c r="SSZ252" s="9"/>
      <c r="STA252" s="9"/>
      <c r="STB252" s="9"/>
      <c r="STC252" s="9"/>
      <c r="STD252" s="9"/>
      <c r="STE252" s="9"/>
      <c r="STF252" s="9"/>
      <c r="STG252" s="9"/>
      <c r="STH252" s="9"/>
      <c r="STI252" s="9"/>
      <c r="STJ252" s="9"/>
      <c r="STK252" s="9"/>
      <c r="STL252" s="9"/>
      <c r="STM252" s="9"/>
      <c r="STN252" s="9"/>
      <c r="STO252" s="9"/>
      <c r="STP252" s="9"/>
      <c r="STQ252" s="9"/>
      <c r="STR252" s="9"/>
      <c r="STS252" s="9"/>
      <c r="STT252" s="9"/>
      <c r="STU252" s="9"/>
      <c r="STV252" s="9"/>
      <c r="STW252" s="9"/>
      <c r="STX252" s="9"/>
      <c r="STY252" s="9"/>
      <c r="STZ252" s="9"/>
      <c r="SUA252" s="9"/>
      <c r="SUB252" s="9"/>
      <c r="SUC252" s="9"/>
      <c r="SUD252" s="9"/>
      <c r="SUE252" s="9"/>
      <c r="SUF252" s="9"/>
      <c r="SUG252" s="9"/>
      <c r="SUH252" s="9"/>
      <c r="SUI252" s="9"/>
      <c r="SUJ252" s="9"/>
      <c r="SUK252" s="9"/>
      <c r="SUL252" s="9"/>
      <c r="SUM252" s="9"/>
      <c r="SUN252" s="9"/>
      <c r="SUO252" s="9"/>
      <c r="SUP252" s="9"/>
      <c r="SUQ252" s="9"/>
      <c r="SUR252" s="9"/>
      <c r="SUS252" s="9"/>
      <c r="SUT252" s="9"/>
      <c r="SUU252" s="9"/>
      <c r="SUV252" s="9"/>
      <c r="SUW252" s="9"/>
      <c r="SUX252" s="9"/>
      <c r="SUY252" s="9"/>
      <c r="SUZ252" s="9"/>
      <c r="SVA252" s="9"/>
      <c r="SVB252" s="9"/>
      <c r="SVC252" s="9"/>
      <c r="SVD252" s="9"/>
      <c r="SVE252" s="9"/>
      <c r="SVF252" s="9"/>
      <c r="SVG252" s="9"/>
      <c r="SVH252" s="9"/>
      <c r="SVI252" s="9"/>
      <c r="SVJ252" s="9"/>
      <c r="SVK252" s="9"/>
      <c r="SVL252" s="9"/>
      <c r="SVM252" s="9"/>
      <c r="SVN252" s="9"/>
      <c r="SVO252" s="9"/>
      <c r="SVP252" s="9"/>
      <c r="SVQ252" s="9"/>
      <c r="SVR252" s="9"/>
      <c r="SVS252" s="9"/>
      <c r="SVT252" s="9"/>
      <c r="SVU252" s="9"/>
      <c r="SVV252" s="9"/>
      <c r="SVW252" s="9"/>
      <c r="SVX252" s="9"/>
      <c r="SVY252" s="9"/>
      <c r="SVZ252" s="9"/>
      <c r="SWA252" s="9"/>
      <c r="SWB252" s="9"/>
      <c r="SWC252" s="9"/>
      <c r="SWD252" s="9"/>
      <c r="SWE252" s="9"/>
      <c r="SWF252" s="9"/>
      <c r="SWG252" s="9"/>
      <c r="SWH252" s="9"/>
      <c r="SWI252" s="9"/>
      <c r="SWJ252" s="9"/>
      <c r="SWK252" s="9"/>
      <c r="SWL252" s="9"/>
      <c r="SWM252" s="9"/>
      <c r="SWN252" s="9"/>
      <c r="SWO252" s="9"/>
      <c r="SWP252" s="9"/>
      <c r="SWQ252" s="9"/>
      <c r="SWR252" s="9"/>
      <c r="SWS252" s="9"/>
      <c r="SWT252" s="9"/>
      <c r="SWU252" s="9"/>
      <c r="SWV252" s="9"/>
      <c r="SWW252" s="9"/>
      <c r="SWX252" s="9"/>
      <c r="SWY252" s="9"/>
      <c r="SWZ252" s="9"/>
      <c r="SXA252" s="9"/>
      <c r="SXB252" s="9"/>
      <c r="SXC252" s="9"/>
      <c r="SXD252" s="9"/>
      <c r="SXE252" s="9"/>
      <c r="SXF252" s="9"/>
      <c r="SXG252" s="9"/>
      <c r="SXH252" s="9"/>
      <c r="SXI252" s="9"/>
      <c r="SXJ252" s="9"/>
      <c r="SXK252" s="9"/>
      <c r="SXL252" s="9"/>
      <c r="SXM252" s="9"/>
      <c r="SXN252" s="9"/>
      <c r="SXO252" s="9"/>
      <c r="SXP252" s="9"/>
      <c r="SXQ252" s="9"/>
      <c r="SXR252" s="9"/>
      <c r="SXS252" s="9"/>
      <c r="SXT252" s="9"/>
      <c r="SXU252" s="9"/>
      <c r="SXV252" s="9"/>
      <c r="SXW252" s="9"/>
      <c r="SXX252" s="9"/>
      <c r="SXY252" s="9"/>
      <c r="SXZ252" s="9"/>
      <c r="SYA252" s="9"/>
      <c r="SYB252" s="9"/>
      <c r="SYC252" s="9"/>
      <c r="SYD252" s="9"/>
      <c r="SYE252" s="9"/>
      <c r="SYF252" s="9"/>
      <c r="SYG252" s="9"/>
      <c r="SYH252" s="9"/>
      <c r="SYI252" s="9"/>
      <c r="SYJ252" s="9"/>
      <c r="SYK252" s="9"/>
      <c r="SYL252" s="9"/>
      <c r="SYM252" s="9"/>
      <c r="SYN252" s="9"/>
      <c r="SYO252" s="9"/>
      <c r="SYP252" s="9"/>
      <c r="SYQ252" s="9"/>
      <c r="SYR252" s="9"/>
      <c r="SYS252" s="9"/>
      <c r="SYT252" s="9"/>
      <c r="SYU252" s="9"/>
      <c r="SYV252" s="9"/>
      <c r="SYW252" s="9"/>
      <c r="SYX252" s="9"/>
      <c r="SYY252" s="9"/>
      <c r="SYZ252" s="9"/>
      <c r="SZA252" s="9"/>
      <c r="SZB252" s="9"/>
      <c r="SZC252" s="9"/>
      <c r="SZD252" s="9"/>
      <c r="SZE252" s="9"/>
      <c r="SZF252" s="9"/>
      <c r="SZG252" s="9"/>
      <c r="SZH252" s="9"/>
      <c r="SZI252" s="9"/>
      <c r="SZJ252" s="9"/>
      <c r="SZK252" s="9"/>
      <c r="SZL252" s="9"/>
      <c r="SZM252" s="9"/>
      <c r="SZN252" s="9"/>
      <c r="SZO252" s="9"/>
      <c r="SZP252" s="9"/>
      <c r="SZQ252" s="9"/>
      <c r="SZR252" s="9"/>
      <c r="SZS252" s="9"/>
      <c r="SZT252" s="9"/>
      <c r="SZU252" s="9"/>
      <c r="SZV252" s="9"/>
      <c r="SZW252" s="9"/>
      <c r="SZX252" s="9"/>
      <c r="SZY252" s="9"/>
      <c r="SZZ252" s="9"/>
      <c r="TAA252" s="9"/>
      <c r="TAB252" s="9"/>
      <c r="TAC252" s="9"/>
      <c r="TAD252" s="9"/>
      <c r="TAE252" s="9"/>
      <c r="TAF252" s="9"/>
      <c r="TAG252" s="9"/>
      <c r="TAH252" s="9"/>
      <c r="TAI252" s="9"/>
      <c r="TAJ252" s="9"/>
      <c r="TAK252" s="9"/>
      <c r="TAL252" s="9"/>
      <c r="TAM252" s="9"/>
      <c r="TAN252" s="9"/>
      <c r="TAO252" s="9"/>
      <c r="TAP252" s="9"/>
      <c r="TAQ252" s="9"/>
      <c r="TAR252" s="9"/>
      <c r="TAS252" s="9"/>
      <c r="TAT252" s="9"/>
      <c r="TAU252" s="9"/>
      <c r="TAV252" s="9"/>
      <c r="TAW252" s="9"/>
      <c r="TAX252" s="9"/>
      <c r="TAY252" s="9"/>
      <c r="TAZ252" s="9"/>
      <c r="TBA252" s="9"/>
      <c r="TBB252" s="9"/>
      <c r="TBC252" s="9"/>
      <c r="TBD252" s="9"/>
      <c r="TBE252" s="9"/>
      <c r="TBF252" s="9"/>
      <c r="TBG252" s="9"/>
      <c r="TBH252" s="9"/>
      <c r="TBI252" s="9"/>
      <c r="TBJ252" s="9"/>
      <c r="TBK252" s="9"/>
      <c r="TBL252" s="9"/>
      <c r="TBM252" s="9"/>
      <c r="TBN252" s="9"/>
      <c r="TBO252" s="9"/>
      <c r="TBP252" s="9"/>
      <c r="TBQ252" s="9"/>
      <c r="TBR252" s="9"/>
      <c r="TBS252" s="9"/>
      <c r="TBT252" s="9"/>
      <c r="TBU252" s="9"/>
      <c r="TBV252" s="9"/>
      <c r="TBW252" s="9"/>
      <c r="TBX252" s="9"/>
      <c r="TBY252" s="9"/>
      <c r="TBZ252" s="9"/>
      <c r="TCA252" s="9"/>
      <c r="TCB252" s="9"/>
      <c r="TCC252" s="9"/>
      <c r="TCD252" s="9"/>
      <c r="TCE252" s="9"/>
      <c r="TCF252" s="9"/>
      <c r="TCG252" s="9"/>
      <c r="TCH252" s="9"/>
      <c r="TCI252" s="9"/>
      <c r="TCJ252" s="9"/>
      <c r="TCK252" s="9"/>
      <c r="TCL252" s="9"/>
      <c r="TCM252" s="9"/>
      <c r="TCN252" s="9"/>
      <c r="TCO252" s="9"/>
      <c r="TCP252" s="9"/>
      <c r="TCQ252" s="9"/>
      <c r="TCR252" s="9"/>
      <c r="TCS252" s="9"/>
      <c r="TCT252" s="9"/>
      <c r="TCU252" s="9"/>
      <c r="TCV252" s="9"/>
      <c r="TCW252" s="9"/>
      <c r="TCX252" s="9"/>
      <c r="TCY252" s="9"/>
      <c r="TCZ252" s="9"/>
      <c r="TDA252" s="9"/>
      <c r="TDB252" s="9"/>
      <c r="TDC252" s="9"/>
      <c r="TDD252" s="9"/>
      <c r="TDE252" s="9"/>
      <c r="TDF252" s="9"/>
      <c r="TDG252" s="9"/>
      <c r="TDH252" s="9"/>
      <c r="TDI252" s="9"/>
      <c r="TDJ252" s="9"/>
      <c r="TDK252" s="9"/>
      <c r="TDL252" s="9"/>
      <c r="TDM252" s="9"/>
      <c r="TDN252" s="9"/>
      <c r="TDO252" s="9"/>
      <c r="TDP252" s="9"/>
      <c r="TDQ252" s="9"/>
      <c r="TDR252" s="9"/>
      <c r="TDS252" s="9"/>
      <c r="TDT252" s="9"/>
      <c r="TDU252" s="9"/>
      <c r="TDV252" s="9"/>
      <c r="TDW252" s="9"/>
      <c r="TDX252" s="9"/>
      <c r="TDY252" s="9"/>
      <c r="TDZ252" s="9"/>
      <c r="TEA252" s="9"/>
      <c r="TEB252" s="9"/>
      <c r="TEC252" s="9"/>
      <c r="TED252" s="9"/>
      <c r="TEE252" s="9"/>
      <c r="TEF252" s="9"/>
      <c r="TEG252" s="9"/>
      <c r="TEH252" s="9"/>
      <c r="TEI252" s="9"/>
      <c r="TEJ252" s="9"/>
      <c r="TEK252" s="9"/>
      <c r="TEL252" s="9"/>
      <c r="TEM252" s="9"/>
      <c r="TEN252" s="9"/>
      <c r="TEO252" s="9"/>
      <c r="TEP252" s="9"/>
      <c r="TEQ252" s="9"/>
      <c r="TER252" s="9"/>
      <c r="TES252" s="9"/>
      <c r="TET252" s="9"/>
      <c r="TEU252" s="9"/>
      <c r="TEV252" s="9"/>
      <c r="TEW252" s="9"/>
      <c r="TEX252" s="9"/>
      <c r="TEY252" s="9"/>
      <c r="TEZ252" s="9"/>
      <c r="TFA252" s="9"/>
      <c r="TFB252" s="9"/>
      <c r="TFC252" s="9"/>
      <c r="TFD252" s="9"/>
      <c r="TFE252" s="9"/>
      <c r="TFF252" s="9"/>
      <c r="TFG252" s="9"/>
      <c r="TFH252" s="9"/>
      <c r="TFI252" s="9"/>
      <c r="TFJ252" s="9"/>
      <c r="TFK252" s="9"/>
      <c r="TFL252" s="9"/>
      <c r="TFM252" s="9"/>
      <c r="TFN252" s="9"/>
      <c r="TFO252" s="9"/>
      <c r="TFP252" s="9"/>
      <c r="TFQ252" s="9"/>
      <c r="TFR252" s="9"/>
      <c r="TFS252" s="9"/>
      <c r="TFT252" s="9"/>
      <c r="TFU252" s="9"/>
      <c r="TFV252" s="9"/>
      <c r="TFW252" s="9"/>
      <c r="TFX252" s="9"/>
      <c r="TFY252" s="9"/>
      <c r="TFZ252" s="9"/>
      <c r="TGA252" s="9"/>
      <c r="TGB252" s="9"/>
      <c r="TGC252" s="9"/>
      <c r="TGD252" s="9"/>
      <c r="TGE252" s="9"/>
      <c r="TGF252" s="9"/>
      <c r="TGG252" s="9"/>
      <c r="TGH252" s="9"/>
      <c r="TGI252" s="9"/>
      <c r="TGJ252" s="9"/>
      <c r="TGK252" s="9"/>
      <c r="TGL252" s="9"/>
      <c r="TGM252" s="9"/>
      <c r="TGN252" s="9"/>
      <c r="TGO252" s="9"/>
      <c r="TGP252" s="9"/>
      <c r="TGQ252" s="9"/>
      <c r="TGR252" s="9"/>
      <c r="TGS252" s="9"/>
      <c r="TGT252" s="9"/>
      <c r="TGU252" s="9"/>
      <c r="TGV252" s="9"/>
      <c r="TGW252" s="9"/>
      <c r="TGX252" s="9"/>
      <c r="TGY252" s="9"/>
      <c r="TGZ252" s="9"/>
      <c r="THA252" s="9"/>
      <c r="THB252" s="9"/>
      <c r="THC252" s="9"/>
      <c r="THD252" s="9"/>
      <c r="THE252" s="9"/>
      <c r="THF252" s="9"/>
      <c r="THG252" s="9"/>
      <c r="THH252" s="9"/>
      <c r="THI252" s="9"/>
      <c r="THJ252" s="9"/>
      <c r="THK252" s="9"/>
      <c r="THL252" s="9"/>
      <c r="THM252" s="9"/>
      <c r="THN252" s="9"/>
      <c r="THO252" s="9"/>
      <c r="THP252" s="9"/>
      <c r="THQ252" s="9"/>
      <c r="THR252" s="9"/>
      <c r="THS252" s="9"/>
      <c r="THT252" s="9"/>
      <c r="THU252" s="9"/>
      <c r="THV252" s="9"/>
      <c r="THW252" s="9"/>
      <c r="THX252" s="9"/>
      <c r="THY252" s="9"/>
      <c r="THZ252" s="9"/>
      <c r="TIA252" s="9"/>
      <c r="TIB252" s="9"/>
      <c r="TIC252" s="9"/>
      <c r="TID252" s="9"/>
      <c r="TIE252" s="9"/>
      <c r="TIF252" s="9"/>
      <c r="TIG252" s="9"/>
      <c r="TIH252" s="9"/>
      <c r="TII252" s="9"/>
      <c r="TIJ252" s="9"/>
      <c r="TIK252" s="9"/>
      <c r="TIL252" s="9"/>
      <c r="TIM252" s="9"/>
      <c r="TIN252" s="9"/>
      <c r="TIO252" s="9"/>
      <c r="TIP252" s="9"/>
      <c r="TIQ252" s="9"/>
      <c r="TIR252" s="9"/>
      <c r="TIS252" s="9"/>
      <c r="TIT252" s="9"/>
      <c r="TIU252" s="9"/>
      <c r="TIV252" s="9"/>
      <c r="TIW252" s="9"/>
      <c r="TIX252" s="9"/>
      <c r="TIY252" s="9"/>
      <c r="TIZ252" s="9"/>
      <c r="TJA252" s="9"/>
      <c r="TJB252" s="9"/>
      <c r="TJC252" s="9"/>
      <c r="TJD252" s="9"/>
      <c r="TJE252" s="9"/>
      <c r="TJF252" s="9"/>
      <c r="TJG252" s="9"/>
      <c r="TJH252" s="9"/>
      <c r="TJI252" s="9"/>
      <c r="TJJ252" s="9"/>
      <c r="TJK252" s="9"/>
      <c r="TJL252" s="9"/>
      <c r="TJM252" s="9"/>
      <c r="TJN252" s="9"/>
      <c r="TJO252" s="9"/>
      <c r="TJP252" s="9"/>
      <c r="TJQ252" s="9"/>
      <c r="TJR252" s="9"/>
      <c r="TJS252" s="9"/>
      <c r="TJT252" s="9"/>
      <c r="TJU252" s="9"/>
      <c r="TJV252" s="9"/>
      <c r="TJW252" s="9"/>
      <c r="TJX252" s="9"/>
      <c r="TJY252" s="9"/>
      <c r="TJZ252" s="9"/>
      <c r="TKA252" s="9"/>
      <c r="TKB252" s="9"/>
      <c r="TKC252" s="9"/>
      <c r="TKD252" s="9"/>
      <c r="TKE252" s="9"/>
      <c r="TKF252" s="9"/>
      <c r="TKG252" s="9"/>
      <c r="TKH252" s="9"/>
      <c r="TKI252" s="9"/>
      <c r="TKJ252" s="9"/>
      <c r="TKK252" s="9"/>
      <c r="TKL252" s="9"/>
      <c r="TKM252" s="9"/>
      <c r="TKN252" s="9"/>
      <c r="TKO252" s="9"/>
      <c r="TKP252" s="9"/>
      <c r="TKQ252" s="9"/>
      <c r="TKR252" s="9"/>
      <c r="TKS252" s="9"/>
      <c r="TKT252" s="9"/>
      <c r="TKU252" s="9"/>
      <c r="TKV252" s="9"/>
      <c r="TKW252" s="9"/>
      <c r="TKX252" s="9"/>
      <c r="TKY252" s="9"/>
      <c r="TKZ252" s="9"/>
      <c r="TLA252" s="9"/>
      <c r="TLB252" s="9"/>
      <c r="TLC252" s="9"/>
      <c r="TLD252" s="9"/>
      <c r="TLE252" s="9"/>
      <c r="TLF252" s="9"/>
      <c r="TLG252" s="9"/>
      <c r="TLH252" s="9"/>
      <c r="TLI252" s="9"/>
      <c r="TLJ252" s="9"/>
      <c r="TLK252" s="9"/>
      <c r="TLL252" s="9"/>
      <c r="TLM252" s="9"/>
      <c r="TLN252" s="9"/>
      <c r="TLO252" s="9"/>
      <c r="TLP252" s="9"/>
      <c r="TLQ252" s="9"/>
      <c r="TLR252" s="9"/>
      <c r="TLS252" s="9"/>
      <c r="TLT252" s="9"/>
      <c r="TLU252" s="9"/>
      <c r="TLV252" s="9"/>
      <c r="TLW252" s="9"/>
      <c r="TLX252" s="9"/>
      <c r="TLY252" s="9"/>
      <c r="TLZ252" s="9"/>
      <c r="TMA252" s="9"/>
      <c r="TMB252" s="9"/>
      <c r="TMC252" s="9"/>
      <c r="TMD252" s="9"/>
      <c r="TME252" s="9"/>
      <c r="TMF252" s="9"/>
      <c r="TMG252" s="9"/>
      <c r="TMH252" s="9"/>
      <c r="TMI252" s="9"/>
      <c r="TMJ252" s="9"/>
      <c r="TMK252" s="9"/>
      <c r="TML252" s="9"/>
      <c r="TMM252" s="9"/>
      <c r="TMN252" s="9"/>
      <c r="TMO252" s="9"/>
      <c r="TMP252" s="9"/>
      <c r="TMQ252" s="9"/>
      <c r="TMR252" s="9"/>
      <c r="TMS252" s="9"/>
      <c r="TMT252" s="9"/>
      <c r="TMU252" s="9"/>
      <c r="TMV252" s="9"/>
      <c r="TMW252" s="9"/>
      <c r="TMX252" s="9"/>
      <c r="TMY252" s="9"/>
      <c r="TMZ252" s="9"/>
      <c r="TNA252" s="9"/>
      <c r="TNB252" s="9"/>
      <c r="TNC252" s="9"/>
      <c r="TND252" s="9"/>
      <c r="TNE252" s="9"/>
      <c r="TNF252" s="9"/>
      <c r="TNG252" s="9"/>
      <c r="TNH252" s="9"/>
      <c r="TNI252" s="9"/>
      <c r="TNJ252" s="9"/>
      <c r="TNK252" s="9"/>
      <c r="TNL252" s="9"/>
      <c r="TNM252" s="9"/>
      <c r="TNN252" s="9"/>
      <c r="TNO252" s="9"/>
      <c r="TNP252" s="9"/>
      <c r="TNQ252" s="9"/>
      <c r="TNR252" s="9"/>
      <c r="TNS252" s="9"/>
      <c r="TNT252" s="9"/>
      <c r="TNU252" s="9"/>
      <c r="TNV252" s="9"/>
      <c r="TNW252" s="9"/>
      <c r="TNX252" s="9"/>
      <c r="TNY252" s="9"/>
      <c r="TNZ252" s="9"/>
      <c r="TOA252" s="9"/>
      <c r="TOB252" s="9"/>
      <c r="TOC252" s="9"/>
      <c r="TOD252" s="9"/>
      <c r="TOE252" s="9"/>
      <c r="TOF252" s="9"/>
      <c r="TOG252" s="9"/>
      <c r="TOH252" s="9"/>
      <c r="TOI252" s="9"/>
      <c r="TOJ252" s="9"/>
      <c r="TOK252" s="9"/>
      <c r="TOL252" s="9"/>
      <c r="TOM252" s="9"/>
      <c r="TON252" s="9"/>
      <c r="TOO252" s="9"/>
      <c r="TOP252" s="9"/>
      <c r="TOQ252" s="9"/>
      <c r="TOR252" s="9"/>
      <c r="TOS252" s="9"/>
      <c r="TOT252" s="9"/>
      <c r="TOU252" s="9"/>
      <c r="TOV252" s="9"/>
      <c r="TOW252" s="9"/>
      <c r="TOX252" s="9"/>
      <c r="TOY252" s="9"/>
      <c r="TOZ252" s="9"/>
      <c r="TPA252" s="9"/>
      <c r="TPB252" s="9"/>
      <c r="TPC252" s="9"/>
      <c r="TPD252" s="9"/>
      <c r="TPE252" s="9"/>
      <c r="TPF252" s="9"/>
      <c r="TPG252" s="9"/>
      <c r="TPH252" s="9"/>
      <c r="TPI252" s="9"/>
      <c r="TPJ252" s="9"/>
      <c r="TPK252" s="9"/>
      <c r="TPL252" s="9"/>
      <c r="TPM252" s="9"/>
      <c r="TPN252" s="9"/>
      <c r="TPO252" s="9"/>
      <c r="TPP252" s="9"/>
      <c r="TPQ252" s="9"/>
      <c r="TPR252" s="9"/>
      <c r="TPS252" s="9"/>
      <c r="TPT252" s="9"/>
      <c r="TPU252" s="9"/>
      <c r="TPV252" s="9"/>
      <c r="TPW252" s="9"/>
      <c r="TPX252" s="9"/>
      <c r="TPY252" s="9"/>
      <c r="TPZ252" s="9"/>
      <c r="TQA252" s="9"/>
      <c r="TQB252" s="9"/>
      <c r="TQC252" s="9"/>
      <c r="TQD252" s="9"/>
      <c r="TQE252" s="9"/>
      <c r="TQF252" s="9"/>
      <c r="TQG252" s="9"/>
      <c r="TQH252" s="9"/>
      <c r="TQI252" s="9"/>
      <c r="TQJ252" s="9"/>
      <c r="TQK252" s="9"/>
      <c r="TQL252" s="9"/>
      <c r="TQM252" s="9"/>
      <c r="TQN252" s="9"/>
      <c r="TQO252" s="9"/>
      <c r="TQP252" s="9"/>
      <c r="TQQ252" s="9"/>
      <c r="TQR252" s="9"/>
      <c r="TQS252" s="9"/>
      <c r="TQT252" s="9"/>
      <c r="TQU252" s="9"/>
      <c r="TQV252" s="9"/>
      <c r="TQW252" s="9"/>
      <c r="TQX252" s="9"/>
      <c r="TQY252" s="9"/>
      <c r="TQZ252" s="9"/>
      <c r="TRA252" s="9"/>
      <c r="TRB252" s="9"/>
      <c r="TRC252" s="9"/>
      <c r="TRD252" s="9"/>
      <c r="TRE252" s="9"/>
      <c r="TRF252" s="9"/>
      <c r="TRG252" s="9"/>
      <c r="TRH252" s="9"/>
      <c r="TRI252" s="9"/>
      <c r="TRJ252" s="9"/>
      <c r="TRK252" s="9"/>
      <c r="TRL252" s="9"/>
      <c r="TRM252" s="9"/>
      <c r="TRN252" s="9"/>
      <c r="TRO252" s="9"/>
      <c r="TRP252" s="9"/>
      <c r="TRQ252" s="9"/>
      <c r="TRR252" s="9"/>
      <c r="TRS252" s="9"/>
      <c r="TRT252" s="9"/>
      <c r="TRU252" s="9"/>
      <c r="TRV252" s="9"/>
      <c r="TRW252" s="9"/>
      <c r="TRX252" s="9"/>
      <c r="TRY252" s="9"/>
      <c r="TRZ252" s="9"/>
      <c r="TSA252" s="9"/>
      <c r="TSB252" s="9"/>
      <c r="TSC252" s="9"/>
      <c r="TSD252" s="9"/>
      <c r="TSE252" s="9"/>
      <c r="TSF252" s="9"/>
      <c r="TSG252" s="9"/>
      <c r="TSH252" s="9"/>
      <c r="TSI252" s="9"/>
      <c r="TSJ252" s="9"/>
      <c r="TSK252" s="9"/>
      <c r="TSL252" s="9"/>
      <c r="TSM252" s="9"/>
      <c r="TSN252" s="9"/>
      <c r="TSO252" s="9"/>
      <c r="TSP252" s="9"/>
      <c r="TSQ252" s="9"/>
      <c r="TSR252" s="9"/>
      <c r="TSS252" s="9"/>
      <c r="TST252" s="9"/>
      <c r="TSU252" s="9"/>
      <c r="TSV252" s="9"/>
      <c r="TSW252" s="9"/>
      <c r="TSX252" s="9"/>
      <c r="TSY252" s="9"/>
      <c r="TSZ252" s="9"/>
      <c r="TTA252" s="9"/>
      <c r="TTB252" s="9"/>
      <c r="TTC252" s="9"/>
      <c r="TTD252" s="9"/>
      <c r="TTE252" s="9"/>
      <c r="TTF252" s="9"/>
      <c r="TTG252" s="9"/>
      <c r="TTH252" s="9"/>
      <c r="TTI252" s="9"/>
      <c r="TTJ252" s="9"/>
      <c r="TTK252" s="9"/>
      <c r="TTL252" s="9"/>
      <c r="TTM252" s="9"/>
      <c r="TTN252" s="9"/>
      <c r="TTO252" s="9"/>
      <c r="TTP252" s="9"/>
      <c r="TTQ252" s="9"/>
      <c r="TTR252" s="9"/>
      <c r="TTS252" s="9"/>
      <c r="TTT252" s="9"/>
      <c r="TTU252" s="9"/>
      <c r="TTV252" s="9"/>
      <c r="TTW252" s="9"/>
      <c r="TTX252" s="9"/>
      <c r="TTY252" s="9"/>
      <c r="TTZ252" s="9"/>
      <c r="TUA252" s="9"/>
      <c r="TUB252" s="9"/>
      <c r="TUC252" s="9"/>
      <c r="TUD252" s="9"/>
      <c r="TUE252" s="9"/>
      <c r="TUF252" s="9"/>
      <c r="TUG252" s="9"/>
      <c r="TUH252" s="9"/>
      <c r="TUI252" s="9"/>
      <c r="TUJ252" s="9"/>
      <c r="TUK252" s="9"/>
      <c r="TUL252" s="9"/>
      <c r="TUM252" s="9"/>
      <c r="TUN252" s="9"/>
      <c r="TUO252" s="9"/>
      <c r="TUP252" s="9"/>
      <c r="TUQ252" s="9"/>
      <c r="TUR252" s="9"/>
      <c r="TUS252" s="9"/>
      <c r="TUT252" s="9"/>
      <c r="TUU252" s="9"/>
      <c r="TUV252" s="9"/>
      <c r="TUW252" s="9"/>
      <c r="TUX252" s="9"/>
      <c r="TUY252" s="9"/>
      <c r="TUZ252" s="9"/>
      <c r="TVA252" s="9"/>
      <c r="TVB252" s="9"/>
      <c r="TVC252" s="9"/>
      <c r="TVD252" s="9"/>
      <c r="TVE252" s="9"/>
      <c r="TVF252" s="9"/>
      <c r="TVG252" s="9"/>
      <c r="TVH252" s="9"/>
      <c r="TVI252" s="9"/>
      <c r="TVJ252" s="9"/>
      <c r="TVK252" s="9"/>
      <c r="TVL252" s="9"/>
      <c r="TVM252" s="9"/>
      <c r="TVN252" s="9"/>
      <c r="TVO252" s="9"/>
      <c r="TVP252" s="9"/>
      <c r="TVQ252" s="9"/>
      <c r="TVR252" s="9"/>
      <c r="TVS252" s="9"/>
      <c r="TVT252" s="9"/>
      <c r="TVU252" s="9"/>
      <c r="TVV252" s="9"/>
      <c r="TVW252" s="9"/>
      <c r="TVX252" s="9"/>
      <c r="TVY252" s="9"/>
      <c r="TVZ252" s="9"/>
      <c r="TWA252" s="9"/>
      <c r="TWB252" s="9"/>
      <c r="TWC252" s="9"/>
      <c r="TWD252" s="9"/>
      <c r="TWE252" s="9"/>
      <c r="TWF252" s="9"/>
      <c r="TWG252" s="9"/>
      <c r="TWH252" s="9"/>
      <c r="TWI252" s="9"/>
      <c r="TWJ252" s="9"/>
      <c r="TWK252" s="9"/>
      <c r="TWL252" s="9"/>
      <c r="TWM252" s="9"/>
      <c r="TWN252" s="9"/>
      <c r="TWO252" s="9"/>
      <c r="TWP252" s="9"/>
      <c r="TWQ252" s="9"/>
      <c r="TWR252" s="9"/>
      <c r="TWS252" s="9"/>
      <c r="TWT252" s="9"/>
      <c r="TWU252" s="9"/>
      <c r="TWV252" s="9"/>
      <c r="TWW252" s="9"/>
      <c r="TWX252" s="9"/>
      <c r="TWY252" s="9"/>
      <c r="TWZ252" s="9"/>
      <c r="TXA252" s="9"/>
      <c r="TXB252" s="9"/>
      <c r="TXC252" s="9"/>
      <c r="TXD252" s="9"/>
      <c r="TXE252" s="9"/>
      <c r="TXF252" s="9"/>
      <c r="TXG252" s="9"/>
      <c r="TXH252" s="9"/>
      <c r="TXI252" s="9"/>
      <c r="TXJ252" s="9"/>
      <c r="TXK252" s="9"/>
      <c r="TXL252" s="9"/>
      <c r="TXM252" s="9"/>
      <c r="TXN252" s="9"/>
      <c r="TXO252" s="9"/>
      <c r="TXP252" s="9"/>
      <c r="TXQ252" s="9"/>
      <c r="TXR252" s="9"/>
      <c r="TXS252" s="9"/>
      <c r="TXT252" s="9"/>
      <c r="TXU252" s="9"/>
      <c r="TXV252" s="9"/>
      <c r="TXW252" s="9"/>
      <c r="TXX252" s="9"/>
      <c r="TXY252" s="9"/>
      <c r="TXZ252" s="9"/>
      <c r="TYA252" s="9"/>
      <c r="TYB252" s="9"/>
      <c r="TYC252" s="9"/>
      <c r="TYD252" s="9"/>
      <c r="TYE252" s="9"/>
      <c r="TYF252" s="9"/>
      <c r="TYG252" s="9"/>
      <c r="TYH252" s="9"/>
      <c r="TYI252" s="9"/>
      <c r="TYJ252" s="9"/>
      <c r="TYK252" s="9"/>
      <c r="TYL252" s="9"/>
      <c r="TYM252" s="9"/>
      <c r="TYN252" s="9"/>
      <c r="TYO252" s="9"/>
      <c r="TYP252" s="9"/>
      <c r="TYQ252" s="9"/>
      <c r="TYR252" s="9"/>
      <c r="TYS252" s="9"/>
      <c r="TYT252" s="9"/>
      <c r="TYU252" s="9"/>
      <c r="TYV252" s="9"/>
      <c r="TYW252" s="9"/>
      <c r="TYX252" s="9"/>
      <c r="TYY252" s="9"/>
      <c r="TYZ252" s="9"/>
      <c r="TZA252" s="9"/>
      <c r="TZB252" s="9"/>
      <c r="TZC252" s="9"/>
      <c r="TZD252" s="9"/>
      <c r="TZE252" s="9"/>
      <c r="TZF252" s="9"/>
      <c r="TZG252" s="9"/>
      <c r="TZH252" s="9"/>
      <c r="TZI252" s="9"/>
      <c r="TZJ252" s="9"/>
      <c r="TZK252" s="9"/>
      <c r="TZL252" s="9"/>
      <c r="TZM252" s="9"/>
      <c r="TZN252" s="9"/>
      <c r="TZO252" s="9"/>
      <c r="TZP252" s="9"/>
      <c r="TZQ252" s="9"/>
      <c r="TZR252" s="9"/>
      <c r="TZS252" s="9"/>
      <c r="TZT252" s="9"/>
      <c r="TZU252" s="9"/>
      <c r="TZV252" s="9"/>
      <c r="TZW252" s="9"/>
      <c r="TZX252" s="9"/>
      <c r="TZY252" s="9"/>
      <c r="TZZ252" s="9"/>
      <c r="UAA252" s="9"/>
      <c r="UAB252" s="9"/>
      <c r="UAC252" s="9"/>
      <c r="UAD252" s="9"/>
      <c r="UAE252" s="9"/>
      <c r="UAF252" s="9"/>
      <c r="UAG252" s="9"/>
      <c r="UAH252" s="9"/>
      <c r="UAI252" s="9"/>
      <c r="UAJ252" s="9"/>
      <c r="UAK252" s="9"/>
      <c r="UAL252" s="9"/>
      <c r="UAM252" s="9"/>
      <c r="UAN252" s="9"/>
      <c r="UAO252" s="9"/>
      <c r="UAP252" s="9"/>
      <c r="UAQ252" s="9"/>
      <c r="UAR252" s="9"/>
      <c r="UAS252" s="9"/>
      <c r="UAT252" s="9"/>
      <c r="UAU252" s="9"/>
      <c r="UAV252" s="9"/>
      <c r="UAW252" s="9"/>
      <c r="UAX252" s="9"/>
      <c r="UAY252" s="9"/>
      <c r="UAZ252" s="9"/>
      <c r="UBA252" s="9"/>
      <c r="UBB252" s="9"/>
      <c r="UBC252" s="9"/>
      <c r="UBD252" s="9"/>
      <c r="UBE252" s="9"/>
      <c r="UBF252" s="9"/>
      <c r="UBG252" s="9"/>
      <c r="UBH252" s="9"/>
      <c r="UBI252" s="9"/>
      <c r="UBJ252" s="9"/>
      <c r="UBK252" s="9"/>
      <c r="UBL252" s="9"/>
      <c r="UBM252" s="9"/>
      <c r="UBN252" s="9"/>
      <c r="UBO252" s="9"/>
      <c r="UBP252" s="9"/>
      <c r="UBQ252" s="9"/>
      <c r="UBR252" s="9"/>
      <c r="UBS252" s="9"/>
      <c r="UBT252" s="9"/>
      <c r="UBU252" s="9"/>
      <c r="UBV252" s="9"/>
      <c r="UBW252" s="9"/>
      <c r="UBX252" s="9"/>
      <c r="UBY252" s="9"/>
      <c r="UBZ252" s="9"/>
      <c r="UCA252" s="9"/>
      <c r="UCB252" s="9"/>
      <c r="UCC252" s="9"/>
      <c r="UCD252" s="9"/>
      <c r="UCE252" s="9"/>
      <c r="UCF252" s="9"/>
      <c r="UCG252" s="9"/>
      <c r="UCH252" s="9"/>
      <c r="UCI252" s="9"/>
      <c r="UCJ252" s="9"/>
      <c r="UCK252" s="9"/>
      <c r="UCL252" s="9"/>
      <c r="UCM252" s="9"/>
      <c r="UCN252" s="9"/>
      <c r="UCO252" s="9"/>
      <c r="UCP252" s="9"/>
      <c r="UCQ252" s="9"/>
      <c r="UCR252" s="9"/>
      <c r="UCS252" s="9"/>
      <c r="UCT252" s="9"/>
      <c r="UCU252" s="9"/>
      <c r="UCV252" s="9"/>
      <c r="UCW252" s="9"/>
      <c r="UCX252" s="9"/>
      <c r="UCY252" s="9"/>
      <c r="UCZ252" s="9"/>
      <c r="UDA252" s="9"/>
      <c r="UDB252" s="9"/>
      <c r="UDC252" s="9"/>
      <c r="UDD252" s="9"/>
      <c r="UDE252" s="9"/>
      <c r="UDF252" s="9"/>
      <c r="UDG252" s="9"/>
      <c r="UDH252" s="9"/>
      <c r="UDI252" s="9"/>
      <c r="UDJ252" s="9"/>
      <c r="UDK252" s="9"/>
      <c r="UDL252" s="9"/>
      <c r="UDM252" s="9"/>
      <c r="UDN252" s="9"/>
      <c r="UDO252" s="9"/>
      <c r="UDP252" s="9"/>
      <c r="UDQ252" s="9"/>
      <c r="UDR252" s="9"/>
      <c r="UDS252" s="9"/>
      <c r="UDT252" s="9"/>
      <c r="UDU252" s="9"/>
      <c r="UDV252" s="9"/>
      <c r="UDW252" s="9"/>
      <c r="UDX252" s="9"/>
      <c r="UDY252" s="9"/>
      <c r="UDZ252" s="9"/>
      <c r="UEA252" s="9"/>
      <c r="UEB252" s="9"/>
      <c r="UEC252" s="9"/>
      <c r="UED252" s="9"/>
      <c r="UEE252" s="9"/>
      <c r="UEF252" s="9"/>
      <c r="UEG252" s="9"/>
      <c r="UEH252" s="9"/>
      <c r="UEI252" s="9"/>
      <c r="UEJ252" s="9"/>
      <c r="UEK252" s="9"/>
      <c r="UEL252" s="9"/>
      <c r="UEM252" s="9"/>
      <c r="UEN252" s="9"/>
      <c r="UEO252" s="9"/>
      <c r="UEP252" s="9"/>
      <c r="UEQ252" s="9"/>
      <c r="UER252" s="9"/>
      <c r="UES252" s="9"/>
      <c r="UET252" s="9"/>
      <c r="UEU252" s="9"/>
      <c r="UEV252" s="9"/>
      <c r="UEW252" s="9"/>
      <c r="UEX252" s="9"/>
      <c r="UEY252" s="9"/>
      <c r="UEZ252" s="9"/>
      <c r="UFA252" s="9"/>
      <c r="UFB252" s="9"/>
      <c r="UFC252" s="9"/>
      <c r="UFD252" s="9"/>
      <c r="UFE252" s="9"/>
      <c r="UFF252" s="9"/>
      <c r="UFG252" s="9"/>
      <c r="UFH252" s="9"/>
      <c r="UFI252" s="9"/>
      <c r="UFJ252" s="9"/>
      <c r="UFK252" s="9"/>
      <c r="UFL252" s="9"/>
      <c r="UFM252" s="9"/>
      <c r="UFN252" s="9"/>
      <c r="UFO252" s="9"/>
      <c r="UFP252" s="9"/>
      <c r="UFQ252" s="9"/>
      <c r="UFR252" s="9"/>
      <c r="UFS252" s="9"/>
      <c r="UFT252" s="9"/>
      <c r="UFU252" s="9"/>
      <c r="UFV252" s="9"/>
      <c r="UFW252" s="9"/>
      <c r="UFX252" s="9"/>
      <c r="UFY252" s="9"/>
      <c r="UFZ252" s="9"/>
      <c r="UGA252" s="9"/>
      <c r="UGB252" s="9"/>
      <c r="UGC252" s="9"/>
      <c r="UGD252" s="9"/>
      <c r="UGE252" s="9"/>
      <c r="UGF252" s="9"/>
      <c r="UGG252" s="9"/>
      <c r="UGH252" s="9"/>
      <c r="UGI252" s="9"/>
      <c r="UGJ252" s="9"/>
      <c r="UGK252" s="9"/>
      <c r="UGL252" s="9"/>
      <c r="UGM252" s="9"/>
      <c r="UGN252" s="9"/>
      <c r="UGO252" s="9"/>
      <c r="UGP252" s="9"/>
      <c r="UGQ252" s="9"/>
      <c r="UGR252" s="9"/>
      <c r="UGS252" s="9"/>
      <c r="UGT252" s="9"/>
      <c r="UGU252" s="9"/>
      <c r="UGV252" s="9"/>
      <c r="UGW252" s="9"/>
      <c r="UGX252" s="9"/>
      <c r="UGY252" s="9"/>
      <c r="UGZ252" s="9"/>
      <c r="UHA252" s="9"/>
      <c r="UHB252" s="9"/>
      <c r="UHC252" s="9"/>
      <c r="UHD252" s="9"/>
      <c r="UHE252" s="9"/>
      <c r="UHF252" s="9"/>
      <c r="UHG252" s="9"/>
      <c r="UHH252" s="9"/>
      <c r="UHI252" s="9"/>
      <c r="UHJ252" s="9"/>
      <c r="UHK252" s="9"/>
      <c r="UHL252" s="9"/>
      <c r="UHM252" s="9"/>
      <c r="UHN252" s="9"/>
      <c r="UHO252" s="9"/>
      <c r="UHP252" s="9"/>
      <c r="UHQ252" s="9"/>
      <c r="UHR252" s="9"/>
      <c r="UHS252" s="9"/>
      <c r="UHT252" s="9"/>
      <c r="UHU252" s="9"/>
      <c r="UHV252" s="9"/>
      <c r="UHW252" s="9"/>
      <c r="UHX252" s="9"/>
      <c r="UHY252" s="9"/>
      <c r="UHZ252" s="9"/>
      <c r="UIA252" s="9"/>
      <c r="UIB252" s="9"/>
      <c r="UIC252" s="9"/>
      <c r="UID252" s="9"/>
      <c r="UIE252" s="9"/>
      <c r="UIF252" s="9"/>
      <c r="UIG252" s="9"/>
      <c r="UIH252" s="9"/>
      <c r="UII252" s="9"/>
      <c r="UIJ252" s="9"/>
      <c r="UIK252" s="9"/>
      <c r="UIL252" s="9"/>
      <c r="UIM252" s="9"/>
      <c r="UIN252" s="9"/>
      <c r="UIO252" s="9"/>
      <c r="UIP252" s="9"/>
      <c r="UIQ252" s="9"/>
      <c r="UIR252" s="9"/>
      <c r="UIS252" s="9"/>
      <c r="UIT252" s="9"/>
      <c r="UIU252" s="9"/>
      <c r="UIV252" s="9"/>
      <c r="UIW252" s="9"/>
      <c r="UIX252" s="9"/>
      <c r="UIY252" s="9"/>
      <c r="UIZ252" s="9"/>
      <c r="UJA252" s="9"/>
      <c r="UJB252" s="9"/>
      <c r="UJC252" s="9"/>
      <c r="UJD252" s="9"/>
      <c r="UJE252" s="9"/>
      <c r="UJF252" s="9"/>
      <c r="UJG252" s="9"/>
      <c r="UJH252" s="9"/>
      <c r="UJI252" s="9"/>
      <c r="UJJ252" s="9"/>
      <c r="UJK252" s="9"/>
      <c r="UJL252" s="9"/>
      <c r="UJM252" s="9"/>
      <c r="UJN252" s="9"/>
      <c r="UJO252" s="9"/>
      <c r="UJP252" s="9"/>
      <c r="UJQ252" s="9"/>
      <c r="UJR252" s="9"/>
      <c r="UJS252" s="9"/>
      <c r="UJT252" s="9"/>
      <c r="UJU252" s="9"/>
      <c r="UJV252" s="9"/>
      <c r="UJW252" s="9"/>
      <c r="UJX252" s="9"/>
      <c r="UJY252" s="9"/>
      <c r="UJZ252" s="9"/>
      <c r="UKA252" s="9"/>
      <c r="UKB252" s="9"/>
      <c r="UKC252" s="9"/>
      <c r="UKD252" s="9"/>
      <c r="UKE252" s="9"/>
      <c r="UKF252" s="9"/>
      <c r="UKG252" s="9"/>
      <c r="UKH252" s="9"/>
      <c r="UKI252" s="9"/>
      <c r="UKJ252" s="9"/>
      <c r="UKK252" s="9"/>
      <c r="UKL252" s="9"/>
      <c r="UKM252" s="9"/>
      <c r="UKN252" s="9"/>
      <c r="UKO252" s="9"/>
      <c r="UKP252" s="9"/>
      <c r="UKQ252" s="9"/>
      <c r="UKR252" s="9"/>
      <c r="UKS252" s="9"/>
      <c r="UKT252" s="9"/>
      <c r="UKU252" s="9"/>
      <c r="UKV252" s="9"/>
      <c r="UKW252" s="9"/>
      <c r="UKX252" s="9"/>
      <c r="UKY252" s="9"/>
      <c r="UKZ252" s="9"/>
      <c r="ULA252" s="9"/>
      <c r="ULB252" s="9"/>
      <c r="ULC252" s="9"/>
      <c r="ULD252" s="9"/>
      <c r="ULE252" s="9"/>
      <c r="ULF252" s="9"/>
      <c r="ULG252" s="9"/>
      <c r="ULH252" s="9"/>
      <c r="ULI252" s="9"/>
      <c r="ULJ252" s="9"/>
      <c r="ULK252" s="9"/>
      <c r="ULL252" s="9"/>
      <c r="ULM252" s="9"/>
      <c r="ULN252" s="9"/>
      <c r="ULO252" s="9"/>
      <c r="ULP252" s="9"/>
      <c r="ULQ252" s="9"/>
      <c r="ULR252" s="9"/>
      <c r="ULS252" s="9"/>
      <c r="ULT252" s="9"/>
      <c r="ULU252" s="9"/>
      <c r="ULV252" s="9"/>
      <c r="ULW252" s="9"/>
      <c r="ULX252" s="9"/>
      <c r="ULY252" s="9"/>
      <c r="ULZ252" s="9"/>
      <c r="UMA252" s="9"/>
      <c r="UMB252" s="9"/>
      <c r="UMC252" s="9"/>
      <c r="UMD252" s="9"/>
      <c r="UME252" s="9"/>
      <c r="UMF252" s="9"/>
      <c r="UMG252" s="9"/>
      <c r="UMH252" s="9"/>
      <c r="UMI252" s="9"/>
      <c r="UMJ252" s="9"/>
      <c r="UMK252" s="9"/>
      <c r="UML252" s="9"/>
      <c r="UMM252" s="9"/>
      <c r="UMN252" s="9"/>
      <c r="UMO252" s="9"/>
      <c r="UMP252" s="9"/>
      <c r="UMQ252" s="9"/>
      <c r="UMR252" s="9"/>
      <c r="UMS252" s="9"/>
      <c r="UMT252" s="9"/>
      <c r="UMU252" s="9"/>
      <c r="UMV252" s="9"/>
      <c r="UMW252" s="9"/>
      <c r="UMX252" s="9"/>
      <c r="UMY252" s="9"/>
      <c r="UMZ252" s="9"/>
      <c r="UNA252" s="9"/>
      <c r="UNB252" s="9"/>
      <c r="UNC252" s="9"/>
      <c r="UND252" s="9"/>
      <c r="UNE252" s="9"/>
      <c r="UNF252" s="9"/>
      <c r="UNG252" s="9"/>
      <c r="UNH252" s="9"/>
      <c r="UNI252" s="9"/>
      <c r="UNJ252" s="9"/>
      <c r="UNK252" s="9"/>
      <c r="UNL252" s="9"/>
      <c r="UNM252" s="9"/>
      <c r="UNN252" s="9"/>
      <c r="UNO252" s="9"/>
      <c r="UNP252" s="9"/>
      <c r="UNQ252" s="9"/>
      <c r="UNR252" s="9"/>
      <c r="UNS252" s="9"/>
      <c r="UNT252" s="9"/>
      <c r="UNU252" s="9"/>
      <c r="UNV252" s="9"/>
      <c r="UNW252" s="9"/>
      <c r="UNX252" s="9"/>
      <c r="UNY252" s="9"/>
      <c r="UNZ252" s="9"/>
      <c r="UOA252" s="9"/>
      <c r="UOB252" s="9"/>
      <c r="UOC252" s="9"/>
      <c r="UOD252" s="9"/>
      <c r="UOE252" s="9"/>
      <c r="UOF252" s="9"/>
      <c r="UOG252" s="9"/>
      <c r="UOH252" s="9"/>
      <c r="UOI252" s="9"/>
      <c r="UOJ252" s="9"/>
      <c r="UOK252" s="9"/>
      <c r="UOL252" s="9"/>
      <c r="UOM252" s="9"/>
      <c r="UON252" s="9"/>
      <c r="UOO252" s="9"/>
      <c r="UOP252" s="9"/>
      <c r="UOQ252" s="9"/>
      <c r="UOR252" s="9"/>
      <c r="UOS252" s="9"/>
      <c r="UOT252" s="9"/>
      <c r="UOU252" s="9"/>
      <c r="UOV252" s="9"/>
      <c r="UOW252" s="9"/>
      <c r="UOX252" s="9"/>
      <c r="UOY252" s="9"/>
      <c r="UOZ252" s="9"/>
      <c r="UPA252" s="9"/>
      <c r="UPB252" s="9"/>
      <c r="UPC252" s="9"/>
      <c r="UPD252" s="9"/>
      <c r="UPE252" s="9"/>
      <c r="UPF252" s="9"/>
      <c r="UPG252" s="9"/>
      <c r="UPH252" s="9"/>
      <c r="UPI252" s="9"/>
      <c r="UPJ252" s="9"/>
      <c r="UPK252" s="9"/>
      <c r="UPL252" s="9"/>
      <c r="UPM252" s="9"/>
      <c r="UPN252" s="9"/>
      <c r="UPO252" s="9"/>
      <c r="UPP252" s="9"/>
      <c r="UPQ252" s="9"/>
      <c r="UPR252" s="9"/>
      <c r="UPS252" s="9"/>
      <c r="UPT252" s="9"/>
      <c r="UPU252" s="9"/>
      <c r="UPV252" s="9"/>
      <c r="UPW252" s="9"/>
      <c r="UPX252" s="9"/>
      <c r="UPY252" s="9"/>
      <c r="UPZ252" s="9"/>
      <c r="UQA252" s="9"/>
      <c r="UQB252" s="9"/>
      <c r="UQC252" s="9"/>
      <c r="UQD252" s="9"/>
      <c r="UQE252" s="9"/>
      <c r="UQF252" s="9"/>
      <c r="UQG252" s="9"/>
      <c r="UQH252" s="9"/>
      <c r="UQI252" s="9"/>
      <c r="UQJ252" s="9"/>
      <c r="UQK252" s="9"/>
      <c r="UQL252" s="9"/>
      <c r="UQM252" s="9"/>
      <c r="UQN252" s="9"/>
      <c r="UQO252" s="9"/>
      <c r="UQP252" s="9"/>
      <c r="UQQ252" s="9"/>
      <c r="UQR252" s="9"/>
      <c r="UQS252" s="9"/>
      <c r="UQT252" s="9"/>
      <c r="UQU252" s="9"/>
      <c r="UQV252" s="9"/>
      <c r="UQW252" s="9"/>
      <c r="UQX252" s="9"/>
      <c r="UQY252" s="9"/>
      <c r="UQZ252" s="9"/>
      <c r="URA252" s="9"/>
      <c r="URB252" s="9"/>
      <c r="URC252" s="9"/>
      <c r="URD252" s="9"/>
      <c r="URE252" s="9"/>
      <c r="URF252" s="9"/>
      <c r="URG252" s="9"/>
      <c r="URH252" s="9"/>
      <c r="URI252" s="9"/>
      <c r="URJ252" s="9"/>
      <c r="URK252" s="9"/>
      <c r="URL252" s="9"/>
      <c r="URM252" s="9"/>
      <c r="URN252" s="9"/>
      <c r="URO252" s="9"/>
      <c r="URP252" s="9"/>
      <c r="URQ252" s="9"/>
      <c r="URR252" s="9"/>
      <c r="URS252" s="9"/>
      <c r="URT252" s="9"/>
      <c r="URU252" s="9"/>
      <c r="URV252" s="9"/>
      <c r="URW252" s="9"/>
      <c r="URX252" s="9"/>
      <c r="URY252" s="9"/>
      <c r="URZ252" s="9"/>
      <c r="USA252" s="9"/>
      <c r="USB252" s="9"/>
      <c r="USC252" s="9"/>
      <c r="USD252" s="9"/>
      <c r="USE252" s="9"/>
      <c r="USF252" s="9"/>
      <c r="USG252" s="9"/>
      <c r="USH252" s="9"/>
      <c r="USI252" s="9"/>
      <c r="USJ252" s="9"/>
      <c r="USK252" s="9"/>
      <c r="USL252" s="9"/>
      <c r="USM252" s="9"/>
      <c r="USN252" s="9"/>
      <c r="USO252" s="9"/>
      <c r="USP252" s="9"/>
      <c r="USQ252" s="9"/>
      <c r="USR252" s="9"/>
      <c r="USS252" s="9"/>
      <c r="UST252" s="9"/>
      <c r="USU252" s="9"/>
      <c r="USV252" s="9"/>
      <c r="USW252" s="9"/>
      <c r="USX252" s="9"/>
      <c r="USY252" s="9"/>
      <c r="USZ252" s="9"/>
      <c r="UTA252" s="9"/>
      <c r="UTB252" s="9"/>
      <c r="UTC252" s="9"/>
      <c r="UTD252" s="9"/>
      <c r="UTE252" s="9"/>
      <c r="UTF252" s="9"/>
      <c r="UTG252" s="9"/>
      <c r="UTH252" s="9"/>
      <c r="UTI252" s="9"/>
      <c r="UTJ252" s="9"/>
      <c r="UTK252" s="9"/>
      <c r="UTL252" s="9"/>
      <c r="UTM252" s="9"/>
      <c r="UTN252" s="9"/>
      <c r="UTO252" s="9"/>
      <c r="UTP252" s="9"/>
      <c r="UTQ252" s="9"/>
      <c r="UTR252" s="9"/>
      <c r="UTS252" s="9"/>
      <c r="UTT252" s="9"/>
      <c r="UTU252" s="9"/>
      <c r="UTV252" s="9"/>
      <c r="UTW252" s="9"/>
      <c r="UTX252" s="9"/>
      <c r="UTY252" s="9"/>
      <c r="UTZ252" s="9"/>
      <c r="UUA252" s="9"/>
      <c r="UUB252" s="9"/>
      <c r="UUC252" s="9"/>
      <c r="UUD252" s="9"/>
      <c r="UUE252" s="9"/>
      <c r="UUF252" s="9"/>
      <c r="UUG252" s="9"/>
      <c r="UUH252" s="9"/>
      <c r="UUI252" s="9"/>
      <c r="UUJ252" s="9"/>
      <c r="UUK252" s="9"/>
      <c r="UUL252" s="9"/>
      <c r="UUM252" s="9"/>
      <c r="UUN252" s="9"/>
      <c r="UUO252" s="9"/>
      <c r="UUP252" s="9"/>
      <c r="UUQ252" s="9"/>
      <c r="UUR252" s="9"/>
      <c r="UUS252" s="9"/>
      <c r="UUT252" s="9"/>
      <c r="UUU252" s="9"/>
      <c r="UUV252" s="9"/>
      <c r="UUW252" s="9"/>
      <c r="UUX252" s="9"/>
      <c r="UUY252" s="9"/>
      <c r="UUZ252" s="9"/>
      <c r="UVA252" s="9"/>
      <c r="UVB252" s="9"/>
      <c r="UVC252" s="9"/>
      <c r="UVD252" s="9"/>
      <c r="UVE252" s="9"/>
      <c r="UVF252" s="9"/>
      <c r="UVG252" s="9"/>
      <c r="UVH252" s="9"/>
      <c r="UVI252" s="9"/>
      <c r="UVJ252" s="9"/>
      <c r="UVK252" s="9"/>
      <c r="UVL252" s="9"/>
      <c r="UVM252" s="9"/>
      <c r="UVN252" s="9"/>
      <c r="UVO252" s="9"/>
      <c r="UVP252" s="9"/>
      <c r="UVQ252" s="9"/>
      <c r="UVR252" s="9"/>
      <c r="UVS252" s="9"/>
      <c r="UVT252" s="9"/>
      <c r="UVU252" s="9"/>
      <c r="UVV252" s="9"/>
      <c r="UVW252" s="9"/>
      <c r="UVX252" s="9"/>
      <c r="UVY252" s="9"/>
      <c r="UVZ252" s="9"/>
      <c r="UWA252" s="9"/>
      <c r="UWB252" s="9"/>
      <c r="UWC252" s="9"/>
      <c r="UWD252" s="9"/>
      <c r="UWE252" s="9"/>
      <c r="UWF252" s="9"/>
      <c r="UWG252" s="9"/>
      <c r="UWH252" s="9"/>
      <c r="UWI252" s="9"/>
      <c r="UWJ252" s="9"/>
      <c r="UWK252" s="9"/>
      <c r="UWL252" s="9"/>
      <c r="UWM252" s="9"/>
      <c r="UWN252" s="9"/>
      <c r="UWO252" s="9"/>
      <c r="UWP252" s="9"/>
      <c r="UWQ252" s="9"/>
      <c r="UWR252" s="9"/>
      <c r="UWS252" s="9"/>
      <c r="UWT252" s="9"/>
      <c r="UWU252" s="9"/>
      <c r="UWV252" s="9"/>
      <c r="UWW252" s="9"/>
      <c r="UWX252" s="9"/>
      <c r="UWY252" s="9"/>
      <c r="UWZ252" s="9"/>
      <c r="UXA252" s="9"/>
      <c r="UXB252" s="9"/>
      <c r="UXC252" s="9"/>
      <c r="UXD252" s="9"/>
      <c r="UXE252" s="9"/>
      <c r="UXF252" s="9"/>
      <c r="UXG252" s="9"/>
      <c r="UXH252" s="9"/>
      <c r="UXI252" s="9"/>
      <c r="UXJ252" s="9"/>
      <c r="UXK252" s="9"/>
      <c r="UXL252" s="9"/>
      <c r="UXM252" s="9"/>
      <c r="UXN252" s="9"/>
      <c r="UXO252" s="9"/>
      <c r="UXP252" s="9"/>
      <c r="UXQ252" s="9"/>
      <c r="UXR252" s="9"/>
      <c r="UXS252" s="9"/>
      <c r="UXT252" s="9"/>
      <c r="UXU252" s="9"/>
      <c r="UXV252" s="9"/>
      <c r="UXW252" s="9"/>
      <c r="UXX252" s="9"/>
      <c r="UXY252" s="9"/>
      <c r="UXZ252" s="9"/>
      <c r="UYA252" s="9"/>
      <c r="UYB252" s="9"/>
      <c r="UYC252" s="9"/>
      <c r="UYD252" s="9"/>
      <c r="UYE252" s="9"/>
      <c r="UYF252" s="9"/>
      <c r="UYG252" s="9"/>
      <c r="UYH252" s="9"/>
      <c r="UYI252" s="9"/>
      <c r="UYJ252" s="9"/>
      <c r="UYK252" s="9"/>
      <c r="UYL252" s="9"/>
      <c r="UYM252" s="9"/>
      <c r="UYN252" s="9"/>
      <c r="UYO252" s="9"/>
      <c r="UYP252" s="9"/>
      <c r="UYQ252" s="9"/>
      <c r="UYR252" s="9"/>
      <c r="UYS252" s="9"/>
      <c r="UYT252" s="9"/>
      <c r="UYU252" s="9"/>
      <c r="UYV252" s="9"/>
      <c r="UYW252" s="9"/>
      <c r="UYX252" s="9"/>
      <c r="UYY252" s="9"/>
      <c r="UYZ252" s="9"/>
      <c r="UZA252" s="9"/>
      <c r="UZB252" s="9"/>
      <c r="UZC252" s="9"/>
      <c r="UZD252" s="9"/>
      <c r="UZE252" s="9"/>
      <c r="UZF252" s="9"/>
      <c r="UZG252" s="9"/>
      <c r="UZH252" s="9"/>
      <c r="UZI252" s="9"/>
      <c r="UZJ252" s="9"/>
      <c r="UZK252" s="9"/>
      <c r="UZL252" s="9"/>
      <c r="UZM252" s="9"/>
      <c r="UZN252" s="9"/>
      <c r="UZO252" s="9"/>
      <c r="UZP252" s="9"/>
      <c r="UZQ252" s="9"/>
      <c r="UZR252" s="9"/>
      <c r="UZS252" s="9"/>
      <c r="UZT252" s="9"/>
      <c r="UZU252" s="9"/>
      <c r="UZV252" s="9"/>
      <c r="UZW252" s="9"/>
      <c r="UZX252" s="9"/>
      <c r="UZY252" s="9"/>
      <c r="UZZ252" s="9"/>
      <c r="VAA252" s="9"/>
      <c r="VAB252" s="9"/>
      <c r="VAC252" s="9"/>
      <c r="VAD252" s="9"/>
      <c r="VAE252" s="9"/>
      <c r="VAF252" s="9"/>
      <c r="VAG252" s="9"/>
      <c r="VAH252" s="9"/>
      <c r="VAI252" s="9"/>
      <c r="VAJ252" s="9"/>
      <c r="VAK252" s="9"/>
      <c r="VAL252" s="9"/>
      <c r="VAM252" s="9"/>
      <c r="VAN252" s="9"/>
      <c r="VAO252" s="9"/>
      <c r="VAP252" s="9"/>
      <c r="VAQ252" s="9"/>
      <c r="VAR252" s="9"/>
      <c r="VAS252" s="9"/>
      <c r="VAT252" s="9"/>
      <c r="VAU252" s="9"/>
      <c r="VAV252" s="9"/>
      <c r="VAW252" s="9"/>
      <c r="VAX252" s="9"/>
      <c r="VAY252" s="9"/>
      <c r="VAZ252" s="9"/>
      <c r="VBA252" s="9"/>
      <c r="VBB252" s="9"/>
      <c r="VBC252" s="9"/>
      <c r="VBD252" s="9"/>
      <c r="VBE252" s="9"/>
      <c r="VBF252" s="9"/>
      <c r="VBG252" s="9"/>
      <c r="VBH252" s="9"/>
      <c r="VBI252" s="9"/>
      <c r="VBJ252" s="9"/>
      <c r="VBK252" s="9"/>
      <c r="VBL252" s="9"/>
      <c r="VBM252" s="9"/>
      <c r="VBN252" s="9"/>
      <c r="VBO252" s="9"/>
      <c r="VBP252" s="9"/>
      <c r="VBQ252" s="9"/>
      <c r="VBR252" s="9"/>
      <c r="VBS252" s="9"/>
      <c r="VBT252" s="9"/>
      <c r="VBU252" s="9"/>
      <c r="VBV252" s="9"/>
      <c r="VBW252" s="9"/>
      <c r="VBX252" s="9"/>
      <c r="VBY252" s="9"/>
      <c r="VBZ252" s="9"/>
      <c r="VCA252" s="9"/>
      <c r="VCB252" s="9"/>
      <c r="VCC252" s="9"/>
      <c r="VCD252" s="9"/>
      <c r="VCE252" s="9"/>
      <c r="VCF252" s="9"/>
      <c r="VCG252" s="9"/>
      <c r="VCH252" s="9"/>
      <c r="VCI252" s="9"/>
      <c r="VCJ252" s="9"/>
      <c r="VCK252" s="9"/>
      <c r="VCL252" s="9"/>
      <c r="VCM252" s="9"/>
      <c r="VCN252" s="9"/>
      <c r="VCO252" s="9"/>
      <c r="VCP252" s="9"/>
      <c r="VCQ252" s="9"/>
      <c r="VCR252" s="9"/>
      <c r="VCS252" s="9"/>
      <c r="VCT252" s="9"/>
      <c r="VCU252" s="9"/>
      <c r="VCV252" s="9"/>
      <c r="VCW252" s="9"/>
      <c r="VCX252" s="9"/>
      <c r="VCY252" s="9"/>
      <c r="VCZ252" s="9"/>
      <c r="VDA252" s="9"/>
      <c r="VDB252" s="9"/>
      <c r="VDC252" s="9"/>
      <c r="VDD252" s="9"/>
      <c r="VDE252" s="9"/>
      <c r="VDF252" s="9"/>
      <c r="VDG252" s="9"/>
      <c r="VDH252" s="9"/>
      <c r="VDI252" s="9"/>
      <c r="VDJ252" s="9"/>
      <c r="VDK252" s="9"/>
      <c r="VDL252" s="9"/>
      <c r="VDM252" s="9"/>
      <c r="VDN252" s="9"/>
      <c r="VDO252" s="9"/>
      <c r="VDP252" s="9"/>
      <c r="VDQ252" s="9"/>
      <c r="VDR252" s="9"/>
      <c r="VDS252" s="9"/>
      <c r="VDT252" s="9"/>
      <c r="VDU252" s="9"/>
      <c r="VDV252" s="9"/>
      <c r="VDW252" s="9"/>
      <c r="VDX252" s="9"/>
      <c r="VDY252" s="9"/>
      <c r="VDZ252" s="9"/>
      <c r="VEA252" s="9"/>
      <c r="VEB252" s="9"/>
      <c r="VEC252" s="9"/>
      <c r="VED252" s="9"/>
      <c r="VEE252" s="9"/>
      <c r="VEF252" s="9"/>
      <c r="VEG252" s="9"/>
      <c r="VEH252" s="9"/>
      <c r="VEI252" s="9"/>
      <c r="VEJ252" s="9"/>
      <c r="VEK252" s="9"/>
      <c r="VEL252" s="9"/>
      <c r="VEM252" s="9"/>
      <c r="VEN252" s="9"/>
      <c r="VEO252" s="9"/>
      <c r="VEP252" s="9"/>
      <c r="VEQ252" s="9"/>
      <c r="VER252" s="9"/>
      <c r="VES252" s="9"/>
      <c r="VET252" s="9"/>
      <c r="VEU252" s="9"/>
      <c r="VEV252" s="9"/>
      <c r="VEW252" s="9"/>
      <c r="VEX252" s="9"/>
      <c r="VEY252" s="9"/>
      <c r="VEZ252" s="9"/>
      <c r="VFA252" s="9"/>
      <c r="VFB252" s="9"/>
      <c r="VFC252" s="9"/>
      <c r="VFD252" s="9"/>
      <c r="VFE252" s="9"/>
      <c r="VFF252" s="9"/>
      <c r="VFG252" s="9"/>
      <c r="VFH252" s="9"/>
      <c r="VFI252" s="9"/>
      <c r="VFJ252" s="9"/>
      <c r="VFK252" s="9"/>
      <c r="VFL252" s="9"/>
      <c r="VFM252" s="9"/>
      <c r="VFN252" s="9"/>
      <c r="VFO252" s="9"/>
      <c r="VFP252" s="9"/>
      <c r="VFQ252" s="9"/>
      <c r="VFR252" s="9"/>
      <c r="VFS252" s="9"/>
      <c r="VFT252" s="9"/>
      <c r="VFU252" s="9"/>
      <c r="VFV252" s="9"/>
      <c r="VFW252" s="9"/>
      <c r="VFX252" s="9"/>
      <c r="VFY252" s="9"/>
      <c r="VFZ252" s="9"/>
      <c r="VGA252" s="9"/>
      <c r="VGB252" s="9"/>
      <c r="VGC252" s="9"/>
      <c r="VGD252" s="9"/>
      <c r="VGE252" s="9"/>
      <c r="VGF252" s="9"/>
      <c r="VGG252" s="9"/>
      <c r="VGH252" s="9"/>
      <c r="VGI252" s="9"/>
      <c r="VGJ252" s="9"/>
      <c r="VGK252" s="9"/>
      <c r="VGL252" s="9"/>
      <c r="VGM252" s="9"/>
      <c r="VGN252" s="9"/>
      <c r="VGO252" s="9"/>
      <c r="VGP252" s="9"/>
      <c r="VGQ252" s="9"/>
      <c r="VGR252" s="9"/>
      <c r="VGS252" s="9"/>
      <c r="VGT252" s="9"/>
      <c r="VGU252" s="9"/>
      <c r="VGV252" s="9"/>
      <c r="VGW252" s="9"/>
      <c r="VGX252" s="9"/>
      <c r="VGY252" s="9"/>
      <c r="VGZ252" s="9"/>
      <c r="VHA252" s="9"/>
      <c r="VHB252" s="9"/>
      <c r="VHC252" s="9"/>
      <c r="VHD252" s="9"/>
      <c r="VHE252" s="9"/>
      <c r="VHF252" s="9"/>
      <c r="VHG252" s="9"/>
      <c r="VHH252" s="9"/>
      <c r="VHI252" s="9"/>
      <c r="VHJ252" s="9"/>
      <c r="VHK252" s="9"/>
      <c r="VHL252" s="9"/>
      <c r="VHM252" s="9"/>
      <c r="VHN252" s="9"/>
      <c r="VHO252" s="9"/>
      <c r="VHP252" s="9"/>
      <c r="VHQ252" s="9"/>
      <c r="VHR252" s="9"/>
      <c r="VHS252" s="9"/>
      <c r="VHT252" s="9"/>
      <c r="VHU252" s="9"/>
      <c r="VHV252" s="9"/>
      <c r="VHW252" s="9"/>
      <c r="VHX252" s="9"/>
      <c r="VHY252" s="9"/>
      <c r="VHZ252" s="9"/>
      <c r="VIA252" s="9"/>
      <c r="VIB252" s="9"/>
      <c r="VIC252" s="9"/>
      <c r="VID252" s="9"/>
      <c r="VIE252" s="9"/>
      <c r="VIF252" s="9"/>
      <c r="VIG252" s="9"/>
      <c r="VIH252" s="9"/>
      <c r="VII252" s="9"/>
      <c r="VIJ252" s="9"/>
      <c r="VIK252" s="9"/>
      <c r="VIL252" s="9"/>
      <c r="VIM252" s="9"/>
      <c r="VIN252" s="9"/>
      <c r="VIO252" s="9"/>
      <c r="VIP252" s="9"/>
      <c r="VIQ252" s="9"/>
      <c r="VIR252" s="9"/>
      <c r="VIS252" s="9"/>
      <c r="VIT252" s="9"/>
      <c r="VIU252" s="9"/>
      <c r="VIV252" s="9"/>
      <c r="VIW252" s="9"/>
      <c r="VIX252" s="9"/>
      <c r="VIY252" s="9"/>
      <c r="VIZ252" s="9"/>
      <c r="VJA252" s="9"/>
      <c r="VJB252" s="9"/>
      <c r="VJC252" s="9"/>
      <c r="VJD252" s="9"/>
      <c r="VJE252" s="9"/>
      <c r="VJF252" s="9"/>
      <c r="VJG252" s="9"/>
      <c r="VJH252" s="9"/>
      <c r="VJI252" s="9"/>
      <c r="VJJ252" s="9"/>
      <c r="VJK252" s="9"/>
      <c r="VJL252" s="9"/>
      <c r="VJM252" s="9"/>
      <c r="VJN252" s="9"/>
      <c r="VJO252" s="9"/>
      <c r="VJP252" s="9"/>
      <c r="VJQ252" s="9"/>
      <c r="VJR252" s="9"/>
      <c r="VJS252" s="9"/>
      <c r="VJT252" s="9"/>
      <c r="VJU252" s="9"/>
      <c r="VJV252" s="9"/>
      <c r="VJW252" s="9"/>
      <c r="VJX252" s="9"/>
      <c r="VJY252" s="9"/>
      <c r="VJZ252" s="9"/>
      <c r="VKA252" s="9"/>
      <c r="VKB252" s="9"/>
      <c r="VKC252" s="9"/>
      <c r="VKD252" s="9"/>
      <c r="VKE252" s="9"/>
      <c r="VKF252" s="9"/>
      <c r="VKG252" s="9"/>
      <c r="VKH252" s="9"/>
      <c r="VKI252" s="9"/>
      <c r="VKJ252" s="9"/>
      <c r="VKK252" s="9"/>
      <c r="VKL252" s="9"/>
      <c r="VKM252" s="9"/>
      <c r="VKN252" s="9"/>
      <c r="VKO252" s="9"/>
      <c r="VKP252" s="9"/>
      <c r="VKQ252" s="9"/>
      <c r="VKR252" s="9"/>
      <c r="VKS252" s="9"/>
      <c r="VKT252" s="9"/>
      <c r="VKU252" s="9"/>
      <c r="VKV252" s="9"/>
      <c r="VKW252" s="9"/>
      <c r="VKX252" s="9"/>
      <c r="VKY252" s="9"/>
      <c r="VKZ252" s="9"/>
      <c r="VLA252" s="9"/>
      <c r="VLB252" s="9"/>
      <c r="VLC252" s="9"/>
      <c r="VLD252" s="9"/>
      <c r="VLE252" s="9"/>
      <c r="VLF252" s="9"/>
      <c r="VLG252" s="9"/>
      <c r="VLH252" s="9"/>
      <c r="VLI252" s="9"/>
      <c r="VLJ252" s="9"/>
      <c r="VLK252" s="9"/>
      <c r="VLL252" s="9"/>
      <c r="VLM252" s="9"/>
      <c r="VLN252" s="9"/>
      <c r="VLO252" s="9"/>
      <c r="VLP252" s="9"/>
      <c r="VLQ252" s="9"/>
      <c r="VLR252" s="9"/>
      <c r="VLS252" s="9"/>
      <c r="VLT252" s="9"/>
      <c r="VLU252" s="9"/>
      <c r="VLV252" s="9"/>
      <c r="VLW252" s="9"/>
      <c r="VLX252" s="9"/>
      <c r="VLY252" s="9"/>
      <c r="VLZ252" s="9"/>
      <c r="VMA252" s="9"/>
      <c r="VMB252" s="9"/>
      <c r="VMC252" s="9"/>
      <c r="VMD252" s="9"/>
      <c r="VME252" s="9"/>
      <c r="VMF252" s="9"/>
      <c r="VMG252" s="9"/>
      <c r="VMH252" s="9"/>
      <c r="VMI252" s="9"/>
      <c r="VMJ252" s="9"/>
      <c r="VMK252" s="9"/>
      <c r="VML252" s="9"/>
      <c r="VMM252" s="9"/>
      <c r="VMN252" s="9"/>
      <c r="VMO252" s="9"/>
      <c r="VMP252" s="9"/>
      <c r="VMQ252" s="9"/>
      <c r="VMR252" s="9"/>
      <c r="VMS252" s="9"/>
      <c r="VMT252" s="9"/>
      <c r="VMU252" s="9"/>
      <c r="VMV252" s="9"/>
      <c r="VMW252" s="9"/>
      <c r="VMX252" s="9"/>
      <c r="VMY252" s="9"/>
      <c r="VMZ252" s="9"/>
      <c r="VNA252" s="9"/>
      <c r="VNB252" s="9"/>
      <c r="VNC252" s="9"/>
      <c r="VND252" s="9"/>
      <c r="VNE252" s="9"/>
      <c r="VNF252" s="9"/>
      <c r="VNG252" s="9"/>
      <c r="VNH252" s="9"/>
      <c r="VNI252" s="9"/>
      <c r="VNJ252" s="9"/>
      <c r="VNK252" s="9"/>
      <c r="VNL252" s="9"/>
      <c r="VNM252" s="9"/>
      <c r="VNN252" s="9"/>
      <c r="VNO252" s="9"/>
      <c r="VNP252" s="9"/>
      <c r="VNQ252" s="9"/>
      <c r="VNR252" s="9"/>
      <c r="VNS252" s="9"/>
      <c r="VNT252" s="9"/>
      <c r="VNU252" s="9"/>
      <c r="VNV252" s="9"/>
      <c r="VNW252" s="9"/>
      <c r="VNX252" s="9"/>
      <c r="VNY252" s="9"/>
      <c r="VNZ252" s="9"/>
      <c r="VOA252" s="9"/>
      <c r="VOB252" s="9"/>
      <c r="VOC252" s="9"/>
      <c r="VOD252" s="9"/>
      <c r="VOE252" s="9"/>
      <c r="VOF252" s="9"/>
      <c r="VOG252" s="9"/>
      <c r="VOH252" s="9"/>
      <c r="VOI252" s="9"/>
      <c r="VOJ252" s="9"/>
      <c r="VOK252" s="9"/>
      <c r="VOL252" s="9"/>
      <c r="VOM252" s="9"/>
      <c r="VON252" s="9"/>
      <c r="VOO252" s="9"/>
      <c r="VOP252" s="9"/>
      <c r="VOQ252" s="9"/>
      <c r="VOR252" s="9"/>
      <c r="VOS252" s="9"/>
      <c r="VOT252" s="9"/>
      <c r="VOU252" s="9"/>
      <c r="VOV252" s="9"/>
      <c r="VOW252" s="9"/>
      <c r="VOX252" s="9"/>
      <c r="VOY252" s="9"/>
      <c r="VOZ252" s="9"/>
      <c r="VPA252" s="9"/>
      <c r="VPB252" s="9"/>
      <c r="VPC252" s="9"/>
      <c r="VPD252" s="9"/>
      <c r="VPE252" s="9"/>
      <c r="VPF252" s="9"/>
      <c r="VPG252" s="9"/>
      <c r="VPH252" s="9"/>
      <c r="VPI252" s="9"/>
      <c r="VPJ252" s="9"/>
      <c r="VPK252" s="9"/>
      <c r="VPL252" s="9"/>
      <c r="VPM252" s="9"/>
      <c r="VPN252" s="9"/>
      <c r="VPO252" s="9"/>
      <c r="VPP252" s="9"/>
      <c r="VPQ252" s="9"/>
      <c r="VPR252" s="9"/>
      <c r="VPS252" s="9"/>
      <c r="VPT252" s="9"/>
      <c r="VPU252" s="9"/>
      <c r="VPV252" s="9"/>
      <c r="VPW252" s="9"/>
      <c r="VPX252" s="9"/>
      <c r="VPY252" s="9"/>
      <c r="VPZ252" s="9"/>
      <c r="VQA252" s="9"/>
      <c r="VQB252" s="9"/>
      <c r="VQC252" s="9"/>
      <c r="VQD252" s="9"/>
      <c r="VQE252" s="9"/>
      <c r="VQF252" s="9"/>
      <c r="VQG252" s="9"/>
      <c r="VQH252" s="9"/>
      <c r="VQI252" s="9"/>
      <c r="VQJ252" s="9"/>
      <c r="VQK252" s="9"/>
      <c r="VQL252" s="9"/>
      <c r="VQM252" s="9"/>
      <c r="VQN252" s="9"/>
      <c r="VQO252" s="9"/>
      <c r="VQP252" s="9"/>
      <c r="VQQ252" s="9"/>
      <c r="VQR252" s="9"/>
      <c r="VQS252" s="9"/>
      <c r="VQT252" s="9"/>
      <c r="VQU252" s="9"/>
      <c r="VQV252" s="9"/>
      <c r="VQW252" s="9"/>
      <c r="VQX252" s="9"/>
      <c r="VQY252" s="9"/>
      <c r="VQZ252" s="9"/>
      <c r="VRA252" s="9"/>
      <c r="VRB252" s="9"/>
      <c r="VRC252" s="9"/>
      <c r="VRD252" s="9"/>
      <c r="VRE252" s="9"/>
      <c r="VRF252" s="9"/>
      <c r="VRG252" s="9"/>
      <c r="VRH252" s="9"/>
      <c r="VRI252" s="9"/>
      <c r="VRJ252" s="9"/>
      <c r="VRK252" s="9"/>
      <c r="VRL252" s="9"/>
      <c r="VRM252" s="9"/>
      <c r="VRN252" s="9"/>
      <c r="VRO252" s="9"/>
      <c r="VRP252" s="9"/>
      <c r="VRQ252" s="9"/>
      <c r="VRR252" s="9"/>
      <c r="VRS252" s="9"/>
      <c r="VRT252" s="9"/>
      <c r="VRU252" s="9"/>
      <c r="VRV252" s="9"/>
      <c r="VRW252" s="9"/>
      <c r="VRX252" s="9"/>
      <c r="VRY252" s="9"/>
      <c r="VRZ252" s="9"/>
      <c r="VSA252" s="9"/>
      <c r="VSB252" s="9"/>
      <c r="VSC252" s="9"/>
      <c r="VSD252" s="9"/>
      <c r="VSE252" s="9"/>
      <c r="VSF252" s="9"/>
      <c r="VSG252" s="9"/>
      <c r="VSH252" s="9"/>
      <c r="VSI252" s="9"/>
      <c r="VSJ252" s="9"/>
      <c r="VSK252" s="9"/>
      <c r="VSL252" s="9"/>
      <c r="VSM252" s="9"/>
      <c r="VSN252" s="9"/>
      <c r="VSO252" s="9"/>
      <c r="VSP252" s="9"/>
      <c r="VSQ252" s="9"/>
      <c r="VSR252" s="9"/>
      <c r="VSS252" s="9"/>
      <c r="VST252" s="9"/>
      <c r="VSU252" s="9"/>
      <c r="VSV252" s="9"/>
      <c r="VSW252" s="9"/>
      <c r="VSX252" s="9"/>
      <c r="VSY252" s="9"/>
      <c r="VSZ252" s="9"/>
      <c r="VTA252" s="9"/>
      <c r="VTB252" s="9"/>
      <c r="VTC252" s="9"/>
      <c r="VTD252" s="9"/>
      <c r="VTE252" s="9"/>
      <c r="VTF252" s="9"/>
      <c r="VTG252" s="9"/>
      <c r="VTH252" s="9"/>
      <c r="VTI252" s="9"/>
      <c r="VTJ252" s="9"/>
      <c r="VTK252" s="9"/>
      <c r="VTL252" s="9"/>
      <c r="VTM252" s="9"/>
      <c r="VTN252" s="9"/>
      <c r="VTO252" s="9"/>
      <c r="VTP252" s="9"/>
      <c r="VTQ252" s="9"/>
      <c r="VTR252" s="9"/>
      <c r="VTS252" s="9"/>
      <c r="VTT252" s="9"/>
      <c r="VTU252" s="9"/>
      <c r="VTV252" s="9"/>
      <c r="VTW252" s="9"/>
      <c r="VTX252" s="9"/>
      <c r="VTY252" s="9"/>
      <c r="VTZ252" s="9"/>
      <c r="VUA252" s="9"/>
      <c r="VUB252" s="9"/>
      <c r="VUC252" s="9"/>
      <c r="VUD252" s="9"/>
      <c r="VUE252" s="9"/>
      <c r="VUF252" s="9"/>
      <c r="VUG252" s="9"/>
      <c r="VUH252" s="9"/>
      <c r="VUI252" s="9"/>
      <c r="VUJ252" s="9"/>
      <c r="VUK252" s="9"/>
      <c r="VUL252" s="9"/>
      <c r="VUM252" s="9"/>
      <c r="VUN252" s="9"/>
      <c r="VUO252" s="9"/>
      <c r="VUP252" s="9"/>
      <c r="VUQ252" s="9"/>
      <c r="VUR252" s="9"/>
      <c r="VUS252" s="9"/>
      <c r="VUT252" s="9"/>
      <c r="VUU252" s="9"/>
      <c r="VUV252" s="9"/>
      <c r="VUW252" s="9"/>
      <c r="VUX252" s="9"/>
      <c r="VUY252" s="9"/>
      <c r="VUZ252" s="9"/>
      <c r="VVA252" s="9"/>
      <c r="VVB252" s="9"/>
      <c r="VVC252" s="9"/>
      <c r="VVD252" s="9"/>
      <c r="VVE252" s="9"/>
      <c r="VVF252" s="9"/>
      <c r="VVG252" s="9"/>
      <c r="VVH252" s="9"/>
      <c r="VVI252" s="9"/>
      <c r="VVJ252" s="9"/>
      <c r="VVK252" s="9"/>
      <c r="VVL252" s="9"/>
      <c r="VVM252" s="9"/>
      <c r="VVN252" s="9"/>
      <c r="VVO252" s="9"/>
      <c r="VVP252" s="9"/>
      <c r="VVQ252" s="9"/>
      <c r="VVR252" s="9"/>
      <c r="VVS252" s="9"/>
      <c r="VVT252" s="9"/>
      <c r="VVU252" s="9"/>
      <c r="VVV252" s="9"/>
      <c r="VVW252" s="9"/>
      <c r="VVX252" s="9"/>
      <c r="VVY252" s="9"/>
      <c r="VVZ252" s="9"/>
      <c r="VWA252" s="9"/>
      <c r="VWB252" s="9"/>
      <c r="VWC252" s="9"/>
      <c r="VWD252" s="9"/>
      <c r="VWE252" s="9"/>
      <c r="VWF252" s="9"/>
      <c r="VWG252" s="9"/>
      <c r="VWH252" s="9"/>
      <c r="VWI252" s="9"/>
      <c r="VWJ252" s="9"/>
      <c r="VWK252" s="9"/>
      <c r="VWL252" s="9"/>
      <c r="VWM252" s="9"/>
      <c r="VWN252" s="9"/>
      <c r="VWO252" s="9"/>
      <c r="VWP252" s="9"/>
      <c r="VWQ252" s="9"/>
      <c r="VWR252" s="9"/>
      <c r="VWS252" s="9"/>
      <c r="VWT252" s="9"/>
      <c r="VWU252" s="9"/>
      <c r="VWV252" s="9"/>
      <c r="VWW252" s="9"/>
      <c r="VWX252" s="9"/>
      <c r="VWY252" s="9"/>
      <c r="VWZ252" s="9"/>
      <c r="VXA252" s="9"/>
      <c r="VXB252" s="9"/>
      <c r="VXC252" s="9"/>
      <c r="VXD252" s="9"/>
      <c r="VXE252" s="9"/>
      <c r="VXF252" s="9"/>
      <c r="VXG252" s="9"/>
      <c r="VXH252" s="9"/>
      <c r="VXI252" s="9"/>
      <c r="VXJ252" s="9"/>
      <c r="VXK252" s="9"/>
      <c r="VXL252" s="9"/>
      <c r="VXM252" s="9"/>
      <c r="VXN252" s="9"/>
      <c r="VXO252" s="9"/>
      <c r="VXP252" s="9"/>
      <c r="VXQ252" s="9"/>
      <c r="VXR252" s="9"/>
      <c r="VXS252" s="9"/>
      <c r="VXT252" s="9"/>
      <c r="VXU252" s="9"/>
      <c r="VXV252" s="9"/>
      <c r="VXW252" s="9"/>
      <c r="VXX252" s="9"/>
      <c r="VXY252" s="9"/>
      <c r="VXZ252" s="9"/>
      <c r="VYA252" s="9"/>
      <c r="VYB252" s="9"/>
      <c r="VYC252" s="9"/>
      <c r="VYD252" s="9"/>
      <c r="VYE252" s="9"/>
      <c r="VYF252" s="9"/>
      <c r="VYG252" s="9"/>
      <c r="VYH252" s="9"/>
      <c r="VYI252" s="9"/>
      <c r="VYJ252" s="9"/>
      <c r="VYK252" s="9"/>
      <c r="VYL252" s="9"/>
      <c r="VYM252" s="9"/>
      <c r="VYN252" s="9"/>
      <c r="VYO252" s="9"/>
      <c r="VYP252" s="9"/>
      <c r="VYQ252" s="9"/>
      <c r="VYR252" s="9"/>
      <c r="VYS252" s="9"/>
      <c r="VYT252" s="9"/>
      <c r="VYU252" s="9"/>
      <c r="VYV252" s="9"/>
      <c r="VYW252" s="9"/>
      <c r="VYX252" s="9"/>
      <c r="VYY252" s="9"/>
      <c r="VYZ252" s="9"/>
      <c r="VZA252" s="9"/>
      <c r="VZB252" s="9"/>
      <c r="VZC252" s="9"/>
      <c r="VZD252" s="9"/>
      <c r="VZE252" s="9"/>
      <c r="VZF252" s="9"/>
      <c r="VZG252" s="9"/>
      <c r="VZH252" s="9"/>
      <c r="VZI252" s="9"/>
      <c r="VZJ252" s="9"/>
      <c r="VZK252" s="9"/>
      <c r="VZL252" s="9"/>
      <c r="VZM252" s="9"/>
      <c r="VZN252" s="9"/>
      <c r="VZO252" s="9"/>
      <c r="VZP252" s="9"/>
      <c r="VZQ252" s="9"/>
      <c r="VZR252" s="9"/>
      <c r="VZS252" s="9"/>
      <c r="VZT252" s="9"/>
      <c r="VZU252" s="9"/>
      <c r="VZV252" s="9"/>
      <c r="VZW252" s="9"/>
      <c r="VZX252" s="9"/>
      <c r="VZY252" s="9"/>
      <c r="VZZ252" s="9"/>
      <c r="WAA252" s="9"/>
      <c r="WAB252" s="9"/>
      <c r="WAC252" s="9"/>
      <c r="WAD252" s="9"/>
      <c r="WAE252" s="9"/>
      <c r="WAF252" s="9"/>
      <c r="WAG252" s="9"/>
      <c r="WAH252" s="9"/>
      <c r="WAI252" s="9"/>
      <c r="WAJ252" s="9"/>
      <c r="WAK252" s="9"/>
      <c r="WAL252" s="9"/>
      <c r="WAM252" s="9"/>
      <c r="WAN252" s="9"/>
      <c r="WAO252" s="9"/>
      <c r="WAP252" s="9"/>
      <c r="WAQ252" s="9"/>
      <c r="WAR252" s="9"/>
      <c r="WAS252" s="9"/>
      <c r="WAT252" s="9"/>
      <c r="WAU252" s="9"/>
      <c r="WAV252" s="9"/>
      <c r="WAW252" s="9"/>
      <c r="WAX252" s="9"/>
      <c r="WAY252" s="9"/>
      <c r="WAZ252" s="9"/>
      <c r="WBA252" s="9"/>
      <c r="WBB252" s="9"/>
      <c r="WBC252" s="9"/>
      <c r="WBD252" s="9"/>
      <c r="WBE252" s="9"/>
      <c r="WBF252" s="9"/>
      <c r="WBG252" s="9"/>
      <c r="WBH252" s="9"/>
      <c r="WBI252" s="9"/>
      <c r="WBJ252" s="9"/>
      <c r="WBK252" s="9"/>
      <c r="WBL252" s="9"/>
      <c r="WBM252" s="9"/>
      <c r="WBN252" s="9"/>
      <c r="WBO252" s="9"/>
      <c r="WBP252" s="9"/>
      <c r="WBQ252" s="9"/>
      <c r="WBR252" s="9"/>
      <c r="WBS252" s="9"/>
      <c r="WBT252" s="9"/>
      <c r="WBU252" s="9"/>
      <c r="WBV252" s="9"/>
      <c r="WBW252" s="9"/>
      <c r="WBX252" s="9"/>
      <c r="WBY252" s="9"/>
      <c r="WBZ252" s="9"/>
      <c r="WCA252" s="9"/>
      <c r="WCB252" s="9"/>
      <c r="WCC252" s="9"/>
      <c r="WCD252" s="9"/>
      <c r="WCE252" s="9"/>
      <c r="WCF252" s="9"/>
      <c r="WCG252" s="9"/>
      <c r="WCH252" s="9"/>
      <c r="WCI252" s="9"/>
      <c r="WCJ252" s="9"/>
      <c r="WCK252" s="9"/>
      <c r="WCL252" s="9"/>
      <c r="WCM252" s="9"/>
      <c r="WCN252" s="9"/>
      <c r="WCO252" s="9"/>
      <c r="WCP252" s="9"/>
      <c r="WCQ252" s="9"/>
      <c r="WCR252" s="9"/>
      <c r="WCS252" s="9"/>
      <c r="WCT252" s="9"/>
      <c r="WCU252" s="9"/>
      <c r="WCV252" s="9"/>
      <c r="WCW252" s="9"/>
      <c r="WCX252" s="9"/>
      <c r="WCY252" s="9"/>
      <c r="WCZ252" s="9"/>
      <c r="WDA252" s="9"/>
      <c r="WDB252" s="9"/>
      <c r="WDC252" s="9"/>
      <c r="WDD252" s="9"/>
      <c r="WDE252" s="9"/>
      <c r="WDF252" s="9"/>
      <c r="WDG252" s="9"/>
      <c r="WDH252" s="9"/>
      <c r="WDI252" s="9"/>
      <c r="WDJ252" s="9"/>
      <c r="WDK252" s="9"/>
      <c r="WDL252" s="9"/>
      <c r="WDM252" s="9"/>
      <c r="WDN252" s="9"/>
      <c r="WDO252" s="9"/>
      <c r="WDP252" s="9"/>
      <c r="WDQ252" s="9"/>
      <c r="WDR252" s="9"/>
      <c r="WDS252" s="9"/>
      <c r="WDT252" s="9"/>
      <c r="WDU252" s="9"/>
      <c r="WDV252" s="9"/>
      <c r="WDW252" s="9"/>
      <c r="WDX252" s="9"/>
      <c r="WDY252" s="9"/>
      <c r="WDZ252" s="9"/>
      <c r="WEA252" s="9"/>
      <c r="WEB252" s="9"/>
      <c r="WEC252" s="9"/>
      <c r="WED252" s="9"/>
      <c r="WEE252" s="9"/>
      <c r="WEF252" s="9"/>
      <c r="WEG252" s="9"/>
      <c r="WEH252" s="9"/>
      <c r="WEI252" s="9"/>
      <c r="WEJ252" s="9"/>
      <c r="WEK252" s="9"/>
      <c r="WEL252" s="9"/>
      <c r="WEM252" s="9"/>
      <c r="WEN252" s="9"/>
      <c r="WEO252" s="9"/>
      <c r="WEP252" s="9"/>
      <c r="WEQ252" s="9"/>
      <c r="WER252" s="9"/>
      <c r="WES252" s="9"/>
      <c r="WET252" s="9"/>
      <c r="WEU252" s="9"/>
      <c r="WEV252" s="9"/>
      <c r="WEW252" s="9"/>
      <c r="WEX252" s="9"/>
      <c r="WEY252" s="9"/>
      <c r="WEZ252" s="9"/>
      <c r="WFA252" s="9"/>
      <c r="WFB252" s="9"/>
      <c r="WFC252" s="9"/>
      <c r="WFD252" s="9"/>
      <c r="WFE252" s="9"/>
      <c r="WFF252" s="9"/>
      <c r="WFG252" s="9"/>
      <c r="WFH252" s="9"/>
      <c r="WFI252" s="9"/>
      <c r="WFJ252" s="9"/>
      <c r="WFK252" s="9"/>
      <c r="WFL252" s="9"/>
      <c r="WFM252" s="9"/>
      <c r="WFN252" s="9"/>
      <c r="WFO252" s="9"/>
      <c r="WFP252" s="9"/>
      <c r="WFQ252" s="9"/>
      <c r="WFR252" s="9"/>
      <c r="WFS252" s="9"/>
      <c r="WFT252" s="9"/>
      <c r="WFU252" s="9"/>
      <c r="WFV252" s="9"/>
      <c r="WFW252" s="9"/>
      <c r="WFX252" s="9"/>
      <c r="WFY252" s="9"/>
      <c r="WFZ252" s="9"/>
      <c r="WGA252" s="9"/>
      <c r="WGB252" s="9"/>
      <c r="WGC252" s="9"/>
      <c r="WGD252" s="9"/>
      <c r="WGE252" s="9"/>
      <c r="WGF252" s="9"/>
      <c r="WGG252" s="9"/>
      <c r="WGH252" s="9"/>
      <c r="WGI252" s="9"/>
      <c r="WGJ252" s="9"/>
      <c r="WGK252" s="9"/>
      <c r="WGL252" s="9"/>
      <c r="WGM252" s="9"/>
      <c r="WGN252" s="9"/>
      <c r="WGO252" s="9"/>
      <c r="WGP252" s="9"/>
      <c r="WGQ252" s="9"/>
      <c r="WGR252" s="9"/>
      <c r="WGS252" s="9"/>
      <c r="WGT252" s="9"/>
      <c r="WGU252" s="9"/>
      <c r="WGV252" s="9"/>
      <c r="WGW252" s="9"/>
      <c r="WGX252" s="9"/>
      <c r="WGY252" s="9"/>
      <c r="WGZ252" s="9"/>
      <c r="WHA252" s="9"/>
      <c r="WHB252" s="9"/>
      <c r="WHC252" s="9"/>
      <c r="WHD252" s="9"/>
      <c r="WHE252" s="9"/>
      <c r="WHF252" s="9"/>
      <c r="WHG252" s="9"/>
      <c r="WHH252" s="9"/>
      <c r="WHI252" s="9"/>
      <c r="WHJ252" s="9"/>
      <c r="WHK252" s="9"/>
      <c r="WHL252" s="9"/>
      <c r="WHM252" s="9"/>
      <c r="WHN252" s="9"/>
      <c r="WHO252" s="9"/>
      <c r="WHP252" s="9"/>
      <c r="WHQ252" s="9"/>
      <c r="WHR252" s="9"/>
      <c r="WHS252" s="9"/>
      <c r="WHT252" s="9"/>
      <c r="WHU252" s="9"/>
      <c r="WHV252" s="9"/>
      <c r="WHW252" s="9"/>
      <c r="WHX252" s="9"/>
      <c r="WHY252" s="9"/>
      <c r="WHZ252" s="9"/>
      <c r="WIA252" s="9"/>
      <c r="WIB252" s="9"/>
      <c r="WIC252" s="9"/>
      <c r="WID252" s="9"/>
      <c r="WIE252" s="9"/>
      <c r="WIF252" s="9"/>
      <c r="WIG252" s="9"/>
      <c r="WIH252" s="9"/>
      <c r="WII252" s="9"/>
      <c r="WIJ252" s="9"/>
      <c r="WIK252" s="9"/>
      <c r="WIL252" s="9"/>
      <c r="WIM252" s="9"/>
      <c r="WIN252" s="9"/>
      <c r="WIO252" s="9"/>
      <c r="WIP252" s="9"/>
      <c r="WIQ252" s="9"/>
      <c r="WIR252" s="9"/>
      <c r="WIS252" s="9"/>
      <c r="WIT252" s="9"/>
      <c r="WIU252" s="9"/>
      <c r="WIV252" s="9"/>
      <c r="WIW252" s="9"/>
      <c r="WIX252" s="9"/>
      <c r="WIY252" s="9"/>
      <c r="WIZ252" s="9"/>
      <c r="WJA252" s="9"/>
      <c r="WJB252" s="9"/>
      <c r="WJC252" s="9"/>
      <c r="WJD252" s="9"/>
      <c r="WJE252" s="9"/>
      <c r="WJF252" s="9"/>
      <c r="WJG252" s="9"/>
      <c r="WJH252" s="9"/>
      <c r="WJI252" s="9"/>
      <c r="WJJ252" s="9"/>
      <c r="WJK252" s="9"/>
      <c r="WJL252" s="9"/>
      <c r="WJM252" s="9"/>
      <c r="WJN252" s="9"/>
      <c r="WJO252" s="9"/>
      <c r="WJP252" s="9"/>
      <c r="WJQ252" s="9"/>
      <c r="WJR252" s="9"/>
      <c r="WJS252" s="9"/>
      <c r="WJT252" s="9"/>
      <c r="WJU252" s="9"/>
      <c r="WJV252" s="9"/>
      <c r="WJW252" s="9"/>
      <c r="WJX252" s="9"/>
      <c r="WJY252" s="9"/>
      <c r="WJZ252" s="9"/>
      <c r="WKA252" s="9"/>
      <c r="WKB252" s="9"/>
      <c r="WKC252" s="9"/>
      <c r="WKD252" s="9"/>
      <c r="WKE252" s="9"/>
      <c r="WKF252" s="9"/>
      <c r="WKG252" s="9"/>
      <c r="WKH252" s="9"/>
      <c r="WKI252" s="9"/>
      <c r="WKJ252" s="9"/>
      <c r="WKK252" s="9"/>
      <c r="WKL252" s="9"/>
      <c r="WKM252" s="9"/>
      <c r="WKN252" s="9"/>
      <c r="WKO252" s="9"/>
      <c r="WKP252" s="9"/>
      <c r="WKQ252" s="9"/>
      <c r="WKR252" s="9"/>
      <c r="WKS252" s="9"/>
      <c r="WKT252" s="9"/>
      <c r="WKU252" s="9"/>
      <c r="WKV252" s="9"/>
      <c r="WKW252" s="9"/>
      <c r="WKX252" s="9"/>
      <c r="WKY252" s="9"/>
      <c r="WKZ252" s="9"/>
      <c r="WLA252" s="9"/>
      <c r="WLB252" s="9"/>
      <c r="WLC252" s="9"/>
      <c r="WLD252" s="9"/>
      <c r="WLE252" s="9"/>
      <c r="WLF252" s="9"/>
      <c r="WLG252" s="9"/>
      <c r="WLH252" s="9"/>
      <c r="WLI252" s="9"/>
      <c r="WLJ252" s="9"/>
      <c r="WLK252" s="9"/>
      <c r="WLL252" s="9"/>
      <c r="WLM252" s="9"/>
      <c r="WLN252" s="9"/>
      <c r="WLO252" s="9"/>
      <c r="WLP252" s="9"/>
      <c r="WLQ252" s="9"/>
      <c r="WLR252" s="9"/>
      <c r="WLS252" s="9"/>
      <c r="WLT252" s="9"/>
      <c r="WLU252" s="9"/>
      <c r="WLV252" s="9"/>
      <c r="WLW252" s="9"/>
      <c r="WLX252" s="9"/>
      <c r="WLY252" s="9"/>
      <c r="WLZ252" s="9"/>
      <c r="WMA252" s="9"/>
      <c r="WMB252" s="9"/>
      <c r="WMC252" s="9"/>
      <c r="WMD252" s="9"/>
      <c r="WME252" s="9"/>
      <c r="WMF252" s="9"/>
      <c r="WMG252" s="9"/>
      <c r="WMH252" s="9"/>
      <c r="WMI252" s="9"/>
      <c r="WMJ252" s="9"/>
      <c r="WMK252" s="9"/>
      <c r="WML252" s="9"/>
      <c r="WMM252" s="9"/>
      <c r="WMN252" s="9"/>
      <c r="WMO252" s="9"/>
      <c r="WMP252" s="9"/>
      <c r="WMQ252" s="9"/>
      <c r="WMR252" s="9"/>
      <c r="WMS252" s="9"/>
      <c r="WMT252" s="9"/>
      <c r="WMU252" s="9"/>
      <c r="WMV252" s="9"/>
      <c r="WMW252" s="9"/>
      <c r="WMX252" s="9"/>
      <c r="WMY252" s="9"/>
      <c r="WMZ252" s="9"/>
      <c r="WNA252" s="9"/>
      <c r="WNB252" s="9"/>
      <c r="WNC252" s="9"/>
      <c r="WND252" s="9"/>
      <c r="WNE252" s="9"/>
      <c r="WNF252" s="9"/>
      <c r="WNG252" s="9"/>
      <c r="WNH252" s="9"/>
      <c r="WNI252" s="9"/>
      <c r="WNJ252" s="9"/>
      <c r="WNK252" s="9"/>
      <c r="WNL252" s="9"/>
      <c r="WNM252" s="9"/>
      <c r="WNN252" s="9"/>
      <c r="WNO252" s="9"/>
      <c r="WNP252" s="9"/>
      <c r="WNQ252" s="9"/>
      <c r="WNR252" s="9"/>
      <c r="WNS252" s="9"/>
      <c r="WNT252" s="9"/>
      <c r="WNU252" s="9"/>
      <c r="WNV252" s="9"/>
      <c r="WNW252" s="9"/>
      <c r="WNX252" s="9"/>
      <c r="WNY252" s="9"/>
      <c r="WNZ252" s="9"/>
      <c r="WOA252" s="9"/>
      <c r="WOB252" s="9"/>
      <c r="WOC252" s="9"/>
      <c r="WOD252" s="9"/>
      <c r="WOE252" s="9"/>
      <c r="WOF252" s="9"/>
      <c r="WOG252" s="9"/>
      <c r="WOH252" s="9"/>
      <c r="WOI252" s="9"/>
      <c r="WOJ252" s="9"/>
      <c r="WOK252" s="9"/>
      <c r="WOL252" s="9"/>
      <c r="WOM252" s="9"/>
      <c r="WON252" s="9"/>
      <c r="WOO252" s="9"/>
      <c r="WOP252" s="9"/>
      <c r="WOQ252" s="9"/>
      <c r="WOR252" s="9"/>
      <c r="WOS252" s="9"/>
      <c r="WOT252" s="9"/>
      <c r="WOU252" s="9"/>
      <c r="WOV252" s="9"/>
      <c r="WOW252" s="9"/>
      <c r="WOX252" s="9"/>
      <c r="WOY252" s="9"/>
      <c r="WOZ252" s="9"/>
      <c r="WPA252" s="9"/>
      <c r="WPB252" s="9"/>
      <c r="WPC252" s="9"/>
      <c r="WPD252" s="9"/>
      <c r="WPE252" s="9"/>
      <c r="WPF252" s="9"/>
      <c r="WPG252" s="9"/>
      <c r="WPH252" s="9"/>
      <c r="WPI252" s="9"/>
      <c r="WPJ252" s="9"/>
      <c r="WPK252" s="9"/>
      <c r="WPL252" s="9"/>
      <c r="WPM252" s="9"/>
      <c r="WPN252" s="9"/>
      <c r="WPO252" s="9"/>
      <c r="WPP252" s="9"/>
      <c r="WPQ252" s="9"/>
      <c r="WPR252" s="9"/>
      <c r="WPS252" s="9"/>
      <c r="WPT252" s="9"/>
      <c r="WPU252" s="9"/>
      <c r="WPV252" s="9"/>
      <c r="WPW252" s="9"/>
      <c r="WPX252" s="9"/>
      <c r="WPY252" s="9"/>
      <c r="WPZ252" s="9"/>
      <c r="WQA252" s="9"/>
      <c r="WQB252" s="9"/>
      <c r="WQC252" s="9"/>
      <c r="WQD252" s="9"/>
      <c r="WQE252" s="9"/>
      <c r="WQF252" s="9"/>
      <c r="WQG252" s="9"/>
      <c r="WQH252" s="9"/>
      <c r="WQI252" s="9"/>
      <c r="WQJ252" s="9"/>
      <c r="WQK252" s="9"/>
      <c r="WQL252" s="9"/>
      <c r="WQM252" s="9"/>
      <c r="WQN252" s="9"/>
      <c r="WQO252" s="9"/>
      <c r="WQP252" s="9"/>
      <c r="WQQ252" s="9"/>
      <c r="WQR252" s="9"/>
      <c r="WQS252" s="9"/>
      <c r="WQT252" s="9"/>
      <c r="WQU252" s="9"/>
      <c r="WQV252" s="9"/>
      <c r="WQW252" s="9"/>
      <c r="WQX252" s="9"/>
      <c r="WQY252" s="9"/>
      <c r="WQZ252" s="9"/>
      <c r="WRA252" s="9"/>
      <c r="WRB252" s="9"/>
      <c r="WRC252" s="9"/>
      <c r="WRD252" s="9"/>
      <c r="WRE252" s="9"/>
      <c r="WRF252" s="9"/>
      <c r="WRG252" s="9"/>
      <c r="WRH252" s="9"/>
      <c r="WRI252" s="9"/>
      <c r="WRJ252" s="9"/>
      <c r="WRK252" s="9"/>
      <c r="WRL252" s="9"/>
      <c r="WRM252" s="9"/>
      <c r="WRN252" s="9"/>
      <c r="WRO252" s="9"/>
      <c r="WRP252" s="9"/>
      <c r="WRQ252" s="9"/>
      <c r="WRR252" s="9"/>
      <c r="WRS252" s="9"/>
      <c r="WRT252" s="9"/>
      <c r="WRU252" s="9"/>
      <c r="WRV252" s="9"/>
      <c r="WRW252" s="9"/>
      <c r="WRX252" s="9"/>
      <c r="WRY252" s="9"/>
      <c r="WRZ252" s="9"/>
      <c r="WSA252" s="9"/>
      <c r="WSB252" s="9"/>
      <c r="WSC252" s="9"/>
      <c r="WSD252" s="9"/>
      <c r="WSE252" s="9"/>
      <c r="WSF252" s="9"/>
      <c r="WSG252" s="9"/>
      <c r="WSH252" s="9"/>
      <c r="WSI252" s="9"/>
      <c r="WSJ252" s="9"/>
      <c r="WSK252" s="9"/>
      <c r="WSL252" s="9"/>
      <c r="WSM252" s="9"/>
      <c r="WSN252" s="9"/>
      <c r="WSO252" s="9"/>
      <c r="WSP252" s="9"/>
      <c r="WSQ252" s="9"/>
      <c r="WSR252" s="9"/>
      <c r="WSS252" s="9"/>
      <c r="WST252" s="9"/>
      <c r="WSU252" s="9"/>
      <c r="WSV252" s="9"/>
      <c r="WSW252" s="9"/>
      <c r="WSX252" s="9"/>
      <c r="WSY252" s="9"/>
      <c r="WSZ252" s="9"/>
      <c r="WTA252" s="9"/>
      <c r="WTB252" s="9"/>
      <c r="WTC252" s="9"/>
      <c r="WTD252" s="9"/>
      <c r="WTE252" s="9"/>
      <c r="WTF252" s="9"/>
      <c r="WTG252" s="9"/>
      <c r="WTH252" s="9"/>
      <c r="WTI252" s="9"/>
      <c r="WTJ252" s="9"/>
      <c r="WTK252" s="9"/>
      <c r="WTL252" s="9"/>
      <c r="WTM252" s="9"/>
      <c r="WTN252" s="9"/>
      <c r="WTO252" s="9"/>
      <c r="WTP252" s="9"/>
      <c r="WTQ252" s="9"/>
      <c r="WTR252" s="9"/>
      <c r="WTS252" s="9"/>
      <c r="WTT252" s="9"/>
      <c r="WTU252" s="9"/>
      <c r="WTV252" s="9"/>
      <c r="WTW252" s="9"/>
      <c r="WTX252" s="9"/>
      <c r="WTY252" s="9"/>
      <c r="WTZ252" s="9"/>
      <c r="WUA252" s="9"/>
      <c r="WUB252" s="9"/>
      <c r="WUC252" s="9"/>
      <c r="WUD252" s="9"/>
      <c r="WUE252" s="9"/>
      <c r="WUF252" s="9"/>
      <c r="WUG252" s="9"/>
      <c r="WUH252" s="9"/>
      <c r="WUI252" s="9"/>
      <c r="WUJ252" s="9"/>
      <c r="WUK252" s="9"/>
      <c r="WUL252" s="9"/>
      <c r="WUM252" s="9"/>
      <c r="WUN252" s="9"/>
      <c r="WUO252" s="9"/>
      <c r="WUP252" s="9"/>
      <c r="WUQ252" s="9"/>
      <c r="WUR252" s="9"/>
      <c r="WUS252" s="9"/>
      <c r="WUT252" s="9"/>
      <c r="WUU252" s="9"/>
      <c r="WUV252" s="9"/>
      <c r="WUW252" s="9"/>
      <c r="WUX252" s="9"/>
      <c r="WUY252" s="9"/>
      <c r="WUZ252" s="9"/>
      <c r="WVA252" s="9"/>
      <c r="WVB252" s="9"/>
      <c r="WVC252" s="9"/>
      <c r="WVD252" s="9"/>
      <c r="WVE252" s="9"/>
      <c r="WVF252" s="9"/>
      <c r="WVG252" s="9"/>
      <c r="WVH252" s="9"/>
      <c r="WVI252" s="9"/>
      <c r="WVJ252" s="9"/>
      <c r="WVK252" s="9"/>
      <c r="WVL252" s="9"/>
      <c r="WVM252" s="9"/>
      <c r="WVN252" s="9"/>
      <c r="WVO252" s="9"/>
      <c r="WVP252" s="9"/>
      <c r="WVQ252" s="9"/>
      <c r="WVR252" s="9"/>
      <c r="WVS252" s="9"/>
      <c r="WVT252" s="9"/>
      <c r="WVU252" s="9"/>
    </row>
    <row r="253" spans="1:16141" s="21" customFormat="1">
      <c r="A253" s="9"/>
      <c r="B253" s="9"/>
      <c r="C253" s="9"/>
      <c r="D253" s="9"/>
      <c r="E253" s="9"/>
      <c r="F253" s="9"/>
      <c r="G253" s="9"/>
      <c r="H253" s="3434" t="s">
        <v>904</v>
      </c>
      <c r="I253" s="3434"/>
      <c r="J253" s="3434"/>
      <c r="K253" s="1091"/>
      <c r="L253" s="331"/>
      <c r="M253" s="331"/>
      <c r="N253" s="331"/>
      <c r="O253" s="59"/>
      <c r="P253" s="59"/>
      <c r="Q253" s="59"/>
      <c r="R253" s="59"/>
      <c r="S253" s="41"/>
      <c r="T253" s="41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  <c r="IZ253" s="9"/>
      <c r="JA253" s="9"/>
      <c r="JB253" s="9"/>
      <c r="JC253" s="9"/>
      <c r="JD253" s="9"/>
      <c r="JE253" s="9"/>
      <c r="JF253" s="9"/>
      <c r="JG253" s="9"/>
      <c r="JH253" s="9"/>
      <c r="JI253" s="9"/>
      <c r="JJ253" s="9"/>
      <c r="JK253" s="9"/>
      <c r="JL253" s="9"/>
      <c r="JM253" s="9"/>
      <c r="JN253" s="9"/>
      <c r="JO253" s="9"/>
      <c r="JP253" s="9"/>
      <c r="JQ253" s="9"/>
      <c r="JR253" s="9"/>
      <c r="JS253" s="9"/>
      <c r="JT253" s="9"/>
      <c r="JU253" s="9"/>
      <c r="JV253" s="9"/>
      <c r="JW253" s="9"/>
      <c r="JX253" s="9"/>
      <c r="JY253" s="9"/>
      <c r="JZ253" s="9"/>
      <c r="KA253" s="9"/>
      <c r="KB253" s="9"/>
      <c r="KC253" s="9"/>
      <c r="KD253" s="9"/>
      <c r="KE253" s="9"/>
      <c r="KF253" s="9"/>
      <c r="KG253" s="9"/>
      <c r="KH253" s="9"/>
      <c r="KI253" s="9"/>
      <c r="KJ253" s="9"/>
      <c r="KK253" s="9"/>
      <c r="KL253" s="9"/>
      <c r="KM253" s="9"/>
      <c r="KN253" s="9"/>
      <c r="KO253" s="9"/>
      <c r="KP253" s="9"/>
      <c r="KQ253" s="9"/>
      <c r="KR253" s="9"/>
      <c r="KS253" s="9"/>
      <c r="KT253" s="9"/>
      <c r="KU253" s="9"/>
      <c r="KV253" s="9"/>
      <c r="KW253" s="9"/>
      <c r="KX253" s="9"/>
      <c r="KY253" s="9"/>
      <c r="KZ253" s="9"/>
      <c r="LA253" s="9"/>
      <c r="LB253" s="9"/>
      <c r="LC253" s="9"/>
      <c r="LD253" s="9"/>
      <c r="LE253" s="9"/>
      <c r="LF253" s="9"/>
      <c r="LG253" s="9"/>
      <c r="LH253" s="9"/>
      <c r="LI253" s="9"/>
      <c r="LJ253" s="9"/>
      <c r="LK253" s="9"/>
      <c r="LL253" s="9"/>
      <c r="LM253" s="9"/>
      <c r="LN253" s="9"/>
      <c r="LO253" s="9"/>
      <c r="LP253" s="9"/>
      <c r="LQ253" s="9"/>
      <c r="LR253" s="9"/>
      <c r="LS253" s="9"/>
      <c r="LT253" s="9"/>
      <c r="LU253" s="9"/>
      <c r="LV253" s="9"/>
      <c r="LW253" s="9"/>
      <c r="LX253" s="9"/>
      <c r="LY253" s="9"/>
      <c r="LZ253" s="9"/>
      <c r="MA253" s="9"/>
      <c r="MB253" s="9"/>
      <c r="MC253" s="9"/>
      <c r="MD253" s="9"/>
      <c r="ME253" s="9"/>
      <c r="MF253" s="9"/>
      <c r="MG253" s="9"/>
      <c r="MH253" s="9"/>
      <c r="MI253" s="9"/>
      <c r="MJ253" s="9"/>
      <c r="MK253" s="9"/>
      <c r="ML253" s="9"/>
      <c r="MM253" s="9"/>
      <c r="MN253" s="9"/>
      <c r="MO253" s="9"/>
      <c r="MP253" s="9"/>
      <c r="MQ253" s="9"/>
      <c r="MR253" s="9"/>
      <c r="MS253" s="9"/>
      <c r="MT253" s="9"/>
      <c r="MU253" s="9"/>
      <c r="MV253" s="9"/>
      <c r="MW253" s="9"/>
      <c r="MX253" s="9"/>
      <c r="MY253" s="9"/>
      <c r="MZ253" s="9"/>
      <c r="NA253" s="9"/>
      <c r="NB253" s="9"/>
      <c r="NC253" s="9"/>
      <c r="ND253" s="9"/>
      <c r="NE253" s="9"/>
      <c r="NF253" s="9"/>
      <c r="NG253" s="9"/>
      <c r="NH253" s="9"/>
      <c r="NI253" s="9"/>
      <c r="NJ253" s="9"/>
      <c r="NK253" s="9"/>
      <c r="NL253" s="9"/>
      <c r="NM253" s="9"/>
      <c r="NN253" s="9"/>
      <c r="NO253" s="9"/>
      <c r="NP253" s="9"/>
      <c r="NQ253" s="9"/>
      <c r="NR253" s="9"/>
      <c r="NS253" s="9"/>
      <c r="NT253" s="9"/>
      <c r="NU253" s="9"/>
      <c r="NV253" s="9"/>
      <c r="NW253" s="9"/>
      <c r="NX253" s="9"/>
      <c r="NY253" s="9"/>
      <c r="NZ253" s="9"/>
      <c r="OA253" s="9"/>
      <c r="OB253" s="9"/>
      <c r="OC253" s="9"/>
      <c r="OD253" s="9"/>
      <c r="OE253" s="9"/>
      <c r="OF253" s="9"/>
      <c r="OG253" s="9"/>
      <c r="OH253" s="9"/>
      <c r="OI253" s="9"/>
      <c r="OJ253" s="9"/>
      <c r="OK253" s="9"/>
      <c r="OL253" s="9"/>
      <c r="OM253" s="9"/>
      <c r="ON253" s="9"/>
      <c r="OO253" s="9"/>
      <c r="OP253" s="9"/>
      <c r="OQ253" s="9"/>
      <c r="OR253" s="9"/>
      <c r="OS253" s="9"/>
      <c r="OT253" s="9"/>
      <c r="OU253" s="9"/>
      <c r="OV253" s="9"/>
      <c r="OW253" s="9"/>
      <c r="OX253" s="9"/>
      <c r="OY253" s="9"/>
      <c r="OZ253" s="9"/>
      <c r="PA253" s="9"/>
      <c r="PB253" s="9"/>
      <c r="PC253" s="9"/>
      <c r="PD253" s="9"/>
      <c r="PE253" s="9"/>
      <c r="PF253" s="9"/>
      <c r="PG253" s="9"/>
      <c r="PH253" s="9"/>
      <c r="PI253" s="9"/>
      <c r="PJ253" s="9"/>
      <c r="PK253" s="9"/>
      <c r="PL253" s="9"/>
      <c r="PM253" s="9"/>
      <c r="PN253" s="9"/>
      <c r="PO253" s="9"/>
      <c r="PP253" s="9"/>
      <c r="PQ253" s="9"/>
      <c r="PR253" s="9"/>
      <c r="PS253" s="9"/>
      <c r="PT253" s="9"/>
      <c r="PU253" s="9"/>
      <c r="PV253" s="9"/>
      <c r="PW253" s="9"/>
      <c r="PX253" s="9"/>
      <c r="PY253" s="9"/>
      <c r="PZ253" s="9"/>
      <c r="QA253" s="9"/>
      <c r="QB253" s="9"/>
      <c r="QC253" s="9"/>
      <c r="QD253" s="9"/>
      <c r="QE253" s="9"/>
      <c r="QF253" s="9"/>
      <c r="QG253" s="9"/>
      <c r="QH253" s="9"/>
      <c r="QI253" s="9"/>
      <c r="QJ253" s="9"/>
      <c r="QK253" s="9"/>
      <c r="QL253" s="9"/>
      <c r="QM253" s="9"/>
      <c r="QN253" s="9"/>
      <c r="QO253" s="9"/>
      <c r="QP253" s="9"/>
      <c r="QQ253" s="9"/>
      <c r="QR253" s="9"/>
      <c r="QS253" s="9"/>
      <c r="QT253" s="9"/>
      <c r="QU253" s="9"/>
      <c r="QV253" s="9"/>
      <c r="QW253" s="9"/>
      <c r="QX253" s="9"/>
      <c r="QY253" s="9"/>
      <c r="QZ253" s="9"/>
      <c r="RA253" s="9"/>
      <c r="RB253" s="9"/>
      <c r="RC253" s="9"/>
      <c r="RD253" s="9"/>
      <c r="RE253" s="9"/>
      <c r="RF253" s="9"/>
      <c r="RG253" s="9"/>
      <c r="RH253" s="9"/>
      <c r="RI253" s="9"/>
      <c r="RJ253" s="9"/>
      <c r="RK253" s="9"/>
      <c r="RL253" s="9"/>
      <c r="RM253" s="9"/>
      <c r="RN253" s="9"/>
      <c r="RO253" s="9"/>
      <c r="RP253" s="9"/>
      <c r="RQ253" s="9"/>
      <c r="RR253" s="9"/>
      <c r="RS253" s="9"/>
      <c r="RT253" s="9"/>
      <c r="RU253" s="9"/>
      <c r="RV253" s="9"/>
      <c r="RW253" s="9"/>
      <c r="RX253" s="9"/>
      <c r="RY253" s="9"/>
      <c r="RZ253" s="9"/>
      <c r="SA253" s="9"/>
      <c r="SB253" s="9"/>
      <c r="SC253" s="9"/>
      <c r="SD253" s="9"/>
      <c r="SE253" s="9"/>
      <c r="SF253" s="9"/>
      <c r="SG253" s="9"/>
      <c r="SH253" s="9"/>
      <c r="SI253" s="9"/>
      <c r="SJ253" s="9"/>
      <c r="SK253" s="9"/>
      <c r="SL253" s="9"/>
      <c r="SM253" s="9"/>
      <c r="SN253" s="9"/>
      <c r="SO253" s="9"/>
      <c r="SP253" s="9"/>
      <c r="SQ253" s="9"/>
      <c r="SR253" s="9"/>
      <c r="SS253" s="9"/>
      <c r="ST253" s="9"/>
      <c r="SU253" s="9"/>
      <c r="SV253" s="9"/>
      <c r="SW253" s="9"/>
      <c r="SX253" s="9"/>
      <c r="SY253" s="9"/>
      <c r="SZ253" s="9"/>
      <c r="TA253" s="9"/>
      <c r="TB253" s="9"/>
      <c r="TC253" s="9"/>
      <c r="TD253" s="9"/>
      <c r="TE253" s="9"/>
      <c r="TF253" s="9"/>
      <c r="TG253" s="9"/>
      <c r="TH253" s="9"/>
      <c r="TI253" s="9"/>
      <c r="TJ253" s="9"/>
      <c r="TK253" s="9"/>
      <c r="TL253" s="9"/>
      <c r="TM253" s="9"/>
      <c r="TN253" s="9"/>
      <c r="TO253" s="9"/>
      <c r="TP253" s="9"/>
      <c r="TQ253" s="9"/>
      <c r="TR253" s="9"/>
      <c r="TS253" s="9"/>
      <c r="TT253" s="9"/>
      <c r="TU253" s="9"/>
      <c r="TV253" s="9"/>
      <c r="TW253" s="9"/>
      <c r="TX253" s="9"/>
      <c r="TY253" s="9"/>
      <c r="TZ253" s="9"/>
      <c r="UA253" s="9"/>
      <c r="UB253" s="9"/>
      <c r="UC253" s="9"/>
      <c r="UD253" s="9"/>
      <c r="UE253" s="9"/>
      <c r="UF253" s="9"/>
      <c r="UG253" s="9"/>
      <c r="UH253" s="9"/>
      <c r="UI253" s="9"/>
      <c r="UJ253" s="9"/>
      <c r="UK253" s="9"/>
      <c r="UL253" s="9"/>
      <c r="UM253" s="9"/>
      <c r="UN253" s="9"/>
      <c r="UO253" s="9"/>
      <c r="UP253" s="9"/>
      <c r="UQ253" s="9"/>
      <c r="UR253" s="9"/>
      <c r="US253" s="9"/>
      <c r="UT253" s="9"/>
      <c r="UU253" s="9"/>
      <c r="UV253" s="9"/>
      <c r="UW253" s="9"/>
      <c r="UX253" s="9"/>
      <c r="UY253" s="9"/>
      <c r="UZ253" s="9"/>
      <c r="VA253" s="9"/>
      <c r="VB253" s="9"/>
      <c r="VC253" s="9"/>
      <c r="VD253" s="9"/>
      <c r="VE253" s="9"/>
      <c r="VF253" s="9"/>
      <c r="VG253" s="9"/>
      <c r="VH253" s="9"/>
      <c r="VI253" s="9"/>
      <c r="VJ253" s="9"/>
      <c r="VK253" s="9"/>
      <c r="VL253" s="9"/>
      <c r="VM253" s="9"/>
      <c r="VN253" s="9"/>
      <c r="VO253" s="9"/>
      <c r="VP253" s="9"/>
      <c r="VQ253" s="9"/>
      <c r="VR253" s="9"/>
      <c r="VS253" s="9"/>
      <c r="VT253" s="9"/>
      <c r="VU253" s="9"/>
      <c r="VV253" s="9"/>
      <c r="VW253" s="9"/>
      <c r="VX253" s="9"/>
      <c r="VY253" s="9"/>
      <c r="VZ253" s="9"/>
      <c r="WA253" s="9"/>
      <c r="WB253" s="9"/>
      <c r="WC253" s="9"/>
      <c r="WD253" s="9"/>
      <c r="WE253" s="9"/>
      <c r="WF253" s="9"/>
      <c r="WG253" s="9"/>
      <c r="WH253" s="9"/>
      <c r="WI253" s="9"/>
      <c r="WJ253" s="9"/>
      <c r="WK253" s="9"/>
      <c r="WL253" s="9"/>
      <c r="WM253" s="9"/>
      <c r="WN253" s="9"/>
      <c r="WO253" s="9"/>
      <c r="WP253" s="9"/>
      <c r="WQ253" s="9"/>
      <c r="WR253" s="9"/>
      <c r="WS253" s="9"/>
      <c r="WT253" s="9"/>
      <c r="WU253" s="9"/>
      <c r="WV253" s="9"/>
      <c r="WW253" s="9"/>
      <c r="WX253" s="9"/>
      <c r="WY253" s="9"/>
      <c r="WZ253" s="9"/>
      <c r="XA253" s="9"/>
      <c r="XB253" s="9"/>
      <c r="XC253" s="9"/>
      <c r="XD253" s="9"/>
      <c r="XE253" s="9"/>
      <c r="XF253" s="9"/>
      <c r="XG253" s="9"/>
      <c r="XH253" s="9"/>
      <c r="XI253" s="9"/>
      <c r="XJ253" s="9"/>
      <c r="XK253" s="9"/>
      <c r="XL253" s="9"/>
      <c r="XM253" s="9"/>
      <c r="XN253" s="9"/>
      <c r="XO253" s="9"/>
      <c r="XP253" s="9"/>
      <c r="XQ253" s="9"/>
      <c r="XR253" s="9"/>
      <c r="XS253" s="9"/>
      <c r="XT253" s="9"/>
      <c r="XU253" s="9"/>
      <c r="XV253" s="9"/>
      <c r="XW253" s="9"/>
      <c r="XX253" s="9"/>
      <c r="XY253" s="9"/>
      <c r="XZ253" s="9"/>
      <c r="YA253" s="9"/>
      <c r="YB253" s="9"/>
      <c r="YC253" s="9"/>
      <c r="YD253" s="9"/>
      <c r="YE253" s="9"/>
      <c r="YF253" s="9"/>
      <c r="YG253" s="9"/>
      <c r="YH253" s="9"/>
      <c r="YI253" s="9"/>
      <c r="YJ253" s="9"/>
      <c r="YK253" s="9"/>
      <c r="YL253" s="9"/>
      <c r="YM253" s="9"/>
      <c r="YN253" s="9"/>
      <c r="YO253" s="9"/>
      <c r="YP253" s="9"/>
      <c r="YQ253" s="9"/>
      <c r="YR253" s="9"/>
      <c r="YS253" s="9"/>
      <c r="YT253" s="9"/>
      <c r="YU253" s="9"/>
      <c r="YV253" s="9"/>
      <c r="YW253" s="9"/>
      <c r="YX253" s="9"/>
      <c r="YY253" s="9"/>
      <c r="YZ253" s="9"/>
      <c r="ZA253" s="9"/>
      <c r="ZB253" s="9"/>
      <c r="ZC253" s="9"/>
      <c r="ZD253" s="9"/>
      <c r="ZE253" s="9"/>
      <c r="ZF253" s="9"/>
      <c r="ZG253" s="9"/>
      <c r="ZH253" s="9"/>
      <c r="ZI253" s="9"/>
      <c r="ZJ253" s="9"/>
      <c r="ZK253" s="9"/>
      <c r="ZL253" s="9"/>
      <c r="ZM253" s="9"/>
      <c r="ZN253" s="9"/>
      <c r="ZO253" s="9"/>
      <c r="ZP253" s="9"/>
      <c r="ZQ253" s="9"/>
      <c r="ZR253" s="9"/>
      <c r="ZS253" s="9"/>
      <c r="ZT253" s="9"/>
      <c r="ZU253" s="9"/>
      <c r="ZV253" s="9"/>
      <c r="ZW253" s="9"/>
      <c r="ZX253" s="9"/>
      <c r="ZY253" s="9"/>
      <c r="ZZ253" s="9"/>
      <c r="AAA253" s="9"/>
      <c r="AAB253" s="9"/>
      <c r="AAC253" s="9"/>
      <c r="AAD253" s="9"/>
      <c r="AAE253" s="9"/>
      <c r="AAF253" s="9"/>
      <c r="AAG253" s="9"/>
      <c r="AAH253" s="9"/>
      <c r="AAI253" s="9"/>
      <c r="AAJ253" s="9"/>
      <c r="AAK253" s="9"/>
      <c r="AAL253" s="9"/>
      <c r="AAM253" s="9"/>
      <c r="AAN253" s="9"/>
      <c r="AAO253" s="9"/>
      <c r="AAP253" s="9"/>
      <c r="AAQ253" s="9"/>
      <c r="AAR253" s="9"/>
      <c r="AAS253" s="9"/>
      <c r="AAT253" s="9"/>
      <c r="AAU253" s="9"/>
      <c r="AAV253" s="9"/>
      <c r="AAW253" s="9"/>
      <c r="AAX253" s="9"/>
      <c r="AAY253" s="9"/>
      <c r="AAZ253" s="9"/>
      <c r="ABA253" s="9"/>
      <c r="ABB253" s="9"/>
      <c r="ABC253" s="9"/>
      <c r="ABD253" s="9"/>
      <c r="ABE253" s="9"/>
      <c r="ABF253" s="9"/>
      <c r="ABG253" s="9"/>
      <c r="ABH253" s="9"/>
      <c r="ABI253" s="9"/>
      <c r="ABJ253" s="9"/>
      <c r="ABK253" s="9"/>
      <c r="ABL253" s="9"/>
      <c r="ABM253" s="9"/>
      <c r="ABN253" s="9"/>
      <c r="ABO253" s="9"/>
      <c r="ABP253" s="9"/>
      <c r="ABQ253" s="9"/>
      <c r="ABR253" s="9"/>
      <c r="ABS253" s="9"/>
      <c r="ABT253" s="9"/>
      <c r="ABU253" s="9"/>
      <c r="ABV253" s="9"/>
      <c r="ABW253" s="9"/>
      <c r="ABX253" s="9"/>
      <c r="ABY253" s="9"/>
      <c r="ABZ253" s="9"/>
      <c r="ACA253" s="9"/>
      <c r="ACB253" s="9"/>
      <c r="ACC253" s="9"/>
      <c r="ACD253" s="9"/>
      <c r="ACE253" s="9"/>
      <c r="ACF253" s="9"/>
      <c r="ACG253" s="9"/>
      <c r="ACH253" s="9"/>
      <c r="ACI253" s="9"/>
      <c r="ACJ253" s="9"/>
      <c r="ACK253" s="9"/>
      <c r="ACL253" s="9"/>
      <c r="ACM253" s="9"/>
      <c r="ACN253" s="9"/>
      <c r="ACO253" s="9"/>
      <c r="ACP253" s="9"/>
      <c r="ACQ253" s="9"/>
      <c r="ACR253" s="9"/>
      <c r="ACS253" s="9"/>
      <c r="ACT253" s="9"/>
      <c r="ACU253" s="9"/>
      <c r="ACV253" s="9"/>
      <c r="ACW253" s="9"/>
      <c r="ACX253" s="9"/>
      <c r="ACY253" s="9"/>
      <c r="ACZ253" s="9"/>
      <c r="ADA253" s="9"/>
      <c r="ADB253" s="9"/>
      <c r="ADC253" s="9"/>
      <c r="ADD253" s="9"/>
      <c r="ADE253" s="9"/>
      <c r="ADF253" s="9"/>
      <c r="ADG253" s="9"/>
      <c r="ADH253" s="9"/>
      <c r="ADI253" s="9"/>
      <c r="ADJ253" s="9"/>
      <c r="ADK253" s="9"/>
      <c r="ADL253" s="9"/>
      <c r="ADM253" s="9"/>
      <c r="ADN253" s="9"/>
      <c r="ADO253" s="9"/>
      <c r="ADP253" s="9"/>
      <c r="ADQ253" s="9"/>
      <c r="ADR253" s="9"/>
      <c r="ADS253" s="9"/>
      <c r="ADT253" s="9"/>
      <c r="ADU253" s="9"/>
      <c r="ADV253" s="9"/>
      <c r="ADW253" s="9"/>
      <c r="ADX253" s="9"/>
      <c r="ADY253" s="9"/>
      <c r="ADZ253" s="9"/>
      <c r="AEA253" s="9"/>
      <c r="AEB253" s="9"/>
      <c r="AEC253" s="9"/>
      <c r="AED253" s="9"/>
      <c r="AEE253" s="9"/>
      <c r="AEF253" s="9"/>
      <c r="AEG253" s="9"/>
      <c r="AEH253" s="9"/>
      <c r="AEI253" s="9"/>
      <c r="AEJ253" s="9"/>
      <c r="AEK253" s="9"/>
      <c r="AEL253" s="9"/>
      <c r="AEM253" s="9"/>
      <c r="AEN253" s="9"/>
      <c r="AEO253" s="9"/>
      <c r="AEP253" s="9"/>
      <c r="AEQ253" s="9"/>
      <c r="AER253" s="9"/>
      <c r="AES253" s="9"/>
      <c r="AET253" s="9"/>
      <c r="AEU253" s="9"/>
      <c r="AEV253" s="9"/>
      <c r="AEW253" s="9"/>
      <c r="AEX253" s="9"/>
      <c r="AEY253" s="9"/>
      <c r="AEZ253" s="9"/>
      <c r="AFA253" s="9"/>
      <c r="AFB253" s="9"/>
      <c r="AFC253" s="9"/>
      <c r="AFD253" s="9"/>
      <c r="AFE253" s="9"/>
      <c r="AFF253" s="9"/>
      <c r="AFG253" s="9"/>
      <c r="AFH253" s="9"/>
      <c r="AFI253" s="9"/>
      <c r="AFJ253" s="9"/>
      <c r="AFK253" s="9"/>
      <c r="AFL253" s="9"/>
      <c r="AFM253" s="9"/>
      <c r="AFN253" s="9"/>
      <c r="AFO253" s="9"/>
      <c r="AFP253" s="9"/>
      <c r="AFQ253" s="9"/>
      <c r="AFR253" s="9"/>
      <c r="AFS253" s="9"/>
      <c r="AFT253" s="9"/>
      <c r="AFU253" s="9"/>
      <c r="AFV253" s="9"/>
      <c r="AFW253" s="9"/>
      <c r="AFX253" s="9"/>
      <c r="AFY253" s="9"/>
      <c r="AFZ253" s="9"/>
      <c r="AGA253" s="9"/>
      <c r="AGB253" s="9"/>
      <c r="AGC253" s="9"/>
      <c r="AGD253" s="9"/>
      <c r="AGE253" s="9"/>
      <c r="AGF253" s="9"/>
      <c r="AGG253" s="9"/>
      <c r="AGH253" s="9"/>
      <c r="AGI253" s="9"/>
      <c r="AGJ253" s="9"/>
      <c r="AGK253" s="9"/>
      <c r="AGL253" s="9"/>
      <c r="AGM253" s="9"/>
      <c r="AGN253" s="9"/>
      <c r="AGO253" s="9"/>
      <c r="AGP253" s="9"/>
      <c r="AGQ253" s="9"/>
      <c r="AGR253" s="9"/>
      <c r="AGS253" s="9"/>
      <c r="AGT253" s="9"/>
      <c r="AGU253" s="9"/>
      <c r="AGV253" s="9"/>
      <c r="AGW253" s="9"/>
      <c r="AGX253" s="9"/>
      <c r="AGY253" s="9"/>
      <c r="AGZ253" s="9"/>
      <c r="AHA253" s="9"/>
      <c r="AHB253" s="9"/>
      <c r="AHC253" s="9"/>
      <c r="AHD253" s="9"/>
      <c r="AHE253" s="9"/>
      <c r="AHF253" s="9"/>
      <c r="AHG253" s="9"/>
      <c r="AHH253" s="9"/>
      <c r="AHI253" s="9"/>
      <c r="AHJ253" s="9"/>
      <c r="AHK253" s="9"/>
      <c r="AHL253" s="9"/>
      <c r="AHM253" s="9"/>
      <c r="AHN253" s="9"/>
      <c r="AHO253" s="9"/>
      <c r="AHP253" s="9"/>
      <c r="AHQ253" s="9"/>
      <c r="AHR253" s="9"/>
      <c r="AHS253" s="9"/>
      <c r="AHT253" s="9"/>
      <c r="AHU253" s="9"/>
      <c r="AHV253" s="9"/>
      <c r="AHW253" s="9"/>
      <c r="AHX253" s="9"/>
      <c r="AHY253" s="9"/>
      <c r="AHZ253" s="9"/>
      <c r="AIA253" s="9"/>
      <c r="AIB253" s="9"/>
      <c r="AIC253" s="9"/>
      <c r="AID253" s="9"/>
      <c r="AIE253" s="9"/>
      <c r="AIF253" s="9"/>
      <c r="AIG253" s="9"/>
      <c r="AIH253" s="9"/>
      <c r="AII253" s="9"/>
      <c r="AIJ253" s="9"/>
      <c r="AIK253" s="9"/>
      <c r="AIL253" s="9"/>
      <c r="AIM253" s="9"/>
      <c r="AIN253" s="9"/>
      <c r="AIO253" s="9"/>
      <c r="AIP253" s="9"/>
      <c r="AIQ253" s="9"/>
      <c r="AIR253" s="9"/>
      <c r="AIS253" s="9"/>
      <c r="AIT253" s="9"/>
      <c r="AIU253" s="9"/>
      <c r="AIV253" s="9"/>
      <c r="AIW253" s="9"/>
      <c r="AIX253" s="9"/>
      <c r="AIY253" s="9"/>
      <c r="AIZ253" s="9"/>
      <c r="AJA253" s="9"/>
      <c r="AJB253" s="9"/>
      <c r="AJC253" s="9"/>
      <c r="AJD253" s="9"/>
      <c r="AJE253" s="9"/>
      <c r="AJF253" s="9"/>
      <c r="AJG253" s="9"/>
      <c r="AJH253" s="9"/>
      <c r="AJI253" s="9"/>
      <c r="AJJ253" s="9"/>
      <c r="AJK253" s="9"/>
      <c r="AJL253" s="9"/>
      <c r="AJM253" s="9"/>
      <c r="AJN253" s="9"/>
      <c r="AJO253" s="9"/>
      <c r="AJP253" s="9"/>
      <c r="AJQ253" s="9"/>
      <c r="AJR253" s="9"/>
      <c r="AJS253" s="9"/>
      <c r="AJT253" s="9"/>
      <c r="AJU253" s="9"/>
      <c r="AJV253" s="9"/>
      <c r="AJW253" s="9"/>
      <c r="AJX253" s="9"/>
      <c r="AJY253" s="9"/>
      <c r="AJZ253" s="9"/>
      <c r="AKA253" s="9"/>
      <c r="AKB253" s="9"/>
      <c r="AKC253" s="9"/>
      <c r="AKD253" s="9"/>
      <c r="AKE253" s="9"/>
      <c r="AKF253" s="9"/>
      <c r="AKG253" s="9"/>
      <c r="AKH253" s="9"/>
      <c r="AKI253" s="9"/>
      <c r="AKJ253" s="9"/>
      <c r="AKK253" s="9"/>
      <c r="AKL253" s="9"/>
      <c r="AKM253" s="9"/>
      <c r="AKN253" s="9"/>
      <c r="AKO253" s="9"/>
      <c r="AKP253" s="9"/>
      <c r="AKQ253" s="9"/>
      <c r="AKR253" s="9"/>
      <c r="AKS253" s="9"/>
      <c r="AKT253" s="9"/>
      <c r="AKU253" s="9"/>
      <c r="AKV253" s="9"/>
      <c r="AKW253" s="9"/>
      <c r="AKX253" s="9"/>
      <c r="AKY253" s="9"/>
      <c r="AKZ253" s="9"/>
      <c r="ALA253" s="9"/>
      <c r="ALB253" s="9"/>
      <c r="ALC253" s="9"/>
      <c r="ALD253" s="9"/>
      <c r="ALE253" s="9"/>
      <c r="ALF253" s="9"/>
      <c r="ALG253" s="9"/>
      <c r="ALH253" s="9"/>
      <c r="ALI253" s="9"/>
      <c r="ALJ253" s="9"/>
      <c r="ALK253" s="9"/>
      <c r="ALL253" s="9"/>
      <c r="ALM253" s="9"/>
      <c r="ALN253" s="9"/>
      <c r="ALO253" s="9"/>
      <c r="ALP253" s="9"/>
      <c r="ALQ253" s="9"/>
      <c r="ALR253" s="9"/>
      <c r="ALS253" s="9"/>
      <c r="ALT253" s="9"/>
      <c r="ALU253" s="9"/>
      <c r="ALV253" s="9"/>
      <c r="ALW253" s="9"/>
      <c r="ALX253" s="9"/>
      <c r="ALY253" s="9"/>
      <c r="ALZ253" s="9"/>
      <c r="AMA253" s="9"/>
      <c r="AMB253" s="9"/>
      <c r="AMC253" s="9"/>
      <c r="AMD253" s="9"/>
      <c r="AME253" s="9"/>
      <c r="AMF253" s="9"/>
      <c r="AMG253" s="9"/>
      <c r="AMH253" s="9"/>
      <c r="AMI253" s="9"/>
      <c r="AMJ253" s="9"/>
      <c r="AMK253" s="9"/>
      <c r="AML253" s="9"/>
      <c r="AMM253" s="9"/>
      <c r="AMN253" s="9"/>
      <c r="AMO253" s="9"/>
      <c r="AMP253" s="9"/>
      <c r="AMQ253" s="9"/>
      <c r="AMR253" s="9"/>
      <c r="AMS253" s="9"/>
      <c r="AMT253" s="9"/>
      <c r="AMU253" s="9"/>
      <c r="AMV253" s="9"/>
      <c r="AMW253" s="9"/>
      <c r="AMX253" s="9"/>
      <c r="AMY253" s="9"/>
      <c r="AMZ253" s="9"/>
      <c r="ANA253" s="9"/>
      <c r="ANB253" s="9"/>
      <c r="ANC253" s="9"/>
      <c r="AND253" s="9"/>
      <c r="ANE253" s="9"/>
      <c r="ANF253" s="9"/>
      <c r="ANG253" s="9"/>
      <c r="ANH253" s="9"/>
      <c r="ANI253" s="9"/>
      <c r="ANJ253" s="9"/>
      <c r="ANK253" s="9"/>
      <c r="ANL253" s="9"/>
      <c r="ANM253" s="9"/>
      <c r="ANN253" s="9"/>
      <c r="ANO253" s="9"/>
      <c r="ANP253" s="9"/>
      <c r="ANQ253" s="9"/>
      <c r="ANR253" s="9"/>
      <c r="ANS253" s="9"/>
      <c r="ANT253" s="9"/>
      <c r="ANU253" s="9"/>
      <c r="ANV253" s="9"/>
      <c r="ANW253" s="9"/>
      <c r="ANX253" s="9"/>
      <c r="ANY253" s="9"/>
      <c r="ANZ253" s="9"/>
      <c r="AOA253" s="9"/>
      <c r="AOB253" s="9"/>
      <c r="AOC253" s="9"/>
      <c r="AOD253" s="9"/>
      <c r="AOE253" s="9"/>
      <c r="AOF253" s="9"/>
      <c r="AOG253" s="9"/>
      <c r="AOH253" s="9"/>
      <c r="AOI253" s="9"/>
      <c r="AOJ253" s="9"/>
      <c r="AOK253" s="9"/>
      <c r="AOL253" s="9"/>
      <c r="AOM253" s="9"/>
      <c r="AON253" s="9"/>
      <c r="AOO253" s="9"/>
      <c r="AOP253" s="9"/>
      <c r="AOQ253" s="9"/>
      <c r="AOR253" s="9"/>
      <c r="AOS253" s="9"/>
      <c r="AOT253" s="9"/>
      <c r="AOU253" s="9"/>
      <c r="AOV253" s="9"/>
      <c r="AOW253" s="9"/>
      <c r="AOX253" s="9"/>
      <c r="AOY253" s="9"/>
      <c r="AOZ253" s="9"/>
      <c r="APA253" s="9"/>
      <c r="APB253" s="9"/>
      <c r="APC253" s="9"/>
      <c r="APD253" s="9"/>
      <c r="APE253" s="9"/>
      <c r="APF253" s="9"/>
      <c r="APG253" s="9"/>
      <c r="APH253" s="9"/>
      <c r="API253" s="9"/>
      <c r="APJ253" s="9"/>
      <c r="APK253" s="9"/>
      <c r="APL253" s="9"/>
      <c r="APM253" s="9"/>
      <c r="APN253" s="9"/>
      <c r="APO253" s="9"/>
      <c r="APP253" s="9"/>
      <c r="APQ253" s="9"/>
      <c r="APR253" s="9"/>
      <c r="APS253" s="9"/>
      <c r="APT253" s="9"/>
      <c r="APU253" s="9"/>
      <c r="APV253" s="9"/>
      <c r="APW253" s="9"/>
      <c r="APX253" s="9"/>
      <c r="APY253" s="9"/>
      <c r="APZ253" s="9"/>
      <c r="AQA253" s="9"/>
      <c r="AQB253" s="9"/>
      <c r="AQC253" s="9"/>
      <c r="AQD253" s="9"/>
      <c r="AQE253" s="9"/>
      <c r="AQF253" s="9"/>
      <c r="AQG253" s="9"/>
      <c r="AQH253" s="9"/>
      <c r="AQI253" s="9"/>
      <c r="AQJ253" s="9"/>
      <c r="AQK253" s="9"/>
      <c r="AQL253" s="9"/>
      <c r="AQM253" s="9"/>
      <c r="AQN253" s="9"/>
      <c r="AQO253" s="9"/>
      <c r="AQP253" s="9"/>
      <c r="AQQ253" s="9"/>
      <c r="AQR253" s="9"/>
      <c r="AQS253" s="9"/>
      <c r="AQT253" s="9"/>
      <c r="AQU253" s="9"/>
      <c r="AQV253" s="9"/>
      <c r="AQW253" s="9"/>
      <c r="AQX253" s="9"/>
      <c r="AQY253" s="9"/>
      <c r="AQZ253" s="9"/>
      <c r="ARA253" s="9"/>
      <c r="ARB253" s="9"/>
      <c r="ARC253" s="9"/>
      <c r="ARD253" s="9"/>
      <c r="ARE253" s="9"/>
      <c r="ARF253" s="9"/>
      <c r="ARG253" s="9"/>
      <c r="ARH253" s="9"/>
      <c r="ARI253" s="9"/>
      <c r="ARJ253" s="9"/>
      <c r="ARK253" s="9"/>
      <c r="ARL253" s="9"/>
      <c r="ARM253" s="9"/>
      <c r="ARN253" s="9"/>
      <c r="ARO253" s="9"/>
      <c r="ARP253" s="9"/>
      <c r="ARQ253" s="9"/>
      <c r="ARR253" s="9"/>
      <c r="ARS253" s="9"/>
      <c r="ART253" s="9"/>
      <c r="ARU253" s="9"/>
      <c r="ARV253" s="9"/>
      <c r="ARW253" s="9"/>
      <c r="ARX253" s="9"/>
      <c r="ARY253" s="9"/>
      <c r="ARZ253" s="9"/>
      <c r="ASA253" s="9"/>
      <c r="ASB253" s="9"/>
      <c r="ASC253" s="9"/>
      <c r="ASD253" s="9"/>
      <c r="ASE253" s="9"/>
      <c r="ASF253" s="9"/>
      <c r="ASG253" s="9"/>
      <c r="ASH253" s="9"/>
      <c r="ASI253" s="9"/>
      <c r="ASJ253" s="9"/>
      <c r="ASK253" s="9"/>
      <c r="ASL253" s="9"/>
      <c r="ASM253" s="9"/>
      <c r="ASN253" s="9"/>
      <c r="ASO253" s="9"/>
      <c r="ASP253" s="9"/>
      <c r="ASQ253" s="9"/>
      <c r="ASR253" s="9"/>
      <c r="ASS253" s="9"/>
      <c r="AST253" s="9"/>
      <c r="ASU253" s="9"/>
      <c r="ASV253" s="9"/>
      <c r="ASW253" s="9"/>
      <c r="ASX253" s="9"/>
      <c r="ASY253" s="9"/>
      <c r="ASZ253" s="9"/>
      <c r="ATA253" s="9"/>
      <c r="ATB253" s="9"/>
      <c r="ATC253" s="9"/>
      <c r="ATD253" s="9"/>
      <c r="ATE253" s="9"/>
      <c r="ATF253" s="9"/>
      <c r="ATG253" s="9"/>
      <c r="ATH253" s="9"/>
      <c r="ATI253" s="9"/>
      <c r="ATJ253" s="9"/>
      <c r="ATK253" s="9"/>
      <c r="ATL253" s="9"/>
      <c r="ATM253" s="9"/>
      <c r="ATN253" s="9"/>
      <c r="ATO253" s="9"/>
      <c r="ATP253" s="9"/>
      <c r="ATQ253" s="9"/>
      <c r="ATR253" s="9"/>
      <c r="ATS253" s="9"/>
      <c r="ATT253" s="9"/>
      <c r="ATU253" s="9"/>
      <c r="ATV253" s="9"/>
      <c r="ATW253" s="9"/>
      <c r="ATX253" s="9"/>
      <c r="ATY253" s="9"/>
      <c r="ATZ253" s="9"/>
      <c r="AUA253" s="9"/>
      <c r="AUB253" s="9"/>
      <c r="AUC253" s="9"/>
      <c r="AUD253" s="9"/>
      <c r="AUE253" s="9"/>
      <c r="AUF253" s="9"/>
      <c r="AUG253" s="9"/>
      <c r="AUH253" s="9"/>
      <c r="AUI253" s="9"/>
      <c r="AUJ253" s="9"/>
      <c r="AUK253" s="9"/>
      <c r="AUL253" s="9"/>
      <c r="AUM253" s="9"/>
      <c r="AUN253" s="9"/>
      <c r="AUO253" s="9"/>
      <c r="AUP253" s="9"/>
      <c r="AUQ253" s="9"/>
      <c r="AUR253" s="9"/>
      <c r="AUS253" s="9"/>
      <c r="AUT253" s="9"/>
      <c r="AUU253" s="9"/>
      <c r="AUV253" s="9"/>
      <c r="AUW253" s="9"/>
      <c r="AUX253" s="9"/>
      <c r="AUY253" s="9"/>
      <c r="AUZ253" s="9"/>
      <c r="AVA253" s="9"/>
      <c r="AVB253" s="9"/>
      <c r="AVC253" s="9"/>
      <c r="AVD253" s="9"/>
      <c r="AVE253" s="9"/>
      <c r="AVF253" s="9"/>
      <c r="AVG253" s="9"/>
      <c r="AVH253" s="9"/>
      <c r="AVI253" s="9"/>
      <c r="AVJ253" s="9"/>
      <c r="AVK253" s="9"/>
      <c r="AVL253" s="9"/>
      <c r="AVM253" s="9"/>
      <c r="AVN253" s="9"/>
      <c r="AVO253" s="9"/>
      <c r="AVP253" s="9"/>
      <c r="AVQ253" s="9"/>
      <c r="AVR253" s="9"/>
      <c r="AVS253" s="9"/>
      <c r="AVT253" s="9"/>
      <c r="AVU253" s="9"/>
      <c r="AVV253" s="9"/>
      <c r="AVW253" s="9"/>
      <c r="AVX253" s="9"/>
      <c r="AVY253" s="9"/>
      <c r="AVZ253" s="9"/>
      <c r="AWA253" s="9"/>
      <c r="AWB253" s="9"/>
      <c r="AWC253" s="9"/>
      <c r="AWD253" s="9"/>
      <c r="AWE253" s="9"/>
      <c r="AWF253" s="9"/>
      <c r="AWG253" s="9"/>
      <c r="AWH253" s="9"/>
      <c r="AWI253" s="9"/>
      <c r="AWJ253" s="9"/>
      <c r="AWK253" s="9"/>
      <c r="AWL253" s="9"/>
      <c r="AWM253" s="9"/>
      <c r="AWN253" s="9"/>
      <c r="AWO253" s="9"/>
      <c r="AWP253" s="9"/>
      <c r="AWQ253" s="9"/>
      <c r="AWR253" s="9"/>
      <c r="AWS253" s="9"/>
      <c r="AWT253" s="9"/>
      <c r="AWU253" s="9"/>
      <c r="AWV253" s="9"/>
      <c r="AWW253" s="9"/>
      <c r="AWX253" s="9"/>
      <c r="AWY253" s="9"/>
      <c r="AWZ253" s="9"/>
      <c r="AXA253" s="9"/>
      <c r="AXB253" s="9"/>
      <c r="AXC253" s="9"/>
      <c r="AXD253" s="9"/>
      <c r="AXE253" s="9"/>
      <c r="AXF253" s="9"/>
      <c r="AXG253" s="9"/>
      <c r="AXH253" s="9"/>
      <c r="AXI253" s="9"/>
      <c r="AXJ253" s="9"/>
      <c r="AXK253" s="9"/>
      <c r="AXL253" s="9"/>
      <c r="AXM253" s="9"/>
      <c r="AXN253" s="9"/>
      <c r="AXO253" s="9"/>
      <c r="AXP253" s="9"/>
      <c r="AXQ253" s="9"/>
      <c r="AXR253" s="9"/>
      <c r="AXS253" s="9"/>
      <c r="AXT253" s="9"/>
      <c r="AXU253" s="9"/>
      <c r="AXV253" s="9"/>
      <c r="AXW253" s="9"/>
      <c r="AXX253" s="9"/>
      <c r="AXY253" s="9"/>
      <c r="AXZ253" s="9"/>
      <c r="AYA253" s="9"/>
      <c r="AYB253" s="9"/>
      <c r="AYC253" s="9"/>
      <c r="AYD253" s="9"/>
      <c r="AYE253" s="9"/>
      <c r="AYF253" s="9"/>
      <c r="AYG253" s="9"/>
      <c r="AYH253" s="9"/>
      <c r="AYI253" s="9"/>
      <c r="AYJ253" s="9"/>
      <c r="AYK253" s="9"/>
      <c r="AYL253" s="9"/>
      <c r="AYM253" s="9"/>
      <c r="AYN253" s="9"/>
      <c r="AYO253" s="9"/>
      <c r="AYP253" s="9"/>
      <c r="AYQ253" s="9"/>
      <c r="AYR253" s="9"/>
      <c r="AYS253" s="9"/>
      <c r="AYT253" s="9"/>
      <c r="AYU253" s="9"/>
      <c r="AYV253" s="9"/>
      <c r="AYW253" s="9"/>
      <c r="AYX253" s="9"/>
      <c r="AYY253" s="9"/>
      <c r="AYZ253" s="9"/>
      <c r="AZA253" s="9"/>
      <c r="AZB253" s="9"/>
      <c r="AZC253" s="9"/>
      <c r="AZD253" s="9"/>
      <c r="AZE253" s="9"/>
      <c r="AZF253" s="9"/>
      <c r="AZG253" s="9"/>
      <c r="AZH253" s="9"/>
      <c r="AZI253" s="9"/>
      <c r="AZJ253" s="9"/>
      <c r="AZK253" s="9"/>
      <c r="AZL253" s="9"/>
      <c r="AZM253" s="9"/>
      <c r="AZN253" s="9"/>
      <c r="AZO253" s="9"/>
      <c r="AZP253" s="9"/>
      <c r="AZQ253" s="9"/>
      <c r="AZR253" s="9"/>
      <c r="AZS253" s="9"/>
      <c r="AZT253" s="9"/>
      <c r="AZU253" s="9"/>
      <c r="AZV253" s="9"/>
      <c r="AZW253" s="9"/>
      <c r="AZX253" s="9"/>
      <c r="AZY253" s="9"/>
      <c r="AZZ253" s="9"/>
      <c r="BAA253" s="9"/>
      <c r="BAB253" s="9"/>
      <c r="BAC253" s="9"/>
      <c r="BAD253" s="9"/>
      <c r="BAE253" s="9"/>
      <c r="BAF253" s="9"/>
      <c r="BAG253" s="9"/>
      <c r="BAH253" s="9"/>
      <c r="BAI253" s="9"/>
      <c r="BAJ253" s="9"/>
      <c r="BAK253" s="9"/>
      <c r="BAL253" s="9"/>
      <c r="BAM253" s="9"/>
      <c r="BAN253" s="9"/>
      <c r="BAO253" s="9"/>
      <c r="BAP253" s="9"/>
      <c r="BAQ253" s="9"/>
      <c r="BAR253" s="9"/>
      <c r="BAS253" s="9"/>
      <c r="BAT253" s="9"/>
      <c r="BAU253" s="9"/>
      <c r="BAV253" s="9"/>
      <c r="BAW253" s="9"/>
      <c r="BAX253" s="9"/>
      <c r="BAY253" s="9"/>
      <c r="BAZ253" s="9"/>
      <c r="BBA253" s="9"/>
      <c r="BBB253" s="9"/>
      <c r="BBC253" s="9"/>
      <c r="BBD253" s="9"/>
      <c r="BBE253" s="9"/>
      <c r="BBF253" s="9"/>
      <c r="BBG253" s="9"/>
      <c r="BBH253" s="9"/>
      <c r="BBI253" s="9"/>
      <c r="BBJ253" s="9"/>
      <c r="BBK253" s="9"/>
      <c r="BBL253" s="9"/>
      <c r="BBM253" s="9"/>
      <c r="BBN253" s="9"/>
      <c r="BBO253" s="9"/>
      <c r="BBP253" s="9"/>
      <c r="BBQ253" s="9"/>
      <c r="BBR253" s="9"/>
      <c r="BBS253" s="9"/>
      <c r="BBT253" s="9"/>
      <c r="BBU253" s="9"/>
      <c r="BBV253" s="9"/>
      <c r="BBW253" s="9"/>
      <c r="BBX253" s="9"/>
      <c r="BBY253" s="9"/>
      <c r="BBZ253" s="9"/>
      <c r="BCA253" s="9"/>
      <c r="BCB253" s="9"/>
      <c r="BCC253" s="9"/>
      <c r="BCD253" s="9"/>
      <c r="BCE253" s="9"/>
      <c r="BCF253" s="9"/>
      <c r="BCG253" s="9"/>
      <c r="BCH253" s="9"/>
      <c r="BCI253" s="9"/>
      <c r="BCJ253" s="9"/>
      <c r="BCK253" s="9"/>
      <c r="BCL253" s="9"/>
      <c r="BCM253" s="9"/>
      <c r="BCN253" s="9"/>
      <c r="BCO253" s="9"/>
      <c r="BCP253" s="9"/>
      <c r="BCQ253" s="9"/>
      <c r="BCR253" s="9"/>
      <c r="BCS253" s="9"/>
      <c r="BCT253" s="9"/>
      <c r="BCU253" s="9"/>
      <c r="BCV253" s="9"/>
      <c r="BCW253" s="9"/>
      <c r="BCX253" s="9"/>
      <c r="BCY253" s="9"/>
      <c r="BCZ253" s="9"/>
      <c r="BDA253" s="9"/>
      <c r="BDB253" s="9"/>
      <c r="BDC253" s="9"/>
      <c r="BDD253" s="9"/>
      <c r="BDE253" s="9"/>
      <c r="BDF253" s="9"/>
      <c r="BDG253" s="9"/>
      <c r="BDH253" s="9"/>
      <c r="BDI253" s="9"/>
      <c r="BDJ253" s="9"/>
      <c r="BDK253" s="9"/>
      <c r="BDL253" s="9"/>
      <c r="BDM253" s="9"/>
      <c r="BDN253" s="9"/>
      <c r="BDO253" s="9"/>
      <c r="BDP253" s="9"/>
      <c r="BDQ253" s="9"/>
      <c r="BDR253" s="9"/>
      <c r="BDS253" s="9"/>
      <c r="BDT253" s="9"/>
      <c r="BDU253" s="9"/>
      <c r="BDV253" s="9"/>
      <c r="BDW253" s="9"/>
      <c r="BDX253" s="9"/>
      <c r="BDY253" s="9"/>
      <c r="BDZ253" s="9"/>
      <c r="BEA253" s="9"/>
      <c r="BEB253" s="9"/>
      <c r="BEC253" s="9"/>
      <c r="BED253" s="9"/>
      <c r="BEE253" s="9"/>
      <c r="BEF253" s="9"/>
      <c r="BEG253" s="9"/>
      <c r="BEH253" s="9"/>
      <c r="BEI253" s="9"/>
      <c r="BEJ253" s="9"/>
      <c r="BEK253" s="9"/>
      <c r="BEL253" s="9"/>
      <c r="BEM253" s="9"/>
      <c r="BEN253" s="9"/>
      <c r="BEO253" s="9"/>
      <c r="BEP253" s="9"/>
      <c r="BEQ253" s="9"/>
      <c r="BER253" s="9"/>
      <c r="BES253" s="9"/>
      <c r="BET253" s="9"/>
      <c r="BEU253" s="9"/>
      <c r="BEV253" s="9"/>
      <c r="BEW253" s="9"/>
      <c r="BEX253" s="9"/>
      <c r="BEY253" s="9"/>
      <c r="BEZ253" s="9"/>
      <c r="BFA253" s="9"/>
      <c r="BFB253" s="9"/>
      <c r="BFC253" s="9"/>
      <c r="BFD253" s="9"/>
      <c r="BFE253" s="9"/>
      <c r="BFF253" s="9"/>
      <c r="BFG253" s="9"/>
      <c r="BFH253" s="9"/>
      <c r="BFI253" s="9"/>
      <c r="BFJ253" s="9"/>
      <c r="BFK253" s="9"/>
      <c r="BFL253" s="9"/>
      <c r="BFM253" s="9"/>
      <c r="BFN253" s="9"/>
      <c r="BFO253" s="9"/>
      <c r="BFP253" s="9"/>
      <c r="BFQ253" s="9"/>
      <c r="BFR253" s="9"/>
      <c r="BFS253" s="9"/>
      <c r="BFT253" s="9"/>
      <c r="BFU253" s="9"/>
      <c r="BFV253" s="9"/>
      <c r="BFW253" s="9"/>
      <c r="BFX253" s="9"/>
      <c r="BFY253" s="9"/>
      <c r="BFZ253" s="9"/>
      <c r="BGA253" s="9"/>
      <c r="BGB253" s="9"/>
      <c r="BGC253" s="9"/>
      <c r="BGD253" s="9"/>
      <c r="BGE253" s="9"/>
      <c r="BGF253" s="9"/>
      <c r="BGG253" s="9"/>
      <c r="BGH253" s="9"/>
      <c r="BGI253" s="9"/>
      <c r="BGJ253" s="9"/>
      <c r="BGK253" s="9"/>
      <c r="BGL253" s="9"/>
      <c r="BGM253" s="9"/>
      <c r="BGN253" s="9"/>
      <c r="BGO253" s="9"/>
      <c r="BGP253" s="9"/>
      <c r="BGQ253" s="9"/>
      <c r="BGR253" s="9"/>
      <c r="BGS253" s="9"/>
      <c r="BGT253" s="9"/>
      <c r="BGU253" s="9"/>
      <c r="BGV253" s="9"/>
      <c r="BGW253" s="9"/>
      <c r="BGX253" s="9"/>
      <c r="BGY253" s="9"/>
      <c r="BGZ253" s="9"/>
      <c r="BHA253" s="9"/>
      <c r="BHB253" s="9"/>
      <c r="BHC253" s="9"/>
      <c r="BHD253" s="9"/>
      <c r="BHE253" s="9"/>
      <c r="BHF253" s="9"/>
      <c r="BHG253" s="9"/>
      <c r="BHH253" s="9"/>
      <c r="BHI253" s="9"/>
      <c r="BHJ253" s="9"/>
      <c r="BHK253" s="9"/>
      <c r="BHL253" s="9"/>
      <c r="BHM253" s="9"/>
      <c r="BHN253" s="9"/>
      <c r="BHO253" s="9"/>
      <c r="BHP253" s="9"/>
      <c r="BHQ253" s="9"/>
      <c r="BHR253" s="9"/>
      <c r="BHS253" s="9"/>
      <c r="BHT253" s="9"/>
      <c r="BHU253" s="9"/>
      <c r="BHV253" s="9"/>
      <c r="BHW253" s="9"/>
      <c r="BHX253" s="9"/>
      <c r="BHY253" s="9"/>
      <c r="BHZ253" s="9"/>
      <c r="BIA253" s="9"/>
      <c r="BIB253" s="9"/>
      <c r="BIC253" s="9"/>
      <c r="BID253" s="9"/>
      <c r="BIE253" s="9"/>
      <c r="BIF253" s="9"/>
      <c r="BIG253" s="9"/>
      <c r="BIH253" s="9"/>
      <c r="BII253" s="9"/>
      <c r="BIJ253" s="9"/>
      <c r="BIK253" s="9"/>
      <c r="BIL253" s="9"/>
      <c r="BIM253" s="9"/>
      <c r="BIN253" s="9"/>
      <c r="BIO253" s="9"/>
      <c r="BIP253" s="9"/>
      <c r="BIQ253" s="9"/>
      <c r="BIR253" s="9"/>
      <c r="BIS253" s="9"/>
      <c r="BIT253" s="9"/>
      <c r="BIU253" s="9"/>
      <c r="BIV253" s="9"/>
      <c r="BIW253" s="9"/>
      <c r="BIX253" s="9"/>
      <c r="BIY253" s="9"/>
      <c r="BIZ253" s="9"/>
      <c r="BJA253" s="9"/>
      <c r="BJB253" s="9"/>
      <c r="BJC253" s="9"/>
      <c r="BJD253" s="9"/>
      <c r="BJE253" s="9"/>
      <c r="BJF253" s="9"/>
      <c r="BJG253" s="9"/>
      <c r="BJH253" s="9"/>
      <c r="BJI253" s="9"/>
      <c r="BJJ253" s="9"/>
      <c r="BJK253" s="9"/>
      <c r="BJL253" s="9"/>
      <c r="BJM253" s="9"/>
      <c r="BJN253" s="9"/>
      <c r="BJO253" s="9"/>
      <c r="BJP253" s="9"/>
      <c r="BJQ253" s="9"/>
      <c r="BJR253" s="9"/>
      <c r="BJS253" s="9"/>
      <c r="BJT253" s="9"/>
      <c r="BJU253" s="9"/>
      <c r="BJV253" s="9"/>
      <c r="BJW253" s="9"/>
      <c r="BJX253" s="9"/>
      <c r="BJY253" s="9"/>
      <c r="BJZ253" s="9"/>
      <c r="BKA253" s="9"/>
      <c r="BKB253" s="9"/>
      <c r="BKC253" s="9"/>
      <c r="BKD253" s="9"/>
      <c r="BKE253" s="9"/>
      <c r="BKF253" s="9"/>
      <c r="BKG253" s="9"/>
      <c r="BKH253" s="9"/>
      <c r="BKI253" s="9"/>
      <c r="BKJ253" s="9"/>
      <c r="BKK253" s="9"/>
      <c r="BKL253" s="9"/>
      <c r="BKM253" s="9"/>
      <c r="BKN253" s="9"/>
      <c r="BKO253" s="9"/>
      <c r="BKP253" s="9"/>
      <c r="BKQ253" s="9"/>
      <c r="BKR253" s="9"/>
      <c r="BKS253" s="9"/>
      <c r="BKT253" s="9"/>
      <c r="BKU253" s="9"/>
      <c r="BKV253" s="9"/>
      <c r="BKW253" s="9"/>
      <c r="BKX253" s="9"/>
      <c r="BKY253" s="9"/>
      <c r="BKZ253" s="9"/>
      <c r="BLA253" s="9"/>
      <c r="BLB253" s="9"/>
      <c r="BLC253" s="9"/>
      <c r="BLD253" s="9"/>
      <c r="BLE253" s="9"/>
      <c r="BLF253" s="9"/>
      <c r="BLG253" s="9"/>
      <c r="BLH253" s="9"/>
      <c r="BLI253" s="9"/>
      <c r="BLJ253" s="9"/>
      <c r="BLK253" s="9"/>
      <c r="BLL253" s="9"/>
      <c r="BLM253" s="9"/>
      <c r="BLN253" s="9"/>
      <c r="BLO253" s="9"/>
      <c r="BLP253" s="9"/>
      <c r="BLQ253" s="9"/>
      <c r="BLR253" s="9"/>
      <c r="BLS253" s="9"/>
      <c r="BLT253" s="9"/>
      <c r="BLU253" s="9"/>
      <c r="BLV253" s="9"/>
      <c r="BLW253" s="9"/>
      <c r="BLX253" s="9"/>
      <c r="BLY253" s="9"/>
      <c r="BLZ253" s="9"/>
      <c r="BMA253" s="9"/>
      <c r="BMB253" s="9"/>
      <c r="BMC253" s="9"/>
      <c r="BMD253" s="9"/>
      <c r="BME253" s="9"/>
      <c r="BMF253" s="9"/>
      <c r="BMG253" s="9"/>
      <c r="BMH253" s="9"/>
      <c r="BMI253" s="9"/>
      <c r="BMJ253" s="9"/>
      <c r="BMK253" s="9"/>
      <c r="BML253" s="9"/>
      <c r="BMM253" s="9"/>
      <c r="BMN253" s="9"/>
      <c r="BMO253" s="9"/>
      <c r="BMP253" s="9"/>
      <c r="BMQ253" s="9"/>
      <c r="BMR253" s="9"/>
      <c r="BMS253" s="9"/>
      <c r="BMT253" s="9"/>
      <c r="BMU253" s="9"/>
      <c r="BMV253" s="9"/>
      <c r="BMW253" s="9"/>
      <c r="BMX253" s="9"/>
      <c r="BMY253" s="9"/>
      <c r="BMZ253" s="9"/>
      <c r="BNA253" s="9"/>
      <c r="BNB253" s="9"/>
      <c r="BNC253" s="9"/>
      <c r="BND253" s="9"/>
      <c r="BNE253" s="9"/>
      <c r="BNF253" s="9"/>
      <c r="BNG253" s="9"/>
      <c r="BNH253" s="9"/>
      <c r="BNI253" s="9"/>
      <c r="BNJ253" s="9"/>
      <c r="BNK253" s="9"/>
      <c r="BNL253" s="9"/>
      <c r="BNM253" s="9"/>
      <c r="BNN253" s="9"/>
      <c r="BNO253" s="9"/>
      <c r="BNP253" s="9"/>
      <c r="BNQ253" s="9"/>
      <c r="BNR253" s="9"/>
      <c r="BNS253" s="9"/>
      <c r="BNT253" s="9"/>
      <c r="BNU253" s="9"/>
      <c r="BNV253" s="9"/>
      <c r="BNW253" s="9"/>
      <c r="BNX253" s="9"/>
      <c r="BNY253" s="9"/>
      <c r="BNZ253" s="9"/>
      <c r="BOA253" s="9"/>
      <c r="BOB253" s="9"/>
      <c r="BOC253" s="9"/>
      <c r="BOD253" s="9"/>
      <c r="BOE253" s="9"/>
      <c r="BOF253" s="9"/>
      <c r="BOG253" s="9"/>
      <c r="BOH253" s="9"/>
      <c r="BOI253" s="9"/>
      <c r="BOJ253" s="9"/>
      <c r="BOK253" s="9"/>
      <c r="BOL253" s="9"/>
      <c r="BOM253" s="9"/>
      <c r="BON253" s="9"/>
      <c r="BOO253" s="9"/>
      <c r="BOP253" s="9"/>
      <c r="BOQ253" s="9"/>
      <c r="BOR253" s="9"/>
      <c r="BOS253" s="9"/>
      <c r="BOT253" s="9"/>
      <c r="BOU253" s="9"/>
      <c r="BOV253" s="9"/>
      <c r="BOW253" s="9"/>
      <c r="BOX253" s="9"/>
      <c r="BOY253" s="9"/>
      <c r="BOZ253" s="9"/>
      <c r="BPA253" s="9"/>
      <c r="BPB253" s="9"/>
      <c r="BPC253" s="9"/>
      <c r="BPD253" s="9"/>
      <c r="BPE253" s="9"/>
      <c r="BPF253" s="9"/>
      <c r="BPG253" s="9"/>
      <c r="BPH253" s="9"/>
      <c r="BPI253" s="9"/>
      <c r="BPJ253" s="9"/>
      <c r="BPK253" s="9"/>
      <c r="BPL253" s="9"/>
      <c r="BPM253" s="9"/>
      <c r="BPN253" s="9"/>
      <c r="BPO253" s="9"/>
      <c r="BPP253" s="9"/>
      <c r="BPQ253" s="9"/>
      <c r="BPR253" s="9"/>
      <c r="BPS253" s="9"/>
      <c r="BPT253" s="9"/>
      <c r="BPU253" s="9"/>
      <c r="BPV253" s="9"/>
      <c r="BPW253" s="9"/>
      <c r="BPX253" s="9"/>
      <c r="BPY253" s="9"/>
      <c r="BPZ253" s="9"/>
      <c r="BQA253" s="9"/>
      <c r="BQB253" s="9"/>
      <c r="BQC253" s="9"/>
      <c r="BQD253" s="9"/>
      <c r="BQE253" s="9"/>
      <c r="BQF253" s="9"/>
      <c r="BQG253" s="9"/>
      <c r="BQH253" s="9"/>
      <c r="BQI253" s="9"/>
      <c r="BQJ253" s="9"/>
      <c r="BQK253" s="9"/>
      <c r="BQL253" s="9"/>
      <c r="BQM253" s="9"/>
      <c r="BQN253" s="9"/>
      <c r="BQO253" s="9"/>
      <c r="BQP253" s="9"/>
      <c r="BQQ253" s="9"/>
      <c r="BQR253" s="9"/>
      <c r="BQS253" s="9"/>
      <c r="BQT253" s="9"/>
      <c r="BQU253" s="9"/>
      <c r="BQV253" s="9"/>
      <c r="BQW253" s="9"/>
      <c r="BQX253" s="9"/>
      <c r="BQY253" s="9"/>
      <c r="BQZ253" s="9"/>
      <c r="BRA253" s="9"/>
      <c r="BRB253" s="9"/>
      <c r="BRC253" s="9"/>
      <c r="BRD253" s="9"/>
      <c r="BRE253" s="9"/>
      <c r="BRF253" s="9"/>
      <c r="BRG253" s="9"/>
      <c r="BRH253" s="9"/>
      <c r="BRI253" s="9"/>
      <c r="BRJ253" s="9"/>
      <c r="BRK253" s="9"/>
      <c r="BRL253" s="9"/>
      <c r="BRM253" s="9"/>
      <c r="BRN253" s="9"/>
      <c r="BRO253" s="9"/>
      <c r="BRP253" s="9"/>
      <c r="BRQ253" s="9"/>
      <c r="BRR253" s="9"/>
      <c r="BRS253" s="9"/>
      <c r="BRT253" s="9"/>
      <c r="BRU253" s="9"/>
      <c r="BRV253" s="9"/>
      <c r="BRW253" s="9"/>
      <c r="BRX253" s="9"/>
      <c r="BRY253" s="9"/>
      <c r="BRZ253" s="9"/>
      <c r="BSA253" s="9"/>
      <c r="BSB253" s="9"/>
      <c r="BSC253" s="9"/>
      <c r="BSD253" s="9"/>
      <c r="BSE253" s="9"/>
      <c r="BSF253" s="9"/>
      <c r="BSG253" s="9"/>
      <c r="BSH253" s="9"/>
      <c r="BSI253" s="9"/>
      <c r="BSJ253" s="9"/>
      <c r="BSK253" s="9"/>
      <c r="BSL253" s="9"/>
      <c r="BSM253" s="9"/>
      <c r="BSN253" s="9"/>
      <c r="BSO253" s="9"/>
      <c r="BSP253" s="9"/>
      <c r="BSQ253" s="9"/>
      <c r="BSR253" s="9"/>
      <c r="BSS253" s="9"/>
      <c r="BST253" s="9"/>
      <c r="BSU253" s="9"/>
      <c r="BSV253" s="9"/>
      <c r="BSW253" s="9"/>
      <c r="BSX253" s="9"/>
      <c r="BSY253" s="9"/>
      <c r="BSZ253" s="9"/>
      <c r="BTA253" s="9"/>
      <c r="BTB253" s="9"/>
      <c r="BTC253" s="9"/>
      <c r="BTD253" s="9"/>
      <c r="BTE253" s="9"/>
      <c r="BTF253" s="9"/>
      <c r="BTG253" s="9"/>
      <c r="BTH253" s="9"/>
      <c r="BTI253" s="9"/>
      <c r="BTJ253" s="9"/>
      <c r="BTK253" s="9"/>
      <c r="BTL253" s="9"/>
      <c r="BTM253" s="9"/>
      <c r="BTN253" s="9"/>
      <c r="BTO253" s="9"/>
      <c r="BTP253" s="9"/>
      <c r="BTQ253" s="9"/>
      <c r="BTR253" s="9"/>
      <c r="BTS253" s="9"/>
      <c r="BTT253" s="9"/>
      <c r="BTU253" s="9"/>
      <c r="BTV253" s="9"/>
      <c r="BTW253" s="9"/>
      <c r="BTX253" s="9"/>
      <c r="BTY253" s="9"/>
      <c r="BTZ253" s="9"/>
      <c r="BUA253" s="9"/>
      <c r="BUB253" s="9"/>
      <c r="BUC253" s="9"/>
      <c r="BUD253" s="9"/>
      <c r="BUE253" s="9"/>
      <c r="BUF253" s="9"/>
      <c r="BUG253" s="9"/>
      <c r="BUH253" s="9"/>
      <c r="BUI253" s="9"/>
      <c r="BUJ253" s="9"/>
      <c r="BUK253" s="9"/>
      <c r="BUL253" s="9"/>
      <c r="BUM253" s="9"/>
      <c r="BUN253" s="9"/>
      <c r="BUO253" s="9"/>
      <c r="BUP253" s="9"/>
      <c r="BUQ253" s="9"/>
      <c r="BUR253" s="9"/>
      <c r="BUS253" s="9"/>
      <c r="BUT253" s="9"/>
      <c r="BUU253" s="9"/>
      <c r="BUV253" s="9"/>
      <c r="BUW253" s="9"/>
      <c r="BUX253" s="9"/>
      <c r="BUY253" s="9"/>
      <c r="BUZ253" s="9"/>
      <c r="BVA253" s="9"/>
      <c r="BVB253" s="9"/>
      <c r="BVC253" s="9"/>
      <c r="BVD253" s="9"/>
      <c r="BVE253" s="9"/>
      <c r="BVF253" s="9"/>
      <c r="BVG253" s="9"/>
      <c r="BVH253" s="9"/>
      <c r="BVI253" s="9"/>
      <c r="BVJ253" s="9"/>
      <c r="BVK253" s="9"/>
      <c r="BVL253" s="9"/>
      <c r="BVM253" s="9"/>
      <c r="BVN253" s="9"/>
      <c r="BVO253" s="9"/>
      <c r="BVP253" s="9"/>
      <c r="BVQ253" s="9"/>
      <c r="BVR253" s="9"/>
      <c r="BVS253" s="9"/>
      <c r="BVT253" s="9"/>
      <c r="BVU253" s="9"/>
      <c r="BVV253" s="9"/>
      <c r="BVW253" s="9"/>
      <c r="BVX253" s="9"/>
      <c r="BVY253" s="9"/>
      <c r="BVZ253" s="9"/>
      <c r="BWA253" s="9"/>
      <c r="BWB253" s="9"/>
      <c r="BWC253" s="9"/>
      <c r="BWD253" s="9"/>
      <c r="BWE253" s="9"/>
      <c r="BWF253" s="9"/>
      <c r="BWG253" s="9"/>
      <c r="BWH253" s="9"/>
      <c r="BWI253" s="9"/>
      <c r="BWJ253" s="9"/>
      <c r="BWK253" s="9"/>
      <c r="BWL253" s="9"/>
      <c r="BWM253" s="9"/>
      <c r="BWN253" s="9"/>
      <c r="BWO253" s="9"/>
      <c r="BWP253" s="9"/>
      <c r="BWQ253" s="9"/>
      <c r="BWR253" s="9"/>
      <c r="BWS253" s="9"/>
      <c r="BWT253" s="9"/>
      <c r="BWU253" s="9"/>
      <c r="BWV253" s="9"/>
      <c r="BWW253" s="9"/>
      <c r="BWX253" s="9"/>
      <c r="BWY253" s="9"/>
      <c r="BWZ253" s="9"/>
      <c r="BXA253" s="9"/>
      <c r="BXB253" s="9"/>
      <c r="BXC253" s="9"/>
      <c r="BXD253" s="9"/>
      <c r="BXE253" s="9"/>
      <c r="BXF253" s="9"/>
      <c r="BXG253" s="9"/>
      <c r="BXH253" s="9"/>
      <c r="BXI253" s="9"/>
      <c r="BXJ253" s="9"/>
      <c r="BXK253" s="9"/>
      <c r="BXL253" s="9"/>
      <c r="BXM253" s="9"/>
      <c r="BXN253" s="9"/>
      <c r="BXO253" s="9"/>
      <c r="BXP253" s="9"/>
      <c r="BXQ253" s="9"/>
      <c r="BXR253" s="9"/>
      <c r="BXS253" s="9"/>
      <c r="BXT253" s="9"/>
      <c r="BXU253" s="9"/>
      <c r="BXV253" s="9"/>
      <c r="BXW253" s="9"/>
      <c r="BXX253" s="9"/>
      <c r="BXY253" s="9"/>
      <c r="BXZ253" s="9"/>
      <c r="BYA253" s="9"/>
      <c r="BYB253" s="9"/>
      <c r="BYC253" s="9"/>
      <c r="BYD253" s="9"/>
      <c r="BYE253" s="9"/>
      <c r="BYF253" s="9"/>
      <c r="BYG253" s="9"/>
      <c r="BYH253" s="9"/>
      <c r="BYI253" s="9"/>
      <c r="BYJ253" s="9"/>
      <c r="BYK253" s="9"/>
      <c r="BYL253" s="9"/>
      <c r="BYM253" s="9"/>
      <c r="BYN253" s="9"/>
      <c r="BYO253" s="9"/>
      <c r="BYP253" s="9"/>
      <c r="BYQ253" s="9"/>
      <c r="BYR253" s="9"/>
      <c r="BYS253" s="9"/>
      <c r="BYT253" s="9"/>
      <c r="BYU253" s="9"/>
      <c r="BYV253" s="9"/>
      <c r="BYW253" s="9"/>
      <c r="BYX253" s="9"/>
      <c r="BYY253" s="9"/>
      <c r="BYZ253" s="9"/>
      <c r="BZA253" s="9"/>
      <c r="BZB253" s="9"/>
      <c r="BZC253" s="9"/>
      <c r="BZD253" s="9"/>
      <c r="BZE253" s="9"/>
      <c r="BZF253" s="9"/>
      <c r="BZG253" s="9"/>
      <c r="BZH253" s="9"/>
      <c r="BZI253" s="9"/>
      <c r="BZJ253" s="9"/>
      <c r="BZK253" s="9"/>
      <c r="BZL253" s="9"/>
      <c r="BZM253" s="9"/>
      <c r="BZN253" s="9"/>
      <c r="BZO253" s="9"/>
      <c r="BZP253" s="9"/>
      <c r="BZQ253" s="9"/>
      <c r="BZR253" s="9"/>
      <c r="BZS253" s="9"/>
      <c r="BZT253" s="9"/>
      <c r="BZU253" s="9"/>
      <c r="BZV253" s="9"/>
      <c r="BZW253" s="9"/>
      <c r="BZX253" s="9"/>
      <c r="BZY253" s="9"/>
      <c r="BZZ253" s="9"/>
      <c r="CAA253" s="9"/>
      <c r="CAB253" s="9"/>
      <c r="CAC253" s="9"/>
      <c r="CAD253" s="9"/>
      <c r="CAE253" s="9"/>
      <c r="CAF253" s="9"/>
      <c r="CAG253" s="9"/>
      <c r="CAH253" s="9"/>
      <c r="CAI253" s="9"/>
      <c r="CAJ253" s="9"/>
      <c r="CAK253" s="9"/>
      <c r="CAL253" s="9"/>
      <c r="CAM253" s="9"/>
      <c r="CAN253" s="9"/>
      <c r="CAO253" s="9"/>
      <c r="CAP253" s="9"/>
      <c r="CAQ253" s="9"/>
      <c r="CAR253" s="9"/>
      <c r="CAS253" s="9"/>
      <c r="CAT253" s="9"/>
      <c r="CAU253" s="9"/>
      <c r="CAV253" s="9"/>
      <c r="CAW253" s="9"/>
      <c r="CAX253" s="9"/>
      <c r="CAY253" s="9"/>
      <c r="CAZ253" s="9"/>
      <c r="CBA253" s="9"/>
      <c r="CBB253" s="9"/>
      <c r="CBC253" s="9"/>
      <c r="CBD253" s="9"/>
      <c r="CBE253" s="9"/>
      <c r="CBF253" s="9"/>
      <c r="CBG253" s="9"/>
      <c r="CBH253" s="9"/>
      <c r="CBI253" s="9"/>
      <c r="CBJ253" s="9"/>
      <c r="CBK253" s="9"/>
      <c r="CBL253" s="9"/>
      <c r="CBM253" s="9"/>
      <c r="CBN253" s="9"/>
      <c r="CBO253" s="9"/>
      <c r="CBP253" s="9"/>
      <c r="CBQ253" s="9"/>
      <c r="CBR253" s="9"/>
      <c r="CBS253" s="9"/>
      <c r="CBT253" s="9"/>
      <c r="CBU253" s="9"/>
      <c r="CBV253" s="9"/>
      <c r="CBW253" s="9"/>
      <c r="CBX253" s="9"/>
      <c r="CBY253" s="9"/>
      <c r="CBZ253" s="9"/>
      <c r="CCA253" s="9"/>
      <c r="CCB253" s="9"/>
      <c r="CCC253" s="9"/>
      <c r="CCD253" s="9"/>
      <c r="CCE253" s="9"/>
      <c r="CCF253" s="9"/>
      <c r="CCG253" s="9"/>
      <c r="CCH253" s="9"/>
      <c r="CCI253" s="9"/>
      <c r="CCJ253" s="9"/>
      <c r="CCK253" s="9"/>
      <c r="CCL253" s="9"/>
      <c r="CCM253" s="9"/>
      <c r="CCN253" s="9"/>
      <c r="CCO253" s="9"/>
      <c r="CCP253" s="9"/>
      <c r="CCQ253" s="9"/>
      <c r="CCR253" s="9"/>
      <c r="CCS253" s="9"/>
      <c r="CCT253" s="9"/>
      <c r="CCU253" s="9"/>
      <c r="CCV253" s="9"/>
      <c r="CCW253" s="9"/>
      <c r="CCX253" s="9"/>
      <c r="CCY253" s="9"/>
      <c r="CCZ253" s="9"/>
      <c r="CDA253" s="9"/>
      <c r="CDB253" s="9"/>
      <c r="CDC253" s="9"/>
      <c r="CDD253" s="9"/>
      <c r="CDE253" s="9"/>
      <c r="CDF253" s="9"/>
      <c r="CDG253" s="9"/>
      <c r="CDH253" s="9"/>
      <c r="CDI253" s="9"/>
      <c r="CDJ253" s="9"/>
      <c r="CDK253" s="9"/>
      <c r="CDL253" s="9"/>
      <c r="CDM253" s="9"/>
      <c r="CDN253" s="9"/>
      <c r="CDO253" s="9"/>
      <c r="CDP253" s="9"/>
      <c r="CDQ253" s="9"/>
      <c r="CDR253" s="9"/>
      <c r="CDS253" s="9"/>
      <c r="CDT253" s="9"/>
      <c r="CDU253" s="9"/>
      <c r="CDV253" s="9"/>
      <c r="CDW253" s="9"/>
      <c r="CDX253" s="9"/>
      <c r="CDY253" s="9"/>
      <c r="CDZ253" s="9"/>
      <c r="CEA253" s="9"/>
      <c r="CEB253" s="9"/>
      <c r="CEC253" s="9"/>
      <c r="CED253" s="9"/>
      <c r="CEE253" s="9"/>
      <c r="CEF253" s="9"/>
      <c r="CEG253" s="9"/>
      <c r="CEH253" s="9"/>
      <c r="CEI253" s="9"/>
      <c r="CEJ253" s="9"/>
      <c r="CEK253" s="9"/>
      <c r="CEL253" s="9"/>
      <c r="CEM253" s="9"/>
      <c r="CEN253" s="9"/>
      <c r="CEO253" s="9"/>
      <c r="CEP253" s="9"/>
      <c r="CEQ253" s="9"/>
      <c r="CER253" s="9"/>
      <c r="CES253" s="9"/>
      <c r="CET253" s="9"/>
      <c r="CEU253" s="9"/>
      <c r="CEV253" s="9"/>
      <c r="CEW253" s="9"/>
      <c r="CEX253" s="9"/>
      <c r="CEY253" s="9"/>
      <c r="CEZ253" s="9"/>
      <c r="CFA253" s="9"/>
      <c r="CFB253" s="9"/>
      <c r="CFC253" s="9"/>
      <c r="CFD253" s="9"/>
      <c r="CFE253" s="9"/>
      <c r="CFF253" s="9"/>
      <c r="CFG253" s="9"/>
      <c r="CFH253" s="9"/>
      <c r="CFI253" s="9"/>
      <c r="CFJ253" s="9"/>
      <c r="CFK253" s="9"/>
      <c r="CFL253" s="9"/>
      <c r="CFM253" s="9"/>
      <c r="CFN253" s="9"/>
      <c r="CFO253" s="9"/>
      <c r="CFP253" s="9"/>
      <c r="CFQ253" s="9"/>
      <c r="CFR253" s="9"/>
      <c r="CFS253" s="9"/>
      <c r="CFT253" s="9"/>
      <c r="CFU253" s="9"/>
      <c r="CFV253" s="9"/>
      <c r="CFW253" s="9"/>
      <c r="CFX253" s="9"/>
      <c r="CFY253" s="9"/>
      <c r="CFZ253" s="9"/>
      <c r="CGA253" s="9"/>
      <c r="CGB253" s="9"/>
      <c r="CGC253" s="9"/>
      <c r="CGD253" s="9"/>
      <c r="CGE253" s="9"/>
      <c r="CGF253" s="9"/>
      <c r="CGG253" s="9"/>
      <c r="CGH253" s="9"/>
      <c r="CGI253" s="9"/>
      <c r="CGJ253" s="9"/>
      <c r="CGK253" s="9"/>
      <c r="CGL253" s="9"/>
      <c r="CGM253" s="9"/>
      <c r="CGN253" s="9"/>
      <c r="CGO253" s="9"/>
      <c r="CGP253" s="9"/>
      <c r="CGQ253" s="9"/>
      <c r="CGR253" s="9"/>
      <c r="CGS253" s="9"/>
      <c r="CGT253" s="9"/>
      <c r="CGU253" s="9"/>
      <c r="CGV253" s="9"/>
      <c r="CGW253" s="9"/>
      <c r="CGX253" s="9"/>
      <c r="CGY253" s="9"/>
      <c r="CGZ253" s="9"/>
      <c r="CHA253" s="9"/>
      <c r="CHB253" s="9"/>
      <c r="CHC253" s="9"/>
      <c r="CHD253" s="9"/>
      <c r="CHE253" s="9"/>
      <c r="CHF253" s="9"/>
      <c r="CHG253" s="9"/>
      <c r="CHH253" s="9"/>
      <c r="CHI253" s="9"/>
      <c r="CHJ253" s="9"/>
      <c r="CHK253" s="9"/>
      <c r="CHL253" s="9"/>
      <c r="CHM253" s="9"/>
      <c r="CHN253" s="9"/>
      <c r="CHO253" s="9"/>
      <c r="CHP253" s="9"/>
      <c r="CHQ253" s="9"/>
      <c r="CHR253" s="9"/>
      <c r="CHS253" s="9"/>
      <c r="CHT253" s="9"/>
      <c r="CHU253" s="9"/>
      <c r="CHV253" s="9"/>
      <c r="CHW253" s="9"/>
      <c r="CHX253" s="9"/>
      <c r="CHY253" s="9"/>
      <c r="CHZ253" s="9"/>
      <c r="CIA253" s="9"/>
      <c r="CIB253" s="9"/>
      <c r="CIC253" s="9"/>
      <c r="CID253" s="9"/>
      <c r="CIE253" s="9"/>
      <c r="CIF253" s="9"/>
      <c r="CIG253" s="9"/>
      <c r="CIH253" s="9"/>
      <c r="CII253" s="9"/>
      <c r="CIJ253" s="9"/>
      <c r="CIK253" s="9"/>
      <c r="CIL253" s="9"/>
      <c r="CIM253" s="9"/>
      <c r="CIN253" s="9"/>
      <c r="CIO253" s="9"/>
      <c r="CIP253" s="9"/>
      <c r="CIQ253" s="9"/>
      <c r="CIR253" s="9"/>
      <c r="CIS253" s="9"/>
      <c r="CIT253" s="9"/>
      <c r="CIU253" s="9"/>
      <c r="CIV253" s="9"/>
      <c r="CIW253" s="9"/>
      <c r="CIX253" s="9"/>
      <c r="CIY253" s="9"/>
      <c r="CIZ253" s="9"/>
      <c r="CJA253" s="9"/>
      <c r="CJB253" s="9"/>
      <c r="CJC253" s="9"/>
      <c r="CJD253" s="9"/>
      <c r="CJE253" s="9"/>
      <c r="CJF253" s="9"/>
      <c r="CJG253" s="9"/>
      <c r="CJH253" s="9"/>
      <c r="CJI253" s="9"/>
      <c r="CJJ253" s="9"/>
      <c r="CJK253" s="9"/>
      <c r="CJL253" s="9"/>
      <c r="CJM253" s="9"/>
      <c r="CJN253" s="9"/>
      <c r="CJO253" s="9"/>
      <c r="CJP253" s="9"/>
      <c r="CJQ253" s="9"/>
      <c r="CJR253" s="9"/>
      <c r="CJS253" s="9"/>
      <c r="CJT253" s="9"/>
      <c r="CJU253" s="9"/>
      <c r="CJV253" s="9"/>
      <c r="CJW253" s="9"/>
      <c r="CJX253" s="9"/>
      <c r="CJY253" s="9"/>
      <c r="CJZ253" s="9"/>
      <c r="CKA253" s="9"/>
      <c r="CKB253" s="9"/>
      <c r="CKC253" s="9"/>
      <c r="CKD253" s="9"/>
      <c r="CKE253" s="9"/>
      <c r="CKF253" s="9"/>
      <c r="CKG253" s="9"/>
      <c r="CKH253" s="9"/>
      <c r="CKI253" s="9"/>
      <c r="CKJ253" s="9"/>
      <c r="CKK253" s="9"/>
      <c r="CKL253" s="9"/>
      <c r="CKM253" s="9"/>
      <c r="CKN253" s="9"/>
      <c r="CKO253" s="9"/>
      <c r="CKP253" s="9"/>
      <c r="CKQ253" s="9"/>
      <c r="CKR253" s="9"/>
      <c r="CKS253" s="9"/>
      <c r="CKT253" s="9"/>
      <c r="CKU253" s="9"/>
      <c r="CKV253" s="9"/>
      <c r="CKW253" s="9"/>
      <c r="CKX253" s="9"/>
      <c r="CKY253" s="9"/>
      <c r="CKZ253" s="9"/>
      <c r="CLA253" s="9"/>
      <c r="CLB253" s="9"/>
      <c r="CLC253" s="9"/>
      <c r="CLD253" s="9"/>
      <c r="CLE253" s="9"/>
      <c r="CLF253" s="9"/>
      <c r="CLG253" s="9"/>
      <c r="CLH253" s="9"/>
      <c r="CLI253" s="9"/>
      <c r="CLJ253" s="9"/>
      <c r="CLK253" s="9"/>
      <c r="CLL253" s="9"/>
      <c r="CLM253" s="9"/>
      <c r="CLN253" s="9"/>
      <c r="CLO253" s="9"/>
      <c r="CLP253" s="9"/>
      <c r="CLQ253" s="9"/>
      <c r="CLR253" s="9"/>
      <c r="CLS253" s="9"/>
      <c r="CLT253" s="9"/>
      <c r="CLU253" s="9"/>
      <c r="CLV253" s="9"/>
      <c r="CLW253" s="9"/>
      <c r="CLX253" s="9"/>
      <c r="CLY253" s="9"/>
      <c r="CLZ253" s="9"/>
      <c r="CMA253" s="9"/>
      <c r="CMB253" s="9"/>
      <c r="CMC253" s="9"/>
      <c r="CMD253" s="9"/>
      <c r="CME253" s="9"/>
      <c r="CMF253" s="9"/>
      <c r="CMG253" s="9"/>
      <c r="CMH253" s="9"/>
      <c r="CMI253" s="9"/>
      <c r="CMJ253" s="9"/>
      <c r="CMK253" s="9"/>
      <c r="CML253" s="9"/>
      <c r="CMM253" s="9"/>
      <c r="CMN253" s="9"/>
      <c r="CMO253" s="9"/>
      <c r="CMP253" s="9"/>
      <c r="CMQ253" s="9"/>
      <c r="CMR253" s="9"/>
      <c r="CMS253" s="9"/>
      <c r="CMT253" s="9"/>
      <c r="CMU253" s="9"/>
      <c r="CMV253" s="9"/>
      <c r="CMW253" s="9"/>
      <c r="CMX253" s="9"/>
      <c r="CMY253" s="9"/>
      <c r="CMZ253" s="9"/>
      <c r="CNA253" s="9"/>
      <c r="CNB253" s="9"/>
      <c r="CNC253" s="9"/>
      <c r="CND253" s="9"/>
      <c r="CNE253" s="9"/>
      <c r="CNF253" s="9"/>
      <c r="CNG253" s="9"/>
      <c r="CNH253" s="9"/>
      <c r="CNI253" s="9"/>
      <c r="CNJ253" s="9"/>
      <c r="CNK253" s="9"/>
      <c r="CNL253" s="9"/>
      <c r="CNM253" s="9"/>
      <c r="CNN253" s="9"/>
      <c r="CNO253" s="9"/>
      <c r="CNP253" s="9"/>
      <c r="CNQ253" s="9"/>
      <c r="CNR253" s="9"/>
      <c r="CNS253" s="9"/>
      <c r="CNT253" s="9"/>
      <c r="CNU253" s="9"/>
      <c r="CNV253" s="9"/>
      <c r="CNW253" s="9"/>
      <c r="CNX253" s="9"/>
      <c r="CNY253" s="9"/>
      <c r="CNZ253" s="9"/>
      <c r="COA253" s="9"/>
      <c r="COB253" s="9"/>
      <c r="COC253" s="9"/>
      <c r="COD253" s="9"/>
      <c r="COE253" s="9"/>
      <c r="COF253" s="9"/>
      <c r="COG253" s="9"/>
      <c r="COH253" s="9"/>
      <c r="COI253" s="9"/>
      <c r="COJ253" s="9"/>
      <c r="COK253" s="9"/>
      <c r="COL253" s="9"/>
      <c r="COM253" s="9"/>
      <c r="CON253" s="9"/>
      <c r="COO253" s="9"/>
      <c r="COP253" s="9"/>
      <c r="COQ253" s="9"/>
      <c r="COR253" s="9"/>
      <c r="COS253" s="9"/>
      <c r="COT253" s="9"/>
      <c r="COU253" s="9"/>
      <c r="COV253" s="9"/>
      <c r="COW253" s="9"/>
      <c r="COX253" s="9"/>
      <c r="COY253" s="9"/>
      <c r="COZ253" s="9"/>
      <c r="CPA253" s="9"/>
      <c r="CPB253" s="9"/>
      <c r="CPC253" s="9"/>
      <c r="CPD253" s="9"/>
      <c r="CPE253" s="9"/>
      <c r="CPF253" s="9"/>
      <c r="CPG253" s="9"/>
      <c r="CPH253" s="9"/>
      <c r="CPI253" s="9"/>
      <c r="CPJ253" s="9"/>
      <c r="CPK253" s="9"/>
      <c r="CPL253" s="9"/>
      <c r="CPM253" s="9"/>
      <c r="CPN253" s="9"/>
      <c r="CPO253" s="9"/>
      <c r="CPP253" s="9"/>
      <c r="CPQ253" s="9"/>
      <c r="CPR253" s="9"/>
      <c r="CPS253" s="9"/>
      <c r="CPT253" s="9"/>
      <c r="CPU253" s="9"/>
      <c r="CPV253" s="9"/>
      <c r="CPW253" s="9"/>
      <c r="CPX253" s="9"/>
      <c r="CPY253" s="9"/>
      <c r="CPZ253" s="9"/>
      <c r="CQA253" s="9"/>
      <c r="CQB253" s="9"/>
      <c r="CQC253" s="9"/>
      <c r="CQD253" s="9"/>
      <c r="CQE253" s="9"/>
      <c r="CQF253" s="9"/>
      <c r="CQG253" s="9"/>
      <c r="CQH253" s="9"/>
      <c r="CQI253" s="9"/>
      <c r="CQJ253" s="9"/>
      <c r="CQK253" s="9"/>
      <c r="CQL253" s="9"/>
      <c r="CQM253" s="9"/>
      <c r="CQN253" s="9"/>
      <c r="CQO253" s="9"/>
      <c r="CQP253" s="9"/>
      <c r="CQQ253" s="9"/>
      <c r="CQR253" s="9"/>
      <c r="CQS253" s="9"/>
      <c r="CQT253" s="9"/>
      <c r="CQU253" s="9"/>
      <c r="CQV253" s="9"/>
      <c r="CQW253" s="9"/>
      <c r="CQX253" s="9"/>
      <c r="CQY253" s="9"/>
      <c r="CQZ253" s="9"/>
      <c r="CRA253" s="9"/>
      <c r="CRB253" s="9"/>
      <c r="CRC253" s="9"/>
      <c r="CRD253" s="9"/>
      <c r="CRE253" s="9"/>
      <c r="CRF253" s="9"/>
      <c r="CRG253" s="9"/>
      <c r="CRH253" s="9"/>
      <c r="CRI253" s="9"/>
      <c r="CRJ253" s="9"/>
      <c r="CRK253" s="9"/>
      <c r="CRL253" s="9"/>
      <c r="CRM253" s="9"/>
      <c r="CRN253" s="9"/>
      <c r="CRO253" s="9"/>
      <c r="CRP253" s="9"/>
      <c r="CRQ253" s="9"/>
      <c r="CRR253" s="9"/>
      <c r="CRS253" s="9"/>
      <c r="CRT253" s="9"/>
      <c r="CRU253" s="9"/>
      <c r="CRV253" s="9"/>
      <c r="CRW253" s="9"/>
      <c r="CRX253" s="9"/>
      <c r="CRY253" s="9"/>
      <c r="CRZ253" s="9"/>
      <c r="CSA253" s="9"/>
      <c r="CSB253" s="9"/>
      <c r="CSC253" s="9"/>
      <c r="CSD253" s="9"/>
      <c r="CSE253" s="9"/>
      <c r="CSF253" s="9"/>
      <c r="CSG253" s="9"/>
      <c r="CSH253" s="9"/>
      <c r="CSI253" s="9"/>
      <c r="CSJ253" s="9"/>
      <c r="CSK253" s="9"/>
      <c r="CSL253" s="9"/>
      <c r="CSM253" s="9"/>
      <c r="CSN253" s="9"/>
      <c r="CSO253" s="9"/>
      <c r="CSP253" s="9"/>
      <c r="CSQ253" s="9"/>
      <c r="CSR253" s="9"/>
      <c r="CSS253" s="9"/>
      <c r="CST253" s="9"/>
      <c r="CSU253" s="9"/>
      <c r="CSV253" s="9"/>
      <c r="CSW253" s="9"/>
      <c r="CSX253" s="9"/>
      <c r="CSY253" s="9"/>
      <c r="CSZ253" s="9"/>
      <c r="CTA253" s="9"/>
      <c r="CTB253" s="9"/>
      <c r="CTC253" s="9"/>
      <c r="CTD253" s="9"/>
      <c r="CTE253" s="9"/>
      <c r="CTF253" s="9"/>
      <c r="CTG253" s="9"/>
      <c r="CTH253" s="9"/>
      <c r="CTI253" s="9"/>
      <c r="CTJ253" s="9"/>
      <c r="CTK253" s="9"/>
      <c r="CTL253" s="9"/>
      <c r="CTM253" s="9"/>
      <c r="CTN253" s="9"/>
      <c r="CTO253" s="9"/>
      <c r="CTP253" s="9"/>
      <c r="CTQ253" s="9"/>
      <c r="CTR253" s="9"/>
      <c r="CTS253" s="9"/>
      <c r="CTT253" s="9"/>
      <c r="CTU253" s="9"/>
      <c r="CTV253" s="9"/>
      <c r="CTW253" s="9"/>
      <c r="CTX253" s="9"/>
      <c r="CTY253" s="9"/>
      <c r="CTZ253" s="9"/>
      <c r="CUA253" s="9"/>
      <c r="CUB253" s="9"/>
      <c r="CUC253" s="9"/>
      <c r="CUD253" s="9"/>
      <c r="CUE253" s="9"/>
      <c r="CUF253" s="9"/>
      <c r="CUG253" s="9"/>
      <c r="CUH253" s="9"/>
      <c r="CUI253" s="9"/>
      <c r="CUJ253" s="9"/>
      <c r="CUK253" s="9"/>
      <c r="CUL253" s="9"/>
      <c r="CUM253" s="9"/>
      <c r="CUN253" s="9"/>
      <c r="CUO253" s="9"/>
      <c r="CUP253" s="9"/>
      <c r="CUQ253" s="9"/>
      <c r="CUR253" s="9"/>
      <c r="CUS253" s="9"/>
      <c r="CUT253" s="9"/>
      <c r="CUU253" s="9"/>
      <c r="CUV253" s="9"/>
      <c r="CUW253" s="9"/>
      <c r="CUX253" s="9"/>
      <c r="CUY253" s="9"/>
      <c r="CUZ253" s="9"/>
      <c r="CVA253" s="9"/>
      <c r="CVB253" s="9"/>
      <c r="CVC253" s="9"/>
      <c r="CVD253" s="9"/>
      <c r="CVE253" s="9"/>
      <c r="CVF253" s="9"/>
      <c r="CVG253" s="9"/>
      <c r="CVH253" s="9"/>
      <c r="CVI253" s="9"/>
      <c r="CVJ253" s="9"/>
      <c r="CVK253" s="9"/>
      <c r="CVL253" s="9"/>
      <c r="CVM253" s="9"/>
      <c r="CVN253" s="9"/>
      <c r="CVO253" s="9"/>
      <c r="CVP253" s="9"/>
      <c r="CVQ253" s="9"/>
      <c r="CVR253" s="9"/>
      <c r="CVS253" s="9"/>
      <c r="CVT253" s="9"/>
      <c r="CVU253" s="9"/>
      <c r="CVV253" s="9"/>
      <c r="CVW253" s="9"/>
      <c r="CVX253" s="9"/>
      <c r="CVY253" s="9"/>
      <c r="CVZ253" s="9"/>
      <c r="CWA253" s="9"/>
      <c r="CWB253" s="9"/>
      <c r="CWC253" s="9"/>
      <c r="CWD253" s="9"/>
      <c r="CWE253" s="9"/>
      <c r="CWF253" s="9"/>
      <c r="CWG253" s="9"/>
      <c r="CWH253" s="9"/>
      <c r="CWI253" s="9"/>
      <c r="CWJ253" s="9"/>
      <c r="CWK253" s="9"/>
      <c r="CWL253" s="9"/>
      <c r="CWM253" s="9"/>
      <c r="CWN253" s="9"/>
      <c r="CWO253" s="9"/>
      <c r="CWP253" s="9"/>
      <c r="CWQ253" s="9"/>
      <c r="CWR253" s="9"/>
      <c r="CWS253" s="9"/>
      <c r="CWT253" s="9"/>
      <c r="CWU253" s="9"/>
      <c r="CWV253" s="9"/>
      <c r="CWW253" s="9"/>
      <c r="CWX253" s="9"/>
      <c r="CWY253" s="9"/>
      <c r="CWZ253" s="9"/>
      <c r="CXA253" s="9"/>
      <c r="CXB253" s="9"/>
      <c r="CXC253" s="9"/>
      <c r="CXD253" s="9"/>
      <c r="CXE253" s="9"/>
      <c r="CXF253" s="9"/>
      <c r="CXG253" s="9"/>
      <c r="CXH253" s="9"/>
      <c r="CXI253" s="9"/>
      <c r="CXJ253" s="9"/>
      <c r="CXK253" s="9"/>
      <c r="CXL253" s="9"/>
      <c r="CXM253" s="9"/>
      <c r="CXN253" s="9"/>
      <c r="CXO253" s="9"/>
      <c r="CXP253" s="9"/>
      <c r="CXQ253" s="9"/>
      <c r="CXR253" s="9"/>
      <c r="CXS253" s="9"/>
      <c r="CXT253" s="9"/>
      <c r="CXU253" s="9"/>
      <c r="CXV253" s="9"/>
      <c r="CXW253" s="9"/>
      <c r="CXX253" s="9"/>
      <c r="CXY253" s="9"/>
      <c r="CXZ253" s="9"/>
      <c r="CYA253" s="9"/>
      <c r="CYB253" s="9"/>
      <c r="CYC253" s="9"/>
      <c r="CYD253" s="9"/>
      <c r="CYE253" s="9"/>
      <c r="CYF253" s="9"/>
      <c r="CYG253" s="9"/>
      <c r="CYH253" s="9"/>
      <c r="CYI253" s="9"/>
      <c r="CYJ253" s="9"/>
      <c r="CYK253" s="9"/>
      <c r="CYL253" s="9"/>
      <c r="CYM253" s="9"/>
      <c r="CYN253" s="9"/>
      <c r="CYO253" s="9"/>
      <c r="CYP253" s="9"/>
      <c r="CYQ253" s="9"/>
      <c r="CYR253" s="9"/>
      <c r="CYS253" s="9"/>
      <c r="CYT253" s="9"/>
      <c r="CYU253" s="9"/>
      <c r="CYV253" s="9"/>
      <c r="CYW253" s="9"/>
      <c r="CYX253" s="9"/>
      <c r="CYY253" s="9"/>
      <c r="CYZ253" s="9"/>
      <c r="CZA253" s="9"/>
      <c r="CZB253" s="9"/>
      <c r="CZC253" s="9"/>
      <c r="CZD253" s="9"/>
      <c r="CZE253" s="9"/>
      <c r="CZF253" s="9"/>
      <c r="CZG253" s="9"/>
      <c r="CZH253" s="9"/>
      <c r="CZI253" s="9"/>
      <c r="CZJ253" s="9"/>
      <c r="CZK253" s="9"/>
      <c r="CZL253" s="9"/>
      <c r="CZM253" s="9"/>
      <c r="CZN253" s="9"/>
      <c r="CZO253" s="9"/>
      <c r="CZP253" s="9"/>
      <c r="CZQ253" s="9"/>
      <c r="CZR253" s="9"/>
      <c r="CZS253" s="9"/>
      <c r="CZT253" s="9"/>
      <c r="CZU253" s="9"/>
      <c r="CZV253" s="9"/>
      <c r="CZW253" s="9"/>
      <c r="CZX253" s="9"/>
      <c r="CZY253" s="9"/>
      <c r="CZZ253" s="9"/>
      <c r="DAA253" s="9"/>
      <c r="DAB253" s="9"/>
      <c r="DAC253" s="9"/>
      <c r="DAD253" s="9"/>
      <c r="DAE253" s="9"/>
      <c r="DAF253" s="9"/>
      <c r="DAG253" s="9"/>
      <c r="DAH253" s="9"/>
      <c r="DAI253" s="9"/>
      <c r="DAJ253" s="9"/>
      <c r="DAK253" s="9"/>
      <c r="DAL253" s="9"/>
      <c r="DAM253" s="9"/>
      <c r="DAN253" s="9"/>
      <c r="DAO253" s="9"/>
      <c r="DAP253" s="9"/>
      <c r="DAQ253" s="9"/>
      <c r="DAR253" s="9"/>
      <c r="DAS253" s="9"/>
      <c r="DAT253" s="9"/>
      <c r="DAU253" s="9"/>
      <c r="DAV253" s="9"/>
      <c r="DAW253" s="9"/>
      <c r="DAX253" s="9"/>
      <c r="DAY253" s="9"/>
      <c r="DAZ253" s="9"/>
      <c r="DBA253" s="9"/>
      <c r="DBB253" s="9"/>
      <c r="DBC253" s="9"/>
      <c r="DBD253" s="9"/>
      <c r="DBE253" s="9"/>
      <c r="DBF253" s="9"/>
      <c r="DBG253" s="9"/>
      <c r="DBH253" s="9"/>
      <c r="DBI253" s="9"/>
      <c r="DBJ253" s="9"/>
      <c r="DBK253" s="9"/>
      <c r="DBL253" s="9"/>
      <c r="DBM253" s="9"/>
      <c r="DBN253" s="9"/>
      <c r="DBO253" s="9"/>
      <c r="DBP253" s="9"/>
      <c r="DBQ253" s="9"/>
      <c r="DBR253" s="9"/>
      <c r="DBS253" s="9"/>
      <c r="DBT253" s="9"/>
      <c r="DBU253" s="9"/>
      <c r="DBV253" s="9"/>
      <c r="DBW253" s="9"/>
      <c r="DBX253" s="9"/>
      <c r="DBY253" s="9"/>
      <c r="DBZ253" s="9"/>
      <c r="DCA253" s="9"/>
      <c r="DCB253" s="9"/>
      <c r="DCC253" s="9"/>
      <c r="DCD253" s="9"/>
      <c r="DCE253" s="9"/>
      <c r="DCF253" s="9"/>
      <c r="DCG253" s="9"/>
      <c r="DCH253" s="9"/>
      <c r="DCI253" s="9"/>
      <c r="DCJ253" s="9"/>
      <c r="DCK253" s="9"/>
      <c r="DCL253" s="9"/>
      <c r="DCM253" s="9"/>
      <c r="DCN253" s="9"/>
      <c r="DCO253" s="9"/>
      <c r="DCP253" s="9"/>
      <c r="DCQ253" s="9"/>
      <c r="DCR253" s="9"/>
      <c r="DCS253" s="9"/>
      <c r="DCT253" s="9"/>
      <c r="DCU253" s="9"/>
      <c r="DCV253" s="9"/>
      <c r="DCW253" s="9"/>
      <c r="DCX253" s="9"/>
      <c r="DCY253" s="9"/>
      <c r="DCZ253" s="9"/>
      <c r="DDA253" s="9"/>
      <c r="DDB253" s="9"/>
      <c r="DDC253" s="9"/>
      <c r="DDD253" s="9"/>
      <c r="DDE253" s="9"/>
      <c r="DDF253" s="9"/>
      <c r="DDG253" s="9"/>
      <c r="DDH253" s="9"/>
      <c r="DDI253" s="9"/>
      <c r="DDJ253" s="9"/>
      <c r="DDK253" s="9"/>
      <c r="DDL253" s="9"/>
      <c r="DDM253" s="9"/>
      <c r="DDN253" s="9"/>
      <c r="DDO253" s="9"/>
      <c r="DDP253" s="9"/>
      <c r="DDQ253" s="9"/>
      <c r="DDR253" s="9"/>
      <c r="DDS253" s="9"/>
      <c r="DDT253" s="9"/>
      <c r="DDU253" s="9"/>
      <c r="DDV253" s="9"/>
      <c r="DDW253" s="9"/>
      <c r="DDX253" s="9"/>
      <c r="DDY253" s="9"/>
      <c r="DDZ253" s="9"/>
      <c r="DEA253" s="9"/>
      <c r="DEB253" s="9"/>
      <c r="DEC253" s="9"/>
      <c r="DED253" s="9"/>
      <c r="DEE253" s="9"/>
      <c r="DEF253" s="9"/>
      <c r="DEG253" s="9"/>
      <c r="DEH253" s="9"/>
      <c r="DEI253" s="9"/>
      <c r="DEJ253" s="9"/>
      <c r="DEK253" s="9"/>
      <c r="DEL253" s="9"/>
      <c r="DEM253" s="9"/>
      <c r="DEN253" s="9"/>
      <c r="DEO253" s="9"/>
      <c r="DEP253" s="9"/>
      <c r="DEQ253" s="9"/>
      <c r="DER253" s="9"/>
      <c r="DES253" s="9"/>
      <c r="DET253" s="9"/>
      <c r="DEU253" s="9"/>
      <c r="DEV253" s="9"/>
      <c r="DEW253" s="9"/>
      <c r="DEX253" s="9"/>
      <c r="DEY253" s="9"/>
      <c r="DEZ253" s="9"/>
      <c r="DFA253" s="9"/>
      <c r="DFB253" s="9"/>
      <c r="DFC253" s="9"/>
      <c r="DFD253" s="9"/>
      <c r="DFE253" s="9"/>
      <c r="DFF253" s="9"/>
      <c r="DFG253" s="9"/>
      <c r="DFH253" s="9"/>
      <c r="DFI253" s="9"/>
      <c r="DFJ253" s="9"/>
      <c r="DFK253" s="9"/>
      <c r="DFL253" s="9"/>
      <c r="DFM253" s="9"/>
      <c r="DFN253" s="9"/>
      <c r="DFO253" s="9"/>
      <c r="DFP253" s="9"/>
      <c r="DFQ253" s="9"/>
      <c r="DFR253" s="9"/>
      <c r="DFS253" s="9"/>
      <c r="DFT253" s="9"/>
      <c r="DFU253" s="9"/>
      <c r="DFV253" s="9"/>
      <c r="DFW253" s="9"/>
      <c r="DFX253" s="9"/>
      <c r="DFY253" s="9"/>
      <c r="DFZ253" s="9"/>
      <c r="DGA253" s="9"/>
      <c r="DGB253" s="9"/>
      <c r="DGC253" s="9"/>
      <c r="DGD253" s="9"/>
      <c r="DGE253" s="9"/>
      <c r="DGF253" s="9"/>
      <c r="DGG253" s="9"/>
      <c r="DGH253" s="9"/>
      <c r="DGI253" s="9"/>
      <c r="DGJ253" s="9"/>
      <c r="DGK253" s="9"/>
      <c r="DGL253" s="9"/>
      <c r="DGM253" s="9"/>
      <c r="DGN253" s="9"/>
      <c r="DGO253" s="9"/>
      <c r="DGP253" s="9"/>
      <c r="DGQ253" s="9"/>
      <c r="DGR253" s="9"/>
      <c r="DGS253" s="9"/>
      <c r="DGT253" s="9"/>
      <c r="DGU253" s="9"/>
      <c r="DGV253" s="9"/>
      <c r="DGW253" s="9"/>
      <c r="DGX253" s="9"/>
      <c r="DGY253" s="9"/>
      <c r="DGZ253" s="9"/>
      <c r="DHA253" s="9"/>
      <c r="DHB253" s="9"/>
      <c r="DHC253" s="9"/>
      <c r="DHD253" s="9"/>
      <c r="DHE253" s="9"/>
      <c r="DHF253" s="9"/>
      <c r="DHG253" s="9"/>
      <c r="DHH253" s="9"/>
      <c r="DHI253" s="9"/>
      <c r="DHJ253" s="9"/>
      <c r="DHK253" s="9"/>
      <c r="DHL253" s="9"/>
      <c r="DHM253" s="9"/>
      <c r="DHN253" s="9"/>
      <c r="DHO253" s="9"/>
      <c r="DHP253" s="9"/>
      <c r="DHQ253" s="9"/>
      <c r="DHR253" s="9"/>
      <c r="DHS253" s="9"/>
      <c r="DHT253" s="9"/>
      <c r="DHU253" s="9"/>
      <c r="DHV253" s="9"/>
      <c r="DHW253" s="9"/>
      <c r="DHX253" s="9"/>
      <c r="DHY253" s="9"/>
      <c r="DHZ253" s="9"/>
      <c r="DIA253" s="9"/>
      <c r="DIB253" s="9"/>
      <c r="DIC253" s="9"/>
      <c r="DID253" s="9"/>
      <c r="DIE253" s="9"/>
      <c r="DIF253" s="9"/>
      <c r="DIG253" s="9"/>
      <c r="DIH253" s="9"/>
      <c r="DII253" s="9"/>
      <c r="DIJ253" s="9"/>
      <c r="DIK253" s="9"/>
      <c r="DIL253" s="9"/>
      <c r="DIM253" s="9"/>
      <c r="DIN253" s="9"/>
      <c r="DIO253" s="9"/>
      <c r="DIP253" s="9"/>
      <c r="DIQ253" s="9"/>
      <c r="DIR253" s="9"/>
      <c r="DIS253" s="9"/>
      <c r="DIT253" s="9"/>
      <c r="DIU253" s="9"/>
      <c r="DIV253" s="9"/>
      <c r="DIW253" s="9"/>
      <c r="DIX253" s="9"/>
      <c r="DIY253" s="9"/>
      <c r="DIZ253" s="9"/>
      <c r="DJA253" s="9"/>
      <c r="DJB253" s="9"/>
      <c r="DJC253" s="9"/>
      <c r="DJD253" s="9"/>
      <c r="DJE253" s="9"/>
      <c r="DJF253" s="9"/>
      <c r="DJG253" s="9"/>
      <c r="DJH253" s="9"/>
      <c r="DJI253" s="9"/>
      <c r="DJJ253" s="9"/>
      <c r="DJK253" s="9"/>
      <c r="DJL253" s="9"/>
      <c r="DJM253" s="9"/>
      <c r="DJN253" s="9"/>
      <c r="DJO253" s="9"/>
      <c r="DJP253" s="9"/>
      <c r="DJQ253" s="9"/>
      <c r="DJR253" s="9"/>
      <c r="DJS253" s="9"/>
      <c r="DJT253" s="9"/>
      <c r="DJU253" s="9"/>
      <c r="DJV253" s="9"/>
      <c r="DJW253" s="9"/>
      <c r="DJX253" s="9"/>
      <c r="DJY253" s="9"/>
      <c r="DJZ253" s="9"/>
      <c r="DKA253" s="9"/>
      <c r="DKB253" s="9"/>
      <c r="DKC253" s="9"/>
      <c r="DKD253" s="9"/>
      <c r="DKE253" s="9"/>
      <c r="DKF253" s="9"/>
      <c r="DKG253" s="9"/>
      <c r="DKH253" s="9"/>
      <c r="DKI253" s="9"/>
      <c r="DKJ253" s="9"/>
      <c r="DKK253" s="9"/>
      <c r="DKL253" s="9"/>
      <c r="DKM253" s="9"/>
      <c r="DKN253" s="9"/>
      <c r="DKO253" s="9"/>
      <c r="DKP253" s="9"/>
      <c r="DKQ253" s="9"/>
      <c r="DKR253" s="9"/>
      <c r="DKS253" s="9"/>
      <c r="DKT253" s="9"/>
      <c r="DKU253" s="9"/>
      <c r="DKV253" s="9"/>
      <c r="DKW253" s="9"/>
      <c r="DKX253" s="9"/>
      <c r="DKY253" s="9"/>
      <c r="DKZ253" s="9"/>
      <c r="DLA253" s="9"/>
      <c r="DLB253" s="9"/>
      <c r="DLC253" s="9"/>
      <c r="DLD253" s="9"/>
      <c r="DLE253" s="9"/>
      <c r="DLF253" s="9"/>
      <c r="DLG253" s="9"/>
      <c r="DLH253" s="9"/>
      <c r="DLI253" s="9"/>
      <c r="DLJ253" s="9"/>
      <c r="DLK253" s="9"/>
      <c r="DLL253" s="9"/>
      <c r="DLM253" s="9"/>
      <c r="DLN253" s="9"/>
      <c r="DLO253" s="9"/>
      <c r="DLP253" s="9"/>
      <c r="DLQ253" s="9"/>
      <c r="DLR253" s="9"/>
      <c r="DLS253" s="9"/>
      <c r="DLT253" s="9"/>
      <c r="DLU253" s="9"/>
      <c r="DLV253" s="9"/>
      <c r="DLW253" s="9"/>
      <c r="DLX253" s="9"/>
      <c r="DLY253" s="9"/>
      <c r="DLZ253" s="9"/>
      <c r="DMA253" s="9"/>
      <c r="DMB253" s="9"/>
      <c r="DMC253" s="9"/>
      <c r="DMD253" s="9"/>
      <c r="DME253" s="9"/>
      <c r="DMF253" s="9"/>
      <c r="DMG253" s="9"/>
      <c r="DMH253" s="9"/>
      <c r="DMI253" s="9"/>
      <c r="DMJ253" s="9"/>
      <c r="DMK253" s="9"/>
      <c r="DML253" s="9"/>
      <c r="DMM253" s="9"/>
      <c r="DMN253" s="9"/>
      <c r="DMO253" s="9"/>
      <c r="DMP253" s="9"/>
      <c r="DMQ253" s="9"/>
      <c r="DMR253" s="9"/>
      <c r="DMS253" s="9"/>
      <c r="DMT253" s="9"/>
      <c r="DMU253" s="9"/>
      <c r="DMV253" s="9"/>
      <c r="DMW253" s="9"/>
      <c r="DMX253" s="9"/>
      <c r="DMY253" s="9"/>
      <c r="DMZ253" s="9"/>
      <c r="DNA253" s="9"/>
      <c r="DNB253" s="9"/>
      <c r="DNC253" s="9"/>
      <c r="DND253" s="9"/>
      <c r="DNE253" s="9"/>
      <c r="DNF253" s="9"/>
      <c r="DNG253" s="9"/>
      <c r="DNH253" s="9"/>
      <c r="DNI253" s="9"/>
      <c r="DNJ253" s="9"/>
      <c r="DNK253" s="9"/>
      <c r="DNL253" s="9"/>
      <c r="DNM253" s="9"/>
      <c r="DNN253" s="9"/>
      <c r="DNO253" s="9"/>
      <c r="DNP253" s="9"/>
      <c r="DNQ253" s="9"/>
      <c r="DNR253" s="9"/>
      <c r="DNS253" s="9"/>
      <c r="DNT253" s="9"/>
      <c r="DNU253" s="9"/>
      <c r="DNV253" s="9"/>
      <c r="DNW253" s="9"/>
      <c r="DNX253" s="9"/>
      <c r="DNY253" s="9"/>
      <c r="DNZ253" s="9"/>
      <c r="DOA253" s="9"/>
      <c r="DOB253" s="9"/>
      <c r="DOC253" s="9"/>
      <c r="DOD253" s="9"/>
      <c r="DOE253" s="9"/>
      <c r="DOF253" s="9"/>
      <c r="DOG253" s="9"/>
      <c r="DOH253" s="9"/>
      <c r="DOI253" s="9"/>
      <c r="DOJ253" s="9"/>
      <c r="DOK253" s="9"/>
      <c r="DOL253" s="9"/>
      <c r="DOM253" s="9"/>
      <c r="DON253" s="9"/>
      <c r="DOO253" s="9"/>
      <c r="DOP253" s="9"/>
      <c r="DOQ253" s="9"/>
      <c r="DOR253" s="9"/>
      <c r="DOS253" s="9"/>
      <c r="DOT253" s="9"/>
      <c r="DOU253" s="9"/>
      <c r="DOV253" s="9"/>
      <c r="DOW253" s="9"/>
      <c r="DOX253" s="9"/>
      <c r="DOY253" s="9"/>
      <c r="DOZ253" s="9"/>
      <c r="DPA253" s="9"/>
      <c r="DPB253" s="9"/>
      <c r="DPC253" s="9"/>
      <c r="DPD253" s="9"/>
      <c r="DPE253" s="9"/>
      <c r="DPF253" s="9"/>
      <c r="DPG253" s="9"/>
      <c r="DPH253" s="9"/>
      <c r="DPI253" s="9"/>
      <c r="DPJ253" s="9"/>
      <c r="DPK253" s="9"/>
      <c r="DPL253" s="9"/>
      <c r="DPM253" s="9"/>
      <c r="DPN253" s="9"/>
      <c r="DPO253" s="9"/>
      <c r="DPP253" s="9"/>
      <c r="DPQ253" s="9"/>
      <c r="DPR253" s="9"/>
      <c r="DPS253" s="9"/>
      <c r="DPT253" s="9"/>
      <c r="DPU253" s="9"/>
      <c r="DPV253" s="9"/>
      <c r="DPW253" s="9"/>
      <c r="DPX253" s="9"/>
      <c r="DPY253" s="9"/>
      <c r="DPZ253" s="9"/>
      <c r="DQA253" s="9"/>
      <c r="DQB253" s="9"/>
      <c r="DQC253" s="9"/>
      <c r="DQD253" s="9"/>
      <c r="DQE253" s="9"/>
      <c r="DQF253" s="9"/>
      <c r="DQG253" s="9"/>
      <c r="DQH253" s="9"/>
      <c r="DQI253" s="9"/>
      <c r="DQJ253" s="9"/>
      <c r="DQK253" s="9"/>
      <c r="DQL253" s="9"/>
      <c r="DQM253" s="9"/>
      <c r="DQN253" s="9"/>
      <c r="DQO253" s="9"/>
      <c r="DQP253" s="9"/>
      <c r="DQQ253" s="9"/>
      <c r="DQR253" s="9"/>
      <c r="DQS253" s="9"/>
      <c r="DQT253" s="9"/>
      <c r="DQU253" s="9"/>
      <c r="DQV253" s="9"/>
      <c r="DQW253" s="9"/>
      <c r="DQX253" s="9"/>
      <c r="DQY253" s="9"/>
      <c r="DQZ253" s="9"/>
      <c r="DRA253" s="9"/>
      <c r="DRB253" s="9"/>
      <c r="DRC253" s="9"/>
      <c r="DRD253" s="9"/>
      <c r="DRE253" s="9"/>
      <c r="DRF253" s="9"/>
      <c r="DRG253" s="9"/>
      <c r="DRH253" s="9"/>
      <c r="DRI253" s="9"/>
      <c r="DRJ253" s="9"/>
      <c r="DRK253" s="9"/>
      <c r="DRL253" s="9"/>
      <c r="DRM253" s="9"/>
      <c r="DRN253" s="9"/>
      <c r="DRO253" s="9"/>
      <c r="DRP253" s="9"/>
      <c r="DRQ253" s="9"/>
      <c r="DRR253" s="9"/>
      <c r="DRS253" s="9"/>
      <c r="DRT253" s="9"/>
      <c r="DRU253" s="9"/>
      <c r="DRV253" s="9"/>
      <c r="DRW253" s="9"/>
      <c r="DRX253" s="9"/>
      <c r="DRY253" s="9"/>
      <c r="DRZ253" s="9"/>
      <c r="DSA253" s="9"/>
      <c r="DSB253" s="9"/>
      <c r="DSC253" s="9"/>
      <c r="DSD253" s="9"/>
      <c r="DSE253" s="9"/>
      <c r="DSF253" s="9"/>
      <c r="DSG253" s="9"/>
      <c r="DSH253" s="9"/>
      <c r="DSI253" s="9"/>
      <c r="DSJ253" s="9"/>
      <c r="DSK253" s="9"/>
      <c r="DSL253" s="9"/>
      <c r="DSM253" s="9"/>
      <c r="DSN253" s="9"/>
      <c r="DSO253" s="9"/>
      <c r="DSP253" s="9"/>
      <c r="DSQ253" s="9"/>
      <c r="DSR253" s="9"/>
      <c r="DSS253" s="9"/>
      <c r="DST253" s="9"/>
      <c r="DSU253" s="9"/>
      <c r="DSV253" s="9"/>
      <c r="DSW253" s="9"/>
      <c r="DSX253" s="9"/>
      <c r="DSY253" s="9"/>
      <c r="DSZ253" s="9"/>
      <c r="DTA253" s="9"/>
      <c r="DTB253" s="9"/>
      <c r="DTC253" s="9"/>
      <c r="DTD253" s="9"/>
      <c r="DTE253" s="9"/>
      <c r="DTF253" s="9"/>
      <c r="DTG253" s="9"/>
      <c r="DTH253" s="9"/>
      <c r="DTI253" s="9"/>
      <c r="DTJ253" s="9"/>
      <c r="DTK253" s="9"/>
      <c r="DTL253" s="9"/>
      <c r="DTM253" s="9"/>
      <c r="DTN253" s="9"/>
      <c r="DTO253" s="9"/>
      <c r="DTP253" s="9"/>
      <c r="DTQ253" s="9"/>
      <c r="DTR253" s="9"/>
      <c r="DTS253" s="9"/>
      <c r="DTT253" s="9"/>
      <c r="DTU253" s="9"/>
      <c r="DTV253" s="9"/>
      <c r="DTW253" s="9"/>
      <c r="DTX253" s="9"/>
      <c r="DTY253" s="9"/>
      <c r="DTZ253" s="9"/>
      <c r="DUA253" s="9"/>
      <c r="DUB253" s="9"/>
      <c r="DUC253" s="9"/>
      <c r="DUD253" s="9"/>
      <c r="DUE253" s="9"/>
      <c r="DUF253" s="9"/>
      <c r="DUG253" s="9"/>
      <c r="DUH253" s="9"/>
      <c r="DUI253" s="9"/>
      <c r="DUJ253" s="9"/>
      <c r="DUK253" s="9"/>
      <c r="DUL253" s="9"/>
      <c r="DUM253" s="9"/>
      <c r="DUN253" s="9"/>
      <c r="DUO253" s="9"/>
      <c r="DUP253" s="9"/>
      <c r="DUQ253" s="9"/>
      <c r="DUR253" s="9"/>
      <c r="DUS253" s="9"/>
      <c r="DUT253" s="9"/>
      <c r="DUU253" s="9"/>
      <c r="DUV253" s="9"/>
      <c r="DUW253" s="9"/>
      <c r="DUX253" s="9"/>
      <c r="DUY253" s="9"/>
      <c r="DUZ253" s="9"/>
      <c r="DVA253" s="9"/>
      <c r="DVB253" s="9"/>
      <c r="DVC253" s="9"/>
      <c r="DVD253" s="9"/>
      <c r="DVE253" s="9"/>
      <c r="DVF253" s="9"/>
      <c r="DVG253" s="9"/>
      <c r="DVH253" s="9"/>
      <c r="DVI253" s="9"/>
      <c r="DVJ253" s="9"/>
      <c r="DVK253" s="9"/>
      <c r="DVL253" s="9"/>
      <c r="DVM253" s="9"/>
      <c r="DVN253" s="9"/>
      <c r="DVO253" s="9"/>
      <c r="DVP253" s="9"/>
      <c r="DVQ253" s="9"/>
      <c r="DVR253" s="9"/>
      <c r="DVS253" s="9"/>
      <c r="DVT253" s="9"/>
      <c r="DVU253" s="9"/>
      <c r="DVV253" s="9"/>
      <c r="DVW253" s="9"/>
      <c r="DVX253" s="9"/>
      <c r="DVY253" s="9"/>
      <c r="DVZ253" s="9"/>
      <c r="DWA253" s="9"/>
      <c r="DWB253" s="9"/>
      <c r="DWC253" s="9"/>
      <c r="DWD253" s="9"/>
      <c r="DWE253" s="9"/>
      <c r="DWF253" s="9"/>
      <c r="DWG253" s="9"/>
      <c r="DWH253" s="9"/>
      <c r="DWI253" s="9"/>
      <c r="DWJ253" s="9"/>
      <c r="DWK253" s="9"/>
      <c r="DWL253" s="9"/>
      <c r="DWM253" s="9"/>
      <c r="DWN253" s="9"/>
      <c r="DWO253" s="9"/>
      <c r="DWP253" s="9"/>
      <c r="DWQ253" s="9"/>
      <c r="DWR253" s="9"/>
      <c r="DWS253" s="9"/>
      <c r="DWT253" s="9"/>
      <c r="DWU253" s="9"/>
      <c r="DWV253" s="9"/>
      <c r="DWW253" s="9"/>
      <c r="DWX253" s="9"/>
      <c r="DWY253" s="9"/>
      <c r="DWZ253" s="9"/>
      <c r="DXA253" s="9"/>
      <c r="DXB253" s="9"/>
      <c r="DXC253" s="9"/>
      <c r="DXD253" s="9"/>
      <c r="DXE253" s="9"/>
      <c r="DXF253" s="9"/>
      <c r="DXG253" s="9"/>
      <c r="DXH253" s="9"/>
      <c r="DXI253" s="9"/>
      <c r="DXJ253" s="9"/>
      <c r="DXK253" s="9"/>
      <c r="DXL253" s="9"/>
      <c r="DXM253" s="9"/>
      <c r="DXN253" s="9"/>
      <c r="DXO253" s="9"/>
      <c r="DXP253" s="9"/>
      <c r="DXQ253" s="9"/>
      <c r="DXR253" s="9"/>
      <c r="DXS253" s="9"/>
      <c r="DXT253" s="9"/>
      <c r="DXU253" s="9"/>
      <c r="DXV253" s="9"/>
      <c r="DXW253" s="9"/>
      <c r="DXX253" s="9"/>
      <c r="DXY253" s="9"/>
      <c r="DXZ253" s="9"/>
      <c r="DYA253" s="9"/>
      <c r="DYB253" s="9"/>
      <c r="DYC253" s="9"/>
      <c r="DYD253" s="9"/>
      <c r="DYE253" s="9"/>
      <c r="DYF253" s="9"/>
      <c r="DYG253" s="9"/>
      <c r="DYH253" s="9"/>
      <c r="DYI253" s="9"/>
      <c r="DYJ253" s="9"/>
      <c r="DYK253" s="9"/>
      <c r="DYL253" s="9"/>
      <c r="DYM253" s="9"/>
      <c r="DYN253" s="9"/>
      <c r="DYO253" s="9"/>
      <c r="DYP253" s="9"/>
      <c r="DYQ253" s="9"/>
      <c r="DYR253" s="9"/>
      <c r="DYS253" s="9"/>
      <c r="DYT253" s="9"/>
      <c r="DYU253" s="9"/>
      <c r="DYV253" s="9"/>
      <c r="DYW253" s="9"/>
      <c r="DYX253" s="9"/>
      <c r="DYY253" s="9"/>
      <c r="DYZ253" s="9"/>
      <c r="DZA253" s="9"/>
      <c r="DZB253" s="9"/>
      <c r="DZC253" s="9"/>
      <c r="DZD253" s="9"/>
      <c r="DZE253" s="9"/>
      <c r="DZF253" s="9"/>
      <c r="DZG253" s="9"/>
      <c r="DZH253" s="9"/>
      <c r="DZI253" s="9"/>
      <c r="DZJ253" s="9"/>
      <c r="DZK253" s="9"/>
      <c r="DZL253" s="9"/>
      <c r="DZM253" s="9"/>
      <c r="DZN253" s="9"/>
      <c r="DZO253" s="9"/>
      <c r="DZP253" s="9"/>
      <c r="DZQ253" s="9"/>
      <c r="DZR253" s="9"/>
      <c r="DZS253" s="9"/>
      <c r="DZT253" s="9"/>
      <c r="DZU253" s="9"/>
      <c r="DZV253" s="9"/>
      <c r="DZW253" s="9"/>
      <c r="DZX253" s="9"/>
      <c r="DZY253" s="9"/>
      <c r="DZZ253" s="9"/>
      <c r="EAA253" s="9"/>
      <c r="EAB253" s="9"/>
      <c r="EAC253" s="9"/>
      <c r="EAD253" s="9"/>
      <c r="EAE253" s="9"/>
      <c r="EAF253" s="9"/>
      <c r="EAG253" s="9"/>
      <c r="EAH253" s="9"/>
      <c r="EAI253" s="9"/>
      <c r="EAJ253" s="9"/>
      <c r="EAK253" s="9"/>
      <c r="EAL253" s="9"/>
      <c r="EAM253" s="9"/>
      <c r="EAN253" s="9"/>
      <c r="EAO253" s="9"/>
      <c r="EAP253" s="9"/>
      <c r="EAQ253" s="9"/>
      <c r="EAR253" s="9"/>
      <c r="EAS253" s="9"/>
      <c r="EAT253" s="9"/>
      <c r="EAU253" s="9"/>
      <c r="EAV253" s="9"/>
      <c r="EAW253" s="9"/>
      <c r="EAX253" s="9"/>
      <c r="EAY253" s="9"/>
      <c r="EAZ253" s="9"/>
      <c r="EBA253" s="9"/>
      <c r="EBB253" s="9"/>
      <c r="EBC253" s="9"/>
      <c r="EBD253" s="9"/>
      <c r="EBE253" s="9"/>
      <c r="EBF253" s="9"/>
      <c r="EBG253" s="9"/>
      <c r="EBH253" s="9"/>
      <c r="EBI253" s="9"/>
      <c r="EBJ253" s="9"/>
      <c r="EBK253" s="9"/>
      <c r="EBL253" s="9"/>
      <c r="EBM253" s="9"/>
      <c r="EBN253" s="9"/>
      <c r="EBO253" s="9"/>
      <c r="EBP253" s="9"/>
      <c r="EBQ253" s="9"/>
      <c r="EBR253" s="9"/>
      <c r="EBS253" s="9"/>
      <c r="EBT253" s="9"/>
      <c r="EBU253" s="9"/>
      <c r="EBV253" s="9"/>
      <c r="EBW253" s="9"/>
      <c r="EBX253" s="9"/>
      <c r="EBY253" s="9"/>
      <c r="EBZ253" s="9"/>
      <c r="ECA253" s="9"/>
      <c r="ECB253" s="9"/>
      <c r="ECC253" s="9"/>
      <c r="ECD253" s="9"/>
      <c r="ECE253" s="9"/>
      <c r="ECF253" s="9"/>
      <c r="ECG253" s="9"/>
      <c r="ECH253" s="9"/>
      <c r="ECI253" s="9"/>
      <c r="ECJ253" s="9"/>
      <c r="ECK253" s="9"/>
      <c r="ECL253" s="9"/>
      <c r="ECM253" s="9"/>
      <c r="ECN253" s="9"/>
      <c r="ECO253" s="9"/>
      <c r="ECP253" s="9"/>
      <c r="ECQ253" s="9"/>
      <c r="ECR253" s="9"/>
      <c r="ECS253" s="9"/>
      <c r="ECT253" s="9"/>
      <c r="ECU253" s="9"/>
      <c r="ECV253" s="9"/>
      <c r="ECW253" s="9"/>
      <c r="ECX253" s="9"/>
      <c r="ECY253" s="9"/>
      <c r="ECZ253" s="9"/>
      <c r="EDA253" s="9"/>
      <c r="EDB253" s="9"/>
      <c r="EDC253" s="9"/>
      <c r="EDD253" s="9"/>
      <c r="EDE253" s="9"/>
      <c r="EDF253" s="9"/>
      <c r="EDG253" s="9"/>
      <c r="EDH253" s="9"/>
      <c r="EDI253" s="9"/>
      <c r="EDJ253" s="9"/>
      <c r="EDK253" s="9"/>
      <c r="EDL253" s="9"/>
      <c r="EDM253" s="9"/>
      <c r="EDN253" s="9"/>
      <c r="EDO253" s="9"/>
      <c r="EDP253" s="9"/>
      <c r="EDQ253" s="9"/>
      <c r="EDR253" s="9"/>
      <c r="EDS253" s="9"/>
      <c r="EDT253" s="9"/>
      <c r="EDU253" s="9"/>
      <c r="EDV253" s="9"/>
      <c r="EDW253" s="9"/>
      <c r="EDX253" s="9"/>
      <c r="EDY253" s="9"/>
      <c r="EDZ253" s="9"/>
      <c r="EEA253" s="9"/>
      <c r="EEB253" s="9"/>
      <c r="EEC253" s="9"/>
      <c r="EED253" s="9"/>
      <c r="EEE253" s="9"/>
      <c r="EEF253" s="9"/>
      <c r="EEG253" s="9"/>
      <c r="EEH253" s="9"/>
      <c r="EEI253" s="9"/>
      <c r="EEJ253" s="9"/>
      <c r="EEK253" s="9"/>
      <c r="EEL253" s="9"/>
      <c r="EEM253" s="9"/>
      <c r="EEN253" s="9"/>
      <c r="EEO253" s="9"/>
      <c r="EEP253" s="9"/>
      <c r="EEQ253" s="9"/>
      <c r="EER253" s="9"/>
      <c r="EES253" s="9"/>
      <c r="EET253" s="9"/>
      <c r="EEU253" s="9"/>
      <c r="EEV253" s="9"/>
      <c r="EEW253" s="9"/>
      <c r="EEX253" s="9"/>
      <c r="EEY253" s="9"/>
      <c r="EEZ253" s="9"/>
      <c r="EFA253" s="9"/>
      <c r="EFB253" s="9"/>
      <c r="EFC253" s="9"/>
      <c r="EFD253" s="9"/>
      <c r="EFE253" s="9"/>
      <c r="EFF253" s="9"/>
      <c r="EFG253" s="9"/>
      <c r="EFH253" s="9"/>
      <c r="EFI253" s="9"/>
      <c r="EFJ253" s="9"/>
      <c r="EFK253" s="9"/>
      <c r="EFL253" s="9"/>
      <c r="EFM253" s="9"/>
      <c r="EFN253" s="9"/>
      <c r="EFO253" s="9"/>
      <c r="EFP253" s="9"/>
      <c r="EFQ253" s="9"/>
      <c r="EFR253" s="9"/>
      <c r="EFS253" s="9"/>
      <c r="EFT253" s="9"/>
      <c r="EFU253" s="9"/>
      <c r="EFV253" s="9"/>
      <c r="EFW253" s="9"/>
      <c r="EFX253" s="9"/>
      <c r="EFY253" s="9"/>
      <c r="EFZ253" s="9"/>
      <c r="EGA253" s="9"/>
      <c r="EGB253" s="9"/>
      <c r="EGC253" s="9"/>
      <c r="EGD253" s="9"/>
      <c r="EGE253" s="9"/>
      <c r="EGF253" s="9"/>
      <c r="EGG253" s="9"/>
      <c r="EGH253" s="9"/>
      <c r="EGI253" s="9"/>
      <c r="EGJ253" s="9"/>
      <c r="EGK253" s="9"/>
      <c r="EGL253" s="9"/>
      <c r="EGM253" s="9"/>
      <c r="EGN253" s="9"/>
      <c r="EGO253" s="9"/>
      <c r="EGP253" s="9"/>
      <c r="EGQ253" s="9"/>
      <c r="EGR253" s="9"/>
      <c r="EGS253" s="9"/>
      <c r="EGT253" s="9"/>
      <c r="EGU253" s="9"/>
      <c r="EGV253" s="9"/>
      <c r="EGW253" s="9"/>
      <c r="EGX253" s="9"/>
      <c r="EGY253" s="9"/>
      <c r="EGZ253" s="9"/>
      <c r="EHA253" s="9"/>
      <c r="EHB253" s="9"/>
      <c r="EHC253" s="9"/>
      <c r="EHD253" s="9"/>
      <c r="EHE253" s="9"/>
      <c r="EHF253" s="9"/>
      <c r="EHG253" s="9"/>
      <c r="EHH253" s="9"/>
      <c r="EHI253" s="9"/>
      <c r="EHJ253" s="9"/>
      <c r="EHK253" s="9"/>
      <c r="EHL253" s="9"/>
      <c r="EHM253" s="9"/>
      <c r="EHN253" s="9"/>
      <c r="EHO253" s="9"/>
      <c r="EHP253" s="9"/>
      <c r="EHQ253" s="9"/>
      <c r="EHR253" s="9"/>
      <c r="EHS253" s="9"/>
      <c r="EHT253" s="9"/>
      <c r="EHU253" s="9"/>
      <c r="EHV253" s="9"/>
      <c r="EHW253" s="9"/>
      <c r="EHX253" s="9"/>
      <c r="EHY253" s="9"/>
      <c r="EHZ253" s="9"/>
      <c r="EIA253" s="9"/>
      <c r="EIB253" s="9"/>
      <c r="EIC253" s="9"/>
      <c r="EID253" s="9"/>
      <c r="EIE253" s="9"/>
      <c r="EIF253" s="9"/>
      <c r="EIG253" s="9"/>
      <c r="EIH253" s="9"/>
      <c r="EII253" s="9"/>
      <c r="EIJ253" s="9"/>
      <c r="EIK253" s="9"/>
      <c r="EIL253" s="9"/>
      <c r="EIM253" s="9"/>
      <c r="EIN253" s="9"/>
      <c r="EIO253" s="9"/>
      <c r="EIP253" s="9"/>
      <c r="EIQ253" s="9"/>
      <c r="EIR253" s="9"/>
      <c r="EIS253" s="9"/>
      <c r="EIT253" s="9"/>
      <c r="EIU253" s="9"/>
      <c r="EIV253" s="9"/>
      <c r="EIW253" s="9"/>
      <c r="EIX253" s="9"/>
      <c r="EIY253" s="9"/>
      <c r="EIZ253" s="9"/>
      <c r="EJA253" s="9"/>
      <c r="EJB253" s="9"/>
      <c r="EJC253" s="9"/>
      <c r="EJD253" s="9"/>
      <c r="EJE253" s="9"/>
      <c r="EJF253" s="9"/>
      <c r="EJG253" s="9"/>
      <c r="EJH253" s="9"/>
      <c r="EJI253" s="9"/>
      <c r="EJJ253" s="9"/>
      <c r="EJK253" s="9"/>
      <c r="EJL253" s="9"/>
      <c r="EJM253" s="9"/>
      <c r="EJN253" s="9"/>
      <c r="EJO253" s="9"/>
      <c r="EJP253" s="9"/>
      <c r="EJQ253" s="9"/>
      <c r="EJR253" s="9"/>
      <c r="EJS253" s="9"/>
      <c r="EJT253" s="9"/>
      <c r="EJU253" s="9"/>
      <c r="EJV253" s="9"/>
      <c r="EJW253" s="9"/>
      <c r="EJX253" s="9"/>
      <c r="EJY253" s="9"/>
      <c r="EJZ253" s="9"/>
      <c r="EKA253" s="9"/>
      <c r="EKB253" s="9"/>
      <c r="EKC253" s="9"/>
      <c r="EKD253" s="9"/>
      <c r="EKE253" s="9"/>
      <c r="EKF253" s="9"/>
      <c r="EKG253" s="9"/>
      <c r="EKH253" s="9"/>
      <c r="EKI253" s="9"/>
      <c r="EKJ253" s="9"/>
      <c r="EKK253" s="9"/>
      <c r="EKL253" s="9"/>
      <c r="EKM253" s="9"/>
      <c r="EKN253" s="9"/>
      <c r="EKO253" s="9"/>
      <c r="EKP253" s="9"/>
      <c r="EKQ253" s="9"/>
      <c r="EKR253" s="9"/>
      <c r="EKS253" s="9"/>
      <c r="EKT253" s="9"/>
      <c r="EKU253" s="9"/>
      <c r="EKV253" s="9"/>
      <c r="EKW253" s="9"/>
      <c r="EKX253" s="9"/>
      <c r="EKY253" s="9"/>
      <c r="EKZ253" s="9"/>
      <c r="ELA253" s="9"/>
      <c r="ELB253" s="9"/>
      <c r="ELC253" s="9"/>
      <c r="ELD253" s="9"/>
      <c r="ELE253" s="9"/>
      <c r="ELF253" s="9"/>
      <c r="ELG253" s="9"/>
      <c r="ELH253" s="9"/>
      <c r="ELI253" s="9"/>
      <c r="ELJ253" s="9"/>
      <c r="ELK253" s="9"/>
      <c r="ELL253" s="9"/>
      <c r="ELM253" s="9"/>
      <c r="ELN253" s="9"/>
      <c r="ELO253" s="9"/>
      <c r="ELP253" s="9"/>
      <c r="ELQ253" s="9"/>
      <c r="ELR253" s="9"/>
      <c r="ELS253" s="9"/>
      <c r="ELT253" s="9"/>
      <c r="ELU253" s="9"/>
      <c r="ELV253" s="9"/>
      <c r="ELW253" s="9"/>
      <c r="ELX253" s="9"/>
      <c r="ELY253" s="9"/>
      <c r="ELZ253" s="9"/>
      <c r="EMA253" s="9"/>
      <c r="EMB253" s="9"/>
      <c r="EMC253" s="9"/>
      <c r="EMD253" s="9"/>
      <c r="EME253" s="9"/>
      <c r="EMF253" s="9"/>
      <c r="EMG253" s="9"/>
      <c r="EMH253" s="9"/>
      <c r="EMI253" s="9"/>
      <c r="EMJ253" s="9"/>
      <c r="EMK253" s="9"/>
      <c r="EML253" s="9"/>
      <c r="EMM253" s="9"/>
      <c r="EMN253" s="9"/>
      <c r="EMO253" s="9"/>
      <c r="EMP253" s="9"/>
      <c r="EMQ253" s="9"/>
      <c r="EMR253" s="9"/>
      <c r="EMS253" s="9"/>
      <c r="EMT253" s="9"/>
      <c r="EMU253" s="9"/>
      <c r="EMV253" s="9"/>
      <c r="EMW253" s="9"/>
      <c r="EMX253" s="9"/>
      <c r="EMY253" s="9"/>
      <c r="EMZ253" s="9"/>
      <c r="ENA253" s="9"/>
      <c r="ENB253" s="9"/>
      <c r="ENC253" s="9"/>
      <c r="END253" s="9"/>
      <c r="ENE253" s="9"/>
      <c r="ENF253" s="9"/>
      <c r="ENG253" s="9"/>
      <c r="ENH253" s="9"/>
      <c r="ENI253" s="9"/>
      <c r="ENJ253" s="9"/>
      <c r="ENK253" s="9"/>
      <c r="ENL253" s="9"/>
      <c r="ENM253" s="9"/>
      <c r="ENN253" s="9"/>
      <c r="ENO253" s="9"/>
      <c r="ENP253" s="9"/>
      <c r="ENQ253" s="9"/>
      <c r="ENR253" s="9"/>
      <c r="ENS253" s="9"/>
      <c r="ENT253" s="9"/>
      <c r="ENU253" s="9"/>
      <c r="ENV253" s="9"/>
      <c r="ENW253" s="9"/>
      <c r="ENX253" s="9"/>
      <c r="ENY253" s="9"/>
      <c r="ENZ253" s="9"/>
      <c r="EOA253" s="9"/>
      <c r="EOB253" s="9"/>
      <c r="EOC253" s="9"/>
      <c r="EOD253" s="9"/>
      <c r="EOE253" s="9"/>
      <c r="EOF253" s="9"/>
      <c r="EOG253" s="9"/>
      <c r="EOH253" s="9"/>
      <c r="EOI253" s="9"/>
      <c r="EOJ253" s="9"/>
      <c r="EOK253" s="9"/>
      <c r="EOL253" s="9"/>
      <c r="EOM253" s="9"/>
      <c r="EON253" s="9"/>
      <c r="EOO253" s="9"/>
      <c r="EOP253" s="9"/>
      <c r="EOQ253" s="9"/>
      <c r="EOR253" s="9"/>
      <c r="EOS253" s="9"/>
      <c r="EOT253" s="9"/>
      <c r="EOU253" s="9"/>
      <c r="EOV253" s="9"/>
      <c r="EOW253" s="9"/>
      <c r="EOX253" s="9"/>
      <c r="EOY253" s="9"/>
      <c r="EOZ253" s="9"/>
      <c r="EPA253" s="9"/>
      <c r="EPB253" s="9"/>
      <c r="EPC253" s="9"/>
      <c r="EPD253" s="9"/>
      <c r="EPE253" s="9"/>
      <c r="EPF253" s="9"/>
      <c r="EPG253" s="9"/>
      <c r="EPH253" s="9"/>
      <c r="EPI253" s="9"/>
      <c r="EPJ253" s="9"/>
      <c r="EPK253" s="9"/>
      <c r="EPL253" s="9"/>
      <c r="EPM253" s="9"/>
      <c r="EPN253" s="9"/>
      <c r="EPO253" s="9"/>
      <c r="EPP253" s="9"/>
      <c r="EPQ253" s="9"/>
      <c r="EPR253" s="9"/>
      <c r="EPS253" s="9"/>
      <c r="EPT253" s="9"/>
      <c r="EPU253" s="9"/>
      <c r="EPV253" s="9"/>
      <c r="EPW253" s="9"/>
      <c r="EPX253" s="9"/>
      <c r="EPY253" s="9"/>
      <c r="EPZ253" s="9"/>
      <c r="EQA253" s="9"/>
      <c r="EQB253" s="9"/>
      <c r="EQC253" s="9"/>
      <c r="EQD253" s="9"/>
      <c r="EQE253" s="9"/>
      <c r="EQF253" s="9"/>
      <c r="EQG253" s="9"/>
      <c r="EQH253" s="9"/>
      <c r="EQI253" s="9"/>
      <c r="EQJ253" s="9"/>
      <c r="EQK253" s="9"/>
      <c r="EQL253" s="9"/>
      <c r="EQM253" s="9"/>
      <c r="EQN253" s="9"/>
      <c r="EQO253" s="9"/>
      <c r="EQP253" s="9"/>
      <c r="EQQ253" s="9"/>
      <c r="EQR253" s="9"/>
      <c r="EQS253" s="9"/>
      <c r="EQT253" s="9"/>
      <c r="EQU253" s="9"/>
      <c r="EQV253" s="9"/>
      <c r="EQW253" s="9"/>
      <c r="EQX253" s="9"/>
      <c r="EQY253" s="9"/>
      <c r="EQZ253" s="9"/>
      <c r="ERA253" s="9"/>
      <c r="ERB253" s="9"/>
      <c r="ERC253" s="9"/>
      <c r="ERD253" s="9"/>
      <c r="ERE253" s="9"/>
      <c r="ERF253" s="9"/>
      <c r="ERG253" s="9"/>
      <c r="ERH253" s="9"/>
      <c r="ERI253" s="9"/>
      <c r="ERJ253" s="9"/>
      <c r="ERK253" s="9"/>
      <c r="ERL253" s="9"/>
      <c r="ERM253" s="9"/>
      <c r="ERN253" s="9"/>
      <c r="ERO253" s="9"/>
      <c r="ERP253" s="9"/>
      <c r="ERQ253" s="9"/>
      <c r="ERR253" s="9"/>
      <c r="ERS253" s="9"/>
      <c r="ERT253" s="9"/>
      <c r="ERU253" s="9"/>
      <c r="ERV253" s="9"/>
      <c r="ERW253" s="9"/>
      <c r="ERX253" s="9"/>
      <c r="ERY253" s="9"/>
      <c r="ERZ253" s="9"/>
      <c r="ESA253" s="9"/>
      <c r="ESB253" s="9"/>
      <c r="ESC253" s="9"/>
      <c r="ESD253" s="9"/>
      <c r="ESE253" s="9"/>
      <c r="ESF253" s="9"/>
      <c r="ESG253" s="9"/>
      <c r="ESH253" s="9"/>
      <c r="ESI253" s="9"/>
      <c r="ESJ253" s="9"/>
      <c r="ESK253" s="9"/>
      <c r="ESL253" s="9"/>
      <c r="ESM253" s="9"/>
      <c r="ESN253" s="9"/>
      <c r="ESO253" s="9"/>
      <c r="ESP253" s="9"/>
      <c r="ESQ253" s="9"/>
      <c r="ESR253" s="9"/>
      <c r="ESS253" s="9"/>
      <c r="EST253" s="9"/>
      <c r="ESU253" s="9"/>
      <c r="ESV253" s="9"/>
      <c r="ESW253" s="9"/>
      <c r="ESX253" s="9"/>
      <c r="ESY253" s="9"/>
      <c r="ESZ253" s="9"/>
      <c r="ETA253" s="9"/>
      <c r="ETB253" s="9"/>
      <c r="ETC253" s="9"/>
      <c r="ETD253" s="9"/>
      <c r="ETE253" s="9"/>
      <c r="ETF253" s="9"/>
      <c r="ETG253" s="9"/>
      <c r="ETH253" s="9"/>
      <c r="ETI253" s="9"/>
      <c r="ETJ253" s="9"/>
      <c r="ETK253" s="9"/>
      <c r="ETL253" s="9"/>
      <c r="ETM253" s="9"/>
      <c r="ETN253" s="9"/>
      <c r="ETO253" s="9"/>
      <c r="ETP253" s="9"/>
      <c r="ETQ253" s="9"/>
      <c r="ETR253" s="9"/>
      <c r="ETS253" s="9"/>
      <c r="ETT253" s="9"/>
      <c r="ETU253" s="9"/>
      <c r="ETV253" s="9"/>
      <c r="ETW253" s="9"/>
      <c r="ETX253" s="9"/>
      <c r="ETY253" s="9"/>
      <c r="ETZ253" s="9"/>
      <c r="EUA253" s="9"/>
      <c r="EUB253" s="9"/>
      <c r="EUC253" s="9"/>
      <c r="EUD253" s="9"/>
      <c r="EUE253" s="9"/>
      <c r="EUF253" s="9"/>
      <c r="EUG253" s="9"/>
      <c r="EUH253" s="9"/>
      <c r="EUI253" s="9"/>
      <c r="EUJ253" s="9"/>
      <c r="EUK253" s="9"/>
      <c r="EUL253" s="9"/>
      <c r="EUM253" s="9"/>
      <c r="EUN253" s="9"/>
      <c r="EUO253" s="9"/>
      <c r="EUP253" s="9"/>
      <c r="EUQ253" s="9"/>
      <c r="EUR253" s="9"/>
      <c r="EUS253" s="9"/>
      <c r="EUT253" s="9"/>
      <c r="EUU253" s="9"/>
      <c r="EUV253" s="9"/>
      <c r="EUW253" s="9"/>
      <c r="EUX253" s="9"/>
      <c r="EUY253" s="9"/>
      <c r="EUZ253" s="9"/>
      <c r="EVA253" s="9"/>
      <c r="EVB253" s="9"/>
      <c r="EVC253" s="9"/>
      <c r="EVD253" s="9"/>
      <c r="EVE253" s="9"/>
      <c r="EVF253" s="9"/>
      <c r="EVG253" s="9"/>
      <c r="EVH253" s="9"/>
      <c r="EVI253" s="9"/>
      <c r="EVJ253" s="9"/>
      <c r="EVK253" s="9"/>
      <c r="EVL253" s="9"/>
      <c r="EVM253" s="9"/>
      <c r="EVN253" s="9"/>
      <c r="EVO253" s="9"/>
      <c r="EVP253" s="9"/>
      <c r="EVQ253" s="9"/>
      <c r="EVR253" s="9"/>
      <c r="EVS253" s="9"/>
      <c r="EVT253" s="9"/>
      <c r="EVU253" s="9"/>
      <c r="EVV253" s="9"/>
      <c r="EVW253" s="9"/>
      <c r="EVX253" s="9"/>
      <c r="EVY253" s="9"/>
      <c r="EVZ253" s="9"/>
      <c r="EWA253" s="9"/>
      <c r="EWB253" s="9"/>
      <c r="EWC253" s="9"/>
      <c r="EWD253" s="9"/>
      <c r="EWE253" s="9"/>
      <c r="EWF253" s="9"/>
      <c r="EWG253" s="9"/>
      <c r="EWH253" s="9"/>
      <c r="EWI253" s="9"/>
      <c r="EWJ253" s="9"/>
      <c r="EWK253" s="9"/>
      <c r="EWL253" s="9"/>
      <c r="EWM253" s="9"/>
      <c r="EWN253" s="9"/>
      <c r="EWO253" s="9"/>
      <c r="EWP253" s="9"/>
      <c r="EWQ253" s="9"/>
      <c r="EWR253" s="9"/>
      <c r="EWS253" s="9"/>
      <c r="EWT253" s="9"/>
      <c r="EWU253" s="9"/>
      <c r="EWV253" s="9"/>
      <c r="EWW253" s="9"/>
      <c r="EWX253" s="9"/>
      <c r="EWY253" s="9"/>
      <c r="EWZ253" s="9"/>
      <c r="EXA253" s="9"/>
      <c r="EXB253" s="9"/>
      <c r="EXC253" s="9"/>
      <c r="EXD253" s="9"/>
      <c r="EXE253" s="9"/>
      <c r="EXF253" s="9"/>
      <c r="EXG253" s="9"/>
      <c r="EXH253" s="9"/>
      <c r="EXI253" s="9"/>
      <c r="EXJ253" s="9"/>
      <c r="EXK253" s="9"/>
      <c r="EXL253" s="9"/>
      <c r="EXM253" s="9"/>
      <c r="EXN253" s="9"/>
      <c r="EXO253" s="9"/>
      <c r="EXP253" s="9"/>
      <c r="EXQ253" s="9"/>
      <c r="EXR253" s="9"/>
      <c r="EXS253" s="9"/>
      <c r="EXT253" s="9"/>
      <c r="EXU253" s="9"/>
      <c r="EXV253" s="9"/>
      <c r="EXW253" s="9"/>
      <c r="EXX253" s="9"/>
      <c r="EXY253" s="9"/>
      <c r="EXZ253" s="9"/>
      <c r="EYA253" s="9"/>
      <c r="EYB253" s="9"/>
      <c r="EYC253" s="9"/>
      <c r="EYD253" s="9"/>
      <c r="EYE253" s="9"/>
      <c r="EYF253" s="9"/>
      <c r="EYG253" s="9"/>
      <c r="EYH253" s="9"/>
      <c r="EYI253" s="9"/>
      <c r="EYJ253" s="9"/>
      <c r="EYK253" s="9"/>
      <c r="EYL253" s="9"/>
      <c r="EYM253" s="9"/>
      <c r="EYN253" s="9"/>
      <c r="EYO253" s="9"/>
      <c r="EYP253" s="9"/>
      <c r="EYQ253" s="9"/>
      <c r="EYR253" s="9"/>
      <c r="EYS253" s="9"/>
      <c r="EYT253" s="9"/>
      <c r="EYU253" s="9"/>
      <c r="EYV253" s="9"/>
      <c r="EYW253" s="9"/>
      <c r="EYX253" s="9"/>
      <c r="EYY253" s="9"/>
      <c r="EYZ253" s="9"/>
      <c r="EZA253" s="9"/>
      <c r="EZB253" s="9"/>
      <c r="EZC253" s="9"/>
      <c r="EZD253" s="9"/>
      <c r="EZE253" s="9"/>
      <c r="EZF253" s="9"/>
      <c r="EZG253" s="9"/>
      <c r="EZH253" s="9"/>
      <c r="EZI253" s="9"/>
      <c r="EZJ253" s="9"/>
      <c r="EZK253" s="9"/>
      <c r="EZL253" s="9"/>
      <c r="EZM253" s="9"/>
      <c r="EZN253" s="9"/>
      <c r="EZO253" s="9"/>
      <c r="EZP253" s="9"/>
      <c r="EZQ253" s="9"/>
      <c r="EZR253" s="9"/>
      <c r="EZS253" s="9"/>
      <c r="EZT253" s="9"/>
      <c r="EZU253" s="9"/>
      <c r="EZV253" s="9"/>
      <c r="EZW253" s="9"/>
      <c r="EZX253" s="9"/>
      <c r="EZY253" s="9"/>
      <c r="EZZ253" s="9"/>
      <c r="FAA253" s="9"/>
      <c r="FAB253" s="9"/>
      <c r="FAC253" s="9"/>
      <c r="FAD253" s="9"/>
      <c r="FAE253" s="9"/>
      <c r="FAF253" s="9"/>
      <c r="FAG253" s="9"/>
      <c r="FAH253" s="9"/>
      <c r="FAI253" s="9"/>
      <c r="FAJ253" s="9"/>
      <c r="FAK253" s="9"/>
      <c r="FAL253" s="9"/>
      <c r="FAM253" s="9"/>
      <c r="FAN253" s="9"/>
      <c r="FAO253" s="9"/>
      <c r="FAP253" s="9"/>
      <c r="FAQ253" s="9"/>
      <c r="FAR253" s="9"/>
      <c r="FAS253" s="9"/>
      <c r="FAT253" s="9"/>
      <c r="FAU253" s="9"/>
      <c r="FAV253" s="9"/>
      <c r="FAW253" s="9"/>
      <c r="FAX253" s="9"/>
      <c r="FAY253" s="9"/>
      <c r="FAZ253" s="9"/>
      <c r="FBA253" s="9"/>
      <c r="FBB253" s="9"/>
      <c r="FBC253" s="9"/>
      <c r="FBD253" s="9"/>
      <c r="FBE253" s="9"/>
      <c r="FBF253" s="9"/>
      <c r="FBG253" s="9"/>
      <c r="FBH253" s="9"/>
      <c r="FBI253" s="9"/>
      <c r="FBJ253" s="9"/>
      <c r="FBK253" s="9"/>
      <c r="FBL253" s="9"/>
      <c r="FBM253" s="9"/>
      <c r="FBN253" s="9"/>
      <c r="FBO253" s="9"/>
      <c r="FBP253" s="9"/>
      <c r="FBQ253" s="9"/>
      <c r="FBR253" s="9"/>
      <c r="FBS253" s="9"/>
      <c r="FBT253" s="9"/>
      <c r="FBU253" s="9"/>
      <c r="FBV253" s="9"/>
      <c r="FBW253" s="9"/>
      <c r="FBX253" s="9"/>
      <c r="FBY253" s="9"/>
      <c r="FBZ253" s="9"/>
      <c r="FCA253" s="9"/>
      <c r="FCB253" s="9"/>
      <c r="FCC253" s="9"/>
      <c r="FCD253" s="9"/>
      <c r="FCE253" s="9"/>
      <c r="FCF253" s="9"/>
      <c r="FCG253" s="9"/>
      <c r="FCH253" s="9"/>
      <c r="FCI253" s="9"/>
      <c r="FCJ253" s="9"/>
      <c r="FCK253" s="9"/>
      <c r="FCL253" s="9"/>
      <c r="FCM253" s="9"/>
      <c r="FCN253" s="9"/>
      <c r="FCO253" s="9"/>
      <c r="FCP253" s="9"/>
      <c r="FCQ253" s="9"/>
      <c r="FCR253" s="9"/>
      <c r="FCS253" s="9"/>
      <c r="FCT253" s="9"/>
      <c r="FCU253" s="9"/>
      <c r="FCV253" s="9"/>
      <c r="FCW253" s="9"/>
      <c r="FCX253" s="9"/>
      <c r="FCY253" s="9"/>
      <c r="FCZ253" s="9"/>
      <c r="FDA253" s="9"/>
      <c r="FDB253" s="9"/>
      <c r="FDC253" s="9"/>
      <c r="FDD253" s="9"/>
      <c r="FDE253" s="9"/>
      <c r="FDF253" s="9"/>
      <c r="FDG253" s="9"/>
      <c r="FDH253" s="9"/>
      <c r="FDI253" s="9"/>
      <c r="FDJ253" s="9"/>
      <c r="FDK253" s="9"/>
      <c r="FDL253" s="9"/>
      <c r="FDM253" s="9"/>
      <c r="FDN253" s="9"/>
      <c r="FDO253" s="9"/>
      <c r="FDP253" s="9"/>
      <c r="FDQ253" s="9"/>
      <c r="FDR253" s="9"/>
      <c r="FDS253" s="9"/>
      <c r="FDT253" s="9"/>
      <c r="FDU253" s="9"/>
      <c r="FDV253" s="9"/>
      <c r="FDW253" s="9"/>
      <c r="FDX253" s="9"/>
      <c r="FDY253" s="9"/>
      <c r="FDZ253" s="9"/>
      <c r="FEA253" s="9"/>
      <c r="FEB253" s="9"/>
      <c r="FEC253" s="9"/>
      <c r="FED253" s="9"/>
      <c r="FEE253" s="9"/>
      <c r="FEF253" s="9"/>
      <c r="FEG253" s="9"/>
      <c r="FEH253" s="9"/>
      <c r="FEI253" s="9"/>
      <c r="FEJ253" s="9"/>
      <c r="FEK253" s="9"/>
      <c r="FEL253" s="9"/>
      <c r="FEM253" s="9"/>
      <c r="FEN253" s="9"/>
      <c r="FEO253" s="9"/>
      <c r="FEP253" s="9"/>
      <c r="FEQ253" s="9"/>
      <c r="FER253" s="9"/>
      <c r="FES253" s="9"/>
      <c r="FET253" s="9"/>
      <c r="FEU253" s="9"/>
      <c r="FEV253" s="9"/>
      <c r="FEW253" s="9"/>
      <c r="FEX253" s="9"/>
      <c r="FEY253" s="9"/>
      <c r="FEZ253" s="9"/>
      <c r="FFA253" s="9"/>
      <c r="FFB253" s="9"/>
      <c r="FFC253" s="9"/>
      <c r="FFD253" s="9"/>
      <c r="FFE253" s="9"/>
      <c r="FFF253" s="9"/>
      <c r="FFG253" s="9"/>
      <c r="FFH253" s="9"/>
      <c r="FFI253" s="9"/>
      <c r="FFJ253" s="9"/>
      <c r="FFK253" s="9"/>
      <c r="FFL253" s="9"/>
      <c r="FFM253" s="9"/>
      <c r="FFN253" s="9"/>
      <c r="FFO253" s="9"/>
      <c r="FFP253" s="9"/>
      <c r="FFQ253" s="9"/>
      <c r="FFR253" s="9"/>
      <c r="FFS253" s="9"/>
      <c r="FFT253" s="9"/>
      <c r="FFU253" s="9"/>
      <c r="FFV253" s="9"/>
      <c r="FFW253" s="9"/>
      <c r="FFX253" s="9"/>
      <c r="FFY253" s="9"/>
      <c r="FFZ253" s="9"/>
      <c r="FGA253" s="9"/>
      <c r="FGB253" s="9"/>
      <c r="FGC253" s="9"/>
      <c r="FGD253" s="9"/>
      <c r="FGE253" s="9"/>
      <c r="FGF253" s="9"/>
      <c r="FGG253" s="9"/>
      <c r="FGH253" s="9"/>
      <c r="FGI253" s="9"/>
      <c r="FGJ253" s="9"/>
      <c r="FGK253" s="9"/>
      <c r="FGL253" s="9"/>
      <c r="FGM253" s="9"/>
      <c r="FGN253" s="9"/>
      <c r="FGO253" s="9"/>
      <c r="FGP253" s="9"/>
      <c r="FGQ253" s="9"/>
      <c r="FGR253" s="9"/>
      <c r="FGS253" s="9"/>
      <c r="FGT253" s="9"/>
      <c r="FGU253" s="9"/>
      <c r="FGV253" s="9"/>
      <c r="FGW253" s="9"/>
      <c r="FGX253" s="9"/>
      <c r="FGY253" s="9"/>
      <c r="FGZ253" s="9"/>
      <c r="FHA253" s="9"/>
      <c r="FHB253" s="9"/>
      <c r="FHC253" s="9"/>
      <c r="FHD253" s="9"/>
      <c r="FHE253" s="9"/>
      <c r="FHF253" s="9"/>
      <c r="FHG253" s="9"/>
      <c r="FHH253" s="9"/>
      <c r="FHI253" s="9"/>
      <c r="FHJ253" s="9"/>
      <c r="FHK253" s="9"/>
      <c r="FHL253" s="9"/>
      <c r="FHM253" s="9"/>
      <c r="FHN253" s="9"/>
      <c r="FHO253" s="9"/>
      <c r="FHP253" s="9"/>
      <c r="FHQ253" s="9"/>
      <c r="FHR253" s="9"/>
      <c r="FHS253" s="9"/>
      <c r="FHT253" s="9"/>
      <c r="FHU253" s="9"/>
      <c r="FHV253" s="9"/>
      <c r="FHW253" s="9"/>
      <c r="FHX253" s="9"/>
      <c r="FHY253" s="9"/>
      <c r="FHZ253" s="9"/>
      <c r="FIA253" s="9"/>
      <c r="FIB253" s="9"/>
      <c r="FIC253" s="9"/>
      <c r="FID253" s="9"/>
      <c r="FIE253" s="9"/>
      <c r="FIF253" s="9"/>
      <c r="FIG253" s="9"/>
      <c r="FIH253" s="9"/>
      <c r="FII253" s="9"/>
      <c r="FIJ253" s="9"/>
      <c r="FIK253" s="9"/>
      <c r="FIL253" s="9"/>
      <c r="FIM253" s="9"/>
      <c r="FIN253" s="9"/>
      <c r="FIO253" s="9"/>
      <c r="FIP253" s="9"/>
      <c r="FIQ253" s="9"/>
      <c r="FIR253" s="9"/>
      <c r="FIS253" s="9"/>
      <c r="FIT253" s="9"/>
      <c r="FIU253" s="9"/>
      <c r="FIV253" s="9"/>
      <c r="FIW253" s="9"/>
      <c r="FIX253" s="9"/>
      <c r="FIY253" s="9"/>
      <c r="FIZ253" s="9"/>
      <c r="FJA253" s="9"/>
      <c r="FJB253" s="9"/>
      <c r="FJC253" s="9"/>
      <c r="FJD253" s="9"/>
      <c r="FJE253" s="9"/>
      <c r="FJF253" s="9"/>
      <c r="FJG253" s="9"/>
      <c r="FJH253" s="9"/>
      <c r="FJI253" s="9"/>
      <c r="FJJ253" s="9"/>
      <c r="FJK253" s="9"/>
      <c r="FJL253" s="9"/>
      <c r="FJM253" s="9"/>
      <c r="FJN253" s="9"/>
      <c r="FJO253" s="9"/>
      <c r="FJP253" s="9"/>
      <c r="FJQ253" s="9"/>
      <c r="FJR253" s="9"/>
      <c r="FJS253" s="9"/>
      <c r="FJT253" s="9"/>
      <c r="FJU253" s="9"/>
      <c r="FJV253" s="9"/>
      <c r="FJW253" s="9"/>
      <c r="FJX253" s="9"/>
      <c r="FJY253" s="9"/>
      <c r="FJZ253" s="9"/>
      <c r="FKA253" s="9"/>
      <c r="FKB253" s="9"/>
      <c r="FKC253" s="9"/>
      <c r="FKD253" s="9"/>
      <c r="FKE253" s="9"/>
      <c r="FKF253" s="9"/>
      <c r="FKG253" s="9"/>
      <c r="FKH253" s="9"/>
      <c r="FKI253" s="9"/>
      <c r="FKJ253" s="9"/>
      <c r="FKK253" s="9"/>
      <c r="FKL253" s="9"/>
      <c r="FKM253" s="9"/>
      <c r="FKN253" s="9"/>
      <c r="FKO253" s="9"/>
      <c r="FKP253" s="9"/>
      <c r="FKQ253" s="9"/>
      <c r="FKR253" s="9"/>
      <c r="FKS253" s="9"/>
      <c r="FKT253" s="9"/>
      <c r="FKU253" s="9"/>
      <c r="FKV253" s="9"/>
      <c r="FKW253" s="9"/>
      <c r="FKX253" s="9"/>
      <c r="FKY253" s="9"/>
      <c r="FKZ253" s="9"/>
      <c r="FLA253" s="9"/>
      <c r="FLB253" s="9"/>
      <c r="FLC253" s="9"/>
      <c r="FLD253" s="9"/>
      <c r="FLE253" s="9"/>
      <c r="FLF253" s="9"/>
      <c r="FLG253" s="9"/>
      <c r="FLH253" s="9"/>
      <c r="FLI253" s="9"/>
      <c r="FLJ253" s="9"/>
      <c r="FLK253" s="9"/>
      <c r="FLL253" s="9"/>
      <c r="FLM253" s="9"/>
      <c r="FLN253" s="9"/>
      <c r="FLO253" s="9"/>
      <c r="FLP253" s="9"/>
      <c r="FLQ253" s="9"/>
      <c r="FLR253" s="9"/>
      <c r="FLS253" s="9"/>
      <c r="FLT253" s="9"/>
      <c r="FLU253" s="9"/>
      <c r="FLV253" s="9"/>
      <c r="FLW253" s="9"/>
      <c r="FLX253" s="9"/>
      <c r="FLY253" s="9"/>
      <c r="FLZ253" s="9"/>
      <c r="FMA253" s="9"/>
      <c r="FMB253" s="9"/>
      <c r="FMC253" s="9"/>
      <c r="FMD253" s="9"/>
      <c r="FME253" s="9"/>
      <c r="FMF253" s="9"/>
      <c r="FMG253" s="9"/>
      <c r="FMH253" s="9"/>
      <c r="FMI253" s="9"/>
      <c r="FMJ253" s="9"/>
      <c r="FMK253" s="9"/>
      <c r="FML253" s="9"/>
      <c r="FMM253" s="9"/>
      <c r="FMN253" s="9"/>
      <c r="FMO253" s="9"/>
      <c r="FMP253" s="9"/>
      <c r="FMQ253" s="9"/>
      <c r="FMR253" s="9"/>
      <c r="FMS253" s="9"/>
      <c r="FMT253" s="9"/>
      <c r="FMU253" s="9"/>
      <c r="FMV253" s="9"/>
      <c r="FMW253" s="9"/>
      <c r="FMX253" s="9"/>
      <c r="FMY253" s="9"/>
      <c r="FMZ253" s="9"/>
      <c r="FNA253" s="9"/>
      <c r="FNB253" s="9"/>
      <c r="FNC253" s="9"/>
      <c r="FND253" s="9"/>
      <c r="FNE253" s="9"/>
      <c r="FNF253" s="9"/>
      <c r="FNG253" s="9"/>
      <c r="FNH253" s="9"/>
      <c r="FNI253" s="9"/>
      <c r="FNJ253" s="9"/>
      <c r="FNK253" s="9"/>
      <c r="FNL253" s="9"/>
      <c r="FNM253" s="9"/>
      <c r="FNN253" s="9"/>
      <c r="FNO253" s="9"/>
      <c r="FNP253" s="9"/>
      <c r="FNQ253" s="9"/>
      <c r="FNR253" s="9"/>
      <c r="FNS253" s="9"/>
      <c r="FNT253" s="9"/>
      <c r="FNU253" s="9"/>
      <c r="FNV253" s="9"/>
      <c r="FNW253" s="9"/>
      <c r="FNX253" s="9"/>
      <c r="FNY253" s="9"/>
      <c r="FNZ253" s="9"/>
      <c r="FOA253" s="9"/>
      <c r="FOB253" s="9"/>
      <c r="FOC253" s="9"/>
      <c r="FOD253" s="9"/>
      <c r="FOE253" s="9"/>
      <c r="FOF253" s="9"/>
      <c r="FOG253" s="9"/>
      <c r="FOH253" s="9"/>
      <c r="FOI253" s="9"/>
      <c r="FOJ253" s="9"/>
      <c r="FOK253" s="9"/>
      <c r="FOL253" s="9"/>
      <c r="FOM253" s="9"/>
      <c r="FON253" s="9"/>
      <c r="FOO253" s="9"/>
      <c r="FOP253" s="9"/>
      <c r="FOQ253" s="9"/>
      <c r="FOR253" s="9"/>
      <c r="FOS253" s="9"/>
      <c r="FOT253" s="9"/>
      <c r="FOU253" s="9"/>
      <c r="FOV253" s="9"/>
      <c r="FOW253" s="9"/>
      <c r="FOX253" s="9"/>
      <c r="FOY253" s="9"/>
      <c r="FOZ253" s="9"/>
      <c r="FPA253" s="9"/>
      <c r="FPB253" s="9"/>
      <c r="FPC253" s="9"/>
      <c r="FPD253" s="9"/>
      <c r="FPE253" s="9"/>
      <c r="FPF253" s="9"/>
      <c r="FPG253" s="9"/>
      <c r="FPH253" s="9"/>
      <c r="FPI253" s="9"/>
      <c r="FPJ253" s="9"/>
      <c r="FPK253" s="9"/>
      <c r="FPL253" s="9"/>
      <c r="FPM253" s="9"/>
      <c r="FPN253" s="9"/>
      <c r="FPO253" s="9"/>
      <c r="FPP253" s="9"/>
      <c r="FPQ253" s="9"/>
      <c r="FPR253" s="9"/>
      <c r="FPS253" s="9"/>
      <c r="FPT253" s="9"/>
      <c r="FPU253" s="9"/>
      <c r="FPV253" s="9"/>
      <c r="FPW253" s="9"/>
      <c r="FPX253" s="9"/>
      <c r="FPY253" s="9"/>
      <c r="FPZ253" s="9"/>
      <c r="FQA253" s="9"/>
      <c r="FQB253" s="9"/>
      <c r="FQC253" s="9"/>
      <c r="FQD253" s="9"/>
      <c r="FQE253" s="9"/>
      <c r="FQF253" s="9"/>
      <c r="FQG253" s="9"/>
      <c r="FQH253" s="9"/>
      <c r="FQI253" s="9"/>
      <c r="FQJ253" s="9"/>
      <c r="FQK253" s="9"/>
      <c r="FQL253" s="9"/>
      <c r="FQM253" s="9"/>
      <c r="FQN253" s="9"/>
      <c r="FQO253" s="9"/>
      <c r="FQP253" s="9"/>
      <c r="FQQ253" s="9"/>
      <c r="FQR253" s="9"/>
      <c r="FQS253" s="9"/>
      <c r="FQT253" s="9"/>
      <c r="FQU253" s="9"/>
      <c r="FQV253" s="9"/>
      <c r="FQW253" s="9"/>
      <c r="FQX253" s="9"/>
      <c r="FQY253" s="9"/>
      <c r="FQZ253" s="9"/>
      <c r="FRA253" s="9"/>
      <c r="FRB253" s="9"/>
      <c r="FRC253" s="9"/>
      <c r="FRD253" s="9"/>
      <c r="FRE253" s="9"/>
      <c r="FRF253" s="9"/>
      <c r="FRG253" s="9"/>
      <c r="FRH253" s="9"/>
      <c r="FRI253" s="9"/>
      <c r="FRJ253" s="9"/>
      <c r="FRK253" s="9"/>
      <c r="FRL253" s="9"/>
      <c r="FRM253" s="9"/>
      <c r="FRN253" s="9"/>
      <c r="FRO253" s="9"/>
      <c r="FRP253" s="9"/>
      <c r="FRQ253" s="9"/>
      <c r="FRR253" s="9"/>
      <c r="FRS253" s="9"/>
      <c r="FRT253" s="9"/>
      <c r="FRU253" s="9"/>
      <c r="FRV253" s="9"/>
      <c r="FRW253" s="9"/>
      <c r="FRX253" s="9"/>
      <c r="FRY253" s="9"/>
      <c r="FRZ253" s="9"/>
      <c r="FSA253" s="9"/>
      <c r="FSB253" s="9"/>
      <c r="FSC253" s="9"/>
      <c r="FSD253" s="9"/>
      <c r="FSE253" s="9"/>
      <c r="FSF253" s="9"/>
      <c r="FSG253" s="9"/>
      <c r="FSH253" s="9"/>
      <c r="FSI253" s="9"/>
      <c r="FSJ253" s="9"/>
      <c r="FSK253" s="9"/>
      <c r="FSL253" s="9"/>
      <c r="FSM253" s="9"/>
      <c r="FSN253" s="9"/>
      <c r="FSO253" s="9"/>
      <c r="FSP253" s="9"/>
      <c r="FSQ253" s="9"/>
      <c r="FSR253" s="9"/>
      <c r="FSS253" s="9"/>
      <c r="FST253" s="9"/>
      <c r="FSU253" s="9"/>
      <c r="FSV253" s="9"/>
      <c r="FSW253" s="9"/>
      <c r="FSX253" s="9"/>
      <c r="FSY253" s="9"/>
      <c r="FSZ253" s="9"/>
      <c r="FTA253" s="9"/>
      <c r="FTB253" s="9"/>
      <c r="FTC253" s="9"/>
      <c r="FTD253" s="9"/>
      <c r="FTE253" s="9"/>
      <c r="FTF253" s="9"/>
      <c r="FTG253" s="9"/>
      <c r="FTH253" s="9"/>
      <c r="FTI253" s="9"/>
      <c r="FTJ253" s="9"/>
      <c r="FTK253" s="9"/>
      <c r="FTL253" s="9"/>
      <c r="FTM253" s="9"/>
      <c r="FTN253" s="9"/>
      <c r="FTO253" s="9"/>
      <c r="FTP253" s="9"/>
      <c r="FTQ253" s="9"/>
      <c r="FTR253" s="9"/>
      <c r="FTS253" s="9"/>
      <c r="FTT253" s="9"/>
      <c r="FTU253" s="9"/>
      <c r="FTV253" s="9"/>
      <c r="FTW253" s="9"/>
      <c r="FTX253" s="9"/>
      <c r="FTY253" s="9"/>
      <c r="FTZ253" s="9"/>
      <c r="FUA253" s="9"/>
      <c r="FUB253" s="9"/>
      <c r="FUC253" s="9"/>
      <c r="FUD253" s="9"/>
      <c r="FUE253" s="9"/>
      <c r="FUF253" s="9"/>
      <c r="FUG253" s="9"/>
      <c r="FUH253" s="9"/>
      <c r="FUI253" s="9"/>
      <c r="FUJ253" s="9"/>
      <c r="FUK253" s="9"/>
      <c r="FUL253" s="9"/>
      <c r="FUM253" s="9"/>
      <c r="FUN253" s="9"/>
      <c r="FUO253" s="9"/>
      <c r="FUP253" s="9"/>
      <c r="FUQ253" s="9"/>
      <c r="FUR253" s="9"/>
      <c r="FUS253" s="9"/>
      <c r="FUT253" s="9"/>
      <c r="FUU253" s="9"/>
      <c r="FUV253" s="9"/>
      <c r="FUW253" s="9"/>
      <c r="FUX253" s="9"/>
      <c r="FUY253" s="9"/>
      <c r="FUZ253" s="9"/>
      <c r="FVA253" s="9"/>
      <c r="FVB253" s="9"/>
      <c r="FVC253" s="9"/>
      <c r="FVD253" s="9"/>
      <c r="FVE253" s="9"/>
      <c r="FVF253" s="9"/>
      <c r="FVG253" s="9"/>
      <c r="FVH253" s="9"/>
      <c r="FVI253" s="9"/>
      <c r="FVJ253" s="9"/>
      <c r="FVK253" s="9"/>
      <c r="FVL253" s="9"/>
      <c r="FVM253" s="9"/>
      <c r="FVN253" s="9"/>
      <c r="FVO253" s="9"/>
      <c r="FVP253" s="9"/>
      <c r="FVQ253" s="9"/>
      <c r="FVR253" s="9"/>
      <c r="FVS253" s="9"/>
      <c r="FVT253" s="9"/>
      <c r="FVU253" s="9"/>
      <c r="FVV253" s="9"/>
      <c r="FVW253" s="9"/>
      <c r="FVX253" s="9"/>
      <c r="FVY253" s="9"/>
      <c r="FVZ253" s="9"/>
      <c r="FWA253" s="9"/>
      <c r="FWB253" s="9"/>
      <c r="FWC253" s="9"/>
      <c r="FWD253" s="9"/>
      <c r="FWE253" s="9"/>
      <c r="FWF253" s="9"/>
      <c r="FWG253" s="9"/>
      <c r="FWH253" s="9"/>
      <c r="FWI253" s="9"/>
      <c r="FWJ253" s="9"/>
      <c r="FWK253" s="9"/>
      <c r="FWL253" s="9"/>
      <c r="FWM253" s="9"/>
      <c r="FWN253" s="9"/>
      <c r="FWO253" s="9"/>
      <c r="FWP253" s="9"/>
      <c r="FWQ253" s="9"/>
      <c r="FWR253" s="9"/>
      <c r="FWS253" s="9"/>
      <c r="FWT253" s="9"/>
      <c r="FWU253" s="9"/>
      <c r="FWV253" s="9"/>
      <c r="FWW253" s="9"/>
      <c r="FWX253" s="9"/>
      <c r="FWY253" s="9"/>
      <c r="FWZ253" s="9"/>
      <c r="FXA253" s="9"/>
      <c r="FXB253" s="9"/>
      <c r="FXC253" s="9"/>
      <c r="FXD253" s="9"/>
      <c r="FXE253" s="9"/>
      <c r="FXF253" s="9"/>
      <c r="FXG253" s="9"/>
      <c r="FXH253" s="9"/>
      <c r="FXI253" s="9"/>
      <c r="FXJ253" s="9"/>
      <c r="FXK253" s="9"/>
      <c r="FXL253" s="9"/>
      <c r="FXM253" s="9"/>
      <c r="FXN253" s="9"/>
      <c r="FXO253" s="9"/>
      <c r="FXP253" s="9"/>
      <c r="FXQ253" s="9"/>
      <c r="FXR253" s="9"/>
      <c r="FXS253" s="9"/>
      <c r="FXT253" s="9"/>
      <c r="FXU253" s="9"/>
      <c r="FXV253" s="9"/>
      <c r="FXW253" s="9"/>
      <c r="FXX253" s="9"/>
      <c r="FXY253" s="9"/>
      <c r="FXZ253" s="9"/>
      <c r="FYA253" s="9"/>
      <c r="FYB253" s="9"/>
      <c r="FYC253" s="9"/>
      <c r="FYD253" s="9"/>
      <c r="FYE253" s="9"/>
      <c r="FYF253" s="9"/>
      <c r="FYG253" s="9"/>
      <c r="FYH253" s="9"/>
      <c r="FYI253" s="9"/>
      <c r="FYJ253" s="9"/>
      <c r="FYK253" s="9"/>
      <c r="FYL253" s="9"/>
      <c r="FYM253" s="9"/>
      <c r="FYN253" s="9"/>
      <c r="FYO253" s="9"/>
      <c r="FYP253" s="9"/>
      <c r="FYQ253" s="9"/>
      <c r="FYR253" s="9"/>
      <c r="FYS253" s="9"/>
      <c r="FYT253" s="9"/>
      <c r="FYU253" s="9"/>
      <c r="FYV253" s="9"/>
      <c r="FYW253" s="9"/>
      <c r="FYX253" s="9"/>
      <c r="FYY253" s="9"/>
      <c r="FYZ253" s="9"/>
      <c r="FZA253" s="9"/>
      <c r="FZB253" s="9"/>
      <c r="FZC253" s="9"/>
      <c r="FZD253" s="9"/>
      <c r="FZE253" s="9"/>
      <c r="FZF253" s="9"/>
      <c r="FZG253" s="9"/>
      <c r="FZH253" s="9"/>
      <c r="FZI253" s="9"/>
      <c r="FZJ253" s="9"/>
      <c r="FZK253" s="9"/>
      <c r="FZL253" s="9"/>
      <c r="FZM253" s="9"/>
      <c r="FZN253" s="9"/>
      <c r="FZO253" s="9"/>
      <c r="FZP253" s="9"/>
      <c r="FZQ253" s="9"/>
      <c r="FZR253" s="9"/>
      <c r="FZS253" s="9"/>
      <c r="FZT253" s="9"/>
      <c r="FZU253" s="9"/>
      <c r="FZV253" s="9"/>
      <c r="FZW253" s="9"/>
      <c r="FZX253" s="9"/>
      <c r="FZY253" s="9"/>
      <c r="FZZ253" s="9"/>
      <c r="GAA253" s="9"/>
      <c r="GAB253" s="9"/>
      <c r="GAC253" s="9"/>
      <c r="GAD253" s="9"/>
      <c r="GAE253" s="9"/>
      <c r="GAF253" s="9"/>
      <c r="GAG253" s="9"/>
      <c r="GAH253" s="9"/>
      <c r="GAI253" s="9"/>
      <c r="GAJ253" s="9"/>
      <c r="GAK253" s="9"/>
      <c r="GAL253" s="9"/>
      <c r="GAM253" s="9"/>
      <c r="GAN253" s="9"/>
      <c r="GAO253" s="9"/>
      <c r="GAP253" s="9"/>
      <c r="GAQ253" s="9"/>
      <c r="GAR253" s="9"/>
      <c r="GAS253" s="9"/>
      <c r="GAT253" s="9"/>
      <c r="GAU253" s="9"/>
      <c r="GAV253" s="9"/>
      <c r="GAW253" s="9"/>
      <c r="GAX253" s="9"/>
      <c r="GAY253" s="9"/>
      <c r="GAZ253" s="9"/>
      <c r="GBA253" s="9"/>
      <c r="GBB253" s="9"/>
      <c r="GBC253" s="9"/>
      <c r="GBD253" s="9"/>
      <c r="GBE253" s="9"/>
      <c r="GBF253" s="9"/>
      <c r="GBG253" s="9"/>
      <c r="GBH253" s="9"/>
      <c r="GBI253" s="9"/>
      <c r="GBJ253" s="9"/>
      <c r="GBK253" s="9"/>
      <c r="GBL253" s="9"/>
      <c r="GBM253" s="9"/>
      <c r="GBN253" s="9"/>
      <c r="GBO253" s="9"/>
      <c r="GBP253" s="9"/>
      <c r="GBQ253" s="9"/>
      <c r="GBR253" s="9"/>
      <c r="GBS253" s="9"/>
      <c r="GBT253" s="9"/>
      <c r="GBU253" s="9"/>
      <c r="GBV253" s="9"/>
      <c r="GBW253" s="9"/>
      <c r="GBX253" s="9"/>
      <c r="GBY253" s="9"/>
      <c r="GBZ253" s="9"/>
      <c r="GCA253" s="9"/>
      <c r="GCB253" s="9"/>
      <c r="GCC253" s="9"/>
      <c r="GCD253" s="9"/>
      <c r="GCE253" s="9"/>
      <c r="GCF253" s="9"/>
      <c r="GCG253" s="9"/>
      <c r="GCH253" s="9"/>
      <c r="GCI253" s="9"/>
      <c r="GCJ253" s="9"/>
      <c r="GCK253" s="9"/>
      <c r="GCL253" s="9"/>
      <c r="GCM253" s="9"/>
      <c r="GCN253" s="9"/>
      <c r="GCO253" s="9"/>
      <c r="GCP253" s="9"/>
      <c r="GCQ253" s="9"/>
      <c r="GCR253" s="9"/>
      <c r="GCS253" s="9"/>
      <c r="GCT253" s="9"/>
      <c r="GCU253" s="9"/>
      <c r="GCV253" s="9"/>
      <c r="GCW253" s="9"/>
      <c r="GCX253" s="9"/>
      <c r="GCY253" s="9"/>
      <c r="GCZ253" s="9"/>
      <c r="GDA253" s="9"/>
      <c r="GDB253" s="9"/>
      <c r="GDC253" s="9"/>
      <c r="GDD253" s="9"/>
      <c r="GDE253" s="9"/>
      <c r="GDF253" s="9"/>
      <c r="GDG253" s="9"/>
      <c r="GDH253" s="9"/>
      <c r="GDI253" s="9"/>
      <c r="GDJ253" s="9"/>
      <c r="GDK253" s="9"/>
      <c r="GDL253" s="9"/>
      <c r="GDM253" s="9"/>
      <c r="GDN253" s="9"/>
      <c r="GDO253" s="9"/>
      <c r="GDP253" s="9"/>
      <c r="GDQ253" s="9"/>
      <c r="GDR253" s="9"/>
      <c r="GDS253" s="9"/>
      <c r="GDT253" s="9"/>
      <c r="GDU253" s="9"/>
      <c r="GDV253" s="9"/>
      <c r="GDW253" s="9"/>
      <c r="GDX253" s="9"/>
      <c r="GDY253" s="9"/>
      <c r="GDZ253" s="9"/>
      <c r="GEA253" s="9"/>
      <c r="GEB253" s="9"/>
      <c r="GEC253" s="9"/>
      <c r="GED253" s="9"/>
      <c r="GEE253" s="9"/>
      <c r="GEF253" s="9"/>
      <c r="GEG253" s="9"/>
      <c r="GEH253" s="9"/>
      <c r="GEI253" s="9"/>
      <c r="GEJ253" s="9"/>
      <c r="GEK253" s="9"/>
      <c r="GEL253" s="9"/>
      <c r="GEM253" s="9"/>
      <c r="GEN253" s="9"/>
      <c r="GEO253" s="9"/>
      <c r="GEP253" s="9"/>
      <c r="GEQ253" s="9"/>
      <c r="GER253" s="9"/>
      <c r="GES253" s="9"/>
      <c r="GET253" s="9"/>
      <c r="GEU253" s="9"/>
      <c r="GEV253" s="9"/>
      <c r="GEW253" s="9"/>
      <c r="GEX253" s="9"/>
      <c r="GEY253" s="9"/>
      <c r="GEZ253" s="9"/>
      <c r="GFA253" s="9"/>
      <c r="GFB253" s="9"/>
      <c r="GFC253" s="9"/>
      <c r="GFD253" s="9"/>
      <c r="GFE253" s="9"/>
      <c r="GFF253" s="9"/>
      <c r="GFG253" s="9"/>
      <c r="GFH253" s="9"/>
      <c r="GFI253" s="9"/>
      <c r="GFJ253" s="9"/>
      <c r="GFK253" s="9"/>
      <c r="GFL253" s="9"/>
      <c r="GFM253" s="9"/>
      <c r="GFN253" s="9"/>
      <c r="GFO253" s="9"/>
      <c r="GFP253" s="9"/>
      <c r="GFQ253" s="9"/>
      <c r="GFR253" s="9"/>
      <c r="GFS253" s="9"/>
      <c r="GFT253" s="9"/>
      <c r="GFU253" s="9"/>
      <c r="GFV253" s="9"/>
      <c r="GFW253" s="9"/>
      <c r="GFX253" s="9"/>
      <c r="GFY253" s="9"/>
      <c r="GFZ253" s="9"/>
      <c r="GGA253" s="9"/>
      <c r="GGB253" s="9"/>
      <c r="GGC253" s="9"/>
      <c r="GGD253" s="9"/>
      <c r="GGE253" s="9"/>
      <c r="GGF253" s="9"/>
      <c r="GGG253" s="9"/>
      <c r="GGH253" s="9"/>
      <c r="GGI253" s="9"/>
      <c r="GGJ253" s="9"/>
      <c r="GGK253" s="9"/>
      <c r="GGL253" s="9"/>
      <c r="GGM253" s="9"/>
      <c r="GGN253" s="9"/>
      <c r="GGO253" s="9"/>
      <c r="GGP253" s="9"/>
      <c r="GGQ253" s="9"/>
      <c r="GGR253" s="9"/>
      <c r="GGS253" s="9"/>
      <c r="GGT253" s="9"/>
      <c r="GGU253" s="9"/>
      <c r="GGV253" s="9"/>
      <c r="GGW253" s="9"/>
      <c r="GGX253" s="9"/>
      <c r="GGY253" s="9"/>
      <c r="GGZ253" s="9"/>
      <c r="GHA253" s="9"/>
      <c r="GHB253" s="9"/>
      <c r="GHC253" s="9"/>
      <c r="GHD253" s="9"/>
      <c r="GHE253" s="9"/>
      <c r="GHF253" s="9"/>
      <c r="GHG253" s="9"/>
      <c r="GHH253" s="9"/>
      <c r="GHI253" s="9"/>
      <c r="GHJ253" s="9"/>
      <c r="GHK253" s="9"/>
      <c r="GHL253" s="9"/>
      <c r="GHM253" s="9"/>
      <c r="GHN253" s="9"/>
      <c r="GHO253" s="9"/>
      <c r="GHP253" s="9"/>
      <c r="GHQ253" s="9"/>
      <c r="GHR253" s="9"/>
      <c r="GHS253" s="9"/>
      <c r="GHT253" s="9"/>
      <c r="GHU253" s="9"/>
      <c r="GHV253" s="9"/>
      <c r="GHW253" s="9"/>
      <c r="GHX253" s="9"/>
      <c r="GHY253" s="9"/>
      <c r="GHZ253" s="9"/>
      <c r="GIA253" s="9"/>
      <c r="GIB253" s="9"/>
      <c r="GIC253" s="9"/>
      <c r="GID253" s="9"/>
      <c r="GIE253" s="9"/>
      <c r="GIF253" s="9"/>
      <c r="GIG253" s="9"/>
      <c r="GIH253" s="9"/>
      <c r="GII253" s="9"/>
      <c r="GIJ253" s="9"/>
      <c r="GIK253" s="9"/>
      <c r="GIL253" s="9"/>
      <c r="GIM253" s="9"/>
      <c r="GIN253" s="9"/>
      <c r="GIO253" s="9"/>
      <c r="GIP253" s="9"/>
      <c r="GIQ253" s="9"/>
      <c r="GIR253" s="9"/>
      <c r="GIS253" s="9"/>
      <c r="GIT253" s="9"/>
      <c r="GIU253" s="9"/>
      <c r="GIV253" s="9"/>
      <c r="GIW253" s="9"/>
      <c r="GIX253" s="9"/>
      <c r="GIY253" s="9"/>
      <c r="GIZ253" s="9"/>
      <c r="GJA253" s="9"/>
      <c r="GJB253" s="9"/>
      <c r="GJC253" s="9"/>
      <c r="GJD253" s="9"/>
      <c r="GJE253" s="9"/>
      <c r="GJF253" s="9"/>
      <c r="GJG253" s="9"/>
      <c r="GJH253" s="9"/>
      <c r="GJI253" s="9"/>
      <c r="GJJ253" s="9"/>
      <c r="GJK253" s="9"/>
      <c r="GJL253" s="9"/>
      <c r="GJM253" s="9"/>
      <c r="GJN253" s="9"/>
      <c r="GJO253" s="9"/>
      <c r="GJP253" s="9"/>
      <c r="GJQ253" s="9"/>
      <c r="GJR253" s="9"/>
      <c r="GJS253" s="9"/>
      <c r="GJT253" s="9"/>
      <c r="GJU253" s="9"/>
      <c r="GJV253" s="9"/>
      <c r="GJW253" s="9"/>
      <c r="GJX253" s="9"/>
      <c r="GJY253" s="9"/>
      <c r="GJZ253" s="9"/>
      <c r="GKA253" s="9"/>
      <c r="GKB253" s="9"/>
      <c r="GKC253" s="9"/>
      <c r="GKD253" s="9"/>
      <c r="GKE253" s="9"/>
      <c r="GKF253" s="9"/>
      <c r="GKG253" s="9"/>
      <c r="GKH253" s="9"/>
      <c r="GKI253" s="9"/>
      <c r="GKJ253" s="9"/>
      <c r="GKK253" s="9"/>
      <c r="GKL253" s="9"/>
      <c r="GKM253" s="9"/>
      <c r="GKN253" s="9"/>
      <c r="GKO253" s="9"/>
      <c r="GKP253" s="9"/>
      <c r="GKQ253" s="9"/>
      <c r="GKR253" s="9"/>
      <c r="GKS253" s="9"/>
      <c r="GKT253" s="9"/>
      <c r="GKU253" s="9"/>
      <c r="GKV253" s="9"/>
      <c r="GKW253" s="9"/>
      <c r="GKX253" s="9"/>
      <c r="GKY253" s="9"/>
      <c r="GKZ253" s="9"/>
      <c r="GLA253" s="9"/>
      <c r="GLB253" s="9"/>
      <c r="GLC253" s="9"/>
      <c r="GLD253" s="9"/>
      <c r="GLE253" s="9"/>
      <c r="GLF253" s="9"/>
      <c r="GLG253" s="9"/>
      <c r="GLH253" s="9"/>
      <c r="GLI253" s="9"/>
      <c r="GLJ253" s="9"/>
      <c r="GLK253" s="9"/>
      <c r="GLL253" s="9"/>
      <c r="GLM253" s="9"/>
      <c r="GLN253" s="9"/>
      <c r="GLO253" s="9"/>
      <c r="GLP253" s="9"/>
      <c r="GLQ253" s="9"/>
      <c r="GLR253" s="9"/>
      <c r="GLS253" s="9"/>
      <c r="GLT253" s="9"/>
      <c r="GLU253" s="9"/>
      <c r="GLV253" s="9"/>
      <c r="GLW253" s="9"/>
      <c r="GLX253" s="9"/>
      <c r="GLY253" s="9"/>
      <c r="GLZ253" s="9"/>
      <c r="GMA253" s="9"/>
      <c r="GMB253" s="9"/>
      <c r="GMC253" s="9"/>
      <c r="GMD253" s="9"/>
      <c r="GME253" s="9"/>
      <c r="GMF253" s="9"/>
      <c r="GMG253" s="9"/>
      <c r="GMH253" s="9"/>
      <c r="GMI253" s="9"/>
      <c r="GMJ253" s="9"/>
      <c r="GMK253" s="9"/>
      <c r="GML253" s="9"/>
      <c r="GMM253" s="9"/>
      <c r="GMN253" s="9"/>
      <c r="GMO253" s="9"/>
      <c r="GMP253" s="9"/>
      <c r="GMQ253" s="9"/>
      <c r="GMR253" s="9"/>
      <c r="GMS253" s="9"/>
      <c r="GMT253" s="9"/>
      <c r="GMU253" s="9"/>
      <c r="GMV253" s="9"/>
      <c r="GMW253" s="9"/>
      <c r="GMX253" s="9"/>
      <c r="GMY253" s="9"/>
      <c r="GMZ253" s="9"/>
      <c r="GNA253" s="9"/>
      <c r="GNB253" s="9"/>
      <c r="GNC253" s="9"/>
      <c r="GND253" s="9"/>
      <c r="GNE253" s="9"/>
      <c r="GNF253" s="9"/>
      <c r="GNG253" s="9"/>
      <c r="GNH253" s="9"/>
      <c r="GNI253" s="9"/>
      <c r="GNJ253" s="9"/>
      <c r="GNK253" s="9"/>
      <c r="GNL253" s="9"/>
      <c r="GNM253" s="9"/>
      <c r="GNN253" s="9"/>
      <c r="GNO253" s="9"/>
      <c r="GNP253" s="9"/>
      <c r="GNQ253" s="9"/>
      <c r="GNR253" s="9"/>
      <c r="GNS253" s="9"/>
      <c r="GNT253" s="9"/>
      <c r="GNU253" s="9"/>
      <c r="GNV253" s="9"/>
      <c r="GNW253" s="9"/>
      <c r="GNX253" s="9"/>
      <c r="GNY253" s="9"/>
      <c r="GNZ253" s="9"/>
      <c r="GOA253" s="9"/>
      <c r="GOB253" s="9"/>
      <c r="GOC253" s="9"/>
      <c r="GOD253" s="9"/>
      <c r="GOE253" s="9"/>
      <c r="GOF253" s="9"/>
      <c r="GOG253" s="9"/>
      <c r="GOH253" s="9"/>
      <c r="GOI253" s="9"/>
      <c r="GOJ253" s="9"/>
      <c r="GOK253" s="9"/>
      <c r="GOL253" s="9"/>
      <c r="GOM253" s="9"/>
      <c r="GON253" s="9"/>
      <c r="GOO253" s="9"/>
      <c r="GOP253" s="9"/>
      <c r="GOQ253" s="9"/>
      <c r="GOR253" s="9"/>
      <c r="GOS253" s="9"/>
      <c r="GOT253" s="9"/>
      <c r="GOU253" s="9"/>
      <c r="GOV253" s="9"/>
      <c r="GOW253" s="9"/>
      <c r="GOX253" s="9"/>
      <c r="GOY253" s="9"/>
      <c r="GOZ253" s="9"/>
      <c r="GPA253" s="9"/>
      <c r="GPB253" s="9"/>
      <c r="GPC253" s="9"/>
      <c r="GPD253" s="9"/>
      <c r="GPE253" s="9"/>
      <c r="GPF253" s="9"/>
      <c r="GPG253" s="9"/>
      <c r="GPH253" s="9"/>
      <c r="GPI253" s="9"/>
      <c r="GPJ253" s="9"/>
      <c r="GPK253" s="9"/>
      <c r="GPL253" s="9"/>
      <c r="GPM253" s="9"/>
      <c r="GPN253" s="9"/>
      <c r="GPO253" s="9"/>
      <c r="GPP253" s="9"/>
      <c r="GPQ253" s="9"/>
      <c r="GPR253" s="9"/>
      <c r="GPS253" s="9"/>
      <c r="GPT253" s="9"/>
      <c r="GPU253" s="9"/>
      <c r="GPV253" s="9"/>
      <c r="GPW253" s="9"/>
      <c r="GPX253" s="9"/>
      <c r="GPY253" s="9"/>
      <c r="GPZ253" s="9"/>
      <c r="GQA253" s="9"/>
      <c r="GQB253" s="9"/>
      <c r="GQC253" s="9"/>
      <c r="GQD253" s="9"/>
      <c r="GQE253" s="9"/>
      <c r="GQF253" s="9"/>
      <c r="GQG253" s="9"/>
      <c r="GQH253" s="9"/>
      <c r="GQI253" s="9"/>
      <c r="GQJ253" s="9"/>
      <c r="GQK253" s="9"/>
      <c r="GQL253" s="9"/>
      <c r="GQM253" s="9"/>
      <c r="GQN253" s="9"/>
      <c r="GQO253" s="9"/>
      <c r="GQP253" s="9"/>
      <c r="GQQ253" s="9"/>
      <c r="GQR253" s="9"/>
      <c r="GQS253" s="9"/>
      <c r="GQT253" s="9"/>
      <c r="GQU253" s="9"/>
      <c r="GQV253" s="9"/>
      <c r="GQW253" s="9"/>
      <c r="GQX253" s="9"/>
      <c r="GQY253" s="9"/>
      <c r="GQZ253" s="9"/>
      <c r="GRA253" s="9"/>
      <c r="GRB253" s="9"/>
      <c r="GRC253" s="9"/>
      <c r="GRD253" s="9"/>
      <c r="GRE253" s="9"/>
      <c r="GRF253" s="9"/>
      <c r="GRG253" s="9"/>
      <c r="GRH253" s="9"/>
      <c r="GRI253" s="9"/>
      <c r="GRJ253" s="9"/>
      <c r="GRK253" s="9"/>
      <c r="GRL253" s="9"/>
      <c r="GRM253" s="9"/>
      <c r="GRN253" s="9"/>
      <c r="GRO253" s="9"/>
      <c r="GRP253" s="9"/>
      <c r="GRQ253" s="9"/>
      <c r="GRR253" s="9"/>
      <c r="GRS253" s="9"/>
      <c r="GRT253" s="9"/>
      <c r="GRU253" s="9"/>
      <c r="GRV253" s="9"/>
      <c r="GRW253" s="9"/>
      <c r="GRX253" s="9"/>
      <c r="GRY253" s="9"/>
      <c r="GRZ253" s="9"/>
      <c r="GSA253" s="9"/>
      <c r="GSB253" s="9"/>
      <c r="GSC253" s="9"/>
      <c r="GSD253" s="9"/>
      <c r="GSE253" s="9"/>
      <c r="GSF253" s="9"/>
      <c r="GSG253" s="9"/>
      <c r="GSH253" s="9"/>
      <c r="GSI253" s="9"/>
      <c r="GSJ253" s="9"/>
      <c r="GSK253" s="9"/>
      <c r="GSL253" s="9"/>
      <c r="GSM253" s="9"/>
      <c r="GSN253" s="9"/>
      <c r="GSO253" s="9"/>
      <c r="GSP253" s="9"/>
      <c r="GSQ253" s="9"/>
      <c r="GSR253" s="9"/>
      <c r="GSS253" s="9"/>
      <c r="GST253" s="9"/>
      <c r="GSU253" s="9"/>
      <c r="GSV253" s="9"/>
      <c r="GSW253" s="9"/>
      <c r="GSX253" s="9"/>
      <c r="GSY253" s="9"/>
      <c r="GSZ253" s="9"/>
      <c r="GTA253" s="9"/>
      <c r="GTB253" s="9"/>
      <c r="GTC253" s="9"/>
      <c r="GTD253" s="9"/>
      <c r="GTE253" s="9"/>
      <c r="GTF253" s="9"/>
      <c r="GTG253" s="9"/>
      <c r="GTH253" s="9"/>
      <c r="GTI253" s="9"/>
      <c r="GTJ253" s="9"/>
      <c r="GTK253" s="9"/>
      <c r="GTL253" s="9"/>
      <c r="GTM253" s="9"/>
      <c r="GTN253" s="9"/>
      <c r="GTO253" s="9"/>
      <c r="GTP253" s="9"/>
      <c r="GTQ253" s="9"/>
      <c r="GTR253" s="9"/>
      <c r="GTS253" s="9"/>
      <c r="GTT253" s="9"/>
      <c r="GTU253" s="9"/>
      <c r="GTV253" s="9"/>
      <c r="GTW253" s="9"/>
      <c r="GTX253" s="9"/>
      <c r="GTY253" s="9"/>
      <c r="GTZ253" s="9"/>
      <c r="GUA253" s="9"/>
      <c r="GUB253" s="9"/>
      <c r="GUC253" s="9"/>
      <c r="GUD253" s="9"/>
      <c r="GUE253" s="9"/>
      <c r="GUF253" s="9"/>
      <c r="GUG253" s="9"/>
      <c r="GUH253" s="9"/>
      <c r="GUI253" s="9"/>
      <c r="GUJ253" s="9"/>
      <c r="GUK253" s="9"/>
      <c r="GUL253" s="9"/>
      <c r="GUM253" s="9"/>
      <c r="GUN253" s="9"/>
      <c r="GUO253" s="9"/>
      <c r="GUP253" s="9"/>
      <c r="GUQ253" s="9"/>
      <c r="GUR253" s="9"/>
      <c r="GUS253" s="9"/>
      <c r="GUT253" s="9"/>
      <c r="GUU253" s="9"/>
      <c r="GUV253" s="9"/>
      <c r="GUW253" s="9"/>
      <c r="GUX253" s="9"/>
      <c r="GUY253" s="9"/>
      <c r="GUZ253" s="9"/>
      <c r="GVA253" s="9"/>
      <c r="GVB253" s="9"/>
      <c r="GVC253" s="9"/>
      <c r="GVD253" s="9"/>
      <c r="GVE253" s="9"/>
      <c r="GVF253" s="9"/>
      <c r="GVG253" s="9"/>
      <c r="GVH253" s="9"/>
      <c r="GVI253" s="9"/>
      <c r="GVJ253" s="9"/>
      <c r="GVK253" s="9"/>
      <c r="GVL253" s="9"/>
      <c r="GVM253" s="9"/>
      <c r="GVN253" s="9"/>
      <c r="GVO253" s="9"/>
      <c r="GVP253" s="9"/>
      <c r="GVQ253" s="9"/>
      <c r="GVR253" s="9"/>
      <c r="GVS253" s="9"/>
      <c r="GVT253" s="9"/>
      <c r="GVU253" s="9"/>
      <c r="GVV253" s="9"/>
      <c r="GVW253" s="9"/>
      <c r="GVX253" s="9"/>
      <c r="GVY253" s="9"/>
      <c r="GVZ253" s="9"/>
      <c r="GWA253" s="9"/>
      <c r="GWB253" s="9"/>
      <c r="GWC253" s="9"/>
      <c r="GWD253" s="9"/>
      <c r="GWE253" s="9"/>
      <c r="GWF253" s="9"/>
      <c r="GWG253" s="9"/>
      <c r="GWH253" s="9"/>
      <c r="GWI253" s="9"/>
      <c r="GWJ253" s="9"/>
      <c r="GWK253" s="9"/>
      <c r="GWL253" s="9"/>
      <c r="GWM253" s="9"/>
      <c r="GWN253" s="9"/>
      <c r="GWO253" s="9"/>
      <c r="GWP253" s="9"/>
      <c r="GWQ253" s="9"/>
      <c r="GWR253" s="9"/>
      <c r="GWS253" s="9"/>
      <c r="GWT253" s="9"/>
      <c r="GWU253" s="9"/>
      <c r="GWV253" s="9"/>
      <c r="GWW253" s="9"/>
      <c r="GWX253" s="9"/>
      <c r="GWY253" s="9"/>
      <c r="GWZ253" s="9"/>
      <c r="GXA253" s="9"/>
      <c r="GXB253" s="9"/>
      <c r="GXC253" s="9"/>
      <c r="GXD253" s="9"/>
      <c r="GXE253" s="9"/>
      <c r="GXF253" s="9"/>
      <c r="GXG253" s="9"/>
      <c r="GXH253" s="9"/>
      <c r="GXI253" s="9"/>
      <c r="GXJ253" s="9"/>
      <c r="GXK253" s="9"/>
      <c r="GXL253" s="9"/>
      <c r="GXM253" s="9"/>
      <c r="GXN253" s="9"/>
      <c r="GXO253" s="9"/>
      <c r="GXP253" s="9"/>
      <c r="GXQ253" s="9"/>
      <c r="GXR253" s="9"/>
      <c r="GXS253" s="9"/>
      <c r="GXT253" s="9"/>
      <c r="GXU253" s="9"/>
      <c r="GXV253" s="9"/>
      <c r="GXW253" s="9"/>
      <c r="GXX253" s="9"/>
      <c r="GXY253" s="9"/>
      <c r="GXZ253" s="9"/>
      <c r="GYA253" s="9"/>
      <c r="GYB253" s="9"/>
      <c r="GYC253" s="9"/>
      <c r="GYD253" s="9"/>
      <c r="GYE253" s="9"/>
      <c r="GYF253" s="9"/>
      <c r="GYG253" s="9"/>
      <c r="GYH253" s="9"/>
      <c r="GYI253" s="9"/>
      <c r="GYJ253" s="9"/>
      <c r="GYK253" s="9"/>
      <c r="GYL253" s="9"/>
      <c r="GYM253" s="9"/>
      <c r="GYN253" s="9"/>
      <c r="GYO253" s="9"/>
      <c r="GYP253" s="9"/>
      <c r="GYQ253" s="9"/>
      <c r="GYR253" s="9"/>
      <c r="GYS253" s="9"/>
      <c r="GYT253" s="9"/>
      <c r="GYU253" s="9"/>
      <c r="GYV253" s="9"/>
      <c r="GYW253" s="9"/>
      <c r="GYX253" s="9"/>
      <c r="GYY253" s="9"/>
      <c r="GYZ253" s="9"/>
      <c r="GZA253" s="9"/>
      <c r="GZB253" s="9"/>
      <c r="GZC253" s="9"/>
      <c r="GZD253" s="9"/>
      <c r="GZE253" s="9"/>
      <c r="GZF253" s="9"/>
      <c r="GZG253" s="9"/>
      <c r="GZH253" s="9"/>
      <c r="GZI253" s="9"/>
      <c r="GZJ253" s="9"/>
      <c r="GZK253" s="9"/>
      <c r="GZL253" s="9"/>
      <c r="GZM253" s="9"/>
      <c r="GZN253" s="9"/>
      <c r="GZO253" s="9"/>
      <c r="GZP253" s="9"/>
      <c r="GZQ253" s="9"/>
      <c r="GZR253" s="9"/>
      <c r="GZS253" s="9"/>
      <c r="GZT253" s="9"/>
      <c r="GZU253" s="9"/>
      <c r="GZV253" s="9"/>
      <c r="GZW253" s="9"/>
      <c r="GZX253" s="9"/>
      <c r="GZY253" s="9"/>
      <c r="GZZ253" s="9"/>
      <c r="HAA253" s="9"/>
      <c r="HAB253" s="9"/>
      <c r="HAC253" s="9"/>
      <c r="HAD253" s="9"/>
      <c r="HAE253" s="9"/>
      <c r="HAF253" s="9"/>
      <c r="HAG253" s="9"/>
      <c r="HAH253" s="9"/>
      <c r="HAI253" s="9"/>
      <c r="HAJ253" s="9"/>
      <c r="HAK253" s="9"/>
      <c r="HAL253" s="9"/>
      <c r="HAM253" s="9"/>
      <c r="HAN253" s="9"/>
      <c r="HAO253" s="9"/>
      <c r="HAP253" s="9"/>
      <c r="HAQ253" s="9"/>
      <c r="HAR253" s="9"/>
      <c r="HAS253" s="9"/>
      <c r="HAT253" s="9"/>
      <c r="HAU253" s="9"/>
      <c r="HAV253" s="9"/>
      <c r="HAW253" s="9"/>
      <c r="HAX253" s="9"/>
      <c r="HAY253" s="9"/>
      <c r="HAZ253" s="9"/>
      <c r="HBA253" s="9"/>
      <c r="HBB253" s="9"/>
      <c r="HBC253" s="9"/>
      <c r="HBD253" s="9"/>
      <c r="HBE253" s="9"/>
      <c r="HBF253" s="9"/>
      <c r="HBG253" s="9"/>
      <c r="HBH253" s="9"/>
      <c r="HBI253" s="9"/>
      <c r="HBJ253" s="9"/>
      <c r="HBK253" s="9"/>
      <c r="HBL253" s="9"/>
      <c r="HBM253" s="9"/>
      <c r="HBN253" s="9"/>
      <c r="HBO253" s="9"/>
      <c r="HBP253" s="9"/>
      <c r="HBQ253" s="9"/>
      <c r="HBR253" s="9"/>
      <c r="HBS253" s="9"/>
      <c r="HBT253" s="9"/>
      <c r="HBU253" s="9"/>
      <c r="HBV253" s="9"/>
      <c r="HBW253" s="9"/>
      <c r="HBX253" s="9"/>
      <c r="HBY253" s="9"/>
      <c r="HBZ253" s="9"/>
      <c r="HCA253" s="9"/>
      <c r="HCB253" s="9"/>
      <c r="HCC253" s="9"/>
      <c r="HCD253" s="9"/>
      <c r="HCE253" s="9"/>
      <c r="HCF253" s="9"/>
      <c r="HCG253" s="9"/>
      <c r="HCH253" s="9"/>
      <c r="HCI253" s="9"/>
      <c r="HCJ253" s="9"/>
      <c r="HCK253" s="9"/>
      <c r="HCL253" s="9"/>
      <c r="HCM253" s="9"/>
      <c r="HCN253" s="9"/>
      <c r="HCO253" s="9"/>
      <c r="HCP253" s="9"/>
      <c r="HCQ253" s="9"/>
      <c r="HCR253" s="9"/>
      <c r="HCS253" s="9"/>
      <c r="HCT253" s="9"/>
      <c r="HCU253" s="9"/>
      <c r="HCV253" s="9"/>
      <c r="HCW253" s="9"/>
      <c r="HCX253" s="9"/>
      <c r="HCY253" s="9"/>
      <c r="HCZ253" s="9"/>
      <c r="HDA253" s="9"/>
      <c r="HDB253" s="9"/>
      <c r="HDC253" s="9"/>
      <c r="HDD253" s="9"/>
      <c r="HDE253" s="9"/>
      <c r="HDF253" s="9"/>
      <c r="HDG253" s="9"/>
      <c r="HDH253" s="9"/>
      <c r="HDI253" s="9"/>
      <c r="HDJ253" s="9"/>
      <c r="HDK253" s="9"/>
      <c r="HDL253" s="9"/>
      <c r="HDM253" s="9"/>
      <c r="HDN253" s="9"/>
      <c r="HDO253" s="9"/>
      <c r="HDP253" s="9"/>
      <c r="HDQ253" s="9"/>
      <c r="HDR253" s="9"/>
      <c r="HDS253" s="9"/>
      <c r="HDT253" s="9"/>
      <c r="HDU253" s="9"/>
      <c r="HDV253" s="9"/>
      <c r="HDW253" s="9"/>
      <c r="HDX253" s="9"/>
      <c r="HDY253" s="9"/>
      <c r="HDZ253" s="9"/>
      <c r="HEA253" s="9"/>
      <c r="HEB253" s="9"/>
      <c r="HEC253" s="9"/>
      <c r="HED253" s="9"/>
      <c r="HEE253" s="9"/>
      <c r="HEF253" s="9"/>
      <c r="HEG253" s="9"/>
      <c r="HEH253" s="9"/>
      <c r="HEI253" s="9"/>
      <c r="HEJ253" s="9"/>
      <c r="HEK253" s="9"/>
      <c r="HEL253" s="9"/>
      <c r="HEM253" s="9"/>
      <c r="HEN253" s="9"/>
      <c r="HEO253" s="9"/>
      <c r="HEP253" s="9"/>
      <c r="HEQ253" s="9"/>
      <c r="HER253" s="9"/>
      <c r="HES253" s="9"/>
      <c r="HET253" s="9"/>
      <c r="HEU253" s="9"/>
      <c r="HEV253" s="9"/>
      <c r="HEW253" s="9"/>
      <c r="HEX253" s="9"/>
      <c r="HEY253" s="9"/>
      <c r="HEZ253" s="9"/>
      <c r="HFA253" s="9"/>
      <c r="HFB253" s="9"/>
      <c r="HFC253" s="9"/>
      <c r="HFD253" s="9"/>
      <c r="HFE253" s="9"/>
      <c r="HFF253" s="9"/>
      <c r="HFG253" s="9"/>
      <c r="HFH253" s="9"/>
      <c r="HFI253" s="9"/>
      <c r="HFJ253" s="9"/>
      <c r="HFK253" s="9"/>
      <c r="HFL253" s="9"/>
      <c r="HFM253" s="9"/>
      <c r="HFN253" s="9"/>
      <c r="HFO253" s="9"/>
      <c r="HFP253" s="9"/>
      <c r="HFQ253" s="9"/>
      <c r="HFR253" s="9"/>
      <c r="HFS253" s="9"/>
      <c r="HFT253" s="9"/>
      <c r="HFU253" s="9"/>
      <c r="HFV253" s="9"/>
      <c r="HFW253" s="9"/>
      <c r="HFX253" s="9"/>
      <c r="HFY253" s="9"/>
      <c r="HFZ253" s="9"/>
      <c r="HGA253" s="9"/>
      <c r="HGB253" s="9"/>
      <c r="HGC253" s="9"/>
      <c r="HGD253" s="9"/>
      <c r="HGE253" s="9"/>
      <c r="HGF253" s="9"/>
      <c r="HGG253" s="9"/>
      <c r="HGH253" s="9"/>
      <c r="HGI253" s="9"/>
      <c r="HGJ253" s="9"/>
      <c r="HGK253" s="9"/>
      <c r="HGL253" s="9"/>
      <c r="HGM253" s="9"/>
      <c r="HGN253" s="9"/>
      <c r="HGO253" s="9"/>
      <c r="HGP253" s="9"/>
      <c r="HGQ253" s="9"/>
      <c r="HGR253" s="9"/>
      <c r="HGS253" s="9"/>
      <c r="HGT253" s="9"/>
      <c r="HGU253" s="9"/>
      <c r="HGV253" s="9"/>
      <c r="HGW253" s="9"/>
      <c r="HGX253" s="9"/>
      <c r="HGY253" s="9"/>
      <c r="HGZ253" s="9"/>
      <c r="HHA253" s="9"/>
      <c r="HHB253" s="9"/>
      <c r="HHC253" s="9"/>
      <c r="HHD253" s="9"/>
      <c r="HHE253" s="9"/>
      <c r="HHF253" s="9"/>
      <c r="HHG253" s="9"/>
      <c r="HHH253" s="9"/>
      <c r="HHI253" s="9"/>
      <c r="HHJ253" s="9"/>
      <c r="HHK253" s="9"/>
      <c r="HHL253" s="9"/>
      <c r="HHM253" s="9"/>
      <c r="HHN253" s="9"/>
      <c r="HHO253" s="9"/>
      <c r="HHP253" s="9"/>
      <c r="HHQ253" s="9"/>
      <c r="HHR253" s="9"/>
      <c r="HHS253" s="9"/>
      <c r="HHT253" s="9"/>
      <c r="HHU253" s="9"/>
      <c r="HHV253" s="9"/>
      <c r="HHW253" s="9"/>
      <c r="HHX253" s="9"/>
      <c r="HHY253" s="9"/>
      <c r="HHZ253" s="9"/>
      <c r="HIA253" s="9"/>
      <c r="HIB253" s="9"/>
      <c r="HIC253" s="9"/>
      <c r="HID253" s="9"/>
      <c r="HIE253" s="9"/>
      <c r="HIF253" s="9"/>
      <c r="HIG253" s="9"/>
      <c r="HIH253" s="9"/>
      <c r="HII253" s="9"/>
      <c r="HIJ253" s="9"/>
      <c r="HIK253" s="9"/>
      <c r="HIL253" s="9"/>
      <c r="HIM253" s="9"/>
      <c r="HIN253" s="9"/>
      <c r="HIO253" s="9"/>
      <c r="HIP253" s="9"/>
      <c r="HIQ253" s="9"/>
      <c r="HIR253" s="9"/>
      <c r="HIS253" s="9"/>
      <c r="HIT253" s="9"/>
      <c r="HIU253" s="9"/>
      <c r="HIV253" s="9"/>
      <c r="HIW253" s="9"/>
      <c r="HIX253" s="9"/>
      <c r="HIY253" s="9"/>
      <c r="HIZ253" s="9"/>
      <c r="HJA253" s="9"/>
      <c r="HJB253" s="9"/>
      <c r="HJC253" s="9"/>
      <c r="HJD253" s="9"/>
      <c r="HJE253" s="9"/>
      <c r="HJF253" s="9"/>
      <c r="HJG253" s="9"/>
      <c r="HJH253" s="9"/>
      <c r="HJI253" s="9"/>
      <c r="HJJ253" s="9"/>
      <c r="HJK253" s="9"/>
      <c r="HJL253" s="9"/>
      <c r="HJM253" s="9"/>
      <c r="HJN253" s="9"/>
      <c r="HJO253" s="9"/>
      <c r="HJP253" s="9"/>
      <c r="HJQ253" s="9"/>
      <c r="HJR253" s="9"/>
      <c r="HJS253" s="9"/>
      <c r="HJT253" s="9"/>
      <c r="HJU253" s="9"/>
      <c r="HJV253" s="9"/>
      <c r="HJW253" s="9"/>
      <c r="HJX253" s="9"/>
      <c r="HJY253" s="9"/>
      <c r="HJZ253" s="9"/>
      <c r="HKA253" s="9"/>
      <c r="HKB253" s="9"/>
      <c r="HKC253" s="9"/>
      <c r="HKD253" s="9"/>
      <c r="HKE253" s="9"/>
      <c r="HKF253" s="9"/>
      <c r="HKG253" s="9"/>
      <c r="HKH253" s="9"/>
      <c r="HKI253" s="9"/>
      <c r="HKJ253" s="9"/>
      <c r="HKK253" s="9"/>
      <c r="HKL253" s="9"/>
      <c r="HKM253" s="9"/>
      <c r="HKN253" s="9"/>
      <c r="HKO253" s="9"/>
      <c r="HKP253" s="9"/>
      <c r="HKQ253" s="9"/>
      <c r="HKR253" s="9"/>
      <c r="HKS253" s="9"/>
      <c r="HKT253" s="9"/>
      <c r="HKU253" s="9"/>
      <c r="HKV253" s="9"/>
      <c r="HKW253" s="9"/>
      <c r="HKX253" s="9"/>
      <c r="HKY253" s="9"/>
      <c r="HKZ253" s="9"/>
      <c r="HLA253" s="9"/>
      <c r="HLB253" s="9"/>
      <c r="HLC253" s="9"/>
      <c r="HLD253" s="9"/>
      <c r="HLE253" s="9"/>
      <c r="HLF253" s="9"/>
      <c r="HLG253" s="9"/>
      <c r="HLH253" s="9"/>
      <c r="HLI253" s="9"/>
      <c r="HLJ253" s="9"/>
      <c r="HLK253" s="9"/>
      <c r="HLL253" s="9"/>
      <c r="HLM253" s="9"/>
      <c r="HLN253" s="9"/>
      <c r="HLO253" s="9"/>
      <c r="HLP253" s="9"/>
      <c r="HLQ253" s="9"/>
      <c r="HLR253" s="9"/>
      <c r="HLS253" s="9"/>
      <c r="HLT253" s="9"/>
      <c r="HLU253" s="9"/>
      <c r="HLV253" s="9"/>
      <c r="HLW253" s="9"/>
      <c r="HLX253" s="9"/>
      <c r="HLY253" s="9"/>
      <c r="HLZ253" s="9"/>
      <c r="HMA253" s="9"/>
      <c r="HMB253" s="9"/>
      <c r="HMC253" s="9"/>
      <c r="HMD253" s="9"/>
      <c r="HME253" s="9"/>
      <c r="HMF253" s="9"/>
      <c r="HMG253" s="9"/>
      <c r="HMH253" s="9"/>
      <c r="HMI253" s="9"/>
      <c r="HMJ253" s="9"/>
      <c r="HMK253" s="9"/>
      <c r="HML253" s="9"/>
      <c r="HMM253" s="9"/>
      <c r="HMN253" s="9"/>
      <c r="HMO253" s="9"/>
      <c r="HMP253" s="9"/>
      <c r="HMQ253" s="9"/>
      <c r="HMR253" s="9"/>
      <c r="HMS253" s="9"/>
      <c r="HMT253" s="9"/>
      <c r="HMU253" s="9"/>
      <c r="HMV253" s="9"/>
      <c r="HMW253" s="9"/>
      <c r="HMX253" s="9"/>
      <c r="HMY253" s="9"/>
      <c r="HMZ253" s="9"/>
      <c r="HNA253" s="9"/>
      <c r="HNB253" s="9"/>
      <c r="HNC253" s="9"/>
      <c r="HND253" s="9"/>
      <c r="HNE253" s="9"/>
      <c r="HNF253" s="9"/>
      <c r="HNG253" s="9"/>
      <c r="HNH253" s="9"/>
      <c r="HNI253" s="9"/>
      <c r="HNJ253" s="9"/>
      <c r="HNK253" s="9"/>
      <c r="HNL253" s="9"/>
      <c r="HNM253" s="9"/>
      <c r="HNN253" s="9"/>
      <c r="HNO253" s="9"/>
      <c r="HNP253" s="9"/>
      <c r="HNQ253" s="9"/>
      <c r="HNR253" s="9"/>
      <c r="HNS253" s="9"/>
      <c r="HNT253" s="9"/>
      <c r="HNU253" s="9"/>
      <c r="HNV253" s="9"/>
      <c r="HNW253" s="9"/>
      <c r="HNX253" s="9"/>
      <c r="HNY253" s="9"/>
      <c r="HNZ253" s="9"/>
      <c r="HOA253" s="9"/>
      <c r="HOB253" s="9"/>
      <c r="HOC253" s="9"/>
      <c r="HOD253" s="9"/>
      <c r="HOE253" s="9"/>
      <c r="HOF253" s="9"/>
      <c r="HOG253" s="9"/>
      <c r="HOH253" s="9"/>
      <c r="HOI253" s="9"/>
      <c r="HOJ253" s="9"/>
      <c r="HOK253" s="9"/>
      <c r="HOL253" s="9"/>
      <c r="HOM253" s="9"/>
      <c r="HON253" s="9"/>
      <c r="HOO253" s="9"/>
      <c r="HOP253" s="9"/>
      <c r="HOQ253" s="9"/>
      <c r="HOR253" s="9"/>
      <c r="HOS253" s="9"/>
      <c r="HOT253" s="9"/>
      <c r="HOU253" s="9"/>
      <c r="HOV253" s="9"/>
      <c r="HOW253" s="9"/>
      <c r="HOX253" s="9"/>
      <c r="HOY253" s="9"/>
      <c r="HOZ253" s="9"/>
      <c r="HPA253" s="9"/>
      <c r="HPB253" s="9"/>
      <c r="HPC253" s="9"/>
      <c r="HPD253" s="9"/>
      <c r="HPE253" s="9"/>
      <c r="HPF253" s="9"/>
      <c r="HPG253" s="9"/>
      <c r="HPH253" s="9"/>
      <c r="HPI253" s="9"/>
      <c r="HPJ253" s="9"/>
      <c r="HPK253" s="9"/>
      <c r="HPL253" s="9"/>
      <c r="HPM253" s="9"/>
      <c r="HPN253" s="9"/>
      <c r="HPO253" s="9"/>
      <c r="HPP253" s="9"/>
      <c r="HPQ253" s="9"/>
      <c r="HPR253" s="9"/>
      <c r="HPS253" s="9"/>
      <c r="HPT253" s="9"/>
      <c r="HPU253" s="9"/>
      <c r="HPV253" s="9"/>
      <c r="HPW253" s="9"/>
      <c r="HPX253" s="9"/>
      <c r="HPY253" s="9"/>
      <c r="HPZ253" s="9"/>
      <c r="HQA253" s="9"/>
      <c r="HQB253" s="9"/>
      <c r="HQC253" s="9"/>
      <c r="HQD253" s="9"/>
      <c r="HQE253" s="9"/>
      <c r="HQF253" s="9"/>
      <c r="HQG253" s="9"/>
      <c r="HQH253" s="9"/>
      <c r="HQI253" s="9"/>
      <c r="HQJ253" s="9"/>
      <c r="HQK253" s="9"/>
      <c r="HQL253" s="9"/>
      <c r="HQM253" s="9"/>
      <c r="HQN253" s="9"/>
      <c r="HQO253" s="9"/>
      <c r="HQP253" s="9"/>
      <c r="HQQ253" s="9"/>
      <c r="HQR253" s="9"/>
      <c r="HQS253" s="9"/>
      <c r="HQT253" s="9"/>
      <c r="HQU253" s="9"/>
      <c r="HQV253" s="9"/>
      <c r="HQW253" s="9"/>
      <c r="HQX253" s="9"/>
      <c r="HQY253" s="9"/>
      <c r="HQZ253" s="9"/>
      <c r="HRA253" s="9"/>
      <c r="HRB253" s="9"/>
      <c r="HRC253" s="9"/>
      <c r="HRD253" s="9"/>
      <c r="HRE253" s="9"/>
      <c r="HRF253" s="9"/>
      <c r="HRG253" s="9"/>
      <c r="HRH253" s="9"/>
      <c r="HRI253" s="9"/>
      <c r="HRJ253" s="9"/>
      <c r="HRK253" s="9"/>
      <c r="HRL253" s="9"/>
      <c r="HRM253" s="9"/>
      <c r="HRN253" s="9"/>
      <c r="HRO253" s="9"/>
      <c r="HRP253" s="9"/>
      <c r="HRQ253" s="9"/>
      <c r="HRR253" s="9"/>
      <c r="HRS253" s="9"/>
      <c r="HRT253" s="9"/>
      <c r="HRU253" s="9"/>
      <c r="HRV253" s="9"/>
      <c r="HRW253" s="9"/>
      <c r="HRX253" s="9"/>
      <c r="HRY253" s="9"/>
      <c r="HRZ253" s="9"/>
      <c r="HSA253" s="9"/>
      <c r="HSB253" s="9"/>
      <c r="HSC253" s="9"/>
      <c r="HSD253" s="9"/>
      <c r="HSE253" s="9"/>
      <c r="HSF253" s="9"/>
      <c r="HSG253" s="9"/>
      <c r="HSH253" s="9"/>
      <c r="HSI253" s="9"/>
      <c r="HSJ253" s="9"/>
      <c r="HSK253" s="9"/>
      <c r="HSL253" s="9"/>
      <c r="HSM253" s="9"/>
      <c r="HSN253" s="9"/>
      <c r="HSO253" s="9"/>
      <c r="HSP253" s="9"/>
      <c r="HSQ253" s="9"/>
      <c r="HSR253" s="9"/>
      <c r="HSS253" s="9"/>
      <c r="HST253" s="9"/>
      <c r="HSU253" s="9"/>
      <c r="HSV253" s="9"/>
      <c r="HSW253" s="9"/>
      <c r="HSX253" s="9"/>
      <c r="HSY253" s="9"/>
      <c r="HSZ253" s="9"/>
      <c r="HTA253" s="9"/>
      <c r="HTB253" s="9"/>
      <c r="HTC253" s="9"/>
      <c r="HTD253" s="9"/>
      <c r="HTE253" s="9"/>
      <c r="HTF253" s="9"/>
      <c r="HTG253" s="9"/>
      <c r="HTH253" s="9"/>
      <c r="HTI253" s="9"/>
      <c r="HTJ253" s="9"/>
      <c r="HTK253" s="9"/>
      <c r="HTL253" s="9"/>
      <c r="HTM253" s="9"/>
      <c r="HTN253" s="9"/>
      <c r="HTO253" s="9"/>
      <c r="HTP253" s="9"/>
      <c r="HTQ253" s="9"/>
      <c r="HTR253" s="9"/>
      <c r="HTS253" s="9"/>
      <c r="HTT253" s="9"/>
      <c r="HTU253" s="9"/>
      <c r="HTV253" s="9"/>
      <c r="HTW253" s="9"/>
      <c r="HTX253" s="9"/>
      <c r="HTY253" s="9"/>
      <c r="HTZ253" s="9"/>
      <c r="HUA253" s="9"/>
      <c r="HUB253" s="9"/>
      <c r="HUC253" s="9"/>
      <c r="HUD253" s="9"/>
      <c r="HUE253" s="9"/>
      <c r="HUF253" s="9"/>
      <c r="HUG253" s="9"/>
      <c r="HUH253" s="9"/>
      <c r="HUI253" s="9"/>
      <c r="HUJ253" s="9"/>
      <c r="HUK253" s="9"/>
      <c r="HUL253" s="9"/>
      <c r="HUM253" s="9"/>
      <c r="HUN253" s="9"/>
      <c r="HUO253" s="9"/>
      <c r="HUP253" s="9"/>
      <c r="HUQ253" s="9"/>
      <c r="HUR253" s="9"/>
      <c r="HUS253" s="9"/>
      <c r="HUT253" s="9"/>
      <c r="HUU253" s="9"/>
      <c r="HUV253" s="9"/>
      <c r="HUW253" s="9"/>
      <c r="HUX253" s="9"/>
      <c r="HUY253" s="9"/>
      <c r="HUZ253" s="9"/>
      <c r="HVA253" s="9"/>
      <c r="HVB253" s="9"/>
      <c r="HVC253" s="9"/>
      <c r="HVD253" s="9"/>
      <c r="HVE253" s="9"/>
      <c r="HVF253" s="9"/>
      <c r="HVG253" s="9"/>
      <c r="HVH253" s="9"/>
      <c r="HVI253" s="9"/>
      <c r="HVJ253" s="9"/>
      <c r="HVK253" s="9"/>
      <c r="HVL253" s="9"/>
      <c r="HVM253" s="9"/>
      <c r="HVN253" s="9"/>
      <c r="HVO253" s="9"/>
      <c r="HVP253" s="9"/>
      <c r="HVQ253" s="9"/>
      <c r="HVR253" s="9"/>
      <c r="HVS253" s="9"/>
      <c r="HVT253" s="9"/>
      <c r="HVU253" s="9"/>
      <c r="HVV253" s="9"/>
      <c r="HVW253" s="9"/>
      <c r="HVX253" s="9"/>
      <c r="HVY253" s="9"/>
      <c r="HVZ253" s="9"/>
      <c r="HWA253" s="9"/>
      <c r="HWB253" s="9"/>
      <c r="HWC253" s="9"/>
      <c r="HWD253" s="9"/>
      <c r="HWE253" s="9"/>
      <c r="HWF253" s="9"/>
      <c r="HWG253" s="9"/>
      <c r="HWH253" s="9"/>
      <c r="HWI253" s="9"/>
      <c r="HWJ253" s="9"/>
      <c r="HWK253" s="9"/>
      <c r="HWL253" s="9"/>
      <c r="HWM253" s="9"/>
      <c r="HWN253" s="9"/>
      <c r="HWO253" s="9"/>
      <c r="HWP253" s="9"/>
      <c r="HWQ253" s="9"/>
      <c r="HWR253" s="9"/>
      <c r="HWS253" s="9"/>
      <c r="HWT253" s="9"/>
      <c r="HWU253" s="9"/>
      <c r="HWV253" s="9"/>
      <c r="HWW253" s="9"/>
      <c r="HWX253" s="9"/>
      <c r="HWY253" s="9"/>
      <c r="HWZ253" s="9"/>
      <c r="HXA253" s="9"/>
      <c r="HXB253" s="9"/>
      <c r="HXC253" s="9"/>
      <c r="HXD253" s="9"/>
      <c r="HXE253" s="9"/>
      <c r="HXF253" s="9"/>
      <c r="HXG253" s="9"/>
      <c r="HXH253" s="9"/>
      <c r="HXI253" s="9"/>
      <c r="HXJ253" s="9"/>
      <c r="HXK253" s="9"/>
      <c r="HXL253" s="9"/>
      <c r="HXM253" s="9"/>
      <c r="HXN253" s="9"/>
      <c r="HXO253" s="9"/>
      <c r="HXP253" s="9"/>
      <c r="HXQ253" s="9"/>
      <c r="HXR253" s="9"/>
      <c r="HXS253" s="9"/>
      <c r="HXT253" s="9"/>
      <c r="HXU253" s="9"/>
      <c r="HXV253" s="9"/>
      <c r="HXW253" s="9"/>
      <c r="HXX253" s="9"/>
      <c r="HXY253" s="9"/>
      <c r="HXZ253" s="9"/>
      <c r="HYA253" s="9"/>
      <c r="HYB253" s="9"/>
      <c r="HYC253" s="9"/>
      <c r="HYD253" s="9"/>
      <c r="HYE253" s="9"/>
      <c r="HYF253" s="9"/>
      <c r="HYG253" s="9"/>
      <c r="HYH253" s="9"/>
      <c r="HYI253" s="9"/>
      <c r="HYJ253" s="9"/>
      <c r="HYK253" s="9"/>
      <c r="HYL253" s="9"/>
      <c r="HYM253" s="9"/>
      <c r="HYN253" s="9"/>
      <c r="HYO253" s="9"/>
      <c r="HYP253" s="9"/>
      <c r="HYQ253" s="9"/>
      <c r="HYR253" s="9"/>
      <c r="HYS253" s="9"/>
      <c r="HYT253" s="9"/>
      <c r="HYU253" s="9"/>
      <c r="HYV253" s="9"/>
      <c r="HYW253" s="9"/>
      <c r="HYX253" s="9"/>
      <c r="HYY253" s="9"/>
      <c r="HYZ253" s="9"/>
      <c r="HZA253" s="9"/>
      <c r="HZB253" s="9"/>
      <c r="HZC253" s="9"/>
      <c r="HZD253" s="9"/>
      <c r="HZE253" s="9"/>
      <c r="HZF253" s="9"/>
      <c r="HZG253" s="9"/>
      <c r="HZH253" s="9"/>
      <c r="HZI253" s="9"/>
      <c r="HZJ253" s="9"/>
      <c r="HZK253" s="9"/>
      <c r="HZL253" s="9"/>
      <c r="HZM253" s="9"/>
      <c r="HZN253" s="9"/>
      <c r="HZO253" s="9"/>
      <c r="HZP253" s="9"/>
      <c r="HZQ253" s="9"/>
      <c r="HZR253" s="9"/>
      <c r="HZS253" s="9"/>
      <c r="HZT253" s="9"/>
      <c r="HZU253" s="9"/>
      <c r="HZV253" s="9"/>
      <c r="HZW253" s="9"/>
      <c r="HZX253" s="9"/>
      <c r="HZY253" s="9"/>
      <c r="HZZ253" s="9"/>
      <c r="IAA253" s="9"/>
      <c r="IAB253" s="9"/>
      <c r="IAC253" s="9"/>
      <c r="IAD253" s="9"/>
      <c r="IAE253" s="9"/>
      <c r="IAF253" s="9"/>
      <c r="IAG253" s="9"/>
      <c r="IAH253" s="9"/>
      <c r="IAI253" s="9"/>
      <c r="IAJ253" s="9"/>
      <c r="IAK253" s="9"/>
      <c r="IAL253" s="9"/>
      <c r="IAM253" s="9"/>
      <c r="IAN253" s="9"/>
      <c r="IAO253" s="9"/>
      <c r="IAP253" s="9"/>
      <c r="IAQ253" s="9"/>
      <c r="IAR253" s="9"/>
      <c r="IAS253" s="9"/>
      <c r="IAT253" s="9"/>
      <c r="IAU253" s="9"/>
      <c r="IAV253" s="9"/>
      <c r="IAW253" s="9"/>
      <c r="IAX253" s="9"/>
      <c r="IAY253" s="9"/>
      <c r="IAZ253" s="9"/>
      <c r="IBA253" s="9"/>
      <c r="IBB253" s="9"/>
      <c r="IBC253" s="9"/>
      <c r="IBD253" s="9"/>
      <c r="IBE253" s="9"/>
      <c r="IBF253" s="9"/>
      <c r="IBG253" s="9"/>
      <c r="IBH253" s="9"/>
      <c r="IBI253" s="9"/>
      <c r="IBJ253" s="9"/>
      <c r="IBK253" s="9"/>
      <c r="IBL253" s="9"/>
      <c r="IBM253" s="9"/>
      <c r="IBN253" s="9"/>
      <c r="IBO253" s="9"/>
      <c r="IBP253" s="9"/>
      <c r="IBQ253" s="9"/>
      <c r="IBR253" s="9"/>
      <c r="IBS253" s="9"/>
      <c r="IBT253" s="9"/>
      <c r="IBU253" s="9"/>
      <c r="IBV253" s="9"/>
      <c r="IBW253" s="9"/>
      <c r="IBX253" s="9"/>
      <c r="IBY253" s="9"/>
      <c r="IBZ253" s="9"/>
      <c r="ICA253" s="9"/>
      <c r="ICB253" s="9"/>
      <c r="ICC253" s="9"/>
      <c r="ICD253" s="9"/>
      <c r="ICE253" s="9"/>
      <c r="ICF253" s="9"/>
      <c r="ICG253" s="9"/>
      <c r="ICH253" s="9"/>
      <c r="ICI253" s="9"/>
      <c r="ICJ253" s="9"/>
      <c r="ICK253" s="9"/>
      <c r="ICL253" s="9"/>
      <c r="ICM253" s="9"/>
      <c r="ICN253" s="9"/>
      <c r="ICO253" s="9"/>
      <c r="ICP253" s="9"/>
      <c r="ICQ253" s="9"/>
      <c r="ICR253" s="9"/>
      <c r="ICS253" s="9"/>
      <c r="ICT253" s="9"/>
      <c r="ICU253" s="9"/>
      <c r="ICV253" s="9"/>
      <c r="ICW253" s="9"/>
      <c r="ICX253" s="9"/>
      <c r="ICY253" s="9"/>
      <c r="ICZ253" s="9"/>
      <c r="IDA253" s="9"/>
      <c r="IDB253" s="9"/>
      <c r="IDC253" s="9"/>
      <c r="IDD253" s="9"/>
      <c r="IDE253" s="9"/>
      <c r="IDF253" s="9"/>
      <c r="IDG253" s="9"/>
      <c r="IDH253" s="9"/>
      <c r="IDI253" s="9"/>
      <c r="IDJ253" s="9"/>
      <c r="IDK253" s="9"/>
      <c r="IDL253" s="9"/>
      <c r="IDM253" s="9"/>
      <c r="IDN253" s="9"/>
      <c r="IDO253" s="9"/>
      <c r="IDP253" s="9"/>
      <c r="IDQ253" s="9"/>
      <c r="IDR253" s="9"/>
      <c r="IDS253" s="9"/>
      <c r="IDT253" s="9"/>
      <c r="IDU253" s="9"/>
      <c r="IDV253" s="9"/>
      <c r="IDW253" s="9"/>
      <c r="IDX253" s="9"/>
      <c r="IDY253" s="9"/>
      <c r="IDZ253" s="9"/>
      <c r="IEA253" s="9"/>
      <c r="IEB253" s="9"/>
      <c r="IEC253" s="9"/>
      <c r="IED253" s="9"/>
      <c r="IEE253" s="9"/>
      <c r="IEF253" s="9"/>
      <c r="IEG253" s="9"/>
      <c r="IEH253" s="9"/>
      <c r="IEI253" s="9"/>
      <c r="IEJ253" s="9"/>
      <c r="IEK253" s="9"/>
      <c r="IEL253" s="9"/>
      <c r="IEM253" s="9"/>
      <c r="IEN253" s="9"/>
      <c r="IEO253" s="9"/>
      <c r="IEP253" s="9"/>
      <c r="IEQ253" s="9"/>
      <c r="IER253" s="9"/>
      <c r="IES253" s="9"/>
      <c r="IET253" s="9"/>
      <c r="IEU253" s="9"/>
      <c r="IEV253" s="9"/>
      <c r="IEW253" s="9"/>
      <c r="IEX253" s="9"/>
      <c r="IEY253" s="9"/>
      <c r="IEZ253" s="9"/>
      <c r="IFA253" s="9"/>
      <c r="IFB253" s="9"/>
      <c r="IFC253" s="9"/>
      <c r="IFD253" s="9"/>
      <c r="IFE253" s="9"/>
      <c r="IFF253" s="9"/>
      <c r="IFG253" s="9"/>
      <c r="IFH253" s="9"/>
      <c r="IFI253" s="9"/>
      <c r="IFJ253" s="9"/>
      <c r="IFK253" s="9"/>
      <c r="IFL253" s="9"/>
      <c r="IFM253" s="9"/>
      <c r="IFN253" s="9"/>
      <c r="IFO253" s="9"/>
      <c r="IFP253" s="9"/>
      <c r="IFQ253" s="9"/>
      <c r="IFR253" s="9"/>
      <c r="IFS253" s="9"/>
      <c r="IFT253" s="9"/>
      <c r="IFU253" s="9"/>
      <c r="IFV253" s="9"/>
      <c r="IFW253" s="9"/>
      <c r="IFX253" s="9"/>
      <c r="IFY253" s="9"/>
      <c r="IFZ253" s="9"/>
      <c r="IGA253" s="9"/>
      <c r="IGB253" s="9"/>
      <c r="IGC253" s="9"/>
      <c r="IGD253" s="9"/>
      <c r="IGE253" s="9"/>
      <c r="IGF253" s="9"/>
      <c r="IGG253" s="9"/>
      <c r="IGH253" s="9"/>
      <c r="IGI253" s="9"/>
      <c r="IGJ253" s="9"/>
      <c r="IGK253" s="9"/>
      <c r="IGL253" s="9"/>
      <c r="IGM253" s="9"/>
      <c r="IGN253" s="9"/>
      <c r="IGO253" s="9"/>
      <c r="IGP253" s="9"/>
      <c r="IGQ253" s="9"/>
      <c r="IGR253" s="9"/>
      <c r="IGS253" s="9"/>
      <c r="IGT253" s="9"/>
      <c r="IGU253" s="9"/>
      <c r="IGV253" s="9"/>
      <c r="IGW253" s="9"/>
      <c r="IGX253" s="9"/>
      <c r="IGY253" s="9"/>
      <c r="IGZ253" s="9"/>
      <c r="IHA253" s="9"/>
      <c r="IHB253" s="9"/>
      <c r="IHC253" s="9"/>
      <c r="IHD253" s="9"/>
      <c r="IHE253" s="9"/>
      <c r="IHF253" s="9"/>
      <c r="IHG253" s="9"/>
      <c r="IHH253" s="9"/>
      <c r="IHI253" s="9"/>
      <c r="IHJ253" s="9"/>
      <c r="IHK253" s="9"/>
      <c r="IHL253" s="9"/>
      <c r="IHM253" s="9"/>
      <c r="IHN253" s="9"/>
      <c r="IHO253" s="9"/>
      <c r="IHP253" s="9"/>
      <c r="IHQ253" s="9"/>
      <c r="IHR253" s="9"/>
      <c r="IHS253" s="9"/>
      <c r="IHT253" s="9"/>
      <c r="IHU253" s="9"/>
      <c r="IHV253" s="9"/>
      <c r="IHW253" s="9"/>
      <c r="IHX253" s="9"/>
      <c r="IHY253" s="9"/>
      <c r="IHZ253" s="9"/>
      <c r="IIA253" s="9"/>
      <c r="IIB253" s="9"/>
      <c r="IIC253" s="9"/>
      <c r="IID253" s="9"/>
      <c r="IIE253" s="9"/>
      <c r="IIF253" s="9"/>
      <c r="IIG253" s="9"/>
      <c r="IIH253" s="9"/>
      <c r="III253" s="9"/>
      <c r="IIJ253" s="9"/>
      <c r="IIK253" s="9"/>
      <c r="IIL253" s="9"/>
      <c r="IIM253" s="9"/>
      <c r="IIN253" s="9"/>
      <c r="IIO253" s="9"/>
      <c r="IIP253" s="9"/>
      <c r="IIQ253" s="9"/>
      <c r="IIR253" s="9"/>
      <c r="IIS253" s="9"/>
      <c r="IIT253" s="9"/>
      <c r="IIU253" s="9"/>
      <c r="IIV253" s="9"/>
      <c r="IIW253" s="9"/>
      <c r="IIX253" s="9"/>
      <c r="IIY253" s="9"/>
      <c r="IIZ253" s="9"/>
      <c r="IJA253" s="9"/>
      <c r="IJB253" s="9"/>
      <c r="IJC253" s="9"/>
      <c r="IJD253" s="9"/>
      <c r="IJE253" s="9"/>
      <c r="IJF253" s="9"/>
      <c r="IJG253" s="9"/>
      <c r="IJH253" s="9"/>
      <c r="IJI253" s="9"/>
      <c r="IJJ253" s="9"/>
      <c r="IJK253" s="9"/>
      <c r="IJL253" s="9"/>
      <c r="IJM253" s="9"/>
      <c r="IJN253" s="9"/>
      <c r="IJO253" s="9"/>
      <c r="IJP253" s="9"/>
      <c r="IJQ253" s="9"/>
      <c r="IJR253" s="9"/>
      <c r="IJS253" s="9"/>
      <c r="IJT253" s="9"/>
      <c r="IJU253" s="9"/>
      <c r="IJV253" s="9"/>
      <c r="IJW253" s="9"/>
      <c r="IJX253" s="9"/>
      <c r="IJY253" s="9"/>
      <c r="IJZ253" s="9"/>
      <c r="IKA253" s="9"/>
      <c r="IKB253" s="9"/>
      <c r="IKC253" s="9"/>
      <c r="IKD253" s="9"/>
      <c r="IKE253" s="9"/>
      <c r="IKF253" s="9"/>
      <c r="IKG253" s="9"/>
      <c r="IKH253" s="9"/>
      <c r="IKI253" s="9"/>
      <c r="IKJ253" s="9"/>
      <c r="IKK253" s="9"/>
      <c r="IKL253" s="9"/>
      <c r="IKM253" s="9"/>
      <c r="IKN253" s="9"/>
      <c r="IKO253" s="9"/>
      <c r="IKP253" s="9"/>
      <c r="IKQ253" s="9"/>
      <c r="IKR253" s="9"/>
      <c r="IKS253" s="9"/>
      <c r="IKT253" s="9"/>
      <c r="IKU253" s="9"/>
      <c r="IKV253" s="9"/>
      <c r="IKW253" s="9"/>
      <c r="IKX253" s="9"/>
      <c r="IKY253" s="9"/>
      <c r="IKZ253" s="9"/>
      <c r="ILA253" s="9"/>
      <c r="ILB253" s="9"/>
      <c r="ILC253" s="9"/>
      <c r="ILD253" s="9"/>
      <c r="ILE253" s="9"/>
      <c r="ILF253" s="9"/>
      <c r="ILG253" s="9"/>
      <c r="ILH253" s="9"/>
      <c r="ILI253" s="9"/>
      <c r="ILJ253" s="9"/>
      <c r="ILK253" s="9"/>
      <c r="ILL253" s="9"/>
      <c r="ILM253" s="9"/>
      <c r="ILN253" s="9"/>
      <c r="ILO253" s="9"/>
      <c r="ILP253" s="9"/>
      <c r="ILQ253" s="9"/>
      <c r="ILR253" s="9"/>
      <c r="ILS253" s="9"/>
      <c r="ILT253" s="9"/>
      <c r="ILU253" s="9"/>
      <c r="ILV253" s="9"/>
      <c r="ILW253" s="9"/>
      <c r="ILX253" s="9"/>
      <c r="ILY253" s="9"/>
      <c r="ILZ253" s="9"/>
      <c r="IMA253" s="9"/>
      <c r="IMB253" s="9"/>
      <c r="IMC253" s="9"/>
      <c r="IMD253" s="9"/>
      <c r="IME253" s="9"/>
      <c r="IMF253" s="9"/>
      <c r="IMG253" s="9"/>
      <c r="IMH253" s="9"/>
      <c r="IMI253" s="9"/>
      <c r="IMJ253" s="9"/>
      <c r="IMK253" s="9"/>
      <c r="IML253" s="9"/>
      <c r="IMM253" s="9"/>
      <c r="IMN253" s="9"/>
      <c r="IMO253" s="9"/>
      <c r="IMP253" s="9"/>
      <c r="IMQ253" s="9"/>
      <c r="IMR253" s="9"/>
      <c r="IMS253" s="9"/>
      <c r="IMT253" s="9"/>
      <c r="IMU253" s="9"/>
      <c r="IMV253" s="9"/>
      <c r="IMW253" s="9"/>
      <c r="IMX253" s="9"/>
      <c r="IMY253" s="9"/>
      <c r="IMZ253" s="9"/>
      <c r="INA253" s="9"/>
      <c r="INB253" s="9"/>
      <c r="INC253" s="9"/>
      <c r="IND253" s="9"/>
      <c r="INE253" s="9"/>
      <c r="INF253" s="9"/>
      <c r="ING253" s="9"/>
      <c r="INH253" s="9"/>
      <c r="INI253" s="9"/>
      <c r="INJ253" s="9"/>
      <c r="INK253" s="9"/>
      <c r="INL253" s="9"/>
      <c r="INM253" s="9"/>
      <c r="INN253" s="9"/>
      <c r="INO253" s="9"/>
      <c r="INP253" s="9"/>
      <c r="INQ253" s="9"/>
      <c r="INR253" s="9"/>
      <c r="INS253" s="9"/>
      <c r="INT253" s="9"/>
      <c r="INU253" s="9"/>
      <c r="INV253" s="9"/>
      <c r="INW253" s="9"/>
      <c r="INX253" s="9"/>
      <c r="INY253" s="9"/>
      <c r="INZ253" s="9"/>
      <c r="IOA253" s="9"/>
      <c r="IOB253" s="9"/>
      <c r="IOC253" s="9"/>
      <c r="IOD253" s="9"/>
      <c r="IOE253" s="9"/>
      <c r="IOF253" s="9"/>
      <c r="IOG253" s="9"/>
      <c r="IOH253" s="9"/>
      <c r="IOI253" s="9"/>
      <c r="IOJ253" s="9"/>
      <c r="IOK253" s="9"/>
      <c r="IOL253" s="9"/>
      <c r="IOM253" s="9"/>
      <c r="ION253" s="9"/>
      <c r="IOO253" s="9"/>
      <c r="IOP253" s="9"/>
      <c r="IOQ253" s="9"/>
      <c r="IOR253" s="9"/>
      <c r="IOS253" s="9"/>
      <c r="IOT253" s="9"/>
      <c r="IOU253" s="9"/>
      <c r="IOV253" s="9"/>
      <c r="IOW253" s="9"/>
      <c r="IOX253" s="9"/>
      <c r="IOY253" s="9"/>
      <c r="IOZ253" s="9"/>
      <c r="IPA253" s="9"/>
      <c r="IPB253" s="9"/>
      <c r="IPC253" s="9"/>
      <c r="IPD253" s="9"/>
      <c r="IPE253" s="9"/>
      <c r="IPF253" s="9"/>
      <c r="IPG253" s="9"/>
      <c r="IPH253" s="9"/>
      <c r="IPI253" s="9"/>
      <c r="IPJ253" s="9"/>
      <c r="IPK253" s="9"/>
      <c r="IPL253" s="9"/>
      <c r="IPM253" s="9"/>
      <c r="IPN253" s="9"/>
      <c r="IPO253" s="9"/>
      <c r="IPP253" s="9"/>
      <c r="IPQ253" s="9"/>
      <c r="IPR253" s="9"/>
      <c r="IPS253" s="9"/>
      <c r="IPT253" s="9"/>
      <c r="IPU253" s="9"/>
      <c r="IPV253" s="9"/>
      <c r="IPW253" s="9"/>
      <c r="IPX253" s="9"/>
      <c r="IPY253" s="9"/>
      <c r="IPZ253" s="9"/>
      <c r="IQA253" s="9"/>
      <c r="IQB253" s="9"/>
      <c r="IQC253" s="9"/>
      <c r="IQD253" s="9"/>
      <c r="IQE253" s="9"/>
      <c r="IQF253" s="9"/>
      <c r="IQG253" s="9"/>
      <c r="IQH253" s="9"/>
      <c r="IQI253" s="9"/>
      <c r="IQJ253" s="9"/>
      <c r="IQK253" s="9"/>
      <c r="IQL253" s="9"/>
      <c r="IQM253" s="9"/>
      <c r="IQN253" s="9"/>
      <c r="IQO253" s="9"/>
      <c r="IQP253" s="9"/>
      <c r="IQQ253" s="9"/>
      <c r="IQR253" s="9"/>
      <c r="IQS253" s="9"/>
      <c r="IQT253" s="9"/>
      <c r="IQU253" s="9"/>
      <c r="IQV253" s="9"/>
      <c r="IQW253" s="9"/>
      <c r="IQX253" s="9"/>
      <c r="IQY253" s="9"/>
      <c r="IQZ253" s="9"/>
      <c r="IRA253" s="9"/>
      <c r="IRB253" s="9"/>
      <c r="IRC253" s="9"/>
      <c r="IRD253" s="9"/>
      <c r="IRE253" s="9"/>
      <c r="IRF253" s="9"/>
      <c r="IRG253" s="9"/>
      <c r="IRH253" s="9"/>
      <c r="IRI253" s="9"/>
      <c r="IRJ253" s="9"/>
      <c r="IRK253" s="9"/>
      <c r="IRL253" s="9"/>
      <c r="IRM253" s="9"/>
      <c r="IRN253" s="9"/>
      <c r="IRO253" s="9"/>
      <c r="IRP253" s="9"/>
      <c r="IRQ253" s="9"/>
      <c r="IRR253" s="9"/>
      <c r="IRS253" s="9"/>
      <c r="IRT253" s="9"/>
      <c r="IRU253" s="9"/>
      <c r="IRV253" s="9"/>
      <c r="IRW253" s="9"/>
      <c r="IRX253" s="9"/>
      <c r="IRY253" s="9"/>
      <c r="IRZ253" s="9"/>
      <c r="ISA253" s="9"/>
      <c r="ISB253" s="9"/>
      <c r="ISC253" s="9"/>
      <c r="ISD253" s="9"/>
      <c r="ISE253" s="9"/>
      <c r="ISF253" s="9"/>
      <c r="ISG253" s="9"/>
      <c r="ISH253" s="9"/>
      <c r="ISI253" s="9"/>
      <c r="ISJ253" s="9"/>
      <c r="ISK253" s="9"/>
      <c r="ISL253" s="9"/>
      <c r="ISM253" s="9"/>
      <c r="ISN253" s="9"/>
      <c r="ISO253" s="9"/>
      <c r="ISP253" s="9"/>
      <c r="ISQ253" s="9"/>
      <c r="ISR253" s="9"/>
      <c r="ISS253" s="9"/>
      <c r="IST253" s="9"/>
      <c r="ISU253" s="9"/>
      <c r="ISV253" s="9"/>
      <c r="ISW253" s="9"/>
      <c r="ISX253" s="9"/>
      <c r="ISY253" s="9"/>
      <c r="ISZ253" s="9"/>
      <c r="ITA253" s="9"/>
      <c r="ITB253" s="9"/>
      <c r="ITC253" s="9"/>
      <c r="ITD253" s="9"/>
      <c r="ITE253" s="9"/>
      <c r="ITF253" s="9"/>
      <c r="ITG253" s="9"/>
      <c r="ITH253" s="9"/>
      <c r="ITI253" s="9"/>
      <c r="ITJ253" s="9"/>
      <c r="ITK253" s="9"/>
      <c r="ITL253" s="9"/>
      <c r="ITM253" s="9"/>
      <c r="ITN253" s="9"/>
      <c r="ITO253" s="9"/>
      <c r="ITP253" s="9"/>
      <c r="ITQ253" s="9"/>
      <c r="ITR253" s="9"/>
      <c r="ITS253" s="9"/>
      <c r="ITT253" s="9"/>
      <c r="ITU253" s="9"/>
      <c r="ITV253" s="9"/>
      <c r="ITW253" s="9"/>
      <c r="ITX253" s="9"/>
      <c r="ITY253" s="9"/>
      <c r="ITZ253" s="9"/>
      <c r="IUA253" s="9"/>
      <c r="IUB253" s="9"/>
      <c r="IUC253" s="9"/>
      <c r="IUD253" s="9"/>
      <c r="IUE253" s="9"/>
      <c r="IUF253" s="9"/>
      <c r="IUG253" s="9"/>
      <c r="IUH253" s="9"/>
      <c r="IUI253" s="9"/>
      <c r="IUJ253" s="9"/>
      <c r="IUK253" s="9"/>
      <c r="IUL253" s="9"/>
      <c r="IUM253" s="9"/>
      <c r="IUN253" s="9"/>
      <c r="IUO253" s="9"/>
      <c r="IUP253" s="9"/>
      <c r="IUQ253" s="9"/>
      <c r="IUR253" s="9"/>
      <c r="IUS253" s="9"/>
      <c r="IUT253" s="9"/>
      <c r="IUU253" s="9"/>
      <c r="IUV253" s="9"/>
      <c r="IUW253" s="9"/>
      <c r="IUX253" s="9"/>
      <c r="IUY253" s="9"/>
      <c r="IUZ253" s="9"/>
      <c r="IVA253" s="9"/>
      <c r="IVB253" s="9"/>
      <c r="IVC253" s="9"/>
      <c r="IVD253" s="9"/>
      <c r="IVE253" s="9"/>
      <c r="IVF253" s="9"/>
      <c r="IVG253" s="9"/>
      <c r="IVH253" s="9"/>
      <c r="IVI253" s="9"/>
      <c r="IVJ253" s="9"/>
      <c r="IVK253" s="9"/>
      <c r="IVL253" s="9"/>
      <c r="IVM253" s="9"/>
      <c r="IVN253" s="9"/>
      <c r="IVO253" s="9"/>
      <c r="IVP253" s="9"/>
      <c r="IVQ253" s="9"/>
      <c r="IVR253" s="9"/>
      <c r="IVS253" s="9"/>
      <c r="IVT253" s="9"/>
      <c r="IVU253" s="9"/>
      <c r="IVV253" s="9"/>
      <c r="IVW253" s="9"/>
      <c r="IVX253" s="9"/>
      <c r="IVY253" s="9"/>
      <c r="IVZ253" s="9"/>
      <c r="IWA253" s="9"/>
      <c r="IWB253" s="9"/>
      <c r="IWC253" s="9"/>
      <c r="IWD253" s="9"/>
      <c r="IWE253" s="9"/>
      <c r="IWF253" s="9"/>
      <c r="IWG253" s="9"/>
      <c r="IWH253" s="9"/>
      <c r="IWI253" s="9"/>
      <c r="IWJ253" s="9"/>
      <c r="IWK253" s="9"/>
      <c r="IWL253" s="9"/>
      <c r="IWM253" s="9"/>
      <c r="IWN253" s="9"/>
      <c r="IWO253" s="9"/>
      <c r="IWP253" s="9"/>
      <c r="IWQ253" s="9"/>
      <c r="IWR253" s="9"/>
      <c r="IWS253" s="9"/>
      <c r="IWT253" s="9"/>
      <c r="IWU253" s="9"/>
      <c r="IWV253" s="9"/>
      <c r="IWW253" s="9"/>
      <c r="IWX253" s="9"/>
      <c r="IWY253" s="9"/>
      <c r="IWZ253" s="9"/>
      <c r="IXA253" s="9"/>
      <c r="IXB253" s="9"/>
      <c r="IXC253" s="9"/>
      <c r="IXD253" s="9"/>
      <c r="IXE253" s="9"/>
      <c r="IXF253" s="9"/>
      <c r="IXG253" s="9"/>
      <c r="IXH253" s="9"/>
      <c r="IXI253" s="9"/>
      <c r="IXJ253" s="9"/>
      <c r="IXK253" s="9"/>
      <c r="IXL253" s="9"/>
      <c r="IXM253" s="9"/>
      <c r="IXN253" s="9"/>
      <c r="IXO253" s="9"/>
      <c r="IXP253" s="9"/>
      <c r="IXQ253" s="9"/>
      <c r="IXR253" s="9"/>
      <c r="IXS253" s="9"/>
      <c r="IXT253" s="9"/>
      <c r="IXU253" s="9"/>
      <c r="IXV253" s="9"/>
      <c r="IXW253" s="9"/>
      <c r="IXX253" s="9"/>
      <c r="IXY253" s="9"/>
      <c r="IXZ253" s="9"/>
      <c r="IYA253" s="9"/>
      <c r="IYB253" s="9"/>
      <c r="IYC253" s="9"/>
      <c r="IYD253" s="9"/>
      <c r="IYE253" s="9"/>
      <c r="IYF253" s="9"/>
      <c r="IYG253" s="9"/>
      <c r="IYH253" s="9"/>
      <c r="IYI253" s="9"/>
      <c r="IYJ253" s="9"/>
      <c r="IYK253" s="9"/>
      <c r="IYL253" s="9"/>
      <c r="IYM253" s="9"/>
      <c r="IYN253" s="9"/>
      <c r="IYO253" s="9"/>
      <c r="IYP253" s="9"/>
      <c r="IYQ253" s="9"/>
      <c r="IYR253" s="9"/>
      <c r="IYS253" s="9"/>
      <c r="IYT253" s="9"/>
      <c r="IYU253" s="9"/>
      <c r="IYV253" s="9"/>
      <c r="IYW253" s="9"/>
      <c r="IYX253" s="9"/>
      <c r="IYY253" s="9"/>
      <c r="IYZ253" s="9"/>
      <c r="IZA253" s="9"/>
      <c r="IZB253" s="9"/>
      <c r="IZC253" s="9"/>
      <c r="IZD253" s="9"/>
      <c r="IZE253" s="9"/>
      <c r="IZF253" s="9"/>
      <c r="IZG253" s="9"/>
      <c r="IZH253" s="9"/>
      <c r="IZI253" s="9"/>
      <c r="IZJ253" s="9"/>
      <c r="IZK253" s="9"/>
      <c r="IZL253" s="9"/>
      <c r="IZM253" s="9"/>
      <c r="IZN253" s="9"/>
      <c r="IZO253" s="9"/>
      <c r="IZP253" s="9"/>
      <c r="IZQ253" s="9"/>
      <c r="IZR253" s="9"/>
      <c r="IZS253" s="9"/>
      <c r="IZT253" s="9"/>
      <c r="IZU253" s="9"/>
      <c r="IZV253" s="9"/>
      <c r="IZW253" s="9"/>
      <c r="IZX253" s="9"/>
      <c r="IZY253" s="9"/>
      <c r="IZZ253" s="9"/>
      <c r="JAA253" s="9"/>
      <c r="JAB253" s="9"/>
      <c r="JAC253" s="9"/>
      <c r="JAD253" s="9"/>
      <c r="JAE253" s="9"/>
      <c r="JAF253" s="9"/>
      <c r="JAG253" s="9"/>
      <c r="JAH253" s="9"/>
      <c r="JAI253" s="9"/>
      <c r="JAJ253" s="9"/>
      <c r="JAK253" s="9"/>
      <c r="JAL253" s="9"/>
      <c r="JAM253" s="9"/>
      <c r="JAN253" s="9"/>
      <c r="JAO253" s="9"/>
      <c r="JAP253" s="9"/>
      <c r="JAQ253" s="9"/>
      <c r="JAR253" s="9"/>
      <c r="JAS253" s="9"/>
      <c r="JAT253" s="9"/>
      <c r="JAU253" s="9"/>
      <c r="JAV253" s="9"/>
      <c r="JAW253" s="9"/>
      <c r="JAX253" s="9"/>
      <c r="JAY253" s="9"/>
      <c r="JAZ253" s="9"/>
      <c r="JBA253" s="9"/>
      <c r="JBB253" s="9"/>
      <c r="JBC253" s="9"/>
      <c r="JBD253" s="9"/>
      <c r="JBE253" s="9"/>
      <c r="JBF253" s="9"/>
      <c r="JBG253" s="9"/>
      <c r="JBH253" s="9"/>
      <c r="JBI253" s="9"/>
      <c r="JBJ253" s="9"/>
      <c r="JBK253" s="9"/>
      <c r="JBL253" s="9"/>
      <c r="JBM253" s="9"/>
      <c r="JBN253" s="9"/>
      <c r="JBO253" s="9"/>
      <c r="JBP253" s="9"/>
      <c r="JBQ253" s="9"/>
      <c r="JBR253" s="9"/>
      <c r="JBS253" s="9"/>
      <c r="JBT253" s="9"/>
      <c r="JBU253" s="9"/>
      <c r="JBV253" s="9"/>
      <c r="JBW253" s="9"/>
      <c r="JBX253" s="9"/>
      <c r="JBY253" s="9"/>
      <c r="JBZ253" s="9"/>
      <c r="JCA253" s="9"/>
      <c r="JCB253" s="9"/>
      <c r="JCC253" s="9"/>
      <c r="JCD253" s="9"/>
      <c r="JCE253" s="9"/>
      <c r="JCF253" s="9"/>
      <c r="JCG253" s="9"/>
      <c r="JCH253" s="9"/>
      <c r="JCI253" s="9"/>
      <c r="JCJ253" s="9"/>
      <c r="JCK253" s="9"/>
      <c r="JCL253" s="9"/>
      <c r="JCM253" s="9"/>
      <c r="JCN253" s="9"/>
      <c r="JCO253" s="9"/>
      <c r="JCP253" s="9"/>
      <c r="JCQ253" s="9"/>
      <c r="JCR253" s="9"/>
      <c r="JCS253" s="9"/>
      <c r="JCT253" s="9"/>
      <c r="JCU253" s="9"/>
      <c r="JCV253" s="9"/>
      <c r="JCW253" s="9"/>
      <c r="JCX253" s="9"/>
      <c r="JCY253" s="9"/>
      <c r="JCZ253" s="9"/>
      <c r="JDA253" s="9"/>
      <c r="JDB253" s="9"/>
      <c r="JDC253" s="9"/>
      <c r="JDD253" s="9"/>
      <c r="JDE253" s="9"/>
      <c r="JDF253" s="9"/>
      <c r="JDG253" s="9"/>
      <c r="JDH253" s="9"/>
      <c r="JDI253" s="9"/>
      <c r="JDJ253" s="9"/>
      <c r="JDK253" s="9"/>
      <c r="JDL253" s="9"/>
      <c r="JDM253" s="9"/>
      <c r="JDN253" s="9"/>
      <c r="JDO253" s="9"/>
      <c r="JDP253" s="9"/>
      <c r="JDQ253" s="9"/>
      <c r="JDR253" s="9"/>
      <c r="JDS253" s="9"/>
      <c r="JDT253" s="9"/>
      <c r="JDU253" s="9"/>
      <c r="JDV253" s="9"/>
      <c r="JDW253" s="9"/>
      <c r="JDX253" s="9"/>
      <c r="JDY253" s="9"/>
      <c r="JDZ253" s="9"/>
      <c r="JEA253" s="9"/>
      <c r="JEB253" s="9"/>
      <c r="JEC253" s="9"/>
      <c r="JED253" s="9"/>
      <c r="JEE253" s="9"/>
      <c r="JEF253" s="9"/>
      <c r="JEG253" s="9"/>
      <c r="JEH253" s="9"/>
      <c r="JEI253" s="9"/>
      <c r="JEJ253" s="9"/>
      <c r="JEK253" s="9"/>
      <c r="JEL253" s="9"/>
      <c r="JEM253" s="9"/>
      <c r="JEN253" s="9"/>
      <c r="JEO253" s="9"/>
      <c r="JEP253" s="9"/>
      <c r="JEQ253" s="9"/>
      <c r="JER253" s="9"/>
      <c r="JES253" s="9"/>
      <c r="JET253" s="9"/>
      <c r="JEU253" s="9"/>
      <c r="JEV253" s="9"/>
      <c r="JEW253" s="9"/>
      <c r="JEX253" s="9"/>
      <c r="JEY253" s="9"/>
      <c r="JEZ253" s="9"/>
      <c r="JFA253" s="9"/>
      <c r="JFB253" s="9"/>
      <c r="JFC253" s="9"/>
      <c r="JFD253" s="9"/>
      <c r="JFE253" s="9"/>
      <c r="JFF253" s="9"/>
      <c r="JFG253" s="9"/>
      <c r="JFH253" s="9"/>
      <c r="JFI253" s="9"/>
      <c r="JFJ253" s="9"/>
      <c r="JFK253" s="9"/>
      <c r="JFL253" s="9"/>
      <c r="JFM253" s="9"/>
      <c r="JFN253" s="9"/>
      <c r="JFO253" s="9"/>
      <c r="JFP253" s="9"/>
      <c r="JFQ253" s="9"/>
      <c r="JFR253" s="9"/>
      <c r="JFS253" s="9"/>
      <c r="JFT253" s="9"/>
      <c r="JFU253" s="9"/>
      <c r="JFV253" s="9"/>
      <c r="JFW253" s="9"/>
      <c r="JFX253" s="9"/>
      <c r="JFY253" s="9"/>
      <c r="JFZ253" s="9"/>
      <c r="JGA253" s="9"/>
      <c r="JGB253" s="9"/>
      <c r="JGC253" s="9"/>
      <c r="JGD253" s="9"/>
      <c r="JGE253" s="9"/>
      <c r="JGF253" s="9"/>
      <c r="JGG253" s="9"/>
      <c r="JGH253" s="9"/>
      <c r="JGI253" s="9"/>
      <c r="JGJ253" s="9"/>
      <c r="JGK253" s="9"/>
      <c r="JGL253" s="9"/>
      <c r="JGM253" s="9"/>
      <c r="JGN253" s="9"/>
      <c r="JGO253" s="9"/>
      <c r="JGP253" s="9"/>
      <c r="JGQ253" s="9"/>
      <c r="JGR253" s="9"/>
      <c r="JGS253" s="9"/>
      <c r="JGT253" s="9"/>
      <c r="JGU253" s="9"/>
      <c r="JGV253" s="9"/>
      <c r="JGW253" s="9"/>
      <c r="JGX253" s="9"/>
      <c r="JGY253" s="9"/>
      <c r="JGZ253" s="9"/>
      <c r="JHA253" s="9"/>
      <c r="JHB253" s="9"/>
      <c r="JHC253" s="9"/>
      <c r="JHD253" s="9"/>
      <c r="JHE253" s="9"/>
      <c r="JHF253" s="9"/>
      <c r="JHG253" s="9"/>
      <c r="JHH253" s="9"/>
      <c r="JHI253" s="9"/>
      <c r="JHJ253" s="9"/>
      <c r="JHK253" s="9"/>
      <c r="JHL253" s="9"/>
      <c r="JHM253" s="9"/>
      <c r="JHN253" s="9"/>
      <c r="JHO253" s="9"/>
      <c r="JHP253" s="9"/>
      <c r="JHQ253" s="9"/>
      <c r="JHR253" s="9"/>
      <c r="JHS253" s="9"/>
      <c r="JHT253" s="9"/>
      <c r="JHU253" s="9"/>
      <c r="JHV253" s="9"/>
      <c r="JHW253" s="9"/>
      <c r="JHX253" s="9"/>
      <c r="JHY253" s="9"/>
      <c r="JHZ253" s="9"/>
      <c r="JIA253" s="9"/>
      <c r="JIB253" s="9"/>
      <c r="JIC253" s="9"/>
      <c r="JID253" s="9"/>
      <c r="JIE253" s="9"/>
      <c r="JIF253" s="9"/>
      <c r="JIG253" s="9"/>
      <c r="JIH253" s="9"/>
      <c r="JII253" s="9"/>
      <c r="JIJ253" s="9"/>
      <c r="JIK253" s="9"/>
      <c r="JIL253" s="9"/>
      <c r="JIM253" s="9"/>
      <c r="JIN253" s="9"/>
      <c r="JIO253" s="9"/>
      <c r="JIP253" s="9"/>
      <c r="JIQ253" s="9"/>
      <c r="JIR253" s="9"/>
      <c r="JIS253" s="9"/>
      <c r="JIT253" s="9"/>
      <c r="JIU253" s="9"/>
      <c r="JIV253" s="9"/>
      <c r="JIW253" s="9"/>
      <c r="JIX253" s="9"/>
      <c r="JIY253" s="9"/>
      <c r="JIZ253" s="9"/>
      <c r="JJA253" s="9"/>
      <c r="JJB253" s="9"/>
      <c r="JJC253" s="9"/>
      <c r="JJD253" s="9"/>
      <c r="JJE253" s="9"/>
      <c r="JJF253" s="9"/>
      <c r="JJG253" s="9"/>
      <c r="JJH253" s="9"/>
      <c r="JJI253" s="9"/>
      <c r="JJJ253" s="9"/>
      <c r="JJK253" s="9"/>
      <c r="JJL253" s="9"/>
      <c r="JJM253" s="9"/>
      <c r="JJN253" s="9"/>
      <c r="JJO253" s="9"/>
      <c r="JJP253" s="9"/>
      <c r="JJQ253" s="9"/>
      <c r="JJR253" s="9"/>
      <c r="JJS253" s="9"/>
      <c r="JJT253" s="9"/>
      <c r="JJU253" s="9"/>
      <c r="JJV253" s="9"/>
      <c r="JJW253" s="9"/>
      <c r="JJX253" s="9"/>
      <c r="JJY253" s="9"/>
      <c r="JJZ253" s="9"/>
      <c r="JKA253" s="9"/>
      <c r="JKB253" s="9"/>
      <c r="JKC253" s="9"/>
      <c r="JKD253" s="9"/>
      <c r="JKE253" s="9"/>
      <c r="JKF253" s="9"/>
      <c r="JKG253" s="9"/>
      <c r="JKH253" s="9"/>
      <c r="JKI253" s="9"/>
      <c r="JKJ253" s="9"/>
      <c r="JKK253" s="9"/>
      <c r="JKL253" s="9"/>
      <c r="JKM253" s="9"/>
      <c r="JKN253" s="9"/>
      <c r="JKO253" s="9"/>
      <c r="JKP253" s="9"/>
      <c r="JKQ253" s="9"/>
      <c r="JKR253" s="9"/>
      <c r="JKS253" s="9"/>
      <c r="JKT253" s="9"/>
      <c r="JKU253" s="9"/>
      <c r="JKV253" s="9"/>
      <c r="JKW253" s="9"/>
      <c r="JKX253" s="9"/>
      <c r="JKY253" s="9"/>
      <c r="JKZ253" s="9"/>
      <c r="JLA253" s="9"/>
      <c r="JLB253" s="9"/>
      <c r="JLC253" s="9"/>
      <c r="JLD253" s="9"/>
      <c r="JLE253" s="9"/>
      <c r="JLF253" s="9"/>
      <c r="JLG253" s="9"/>
      <c r="JLH253" s="9"/>
      <c r="JLI253" s="9"/>
      <c r="JLJ253" s="9"/>
      <c r="JLK253" s="9"/>
      <c r="JLL253" s="9"/>
      <c r="JLM253" s="9"/>
      <c r="JLN253" s="9"/>
      <c r="JLO253" s="9"/>
      <c r="JLP253" s="9"/>
      <c r="JLQ253" s="9"/>
      <c r="JLR253" s="9"/>
      <c r="JLS253" s="9"/>
      <c r="JLT253" s="9"/>
      <c r="JLU253" s="9"/>
      <c r="JLV253" s="9"/>
      <c r="JLW253" s="9"/>
      <c r="JLX253" s="9"/>
      <c r="JLY253" s="9"/>
      <c r="JLZ253" s="9"/>
      <c r="JMA253" s="9"/>
      <c r="JMB253" s="9"/>
      <c r="JMC253" s="9"/>
      <c r="JMD253" s="9"/>
      <c r="JME253" s="9"/>
      <c r="JMF253" s="9"/>
      <c r="JMG253" s="9"/>
      <c r="JMH253" s="9"/>
      <c r="JMI253" s="9"/>
      <c r="JMJ253" s="9"/>
      <c r="JMK253" s="9"/>
      <c r="JML253" s="9"/>
      <c r="JMM253" s="9"/>
      <c r="JMN253" s="9"/>
      <c r="JMO253" s="9"/>
      <c r="JMP253" s="9"/>
      <c r="JMQ253" s="9"/>
      <c r="JMR253" s="9"/>
      <c r="JMS253" s="9"/>
      <c r="JMT253" s="9"/>
      <c r="JMU253" s="9"/>
      <c r="JMV253" s="9"/>
      <c r="JMW253" s="9"/>
      <c r="JMX253" s="9"/>
      <c r="JMY253" s="9"/>
      <c r="JMZ253" s="9"/>
      <c r="JNA253" s="9"/>
      <c r="JNB253" s="9"/>
      <c r="JNC253" s="9"/>
      <c r="JND253" s="9"/>
      <c r="JNE253" s="9"/>
      <c r="JNF253" s="9"/>
      <c r="JNG253" s="9"/>
      <c r="JNH253" s="9"/>
      <c r="JNI253" s="9"/>
      <c r="JNJ253" s="9"/>
      <c r="JNK253" s="9"/>
      <c r="JNL253" s="9"/>
      <c r="JNM253" s="9"/>
      <c r="JNN253" s="9"/>
      <c r="JNO253" s="9"/>
      <c r="JNP253" s="9"/>
      <c r="JNQ253" s="9"/>
      <c r="JNR253" s="9"/>
      <c r="JNS253" s="9"/>
      <c r="JNT253" s="9"/>
      <c r="JNU253" s="9"/>
      <c r="JNV253" s="9"/>
      <c r="JNW253" s="9"/>
      <c r="JNX253" s="9"/>
      <c r="JNY253" s="9"/>
      <c r="JNZ253" s="9"/>
      <c r="JOA253" s="9"/>
      <c r="JOB253" s="9"/>
      <c r="JOC253" s="9"/>
      <c r="JOD253" s="9"/>
      <c r="JOE253" s="9"/>
      <c r="JOF253" s="9"/>
      <c r="JOG253" s="9"/>
      <c r="JOH253" s="9"/>
      <c r="JOI253" s="9"/>
      <c r="JOJ253" s="9"/>
      <c r="JOK253" s="9"/>
      <c r="JOL253" s="9"/>
      <c r="JOM253" s="9"/>
      <c r="JON253" s="9"/>
      <c r="JOO253" s="9"/>
      <c r="JOP253" s="9"/>
      <c r="JOQ253" s="9"/>
      <c r="JOR253" s="9"/>
      <c r="JOS253" s="9"/>
      <c r="JOT253" s="9"/>
      <c r="JOU253" s="9"/>
      <c r="JOV253" s="9"/>
      <c r="JOW253" s="9"/>
      <c r="JOX253" s="9"/>
      <c r="JOY253" s="9"/>
      <c r="JOZ253" s="9"/>
      <c r="JPA253" s="9"/>
      <c r="JPB253" s="9"/>
      <c r="JPC253" s="9"/>
      <c r="JPD253" s="9"/>
      <c r="JPE253" s="9"/>
      <c r="JPF253" s="9"/>
      <c r="JPG253" s="9"/>
      <c r="JPH253" s="9"/>
      <c r="JPI253" s="9"/>
      <c r="JPJ253" s="9"/>
      <c r="JPK253" s="9"/>
      <c r="JPL253" s="9"/>
      <c r="JPM253" s="9"/>
      <c r="JPN253" s="9"/>
      <c r="JPO253" s="9"/>
      <c r="JPP253" s="9"/>
      <c r="JPQ253" s="9"/>
      <c r="JPR253" s="9"/>
      <c r="JPS253" s="9"/>
      <c r="JPT253" s="9"/>
      <c r="JPU253" s="9"/>
      <c r="JPV253" s="9"/>
      <c r="JPW253" s="9"/>
      <c r="JPX253" s="9"/>
      <c r="JPY253" s="9"/>
      <c r="JPZ253" s="9"/>
      <c r="JQA253" s="9"/>
      <c r="JQB253" s="9"/>
      <c r="JQC253" s="9"/>
      <c r="JQD253" s="9"/>
      <c r="JQE253" s="9"/>
      <c r="JQF253" s="9"/>
      <c r="JQG253" s="9"/>
      <c r="JQH253" s="9"/>
      <c r="JQI253" s="9"/>
      <c r="JQJ253" s="9"/>
      <c r="JQK253" s="9"/>
      <c r="JQL253" s="9"/>
      <c r="JQM253" s="9"/>
      <c r="JQN253" s="9"/>
      <c r="JQO253" s="9"/>
      <c r="JQP253" s="9"/>
      <c r="JQQ253" s="9"/>
      <c r="JQR253" s="9"/>
      <c r="JQS253" s="9"/>
      <c r="JQT253" s="9"/>
      <c r="JQU253" s="9"/>
      <c r="JQV253" s="9"/>
      <c r="JQW253" s="9"/>
      <c r="JQX253" s="9"/>
      <c r="JQY253" s="9"/>
      <c r="JQZ253" s="9"/>
      <c r="JRA253" s="9"/>
      <c r="JRB253" s="9"/>
      <c r="JRC253" s="9"/>
      <c r="JRD253" s="9"/>
      <c r="JRE253" s="9"/>
      <c r="JRF253" s="9"/>
      <c r="JRG253" s="9"/>
      <c r="JRH253" s="9"/>
      <c r="JRI253" s="9"/>
      <c r="JRJ253" s="9"/>
      <c r="JRK253" s="9"/>
      <c r="JRL253" s="9"/>
      <c r="JRM253" s="9"/>
      <c r="JRN253" s="9"/>
      <c r="JRO253" s="9"/>
      <c r="JRP253" s="9"/>
      <c r="JRQ253" s="9"/>
      <c r="JRR253" s="9"/>
      <c r="JRS253" s="9"/>
      <c r="JRT253" s="9"/>
      <c r="JRU253" s="9"/>
      <c r="JRV253" s="9"/>
      <c r="JRW253" s="9"/>
      <c r="JRX253" s="9"/>
      <c r="JRY253" s="9"/>
      <c r="JRZ253" s="9"/>
      <c r="JSA253" s="9"/>
      <c r="JSB253" s="9"/>
      <c r="JSC253" s="9"/>
      <c r="JSD253" s="9"/>
      <c r="JSE253" s="9"/>
      <c r="JSF253" s="9"/>
      <c r="JSG253" s="9"/>
      <c r="JSH253" s="9"/>
      <c r="JSI253" s="9"/>
      <c r="JSJ253" s="9"/>
      <c r="JSK253" s="9"/>
      <c r="JSL253" s="9"/>
      <c r="JSM253" s="9"/>
      <c r="JSN253" s="9"/>
      <c r="JSO253" s="9"/>
      <c r="JSP253" s="9"/>
      <c r="JSQ253" s="9"/>
      <c r="JSR253" s="9"/>
      <c r="JSS253" s="9"/>
      <c r="JST253" s="9"/>
      <c r="JSU253" s="9"/>
      <c r="JSV253" s="9"/>
      <c r="JSW253" s="9"/>
      <c r="JSX253" s="9"/>
      <c r="JSY253" s="9"/>
      <c r="JSZ253" s="9"/>
      <c r="JTA253" s="9"/>
      <c r="JTB253" s="9"/>
      <c r="JTC253" s="9"/>
      <c r="JTD253" s="9"/>
      <c r="JTE253" s="9"/>
      <c r="JTF253" s="9"/>
      <c r="JTG253" s="9"/>
      <c r="JTH253" s="9"/>
      <c r="JTI253" s="9"/>
      <c r="JTJ253" s="9"/>
      <c r="JTK253" s="9"/>
      <c r="JTL253" s="9"/>
      <c r="JTM253" s="9"/>
      <c r="JTN253" s="9"/>
      <c r="JTO253" s="9"/>
      <c r="JTP253" s="9"/>
      <c r="JTQ253" s="9"/>
      <c r="JTR253" s="9"/>
      <c r="JTS253" s="9"/>
      <c r="JTT253" s="9"/>
      <c r="JTU253" s="9"/>
      <c r="JTV253" s="9"/>
      <c r="JTW253" s="9"/>
      <c r="JTX253" s="9"/>
      <c r="JTY253" s="9"/>
      <c r="JTZ253" s="9"/>
      <c r="JUA253" s="9"/>
      <c r="JUB253" s="9"/>
      <c r="JUC253" s="9"/>
      <c r="JUD253" s="9"/>
      <c r="JUE253" s="9"/>
      <c r="JUF253" s="9"/>
      <c r="JUG253" s="9"/>
      <c r="JUH253" s="9"/>
      <c r="JUI253" s="9"/>
      <c r="JUJ253" s="9"/>
      <c r="JUK253" s="9"/>
      <c r="JUL253" s="9"/>
      <c r="JUM253" s="9"/>
      <c r="JUN253" s="9"/>
      <c r="JUO253" s="9"/>
      <c r="JUP253" s="9"/>
      <c r="JUQ253" s="9"/>
      <c r="JUR253" s="9"/>
      <c r="JUS253" s="9"/>
      <c r="JUT253" s="9"/>
      <c r="JUU253" s="9"/>
      <c r="JUV253" s="9"/>
      <c r="JUW253" s="9"/>
      <c r="JUX253" s="9"/>
      <c r="JUY253" s="9"/>
      <c r="JUZ253" s="9"/>
      <c r="JVA253" s="9"/>
      <c r="JVB253" s="9"/>
      <c r="JVC253" s="9"/>
      <c r="JVD253" s="9"/>
      <c r="JVE253" s="9"/>
      <c r="JVF253" s="9"/>
      <c r="JVG253" s="9"/>
      <c r="JVH253" s="9"/>
      <c r="JVI253" s="9"/>
      <c r="JVJ253" s="9"/>
      <c r="JVK253" s="9"/>
      <c r="JVL253" s="9"/>
      <c r="JVM253" s="9"/>
      <c r="JVN253" s="9"/>
      <c r="JVO253" s="9"/>
      <c r="JVP253" s="9"/>
      <c r="JVQ253" s="9"/>
      <c r="JVR253" s="9"/>
      <c r="JVS253" s="9"/>
      <c r="JVT253" s="9"/>
      <c r="JVU253" s="9"/>
      <c r="JVV253" s="9"/>
      <c r="JVW253" s="9"/>
      <c r="JVX253" s="9"/>
      <c r="JVY253" s="9"/>
      <c r="JVZ253" s="9"/>
      <c r="JWA253" s="9"/>
      <c r="JWB253" s="9"/>
      <c r="JWC253" s="9"/>
      <c r="JWD253" s="9"/>
      <c r="JWE253" s="9"/>
      <c r="JWF253" s="9"/>
      <c r="JWG253" s="9"/>
      <c r="JWH253" s="9"/>
      <c r="JWI253" s="9"/>
      <c r="JWJ253" s="9"/>
      <c r="JWK253" s="9"/>
      <c r="JWL253" s="9"/>
      <c r="JWM253" s="9"/>
      <c r="JWN253" s="9"/>
      <c r="JWO253" s="9"/>
      <c r="JWP253" s="9"/>
      <c r="JWQ253" s="9"/>
      <c r="JWR253" s="9"/>
      <c r="JWS253" s="9"/>
      <c r="JWT253" s="9"/>
      <c r="JWU253" s="9"/>
      <c r="JWV253" s="9"/>
      <c r="JWW253" s="9"/>
      <c r="JWX253" s="9"/>
      <c r="JWY253" s="9"/>
      <c r="JWZ253" s="9"/>
      <c r="JXA253" s="9"/>
      <c r="JXB253" s="9"/>
      <c r="JXC253" s="9"/>
      <c r="JXD253" s="9"/>
      <c r="JXE253" s="9"/>
      <c r="JXF253" s="9"/>
      <c r="JXG253" s="9"/>
      <c r="JXH253" s="9"/>
      <c r="JXI253" s="9"/>
      <c r="JXJ253" s="9"/>
      <c r="JXK253" s="9"/>
      <c r="JXL253" s="9"/>
      <c r="JXM253" s="9"/>
      <c r="JXN253" s="9"/>
      <c r="JXO253" s="9"/>
      <c r="JXP253" s="9"/>
      <c r="JXQ253" s="9"/>
      <c r="JXR253" s="9"/>
      <c r="JXS253" s="9"/>
      <c r="JXT253" s="9"/>
      <c r="JXU253" s="9"/>
      <c r="JXV253" s="9"/>
      <c r="JXW253" s="9"/>
      <c r="JXX253" s="9"/>
      <c r="JXY253" s="9"/>
      <c r="JXZ253" s="9"/>
      <c r="JYA253" s="9"/>
      <c r="JYB253" s="9"/>
      <c r="JYC253" s="9"/>
      <c r="JYD253" s="9"/>
      <c r="JYE253" s="9"/>
      <c r="JYF253" s="9"/>
      <c r="JYG253" s="9"/>
      <c r="JYH253" s="9"/>
      <c r="JYI253" s="9"/>
      <c r="JYJ253" s="9"/>
      <c r="JYK253" s="9"/>
      <c r="JYL253" s="9"/>
      <c r="JYM253" s="9"/>
      <c r="JYN253" s="9"/>
      <c r="JYO253" s="9"/>
      <c r="JYP253" s="9"/>
      <c r="JYQ253" s="9"/>
      <c r="JYR253" s="9"/>
      <c r="JYS253" s="9"/>
      <c r="JYT253" s="9"/>
      <c r="JYU253" s="9"/>
      <c r="JYV253" s="9"/>
      <c r="JYW253" s="9"/>
      <c r="JYX253" s="9"/>
      <c r="JYY253" s="9"/>
      <c r="JYZ253" s="9"/>
      <c r="JZA253" s="9"/>
      <c r="JZB253" s="9"/>
      <c r="JZC253" s="9"/>
      <c r="JZD253" s="9"/>
      <c r="JZE253" s="9"/>
      <c r="JZF253" s="9"/>
      <c r="JZG253" s="9"/>
      <c r="JZH253" s="9"/>
      <c r="JZI253" s="9"/>
      <c r="JZJ253" s="9"/>
      <c r="JZK253" s="9"/>
      <c r="JZL253" s="9"/>
      <c r="JZM253" s="9"/>
      <c r="JZN253" s="9"/>
      <c r="JZO253" s="9"/>
      <c r="JZP253" s="9"/>
      <c r="JZQ253" s="9"/>
      <c r="JZR253" s="9"/>
      <c r="JZS253" s="9"/>
      <c r="JZT253" s="9"/>
      <c r="JZU253" s="9"/>
      <c r="JZV253" s="9"/>
      <c r="JZW253" s="9"/>
      <c r="JZX253" s="9"/>
      <c r="JZY253" s="9"/>
      <c r="JZZ253" s="9"/>
      <c r="KAA253" s="9"/>
      <c r="KAB253" s="9"/>
      <c r="KAC253" s="9"/>
      <c r="KAD253" s="9"/>
      <c r="KAE253" s="9"/>
      <c r="KAF253" s="9"/>
      <c r="KAG253" s="9"/>
      <c r="KAH253" s="9"/>
      <c r="KAI253" s="9"/>
      <c r="KAJ253" s="9"/>
      <c r="KAK253" s="9"/>
      <c r="KAL253" s="9"/>
      <c r="KAM253" s="9"/>
      <c r="KAN253" s="9"/>
      <c r="KAO253" s="9"/>
      <c r="KAP253" s="9"/>
      <c r="KAQ253" s="9"/>
      <c r="KAR253" s="9"/>
      <c r="KAS253" s="9"/>
      <c r="KAT253" s="9"/>
      <c r="KAU253" s="9"/>
      <c r="KAV253" s="9"/>
      <c r="KAW253" s="9"/>
      <c r="KAX253" s="9"/>
      <c r="KAY253" s="9"/>
      <c r="KAZ253" s="9"/>
      <c r="KBA253" s="9"/>
      <c r="KBB253" s="9"/>
      <c r="KBC253" s="9"/>
      <c r="KBD253" s="9"/>
      <c r="KBE253" s="9"/>
      <c r="KBF253" s="9"/>
      <c r="KBG253" s="9"/>
      <c r="KBH253" s="9"/>
      <c r="KBI253" s="9"/>
      <c r="KBJ253" s="9"/>
      <c r="KBK253" s="9"/>
      <c r="KBL253" s="9"/>
      <c r="KBM253" s="9"/>
      <c r="KBN253" s="9"/>
      <c r="KBO253" s="9"/>
      <c r="KBP253" s="9"/>
      <c r="KBQ253" s="9"/>
      <c r="KBR253" s="9"/>
      <c r="KBS253" s="9"/>
      <c r="KBT253" s="9"/>
      <c r="KBU253" s="9"/>
      <c r="KBV253" s="9"/>
      <c r="KBW253" s="9"/>
      <c r="KBX253" s="9"/>
      <c r="KBY253" s="9"/>
      <c r="KBZ253" s="9"/>
      <c r="KCA253" s="9"/>
      <c r="KCB253" s="9"/>
      <c r="KCC253" s="9"/>
      <c r="KCD253" s="9"/>
      <c r="KCE253" s="9"/>
      <c r="KCF253" s="9"/>
      <c r="KCG253" s="9"/>
      <c r="KCH253" s="9"/>
      <c r="KCI253" s="9"/>
      <c r="KCJ253" s="9"/>
      <c r="KCK253" s="9"/>
      <c r="KCL253" s="9"/>
      <c r="KCM253" s="9"/>
      <c r="KCN253" s="9"/>
      <c r="KCO253" s="9"/>
      <c r="KCP253" s="9"/>
      <c r="KCQ253" s="9"/>
      <c r="KCR253" s="9"/>
      <c r="KCS253" s="9"/>
      <c r="KCT253" s="9"/>
      <c r="KCU253" s="9"/>
      <c r="KCV253" s="9"/>
      <c r="KCW253" s="9"/>
      <c r="KCX253" s="9"/>
      <c r="KCY253" s="9"/>
      <c r="KCZ253" s="9"/>
      <c r="KDA253" s="9"/>
      <c r="KDB253" s="9"/>
      <c r="KDC253" s="9"/>
      <c r="KDD253" s="9"/>
      <c r="KDE253" s="9"/>
      <c r="KDF253" s="9"/>
      <c r="KDG253" s="9"/>
      <c r="KDH253" s="9"/>
      <c r="KDI253" s="9"/>
      <c r="KDJ253" s="9"/>
      <c r="KDK253" s="9"/>
      <c r="KDL253" s="9"/>
      <c r="KDM253" s="9"/>
      <c r="KDN253" s="9"/>
      <c r="KDO253" s="9"/>
      <c r="KDP253" s="9"/>
      <c r="KDQ253" s="9"/>
      <c r="KDR253" s="9"/>
      <c r="KDS253" s="9"/>
      <c r="KDT253" s="9"/>
      <c r="KDU253" s="9"/>
      <c r="KDV253" s="9"/>
      <c r="KDW253" s="9"/>
      <c r="KDX253" s="9"/>
      <c r="KDY253" s="9"/>
      <c r="KDZ253" s="9"/>
      <c r="KEA253" s="9"/>
      <c r="KEB253" s="9"/>
      <c r="KEC253" s="9"/>
      <c r="KED253" s="9"/>
      <c r="KEE253" s="9"/>
      <c r="KEF253" s="9"/>
      <c r="KEG253" s="9"/>
      <c r="KEH253" s="9"/>
      <c r="KEI253" s="9"/>
      <c r="KEJ253" s="9"/>
      <c r="KEK253" s="9"/>
      <c r="KEL253" s="9"/>
      <c r="KEM253" s="9"/>
      <c r="KEN253" s="9"/>
      <c r="KEO253" s="9"/>
      <c r="KEP253" s="9"/>
      <c r="KEQ253" s="9"/>
      <c r="KER253" s="9"/>
      <c r="KES253" s="9"/>
      <c r="KET253" s="9"/>
      <c r="KEU253" s="9"/>
      <c r="KEV253" s="9"/>
      <c r="KEW253" s="9"/>
      <c r="KEX253" s="9"/>
      <c r="KEY253" s="9"/>
      <c r="KEZ253" s="9"/>
      <c r="KFA253" s="9"/>
      <c r="KFB253" s="9"/>
      <c r="KFC253" s="9"/>
      <c r="KFD253" s="9"/>
      <c r="KFE253" s="9"/>
      <c r="KFF253" s="9"/>
      <c r="KFG253" s="9"/>
      <c r="KFH253" s="9"/>
      <c r="KFI253" s="9"/>
      <c r="KFJ253" s="9"/>
      <c r="KFK253" s="9"/>
      <c r="KFL253" s="9"/>
      <c r="KFM253" s="9"/>
      <c r="KFN253" s="9"/>
      <c r="KFO253" s="9"/>
      <c r="KFP253" s="9"/>
      <c r="KFQ253" s="9"/>
      <c r="KFR253" s="9"/>
      <c r="KFS253" s="9"/>
      <c r="KFT253" s="9"/>
      <c r="KFU253" s="9"/>
      <c r="KFV253" s="9"/>
      <c r="KFW253" s="9"/>
      <c r="KFX253" s="9"/>
      <c r="KFY253" s="9"/>
      <c r="KFZ253" s="9"/>
      <c r="KGA253" s="9"/>
      <c r="KGB253" s="9"/>
      <c r="KGC253" s="9"/>
      <c r="KGD253" s="9"/>
      <c r="KGE253" s="9"/>
      <c r="KGF253" s="9"/>
      <c r="KGG253" s="9"/>
      <c r="KGH253" s="9"/>
      <c r="KGI253" s="9"/>
      <c r="KGJ253" s="9"/>
      <c r="KGK253" s="9"/>
      <c r="KGL253" s="9"/>
      <c r="KGM253" s="9"/>
      <c r="KGN253" s="9"/>
      <c r="KGO253" s="9"/>
      <c r="KGP253" s="9"/>
      <c r="KGQ253" s="9"/>
      <c r="KGR253" s="9"/>
      <c r="KGS253" s="9"/>
      <c r="KGT253" s="9"/>
      <c r="KGU253" s="9"/>
      <c r="KGV253" s="9"/>
      <c r="KGW253" s="9"/>
      <c r="KGX253" s="9"/>
      <c r="KGY253" s="9"/>
      <c r="KGZ253" s="9"/>
      <c r="KHA253" s="9"/>
      <c r="KHB253" s="9"/>
      <c r="KHC253" s="9"/>
      <c r="KHD253" s="9"/>
      <c r="KHE253" s="9"/>
      <c r="KHF253" s="9"/>
      <c r="KHG253" s="9"/>
      <c r="KHH253" s="9"/>
      <c r="KHI253" s="9"/>
      <c r="KHJ253" s="9"/>
      <c r="KHK253" s="9"/>
      <c r="KHL253" s="9"/>
      <c r="KHM253" s="9"/>
      <c r="KHN253" s="9"/>
      <c r="KHO253" s="9"/>
      <c r="KHP253" s="9"/>
      <c r="KHQ253" s="9"/>
      <c r="KHR253" s="9"/>
      <c r="KHS253" s="9"/>
      <c r="KHT253" s="9"/>
      <c r="KHU253" s="9"/>
      <c r="KHV253" s="9"/>
      <c r="KHW253" s="9"/>
      <c r="KHX253" s="9"/>
      <c r="KHY253" s="9"/>
      <c r="KHZ253" s="9"/>
      <c r="KIA253" s="9"/>
      <c r="KIB253" s="9"/>
      <c r="KIC253" s="9"/>
      <c r="KID253" s="9"/>
      <c r="KIE253" s="9"/>
      <c r="KIF253" s="9"/>
      <c r="KIG253" s="9"/>
      <c r="KIH253" s="9"/>
      <c r="KII253" s="9"/>
      <c r="KIJ253" s="9"/>
      <c r="KIK253" s="9"/>
      <c r="KIL253" s="9"/>
      <c r="KIM253" s="9"/>
      <c r="KIN253" s="9"/>
      <c r="KIO253" s="9"/>
      <c r="KIP253" s="9"/>
      <c r="KIQ253" s="9"/>
      <c r="KIR253" s="9"/>
      <c r="KIS253" s="9"/>
      <c r="KIT253" s="9"/>
      <c r="KIU253" s="9"/>
      <c r="KIV253" s="9"/>
      <c r="KIW253" s="9"/>
      <c r="KIX253" s="9"/>
      <c r="KIY253" s="9"/>
      <c r="KIZ253" s="9"/>
      <c r="KJA253" s="9"/>
      <c r="KJB253" s="9"/>
      <c r="KJC253" s="9"/>
      <c r="KJD253" s="9"/>
      <c r="KJE253" s="9"/>
      <c r="KJF253" s="9"/>
      <c r="KJG253" s="9"/>
      <c r="KJH253" s="9"/>
      <c r="KJI253" s="9"/>
      <c r="KJJ253" s="9"/>
      <c r="KJK253" s="9"/>
      <c r="KJL253" s="9"/>
      <c r="KJM253" s="9"/>
      <c r="KJN253" s="9"/>
      <c r="KJO253" s="9"/>
      <c r="KJP253" s="9"/>
      <c r="KJQ253" s="9"/>
      <c r="KJR253" s="9"/>
      <c r="KJS253" s="9"/>
      <c r="KJT253" s="9"/>
      <c r="KJU253" s="9"/>
      <c r="KJV253" s="9"/>
      <c r="KJW253" s="9"/>
      <c r="KJX253" s="9"/>
      <c r="KJY253" s="9"/>
      <c r="KJZ253" s="9"/>
      <c r="KKA253" s="9"/>
      <c r="KKB253" s="9"/>
      <c r="KKC253" s="9"/>
      <c r="KKD253" s="9"/>
      <c r="KKE253" s="9"/>
      <c r="KKF253" s="9"/>
      <c r="KKG253" s="9"/>
      <c r="KKH253" s="9"/>
      <c r="KKI253" s="9"/>
      <c r="KKJ253" s="9"/>
      <c r="KKK253" s="9"/>
      <c r="KKL253" s="9"/>
      <c r="KKM253" s="9"/>
      <c r="KKN253" s="9"/>
      <c r="KKO253" s="9"/>
      <c r="KKP253" s="9"/>
      <c r="KKQ253" s="9"/>
      <c r="KKR253" s="9"/>
      <c r="KKS253" s="9"/>
      <c r="KKT253" s="9"/>
      <c r="KKU253" s="9"/>
      <c r="KKV253" s="9"/>
      <c r="KKW253" s="9"/>
      <c r="KKX253" s="9"/>
      <c r="KKY253" s="9"/>
      <c r="KKZ253" s="9"/>
      <c r="KLA253" s="9"/>
      <c r="KLB253" s="9"/>
      <c r="KLC253" s="9"/>
      <c r="KLD253" s="9"/>
      <c r="KLE253" s="9"/>
      <c r="KLF253" s="9"/>
      <c r="KLG253" s="9"/>
      <c r="KLH253" s="9"/>
      <c r="KLI253" s="9"/>
      <c r="KLJ253" s="9"/>
      <c r="KLK253" s="9"/>
      <c r="KLL253" s="9"/>
      <c r="KLM253" s="9"/>
      <c r="KLN253" s="9"/>
      <c r="KLO253" s="9"/>
      <c r="KLP253" s="9"/>
      <c r="KLQ253" s="9"/>
      <c r="KLR253" s="9"/>
      <c r="KLS253" s="9"/>
      <c r="KLT253" s="9"/>
      <c r="KLU253" s="9"/>
      <c r="KLV253" s="9"/>
      <c r="KLW253" s="9"/>
      <c r="KLX253" s="9"/>
      <c r="KLY253" s="9"/>
      <c r="KLZ253" s="9"/>
      <c r="KMA253" s="9"/>
      <c r="KMB253" s="9"/>
      <c r="KMC253" s="9"/>
      <c r="KMD253" s="9"/>
      <c r="KME253" s="9"/>
      <c r="KMF253" s="9"/>
      <c r="KMG253" s="9"/>
      <c r="KMH253" s="9"/>
      <c r="KMI253" s="9"/>
      <c r="KMJ253" s="9"/>
      <c r="KMK253" s="9"/>
      <c r="KML253" s="9"/>
      <c r="KMM253" s="9"/>
      <c r="KMN253" s="9"/>
      <c r="KMO253" s="9"/>
      <c r="KMP253" s="9"/>
      <c r="KMQ253" s="9"/>
      <c r="KMR253" s="9"/>
      <c r="KMS253" s="9"/>
      <c r="KMT253" s="9"/>
      <c r="KMU253" s="9"/>
      <c r="KMV253" s="9"/>
      <c r="KMW253" s="9"/>
      <c r="KMX253" s="9"/>
      <c r="KMY253" s="9"/>
      <c r="KMZ253" s="9"/>
      <c r="KNA253" s="9"/>
      <c r="KNB253" s="9"/>
      <c r="KNC253" s="9"/>
      <c r="KND253" s="9"/>
      <c r="KNE253" s="9"/>
      <c r="KNF253" s="9"/>
      <c r="KNG253" s="9"/>
      <c r="KNH253" s="9"/>
      <c r="KNI253" s="9"/>
      <c r="KNJ253" s="9"/>
      <c r="KNK253" s="9"/>
      <c r="KNL253" s="9"/>
      <c r="KNM253" s="9"/>
      <c r="KNN253" s="9"/>
      <c r="KNO253" s="9"/>
      <c r="KNP253" s="9"/>
      <c r="KNQ253" s="9"/>
      <c r="KNR253" s="9"/>
      <c r="KNS253" s="9"/>
      <c r="KNT253" s="9"/>
      <c r="KNU253" s="9"/>
      <c r="KNV253" s="9"/>
      <c r="KNW253" s="9"/>
      <c r="KNX253" s="9"/>
      <c r="KNY253" s="9"/>
      <c r="KNZ253" s="9"/>
      <c r="KOA253" s="9"/>
      <c r="KOB253" s="9"/>
      <c r="KOC253" s="9"/>
      <c r="KOD253" s="9"/>
      <c r="KOE253" s="9"/>
      <c r="KOF253" s="9"/>
      <c r="KOG253" s="9"/>
      <c r="KOH253" s="9"/>
      <c r="KOI253" s="9"/>
      <c r="KOJ253" s="9"/>
      <c r="KOK253" s="9"/>
      <c r="KOL253" s="9"/>
      <c r="KOM253" s="9"/>
      <c r="KON253" s="9"/>
      <c r="KOO253" s="9"/>
      <c r="KOP253" s="9"/>
      <c r="KOQ253" s="9"/>
      <c r="KOR253" s="9"/>
      <c r="KOS253" s="9"/>
      <c r="KOT253" s="9"/>
      <c r="KOU253" s="9"/>
      <c r="KOV253" s="9"/>
      <c r="KOW253" s="9"/>
      <c r="KOX253" s="9"/>
      <c r="KOY253" s="9"/>
      <c r="KOZ253" s="9"/>
      <c r="KPA253" s="9"/>
      <c r="KPB253" s="9"/>
      <c r="KPC253" s="9"/>
      <c r="KPD253" s="9"/>
      <c r="KPE253" s="9"/>
      <c r="KPF253" s="9"/>
      <c r="KPG253" s="9"/>
      <c r="KPH253" s="9"/>
      <c r="KPI253" s="9"/>
      <c r="KPJ253" s="9"/>
      <c r="KPK253" s="9"/>
      <c r="KPL253" s="9"/>
      <c r="KPM253" s="9"/>
      <c r="KPN253" s="9"/>
      <c r="KPO253" s="9"/>
      <c r="KPP253" s="9"/>
      <c r="KPQ253" s="9"/>
      <c r="KPR253" s="9"/>
      <c r="KPS253" s="9"/>
      <c r="KPT253" s="9"/>
      <c r="KPU253" s="9"/>
      <c r="KPV253" s="9"/>
      <c r="KPW253" s="9"/>
      <c r="KPX253" s="9"/>
      <c r="KPY253" s="9"/>
      <c r="KPZ253" s="9"/>
      <c r="KQA253" s="9"/>
      <c r="KQB253" s="9"/>
      <c r="KQC253" s="9"/>
      <c r="KQD253" s="9"/>
      <c r="KQE253" s="9"/>
      <c r="KQF253" s="9"/>
      <c r="KQG253" s="9"/>
      <c r="KQH253" s="9"/>
      <c r="KQI253" s="9"/>
      <c r="KQJ253" s="9"/>
      <c r="KQK253" s="9"/>
      <c r="KQL253" s="9"/>
      <c r="KQM253" s="9"/>
      <c r="KQN253" s="9"/>
      <c r="KQO253" s="9"/>
      <c r="KQP253" s="9"/>
      <c r="KQQ253" s="9"/>
      <c r="KQR253" s="9"/>
      <c r="KQS253" s="9"/>
      <c r="KQT253" s="9"/>
      <c r="KQU253" s="9"/>
      <c r="KQV253" s="9"/>
      <c r="KQW253" s="9"/>
      <c r="KQX253" s="9"/>
      <c r="KQY253" s="9"/>
      <c r="KQZ253" s="9"/>
      <c r="KRA253" s="9"/>
      <c r="KRB253" s="9"/>
      <c r="KRC253" s="9"/>
      <c r="KRD253" s="9"/>
      <c r="KRE253" s="9"/>
      <c r="KRF253" s="9"/>
      <c r="KRG253" s="9"/>
      <c r="KRH253" s="9"/>
      <c r="KRI253" s="9"/>
      <c r="KRJ253" s="9"/>
      <c r="KRK253" s="9"/>
      <c r="KRL253" s="9"/>
      <c r="KRM253" s="9"/>
      <c r="KRN253" s="9"/>
      <c r="KRO253" s="9"/>
      <c r="KRP253" s="9"/>
      <c r="KRQ253" s="9"/>
      <c r="KRR253" s="9"/>
      <c r="KRS253" s="9"/>
      <c r="KRT253" s="9"/>
      <c r="KRU253" s="9"/>
      <c r="KRV253" s="9"/>
      <c r="KRW253" s="9"/>
      <c r="KRX253" s="9"/>
      <c r="KRY253" s="9"/>
      <c r="KRZ253" s="9"/>
      <c r="KSA253" s="9"/>
      <c r="KSB253" s="9"/>
      <c r="KSC253" s="9"/>
      <c r="KSD253" s="9"/>
      <c r="KSE253" s="9"/>
      <c r="KSF253" s="9"/>
      <c r="KSG253" s="9"/>
      <c r="KSH253" s="9"/>
      <c r="KSI253" s="9"/>
      <c r="KSJ253" s="9"/>
      <c r="KSK253" s="9"/>
      <c r="KSL253" s="9"/>
      <c r="KSM253" s="9"/>
      <c r="KSN253" s="9"/>
      <c r="KSO253" s="9"/>
      <c r="KSP253" s="9"/>
      <c r="KSQ253" s="9"/>
      <c r="KSR253" s="9"/>
      <c r="KSS253" s="9"/>
      <c r="KST253" s="9"/>
      <c r="KSU253" s="9"/>
      <c r="KSV253" s="9"/>
      <c r="KSW253" s="9"/>
      <c r="KSX253" s="9"/>
      <c r="KSY253" s="9"/>
      <c r="KSZ253" s="9"/>
      <c r="KTA253" s="9"/>
      <c r="KTB253" s="9"/>
      <c r="KTC253" s="9"/>
      <c r="KTD253" s="9"/>
      <c r="KTE253" s="9"/>
      <c r="KTF253" s="9"/>
      <c r="KTG253" s="9"/>
      <c r="KTH253" s="9"/>
      <c r="KTI253" s="9"/>
      <c r="KTJ253" s="9"/>
      <c r="KTK253" s="9"/>
      <c r="KTL253" s="9"/>
      <c r="KTM253" s="9"/>
      <c r="KTN253" s="9"/>
      <c r="KTO253" s="9"/>
      <c r="KTP253" s="9"/>
      <c r="KTQ253" s="9"/>
      <c r="KTR253" s="9"/>
      <c r="KTS253" s="9"/>
      <c r="KTT253" s="9"/>
      <c r="KTU253" s="9"/>
      <c r="KTV253" s="9"/>
      <c r="KTW253" s="9"/>
      <c r="KTX253" s="9"/>
      <c r="KTY253" s="9"/>
      <c r="KTZ253" s="9"/>
      <c r="KUA253" s="9"/>
      <c r="KUB253" s="9"/>
      <c r="KUC253" s="9"/>
      <c r="KUD253" s="9"/>
      <c r="KUE253" s="9"/>
      <c r="KUF253" s="9"/>
      <c r="KUG253" s="9"/>
      <c r="KUH253" s="9"/>
      <c r="KUI253" s="9"/>
      <c r="KUJ253" s="9"/>
      <c r="KUK253" s="9"/>
      <c r="KUL253" s="9"/>
      <c r="KUM253" s="9"/>
      <c r="KUN253" s="9"/>
      <c r="KUO253" s="9"/>
      <c r="KUP253" s="9"/>
      <c r="KUQ253" s="9"/>
      <c r="KUR253" s="9"/>
      <c r="KUS253" s="9"/>
      <c r="KUT253" s="9"/>
      <c r="KUU253" s="9"/>
      <c r="KUV253" s="9"/>
      <c r="KUW253" s="9"/>
      <c r="KUX253" s="9"/>
      <c r="KUY253" s="9"/>
      <c r="KUZ253" s="9"/>
      <c r="KVA253" s="9"/>
      <c r="KVB253" s="9"/>
      <c r="KVC253" s="9"/>
      <c r="KVD253" s="9"/>
      <c r="KVE253" s="9"/>
      <c r="KVF253" s="9"/>
      <c r="KVG253" s="9"/>
      <c r="KVH253" s="9"/>
      <c r="KVI253" s="9"/>
      <c r="KVJ253" s="9"/>
      <c r="KVK253" s="9"/>
      <c r="KVL253" s="9"/>
      <c r="KVM253" s="9"/>
      <c r="KVN253" s="9"/>
      <c r="KVO253" s="9"/>
      <c r="KVP253" s="9"/>
      <c r="KVQ253" s="9"/>
      <c r="KVR253" s="9"/>
      <c r="KVS253" s="9"/>
      <c r="KVT253" s="9"/>
      <c r="KVU253" s="9"/>
      <c r="KVV253" s="9"/>
      <c r="KVW253" s="9"/>
      <c r="KVX253" s="9"/>
      <c r="KVY253" s="9"/>
      <c r="KVZ253" s="9"/>
      <c r="KWA253" s="9"/>
      <c r="KWB253" s="9"/>
      <c r="KWC253" s="9"/>
      <c r="KWD253" s="9"/>
      <c r="KWE253" s="9"/>
      <c r="KWF253" s="9"/>
      <c r="KWG253" s="9"/>
      <c r="KWH253" s="9"/>
      <c r="KWI253" s="9"/>
      <c r="KWJ253" s="9"/>
      <c r="KWK253" s="9"/>
      <c r="KWL253" s="9"/>
      <c r="KWM253" s="9"/>
      <c r="KWN253" s="9"/>
      <c r="KWO253" s="9"/>
      <c r="KWP253" s="9"/>
      <c r="KWQ253" s="9"/>
      <c r="KWR253" s="9"/>
      <c r="KWS253" s="9"/>
      <c r="KWT253" s="9"/>
      <c r="KWU253" s="9"/>
      <c r="KWV253" s="9"/>
      <c r="KWW253" s="9"/>
      <c r="KWX253" s="9"/>
      <c r="KWY253" s="9"/>
      <c r="KWZ253" s="9"/>
      <c r="KXA253" s="9"/>
      <c r="KXB253" s="9"/>
      <c r="KXC253" s="9"/>
      <c r="KXD253" s="9"/>
      <c r="KXE253" s="9"/>
      <c r="KXF253" s="9"/>
      <c r="KXG253" s="9"/>
      <c r="KXH253" s="9"/>
      <c r="KXI253" s="9"/>
      <c r="KXJ253" s="9"/>
      <c r="KXK253" s="9"/>
      <c r="KXL253" s="9"/>
      <c r="KXM253" s="9"/>
      <c r="KXN253" s="9"/>
      <c r="KXO253" s="9"/>
      <c r="KXP253" s="9"/>
      <c r="KXQ253" s="9"/>
      <c r="KXR253" s="9"/>
      <c r="KXS253" s="9"/>
      <c r="KXT253" s="9"/>
      <c r="KXU253" s="9"/>
      <c r="KXV253" s="9"/>
      <c r="KXW253" s="9"/>
      <c r="KXX253" s="9"/>
      <c r="KXY253" s="9"/>
      <c r="KXZ253" s="9"/>
      <c r="KYA253" s="9"/>
      <c r="KYB253" s="9"/>
      <c r="KYC253" s="9"/>
      <c r="KYD253" s="9"/>
      <c r="KYE253" s="9"/>
      <c r="KYF253" s="9"/>
      <c r="KYG253" s="9"/>
      <c r="KYH253" s="9"/>
      <c r="KYI253" s="9"/>
      <c r="KYJ253" s="9"/>
      <c r="KYK253" s="9"/>
      <c r="KYL253" s="9"/>
      <c r="KYM253" s="9"/>
      <c r="KYN253" s="9"/>
      <c r="KYO253" s="9"/>
      <c r="KYP253" s="9"/>
      <c r="KYQ253" s="9"/>
      <c r="KYR253" s="9"/>
      <c r="KYS253" s="9"/>
      <c r="KYT253" s="9"/>
      <c r="KYU253" s="9"/>
      <c r="KYV253" s="9"/>
      <c r="KYW253" s="9"/>
      <c r="KYX253" s="9"/>
      <c r="KYY253" s="9"/>
      <c r="KYZ253" s="9"/>
      <c r="KZA253" s="9"/>
      <c r="KZB253" s="9"/>
      <c r="KZC253" s="9"/>
      <c r="KZD253" s="9"/>
      <c r="KZE253" s="9"/>
      <c r="KZF253" s="9"/>
      <c r="KZG253" s="9"/>
      <c r="KZH253" s="9"/>
      <c r="KZI253" s="9"/>
      <c r="KZJ253" s="9"/>
      <c r="KZK253" s="9"/>
      <c r="KZL253" s="9"/>
      <c r="KZM253" s="9"/>
      <c r="KZN253" s="9"/>
      <c r="KZO253" s="9"/>
      <c r="KZP253" s="9"/>
      <c r="KZQ253" s="9"/>
      <c r="KZR253" s="9"/>
      <c r="KZS253" s="9"/>
      <c r="KZT253" s="9"/>
      <c r="KZU253" s="9"/>
      <c r="KZV253" s="9"/>
      <c r="KZW253" s="9"/>
      <c r="KZX253" s="9"/>
      <c r="KZY253" s="9"/>
      <c r="KZZ253" s="9"/>
      <c r="LAA253" s="9"/>
      <c r="LAB253" s="9"/>
      <c r="LAC253" s="9"/>
      <c r="LAD253" s="9"/>
      <c r="LAE253" s="9"/>
      <c r="LAF253" s="9"/>
      <c r="LAG253" s="9"/>
      <c r="LAH253" s="9"/>
      <c r="LAI253" s="9"/>
      <c r="LAJ253" s="9"/>
      <c r="LAK253" s="9"/>
      <c r="LAL253" s="9"/>
      <c r="LAM253" s="9"/>
      <c r="LAN253" s="9"/>
      <c r="LAO253" s="9"/>
      <c r="LAP253" s="9"/>
      <c r="LAQ253" s="9"/>
      <c r="LAR253" s="9"/>
      <c r="LAS253" s="9"/>
      <c r="LAT253" s="9"/>
      <c r="LAU253" s="9"/>
      <c r="LAV253" s="9"/>
      <c r="LAW253" s="9"/>
      <c r="LAX253" s="9"/>
      <c r="LAY253" s="9"/>
      <c r="LAZ253" s="9"/>
      <c r="LBA253" s="9"/>
      <c r="LBB253" s="9"/>
      <c r="LBC253" s="9"/>
      <c r="LBD253" s="9"/>
      <c r="LBE253" s="9"/>
      <c r="LBF253" s="9"/>
      <c r="LBG253" s="9"/>
      <c r="LBH253" s="9"/>
      <c r="LBI253" s="9"/>
      <c r="LBJ253" s="9"/>
      <c r="LBK253" s="9"/>
      <c r="LBL253" s="9"/>
      <c r="LBM253" s="9"/>
      <c r="LBN253" s="9"/>
      <c r="LBO253" s="9"/>
      <c r="LBP253" s="9"/>
      <c r="LBQ253" s="9"/>
      <c r="LBR253" s="9"/>
      <c r="LBS253" s="9"/>
      <c r="LBT253" s="9"/>
      <c r="LBU253" s="9"/>
      <c r="LBV253" s="9"/>
      <c r="LBW253" s="9"/>
      <c r="LBX253" s="9"/>
      <c r="LBY253" s="9"/>
      <c r="LBZ253" s="9"/>
      <c r="LCA253" s="9"/>
      <c r="LCB253" s="9"/>
      <c r="LCC253" s="9"/>
      <c r="LCD253" s="9"/>
      <c r="LCE253" s="9"/>
      <c r="LCF253" s="9"/>
      <c r="LCG253" s="9"/>
      <c r="LCH253" s="9"/>
      <c r="LCI253" s="9"/>
      <c r="LCJ253" s="9"/>
      <c r="LCK253" s="9"/>
      <c r="LCL253" s="9"/>
      <c r="LCM253" s="9"/>
      <c r="LCN253" s="9"/>
      <c r="LCO253" s="9"/>
      <c r="LCP253" s="9"/>
      <c r="LCQ253" s="9"/>
      <c r="LCR253" s="9"/>
      <c r="LCS253" s="9"/>
      <c r="LCT253" s="9"/>
      <c r="LCU253" s="9"/>
      <c r="LCV253" s="9"/>
      <c r="LCW253" s="9"/>
      <c r="LCX253" s="9"/>
      <c r="LCY253" s="9"/>
      <c r="LCZ253" s="9"/>
      <c r="LDA253" s="9"/>
      <c r="LDB253" s="9"/>
      <c r="LDC253" s="9"/>
      <c r="LDD253" s="9"/>
      <c r="LDE253" s="9"/>
      <c r="LDF253" s="9"/>
      <c r="LDG253" s="9"/>
      <c r="LDH253" s="9"/>
      <c r="LDI253" s="9"/>
      <c r="LDJ253" s="9"/>
      <c r="LDK253" s="9"/>
      <c r="LDL253" s="9"/>
      <c r="LDM253" s="9"/>
      <c r="LDN253" s="9"/>
      <c r="LDO253" s="9"/>
      <c r="LDP253" s="9"/>
      <c r="LDQ253" s="9"/>
      <c r="LDR253" s="9"/>
      <c r="LDS253" s="9"/>
      <c r="LDT253" s="9"/>
      <c r="LDU253" s="9"/>
      <c r="LDV253" s="9"/>
      <c r="LDW253" s="9"/>
      <c r="LDX253" s="9"/>
      <c r="LDY253" s="9"/>
      <c r="LDZ253" s="9"/>
      <c r="LEA253" s="9"/>
      <c r="LEB253" s="9"/>
      <c r="LEC253" s="9"/>
      <c r="LED253" s="9"/>
      <c r="LEE253" s="9"/>
      <c r="LEF253" s="9"/>
      <c r="LEG253" s="9"/>
      <c r="LEH253" s="9"/>
      <c r="LEI253" s="9"/>
      <c r="LEJ253" s="9"/>
      <c r="LEK253" s="9"/>
      <c r="LEL253" s="9"/>
      <c r="LEM253" s="9"/>
      <c r="LEN253" s="9"/>
      <c r="LEO253" s="9"/>
      <c r="LEP253" s="9"/>
      <c r="LEQ253" s="9"/>
      <c r="LER253" s="9"/>
      <c r="LES253" s="9"/>
      <c r="LET253" s="9"/>
      <c r="LEU253" s="9"/>
      <c r="LEV253" s="9"/>
      <c r="LEW253" s="9"/>
      <c r="LEX253" s="9"/>
      <c r="LEY253" s="9"/>
      <c r="LEZ253" s="9"/>
      <c r="LFA253" s="9"/>
      <c r="LFB253" s="9"/>
      <c r="LFC253" s="9"/>
      <c r="LFD253" s="9"/>
      <c r="LFE253" s="9"/>
      <c r="LFF253" s="9"/>
      <c r="LFG253" s="9"/>
      <c r="LFH253" s="9"/>
      <c r="LFI253" s="9"/>
      <c r="LFJ253" s="9"/>
      <c r="LFK253" s="9"/>
      <c r="LFL253" s="9"/>
      <c r="LFM253" s="9"/>
      <c r="LFN253" s="9"/>
      <c r="LFO253" s="9"/>
      <c r="LFP253" s="9"/>
      <c r="LFQ253" s="9"/>
      <c r="LFR253" s="9"/>
      <c r="LFS253" s="9"/>
      <c r="LFT253" s="9"/>
      <c r="LFU253" s="9"/>
      <c r="LFV253" s="9"/>
      <c r="LFW253" s="9"/>
      <c r="LFX253" s="9"/>
      <c r="LFY253" s="9"/>
      <c r="LFZ253" s="9"/>
      <c r="LGA253" s="9"/>
      <c r="LGB253" s="9"/>
      <c r="LGC253" s="9"/>
      <c r="LGD253" s="9"/>
      <c r="LGE253" s="9"/>
      <c r="LGF253" s="9"/>
      <c r="LGG253" s="9"/>
      <c r="LGH253" s="9"/>
      <c r="LGI253" s="9"/>
      <c r="LGJ253" s="9"/>
      <c r="LGK253" s="9"/>
      <c r="LGL253" s="9"/>
      <c r="LGM253" s="9"/>
      <c r="LGN253" s="9"/>
      <c r="LGO253" s="9"/>
      <c r="LGP253" s="9"/>
      <c r="LGQ253" s="9"/>
      <c r="LGR253" s="9"/>
      <c r="LGS253" s="9"/>
      <c r="LGT253" s="9"/>
      <c r="LGU253" s="9"/>
      <c r="LGV253" s="9"/>
      <c r="LGW253" s="9"/>
      <c r="LGX253" s="9"/>
      <c r="LGY253" s="9"/>
      <c r="LGZ253" s="9"/>
      <c r="LHA253" s="9"/>
      <c r="LHB253" s="9"/>
      <c r="LHC253" s="9"/>
      <c r="LHD253" s="9"/>
      <c r="LHE253" s="9"/>
      <c r="LHF253" s="9"/>
      <c r="LHG253" s="9"/>
      <c r="LHH253" s="9"/>
      <c r="LHI253" s="9"/>
      <c r="LHJ253" s="9"/>
      <c r="LHK253" s="9"/>
      <c r="LHL253" s="9"/>
      <c r="LHM253" s="9"/>
      <c r="LHN253" s="9"/>
      <c r="LHO253" s="9"/>
      <c r="LHP253" s="9"/>
      <c r="LHQ253" s="9"/>
      <c r="LHR253" s="9"/>
      <c r="LHS253" s="9"/>
      <c r="LHT253" s="9"/>
      <c r="LHU253" s="9"/>
      <c r="LHV253" s="9"/>
      <c r="LHW253" s="9"/>
      <c r="LHX253" s="9"/>
      <c r="LHY253" s="9"/>
      <c r="LHZ253" s="9"/>
      <c r="LIA253" s="9"/>
      <c r="LIB253" s="9"/>
      <c r="LIC253" s="9"/>
      <c r="LID253" s="9"/>
      <c r="LIE253" s="9"/>
      <c r="LIF253" s="9"/>
      <c r="LIG253" s="9"/>
      <c r="LIH253" s="9"/>
      <c r="LII253" s="9"/>
      <c r="LIJ253" s="9"/>
      <c r="LIK253" s="9"/>
      <c r="LIL253" s="9"/>
      <c r="LIM253" s="9"/>
      <c r="LIN253" s="9"/>
      <c r="LIO253" s="9"/>
      <c r="LIP253" s="9"/>
      <c r="LIQ253" s="9"/>
      <c r="LIR253" s="9"/>
      <c r="LIS253" s="9"/>
      <c r="LIT253" s="9"/>
      <c r="LIU253" s="9"/>
      <c r="LIV253" s="9"/>
      <c r="LIW253" s="9"/>
      <c r="LIX253" s="9"/>
      <c r="LIY253" s="9"/>
      <c r="LIZ253" s="9"/>
      <c r="LJA253" s="9"/>
      <c r="LJB253" s="9"/>
      <c r="LJC253" s="9"/>
      <c r="LJD253" s="9"/>
      <c r="LJE253" s="9"/>
      <c r="LJF253" s="9"/>
      <c r="LJG253" s="9"/>
      <c r="LJH253" s="9"/>
      <c r="LJI253" s="9"/>
      <c r="LJJ253" s="9"/>
      <c r="LJK253" s="9"/>
      <c r="LJL253" s="9"/>
      <c r="LJM253" s="9"/>
      <c r="LJN253" s="9"/>
      <c r="LJO253" s="9"/>
      <c r="LJP253" s="9"/>
      <c r="LJQ253" s="9"/>
      <c r="LJR253" s="9"/>
      <c r="LJS253" s="9"/>
      <c r="LJT253" s="9"/>
      <c r="LJU253" s="9"/>
      <c r="LJV253" s="9"/>
      <c r="LJW253" s="9"/>
      <c r="LJX253" s="9"/>
      <c r="LJY253" s="9"/>
      <c r="LJZ253" s="9"/>
      <c r="LKA253" s="9"/>
      <c r="LKB253" s="9"/>
      <c r="LKC253" s="9"/>
      <c r="LKD253" s="9"/>
      <c r="LKE253" s="9"/>
      <c r="LKF253" s="9"/>
      <c r="LKG253" s="9"/>
      <c r="LKH253" s="9"/>
      <c r="LKI253" s="9"/>
      <c r="LKJ253" s="9"/>
      <c r="LKK253" s="9"/>
      <c r="LKL253" s="9"/>
      <c r="LKM253" s="9"/>
      <c r="LKN253" s="9"/>
      <c r="LKO253" s="9"/>
      <c r="LKP253" s="9"/>
      <c r="LKQ253" s="9"/>
      <c r="LKR253" s="9"/>
      <c r="LKS253" s="9"/>
      <c r="LKT253" s="9"/>
      <c r="LKU253" s="9"/>
      <c r="LKV253" s="9"/>
      <c r="LKW253" s="9"/>
      <c r="LKX253" s="9"/>
      <c r="LKY253" s="9"/>
      <c r="LKZ253" s="9"/>
      <c r="LLA253" s="9"/>
      <c r="LLB253" s="9"/>
      <c r="LLC253" s="9"/>
      <c r="LLD253" s="9"/>
      <c r="LLE253" s="9"/>
      <c r="LLF253" s="9"/>
      <c r="LLG253" s="9"/>
      <c r="LLH253" s="9"/>
      <c r="LLI253" s="9"/>
      <c r="LLJ253" s="9"/>
      <c r="LLK253" s="9"/>
      <c r="LLL253" s="9"/>
      <c r="LLM253" s="9"/>
      <c r="LLN253" s="9"/>
      <c r="LLO253" s="9"/>
      <c r="LLP253" s="9"/>
      <c r="LLQ253" s="9"/>
      <c r="LLR253" s="9"/>
      <c r="LLS253" s="9"/>
      <c r="LLT253" s="9"/>
      <c r="LLU253" s="9"/>
      <c r="LLV253" s="9"/>
      <c r="LLW253" s="9"/>
      <c r="LLX253" s="9"/>
      <c r="LLY253" s="9"/>
      <c r="LLZ253" s="9"/>
      <c r="LMA253" s="9"/>
      <c r="LMB253" s="9"/>
      <c r="LMC253" s="9"/>
      <c r="LMD253" s="9"/>
      <c r="LME253" s="9"/>
      <c r="LMF253" s="9"/>
      <c r="LMG253" s="9"/>
      <c r="LMH253" s="9"/>
      <c r="LMI253" s="9"/>
      <c r="LMJ253" s="9"/>
      <c r="LMK253" s="9"/>
      <c r="LML253" s="9"/>
      <c r="LMM253" s="9"/>
      <c r="LMN253" s="9"/>
      <c r="LMO253" s="9"/>
      <c r="LMP253" s="9"/>
      <c r="LMQ253" s="9"/>
      <c r="LMR253" s="9"/>
      <c r="LMS253" s="9"/>
      <c r="LMT253" s="9"/>
      <c r="LMU253" s="9"/>
      <c r="LMV253" s="9"/>
      <c r="LMW253" s="9"/>
      <c r="LMX253" s="9"/>
      <c r="LMY253" s="9"/>
      <c r="LMZ253" s="9"/>
      <c r="LNA253" s="9"/>
      <c r="LNB253" s="9"/>
      <c r="LNC253" s="9"/>
      <c r="LND253" s="9"/>
      <c r="LNE253" s="9"/>
      <c r="LNF253" s="9"/>
      <c r="LNG253" s="9"/>
      <c r="LNH253" s="9"/>
      <c r="LNI253" s="9"/>
      <c r="LNJ253" s="9"/>
      <c r="LNK253" s="9"/>
      <c r="LNL253" s="9"/>
      <c r="LNM253" s="9"/>
      <c r="LNN253" s="9"/>
      <c r="LNO253" s="9"/>
      <c r="LNP253" s="9"/>
      <c r="LNQ253" s="9"/>
      <c r="LNR253" s="9"/>
      <c r="LNS253" s="9"/>
      <c r="LNT253" s="9"/>
      <c r="LNU253" s="9"/>
      <c r="LNV253" s="9"/>
      <c r="LNW253" s="9"/>
      <c r="LNX253" s="9"/>
      <c r="LNY253" s="9"/>
      <c r="LNZ253" s="9"/>
      <c r="LOA253" s="9"/>
      <c r="LOB253" s="9"/>
      <c r="LOC253" s="9"/>
      <c r="LOD253" s="9"/>
      <c r="LOE253" s="9"/>
      <c r="LOF253" s="9"/>
      <c r="LOG253" s="9"/>
      <c r="LOH253" s="9"/>
      <c r="LOI253" s="9"/>
      <c r="LOJ253" s="9"/>
      <c r="LOK253" s="9"/>
      <c r="LOL253" s="9"/>
      <c r="LOM253" s="9"/>
      <c r="LON253" s="9"/>
      <c r="LOO253" s="9"/>
      <c r="LOP253" s="9"/>
      <c r="LOQ253" s="9"/>
      <c r="LOR253" s="9"/>
      <c r="LOS253" s="9"/>
      <c r="LOT253" s="9"/>
      <c r="LOU253" s="9"/>
      <c r="LOV253" s="9"/>
      <c r="LOW253" s="9"/>
      <c r="LOX253" s="9"/>
      <c r="LOY253" s="9"/>
      <c r="LOZ253" s="9"/>
      <c r="LPA253" s="9"/>
      <c r="LPB253" s="9"/>
      <c r="LPC253" s="9"/>
      <c r="LPD253" s="9"/>
      <c r="LPE253" s="9"/>
      <c r="LPF253" s="9"/>
      <c r="LPG253" s="9"/>
      <c r="LPH253" s="9"/>
      <c r="LPI253" s="9"/>
      <c r="LPJ253" s="9"/>
      <c r="LPK253" s="9"/>
      <c r="LPL253" s="9"/>
      <c r="LPM253" s="9"/>
      <c r="LPN253" s="9"/>
      <c r="LPO253" s="9"/>
      <c r="LPP253" s="9"/>
      <c r="LPQ253" s="9"/>
      <c r="LPR253" s="9"/>
      <c r="LPS253" s="9"/>
      <c r="LPT253" s="9"/>
      <c r="LPU253" s="9"/>
      <c r="LPV253" s="9"/>
      <c r="LPW253" s="9"/>
      <c r="LPX253" s="9"/>
      <c r="LPY253" s="9"/>
      <c r="LPZ253" s="9"/>
      <c r="LQA253" s="9"/>
      <c r="LQB253" s="9"/>
      <c r="LQC253" s="9"/>
      <c r="LQD253" s="9"/>
      <c r="LQE253" s="9"/>
      <c r="LQF253" s="9"/>
      <c r="LQG253" s="9"/>
      <c r="LQH253" s="9"/>
      <c r="LQI253" s="9"/>
      <c r="LQJ253" s="9"/>
      <c r="LQK253" s="9"/>
      <c r="LQL253" s="9"/>
      <c r="LQM253" s="9"/>
      <c r="LQN253" s="9"/>
      <c r="LQO253" s="9"/>
      <c r="LQP253" s="9"/>
      <c r="LQQ253" s="9"/>
      <c r="LQR253" s="9"/>
      <c r="LQS253" s="9"/>
      <c r="LQT253" s="9"/>
      <c r="LQU253" s="9"/>
      <c r="LQV253" s="9"/>
      <c r="LQW253" s="9"/>
      <c r="LQX253" s="9"/>
      <c r="LQY253" s="9"/>
      <c r="LQZ253" s="9"/>
      <c r="LRA253" s="9"/>
      <c r="LRB253" s="9"/>
      <c r="LRC253" s="9"/>
      <c r="LRD253" s="9"/>
      <c r="LRE253" s="9"/>
      <c r="LRF253" s="9"/>
      <c r="LRG253" s="9"/>
      <c r="LRH253" s="9"/>
      <c r="LRI253" s="9"/>
      <c r="LRJ253" s="9"/>
      <c r="LRK253" s="9"/>
      <c r="LRL253" s="9"/>
      <c r="LRM253" s="9"/>
      <c r="LRN253" s="9"/>
      <c r="LRO253" s="9"/>
      <c r="LRP253" s="9"/>
      <c r="LRQ253" s="9"/>
      <c r="LRR253" s="9"/>
      <c r="LRS253" s="9"/>
      <c r="LRT253" s="9"/>
      <c r="LRU253" s="9"/>
      <c r="LRV253" s="9"/>
      <c r="LRW253" s="9"/>
      <c r="LRX253" s="9"/>
      <c r="LRY253" s="9"/>
      <c r="LRZ253" s="9"/>
      <c r="LSA253" s="9"/>
      <c r="LSB253" s="9"/>
      <c r="LSC253" s="9"/>
      <c r="LSD253" s="9"/>
      <c r="LSE253" s="9"/>
      <c r="LSF253" s="9"/>
      <c r="LSG253" s="9"/>
      <c r="LSH253" s="9"/>
      <c r="LSI253" s="9"/>
      <c r="LSJ253" s="9"/>
      <c r="LSK253" s="9"/>
      <c r="LSL253" s="9"/>
      <c r="LSM253" s="9"/>
      <c r="LSN253" s="9"/>
      <c r="LSO253" s="9"/>
      <c r="LSP253" s="9"/>
      <c r="LSQ253" s="9"/>
      <c r="LSR253" s="9"/>
      <c r="LSS253" s="9"/>
      <c r="LST253" s="9"/>
      <c r="LSU253" s="9"/>
      <c r="LSV253" s="9"/>
      <c r="LSW253" s="9"/>
      <c r="LSX253" s="9"/>
      <c r="LSY253" s="9"/>
      <c r="LSZ253" s="9"/>
      <c r="LTA253" s="9"/>
      <c r="LTB253" s="9"/>
      <c r="LTC253" s="9"/>
      <c r="LTD253" s="9"/>
      <c r="LTE253" s="9"/>
      <c r="LTF253" s="9"/>
      <c r="LTG253" s="9"/>
      <c r="LTH253" s="9"/>
      <c r="LTI253" s="9"/>
      <c r="LTJ253" s="9"/>
      <c r="LTK253" s="9"/>
      <c r="LTL253" s="9"/>
      <c r="LTM253" s="9"/>
      <c r="LTN253" s="9"/>
      <c r="LTO253" s="9"/>
      <c r="LTP253" s="9"/>
      <c r="LTQ253" s="9"/>
      <c r="LTR253" s="9"/>
      <c r="LTS253" s="9"/>
      <c r="LTT253" s="9"/>
      <c r="LTU253" s="9"/>
      <c r="LTV253" s="9"/>
      <c r="LTW253" s="9"/>
      <c r="LTX253" s="9"/>
      <c r="LTY253" s="9"/>
      <c r="LTZ253" s="9"/>
      <c r="LUA253" s="9"/>
      <c r="LUB253" s="9"/>
      <c r="LUC253" s="9"/>
      <c r="LUD253" s="9"/>
      <c r="LUE253" s="9"/>
      <c r="LUF253" s="9"/>
      <c r="LUG253" s="9"/>
      <c r="LUH253" s="9"/>
      <c r="LUI253" s="9"/>
      <c r="LUJ253" s="9"/>
      <c r="LUK253" s="9"/>
      <c r="LUL253" s="9"/>
      <c r="LUM253" s="9"/>
      <c r="LUN253" s="9"/>
      <c r="LUO253" s="9"/>
      <c r="LUP253" s="9"/>
      <c r="LUQ253" s="9"/>
      <c r="LUR253" s="9"/>
      <c r="LUS253" s="9"/>
      <c r="LUT253" s="9"/>
      <c r="LUU253" s="9"/>
      <c r="LUV253" s="9"/>
      <c r="LUW253" s="9"/>
      <c r="LUX253" s="9"/>
      <c r="LUY253" s="9"/>
      <c r="LUZ253" s="9"/>
      <c r="LVA253" s="9"/>
      <c r="LVB253" s="9"/>
      <c r="LVC253" s="9"/>
      <c r="LVD253" s="9"/>
      <c r="LVE253" s="9"/>
      <c r="LVF253" s="9"/>
      <c r="LVG253" s="9"/>
      <c r="LVH253" s="9"/>
      <c r="LVI253" s="9"/>
      <c r="LVJ253" s="9"/>
      <c r="LVK253" s="9"/>
      <c r="LVL253" s="9"/>
      <c r="LVM253" s="9"/>
      <c r="LVN253" s="9"/>
      <c r="LVO253" s="9"/>
      <c r="LVP253" s="9"/>
      <c r="LVQ253" s="9"/>
      <c r="LVR253" s="9"/>
      <c r="LVS253" s="9"/>
      <c r="LVT253" s="9"/>
      <c r="LVU253" s="9"/>
      <c r="LVV253" s="9"/>
      <c r="LVW253" s="9"/>
      <c r="LVX253" s="9"/>
      <c r="LVY253" s="9"/>
      <c r="LVZ253" s="9"/>
      <c r="LWA253" s="9"/>
      <c r="LWB253" s="9"/>
      <c r="LWC253" s="9"/>
      <c r="LWD253" s="9"/>
      <c r="LWE253" s="9"/>
      <c r="LWF253" s="9"/>
      <c r="LWG253" s="9"/>
      <c r="LWH253" s="9"/>
      <c r="LWI253" s="9"/>
      <c r="LWJ253" s="9"/>
      <c r="LWK253" s="9"/>
      <c r="LWL253" s="9"/>
      <c r="LWM253" s="9"/>
      <c r="LWN253" s="9"/>
      <c r="LWO253" s="9"/>
      <c r="LWP253" s="9"/>
      <c r="LWQ253" s="9"/>
      <c r="LWR253" s="9"/>
      <c r="LWS253" s="9"/>
      <c r="LWT253" s="9"/>
      <c r="LWU253" s="9"/>
      <c r="LWV253" s="9"/>
      <c r="LWW253" s="9"/>
      <c r="LWX253" s="9"/>
      <c r="LWY253" s="9"/>
      <c r="LWZ253" s="9"/>
      <c r="LXA253" s="9"/>
      <c r="LXB253" s="9"/>
      <c r="LXC253" s="9"/>
      <c r="LXD253" s="9"/>
      <c r="LXE253" s="9"/>
      <c r="LXF253" s="9"/>
      <c r="LXG253" s="9"/>
      <c r="LXH253" s="9"/>
      <c r="LXI253" s="9"/>
      <c r="LXJ253" s="9"/>
      <c r="LXK253" s="9"/>
      <c r="LXL253" s="9"/>
      <c r="LXM253" s="9"/>
      <c r="LXN253" s="9"/>
      <c r="LXO253" s="9"/>
      <c r="LXP253" s="9"/>
      <c r="LXQ253" s="9"/>
      <c r="LXR253" s="9"/>
      <c r="LXS253" s="9"/>
      <c r="LXT253" s="9"/>
      <c r="LXU253" s="9"/>
      <c r="LXV253" s="9"/>
      <c r="LXW253" s="9"/>
      <c r="LXX253" s="9"/>
      <c r="LXY253" s="9"/>
      <c r="LXZ253" s="9"/>
      <c r="LYA253" s="9"/>
      <c r="LYB253" s="9"/>
      <c r="LYC253" s="9"/>
      <c r="LYD253" s="9"/>
      <c r="LYE253" s="9"/>
      <c r="LYF253" s="9"/>
      <c r="LYG253" s="9"/>
      <c r="LYH253" s="9"/>
      <c r="LYI253" s="9"/>
      <c r="LYJ253" s="9"/>
      <c r="LYK253" s="9"/>
      <c r="LYL253" s="9"/>
      <c r="LYM253" s="9"/>
      <c r="LYN253" s="9"/>
      <c r="LYO253" s="9"/>
      <c r="LYP253" s="9"/>
      <c r="LYQ253" s="9"/>
      <c r="LYR253" s="9"/>
      <c r="LYS253" s="9"/>
      <c r="LYT253" s="9"/>
      <c r="LYU253" s="9"/>
      <c r="LYV253" s="9"/>
      <c r="LYW253" s="9"/>
      <c r="LYX253" s="9"/>
      <c r="LYY253" s="9"/>
      <c r="LYZ253" s="9"/>
      <c r="LZA253" s="9"/>
      <c r="LZB253" s="9"/>
      <c r="LZC253" s="9"/>
      <c r="LZD253" s="9"/>
      <c r="LZE253" s="9"/>
      <c r="LZF253" s="9"/>
      <c r="LZG253" s="9"/>
      <c r="LZH253" s="9"/>
      <c r="LZI253" s="9"/>
      <c r="LZJ253" s="9"/>
      <c r="LZK253" s="9"/>
      <c r="LZL253" s="9"/>
      <c r="LZM253" s="9"/>
      <c r="LZN253" s="9"/>
      <c r="LZO253" s="9"/>
      <c r="LZP253" s="9"/>
      <c r="LZQ253" s="9"/>
      <c r="LZR253" s="9"/>
      <c r="LZS253" s="9"/>
      <c r="LZT253" s="9"/>
      <c r="LZU253" s="9"/>
      <c r="LZV253" s="9"/>
      <c r="LZW253" s="9"/>
      <c r="LZX253" s="9"/>
      <c r="LZY253" s="9"/>
      <c r="LZZ253" s="9"/>
      <c r="MAA253" s="9"/>
      <c r="MAB253" s="9"/>
      <c r="MAC253" s="9"/>
      <c r="MAD253" s="9"/>
      <c r="MAE253" s="9"/>
      <c r="MAF253" s="9"/>
      <c r="MAG253" s="9"/>
      <c r="MAH253" s="9"/>
      <c r="MAI253" s="9"/>
      <c r="MAJ253" s="9"/>
      <c r="MAK253" s="9"/>
      <c r="MAL253" s="9"/>
      <c r="MAM253" s="9"/>
      <c r="MAN253" s="9"/>
      <c r="MAO253" s="9"/>
      <c r="MAP253" s="9"/>
      <c r="MAQ253" s="9"/>
      <c r="MAR253" s="9"/>
      <c r="MAS253" s="9"/>
      <c r="MAT253" s="9"/>
      <c r="MAU253" s="9"/>
      <c r="MAV253" s="9"/>
      <c r="MAW253" s="9"/>
      <c r="MAX253" s="9"/>
      <c r="MAY253" s="9"/>
      <c r="MAZ253" s="9"/>
      <c r="MBA253" s="9"/>
      <c r="MBB253" s="9"/>
      <c r="MBC253" s="9"/>
      <c r="MBD253" s="9"/>
      <c r="MBE253" s="9"/>
      <c r="MBF253" s="9"/>
      <c r="MBG253" s="9"/>
      <c r="MBH253" s="9"/>
      <c r="MBI253" s="9"/>
      <c r="MBJ253" s="9"/>
      <c r="MBK253" s="9"/>
      <c r="MBL253" s="9"/>
      <c r="MBM253" s="9"/>
      <c r="MBN253" s="9"/>
      <c r="MBO253" s="9"/>
      <c r="MBP253" s="9"/>
      <c r="MBQ253" s="9"/>
      <c r="MBR253" s="9"/>
      <c r="MBS253" s="9"/>
      <c r="MBT253" s="9"/>
      <c r="MBU253" s="9"/>
      <c r="MBV253" s="9"/>
      <c r="MBW253" s="9"/>
      <c r="MBX253" s="9"/>
      <c r="MBY253" s="9"/>
      <c r="MBZ253" s="9"/>
      <c r="MCA253" s="9"/>
      <c r="MCB253" s="9"/>
      <c r="MCC253" s="9"/>
      <c r="MCD253" s="9"/>
      <c r="MCE253" s="9"/>
      <c r="MCF253" s="9"/>
      <c r="MCG253" s="9"/>
      <c r="MCH253" s="9"/>
      <c r="MCI253" s="9"/>
      <c r="MCJ253" s="9"/>
      <c r="MCK253" s="9"/>
      <c r="MCL253" s="9"/>
      <c r="MCM253" s="9"/>
      <c r="MCN253" s="9"/>
      <c r="MCO253" s="9"/>
      <c r="MCP253" s="9"/>
      <c r="MCQ253" s="9"/>
      <c r="MCR253" s="9"/>
      <c r="MCS253" s="9"/>
      <c r="MCT253" s="9"/>
      <c r="MCU253" s="9"/>
      <c r="MCV253" s="9"/>
      <c r="MCW253" s="9"/>
      <c r="MCX253" s="9"/>
      <c r="MCY253" s="9"/>
      <c r="MCZ253" s="9"/>
      <c r="MDA253" s="9"/>
      <c r="MDB253" s="9"/>
      <c r="MDC253" s="9"/>
      <c r="MDD253" s="9"/>
      <c r="MDE253" s="9"/>
      <c r="MDF253" s="9"/>
      <c r="MDG253" s="9"/>
      <c r="MDH253" s="9"/>
      <c r="MDI253" s="9"/>
      <c r="MDJ253" s="9"/>
      <c r="MDK253" s="9"/>
      <c r="MDL253" s="9"/>
      <c r="MDM253" s="9"/>
      <c r="MDN253" s="9"/>
      <c r="MDO253" s="9"/>
      <c r="MDP253" s="9"/>
      <c r="MDQ253" s="9"/>
      <c r="MDR253" s="9"/>
      <c r="MDS253" s="9"/>
      <c r="MDT253" s="9"/>
      <c r="MDU253" s="9"/>
      <c r="MDV253" s="9"/>
      <c r="MDW253" s="9"/>
      <c r="MDX253" s="9"/>
      <c r="MDY253" s="9"/>
      <c r="MDZ253" s="9"/>
      <c r="MEA253" s="9"/>
      <c r="MEB253" s="9"/>
      <c r="MEC253" s="9"/>
      <c r="MED253" s="9"/>
      <c r="MEE253" s="9"/>
      <c r="MEF253" s="9"/>
      <c r="MEG253" s="9"/>
      <c r="MEH253" s="9"/>
      <c r="MEI253" s="9"/>
      <c r="MEJ253" s="9"/>
      <c r="MEK253" s="9"/>
      <c r="MEL253" s="9"/>
      <c r="MEM253" s="9"/>
      <c r="MEN253" s="9"/>
      <c r="MEO253" s="9"/>
      <c r="MEP253" s="9"/>
      <c r="MEQ253" s="9"/>
      <c r="MER253" s="9"/>
      <c r="MES253" s="9"/>
      <c r="MET253" s="9"/>
      <c r="MEU253" s="9"/>
      <c r="MEV253" s="9"/>
      <c r="MEW253" s="9"/>
      <c r="MEX253" s="9"/>
      <c r="MEY253" s="9"/>
      <c r="MEZ253" s="9"/>
      <c r="MFA253" s="9"/>
      <c r="MFB253" s="9"/>
      <c r="MFC253" s="9"/>
      <c r="MFD253" s="9"/>
      <c r="MFE253" s="9"/>
      <c r="MFF253" s="9"/>
      <c r="MFG253" s="9"/>
      <c r="MFH253" s="9"/>
      <c r="MFI253" s="9"/>
      <c r="MFJ253" s="9"/>
      <c r="MFK253" s="9"/>
      <c r="MFL253" s="9"/>
      <c r="MFM253" s="9"/>
      <c r="MFN253" s="9"/>
      <c r="MFO253" s="9"/>
      <c r="MFP253" s="9"/>
      <c r="MFQ253" s="9"/>
      <c r="MFR253" s="9"/>
      <c r="MFS253" s="9"/>
      <c r="MFT253" s="9"/>
      <c r="MFU253" s="9"/>
      <c r="MFV253" s="9"/>
      <c r="MFW253" s="9"/>
      <c r="MFX253" s="9"/>
      <c r="MFY253" s="9"/>
      <c r="MFZ253" s="9"/>
      <c r="MGA253" s="9"/>
      <c r="MGB253" s="9"/>
      <c r="MGC253" s="9"/>
      <c r="MGD253" s="9"/>
      <c r="MGE253" s="9"/>
      <c r="MGF253" s="9"/>
      <c r="MGG253" s="9"/>
      <c r="MGH253" s="9"/>
      <c r="MGI253" s="9"/>
      <c r="MGJ253" s="9"/>
      <c r="MGK253" s="9"/>
      <c r="MGL253" s="9"/>
      <c r="MGM253" s="9"/>
      <c r="MGN253" s="9"/>
      <c r="MGO253" s="9"/>
      <c r="MGP253" s="9"/>
      <c r="MGQ253" s="9"/>
      <c r="MGR253" s="9"/>
      <c r="MGS253" s="9"/>
      <c r="MGT253" s="9"/>
      <c r="MGU253" s="9"/>
      <c r="MGV253" s="9"/>
      <c r="MGW253" s="9"/>
      <c r="MGX253" s="9"/>
      <c r="MGY253" s="9"/>
      <c r="MGZ253" s="9"/>
      <c r="MHA253" s="9"/>
      <c r="MHB253" s="9"/>
      <c r="MHC253" s="9"/>
      <c r="MHD253" s="9"/>
      <c r="MHE253" s="9"/>
      <c r="MHF253" s="9"/>
      <c r="MHG253" s="9"/>
      <c r="MHH253" s="9"/>
      <c r="MHI253" s="9"/>
      <c r="MHJ253" s="9"/>
      <c r="MHK253" s="9"/>
      <c r="MHL253" s="9"/>
      <c r="MHM253" s="9"/>
      <c r="MHN253" s="9"/>
      <c r="MHO253" s="9"/>
      <c r="MHP253" s="9"/>
      <c r="MHQ253" s="9"/>
      <c r="MHR253" s="9"/>
      <c r="MHS253" s="9"/>
      <c r="MHT253" s="9"/>
      <c r="MHU253" s="9"/>
      <c r="MHV253" s="9"/>
      <c r="MHW253" s="9"/>
      <c r="MHX253" s="9"/>
      <c r="MHY253" s="9"/>
      <c r="MHZ253" s="9"/>
      <c r="MIA253" s="9"/>
      <c r="MIB253" s="9"/>
      <c r="MIC253" s="9"/>
      <c r="MID253" s="9"/>
      <c r="MIE253" s="9"/>
      <c r="MIF253" s="9"/>
      <c r="MIG253" s="9"/>
      <c r="MIH253" s="9"/>
      <c r="MII253" s="9"/>
      <c r="MIJ253" s="9"/>
      <c r="MIK253" s="9"/>
      <c r="MIL253" s="9"/>
      <c r="MIM253" s="9"/>
      <c r="MIN253" s="9"/>
      <c r="MIO253" s="9"/>
      <c r="MIP253" s="9"/>
      <c r="MIQ253" s="9"/>
      <c r="MIR253" s="9"/>
      <c r="MIS253" s="9"/>
      <c r="MIT253" s="9"/>
      <c r="MIU253" s="9"/>
      <c r="MIV253" s="9"/>
      <c r="MIW253" s="9"/>
      <c r="MIX253" s="9"/>
      <c r="MIY253" s="9"/>
      <c r="MIZ253" s="9"/>
      <c r="MJA253" s="9"/>
      <c r="MJB253" s="9"/>
      <c r="MJC253" s="9"/>
      <c r="MJD253" s="9"/>
      <c r="MJE253" s="9"/>
      <c r="MJF253" s="9"/>
      <c r="MJG253" s="9"/>
      <c r="MJH253" s="9"/>
      <c r="MJI253" s="9"/>
      <c r="MJJ253" s="9"/>
      <c r="MJK253" s="9"/>
      <c r="MJL253" s="9"/>
      <c r="MJM253" s="9"/>
      <c r="MJN253" s="9"/>
      <c r="MJO253" s="9"/>
      <c r="MJP253" s="9"/>
      <c r="MJQ253" s="9"/>
      <c r="MJR253" s="9"/>
      <c r="MJS253" s="9"/>
      <c r="MJT253" s="9"/>
      <c r="MJU253" s="9"/>
      <c r="MJV253" s="9"/>
      <c r="MJW253" s="9"/>
      <c r="MJX253" s="9"/>
      <c r="MJY253" s="9"/>
      <c r="MJZ253" s="9"/>
      <c r="MKA253" s="9"/>
      <c r="MKB253" s="9"/>
      <c r="MKC253" s="9"/>
      <c r="MKD253" s="9"/>
      <c r="MKE253" s="9"/>
      <c r="MKF253" s="9"/>
      <c r="MKG253" s="9"/>
      <c r="MKH253" s="9"/>
      <c r="MKI253" s="9"/>
      <c r="MKJ253" s="9"/>
      <c r="MKK253" s="9"/>
      <c r="MKL253" s="9"/>
      <c r="MKM253" s="9"/>
      <c r="MKN253" s="9"/>
      <c r="MKO253" s="9"/>
      <c r="MKP253" s="9"/>
      <c r="MKQ253" s="9"/>
      <c r="MKR253" s="9"/>
      <c r="MKS253" s="9"/>
      <c r="MKT253" s="9"/>
      <c r="MKU253" s="9"/>
      <c r="MKV253" s="9"/>
      <c r="MKW253" s="9"/>
      <c r="MKX253" s="9"/>
      <c r="MKY253" s="9"/>
      <c r="MKZ253" s="9"/>
      <c r="MLA253" s="9"/>
      <c r="MLB253" s="9"/>
      <c r="MLC253" s="9"/>
      <c r="MLD253" s="9"/>
      <c r="MLE253" s="9"/>
      <c r="MLF253" s="9"/>
      <c r="MLG253" s="9"/>
      <c r="MLH253" s="9"/>
      <c r="MLI253" s="9"/>
      <c r="MLJ253" s="9"/>
      <c r="MLK253" s="9"/>
      <c r="MLL253" s="9"/>
      <c r="MLM253" s="9"/>
      <c r="MLN253" s="9"/>
      <c r="MLO253" s="9"/>
      <c r="MLP253" s="9"/>
      <c r="MLQ253" s="9"/>
      <c r="MLR253" s="9"/>
      <c r="MLS253" s="9"/>
      <c r="MLT253" s="9"/>
      <c r="MLU253" s="9"/>
      <c r="MLV253" s="9"/>
      <c r="MLW253" s="9"/>
      <c r="MLX253" s="9"/>
      <c r="MLY253" s="9"/>
      <c r="MLZ253" s="9"/>
      <c r="MMA253" s="9"/>
      <c r="MMB253" s="9"/>
      <c r="MMC253" s="9"/>
      <c r="MMD253" s="9"/>
      <c r="MME253" s="9"/>
      <c r="MMF253" s="9"/>
      <c r="MMG253" s="9"/>
      <c r="MMH253" s="9"/>
      <c r="MMI253" s="9"/>
      <c r="MMJ253" s="9"/>
      <c r="MMK253" s="9"/>
      <c r="MML253" s="9"/>
      <c r="MMM253" s="9"/>
      <c r="MMN253" s="9"/>
      <c r="MMO253" s="9"/>
      <c r="MMP253" s="9"/>
      <c r="MMQ253" s="9"/>
      <c r="MMR253" s="9"/>
      <c r="MMS253" s="9"/>
      <c r="MMT253" s="9"/>
      <c r="MMU253" s="9"/>
      <c r="MMV253" s="9"/>
      <c r="MMW253" s="9"/>
      <c r="MMX253" s="9"/>
      <c r="MMY253" s="9"/>
      <c r="MMZ253" s="9"/>
      <c r="MNA253" s="9"/>
      <c r="MNB253" s="9"/>
      <c r="MNC253" s="9"/>
      <c r="MND253" s="9"/>
      <c r="MNE253" s="9"/>
      <c r="MNF253" s="9"/>
      <c r="MNG253" s="9"/>
      <c r="MNH253" s="9"/>
      <c r="MNI253" s="9"/>
      <c r="MNJ253" s="9"/>
      <c r="MNK253" s="9"/>
      <c r="MNL253" s="9"/>
      <c r="MNM253" s="9"/>
      <c r="MNN253" s="9"/>
      <c r="MNO253" s="9"/>
      <c r="MNP253" s="9"/>
      <c r="MNQ253" s="9"/>
      <c r="MNR253" s="9"/>
      <c r="MNS253" s="9"/>
      <c r="MNT253" s="9"/>
      <c r="MNU253" s="9"/>
      <c r="MNV253" s="9"/>
      <c r="MNW253" s="9"/>
      <c r="MNX253" s="9"/>
      <c r="MNY253" s="9"/>
      <c r="MNZ253" s="9"/>
      <c r="MOA253" s="9"/>
      <c r="MOB253" s="9"/>
      <c r="MOC253" s="9"/>
      <c r="MOD253" s="9"/>
      <c r="MOE253" s="9"/>
      <c r="MOF253" s="9"/>
      <c r="MOG253" s="9"/>
      <c r="MOH253" s="9"/>
      <c r="MOI253" s="9"/>
      <c r="MOJ253" s="9"/>
      <c r="MOK253" s="9"/>
      <c r="MOL253" s="9"/>
      <c r="MOM253" s="9"/>
      <c r="MON253" s="9"/>
      <c r="MOO253" s="9"/>
      <c r="MOP253" s="9"/>
      <c r="MOQ253" s="9"/>
      <c r="MOR253" s="9"/>
      <c r="MOS253" s="9"/>
      <c r="MOT253" s="9"/>
      <c r="MOU253" s="9"/>
      <c r="MOV253" s="9"/>
      <c r="MOW253" s="9"/>
      <c r="MOX253" s="9"/>
      <c r="MOY253" s="9"/>
      <c r="MOZ253" s="9"/>
      <c r="MPA253" s="9"/>
      <c r="MPB253" s="9"/>
      <c r="MPC253" s="9"/>
      <c r="MPD253" s="9"/>
      <c r="MPE253" s="9"/>
      <c r="MPF253" s="9"/>
      <c r="MPG253" s="9"/>
      <c r="MPH253" s="9"/>
      <c r="MPI253" s="9"/>
      <c r="MPJ253" s="9"/>
      <c r="MPK253" s="9"/>
      <c r="MPL253" s="9"/>
      <c r="MPM253" s="9"/>
      <c r="MPN253" s="9"/>
      <c r="MPO253" s="9"/>
      <c r="MPP253" s="9"/>
      <c r="MPQ253" s="9"/>
      <c r="MPR253" s="9"/>
      <c r="MPS253" s="9"/>
      <c r="MPT253" s="9"/>
      <c r="MPU253" s="9"/>
      <c r="MPV253" s="9"/>
      <c r="MPW253" s="9"/>
      <c r="MPX253" s="9"/>
      <c r="MPY253" s="9"/>
      <c r="MPZ253" s="9"/>
      <c r="MQA253" s="9"/>
      <c r="MQB253" s="9"/>
      <c r="MQC253" s="9"/>
      <c r="MQD253" s="9"/>
      <c r="MQE253" s="9"/>
      <c r="MQF253" s="9"/>
      <c r="MQG253" s="9"/>
      <c r="MQH253" s="9"/>
      <c r="MQI253" s="9"/>
      <c r="MQJ253" s="9"/>
      <c r="MQK253" s="9"/>
      <c r="MQL253" s="9"/>
      <c r="MQM253" s="9"/>
      <c r="MQN253" s="9"/>
      <c r="MQO253" s="9"/>
      <c r="MQP253" s="9"/>
      <c r="MQQ253" s="9"/>
      <c r="MQR253" s="9"/>
      <c r="MQS253" s="9"/>
      <c r="MQT253" s="9"/>
      <c r="MQU253" s="9"/>
      <c r="MQV253" s="9"/>
      <c r="MQW253" s="9"/>
      <c r="MQX253" s="9"/>
      <c r="MQY253" s="9"/>
      <c r="MQZ253" s="9"/>
      <c r="MRA253" s="9"/>
      <c r="MRB253" s="9"/>
      <c r="MRC253" s="9"/>
      <c r="MRD253" s="9"/>
      <c r="MRE253" s="9"/>
      <c r="MRF253" s="9"/>
      <c r="MRG253" s="9"/>
      <c r="MRH253" s="9"/>
      <c r="MRI253" s="9"/>
      <c r="MRJ253" s="9"/>
      <c r="MRK253" s="9"/>
      <c r="MRL253" s="9"/>
      <c r="MRM253" s="9"/>
      <c r="MRN253" s="9"/>
      <c r="MRO253" s="9"/>
      <c r="MRP253" s="9"/>
      <c r="MRQ253" s="9"/>
      <c r="MRR253" s="9"/>
      <c r="MRS253" s="9"/>
      <c r="MRT253" s="9"/>
      <c r="MRU253" s="9"/>
      <c r="MRV253" s="9"/>
      <c r="MRW253" s="9"/>
      <c r="MRX253" s="9"/>
      <c r="MRY253" s="9"/>
      <c r="MRZ253" s="9"/>
      <c r="MSA253" s="9"/>
      <c r="MSB253" s="9"/>
      <c r="MSC253" s="9"/>
      <c r="MSD253" s="9"/>
      <c r="MSE253" s="9"/>
      <c r="MSF253" s="9"/>
      <c r="MSG253" s="9"/>
      <c r="MSH253" s="9"/>
      <c r="MSI253" s="9"/>
      <c r="MSJ253" s="9"/>
      <c r="MSK253" s="9"/>
      <c r="MSL253" s="9"/>
      <c r="MSM253" s="9"/>
      <c r="MSN253" s="9"/>
      <c r="MSO253" s="9"/>
      <c r="MSP253" s="9"/>
      <c r="MSQ253" s="9"/>
      <c r="MSR253" s="9"/>
      <c r="MSS253" s="9"/>
      <c r="MST253" s="9"/>
      <c r="MSU253" s="9"/>
      <c r="MSV253" s="9"/>
      <c r="MSW253" s="9"/>
      <c r="MSX253" s="9"/>
      <c r="MSY253" s="9"/>
      <c r="MSZ253" s="9"/>
      <c r="MTA253" s="9"/>
      <c r="MTB253" s="9"/>
      <c r="MTC253" s="9"/>
      <c r="MTD253" s="9"/>
      <c r="MTE253" s="9"/>
      <c r="MTF253" s="9"/>
      <c r="MTG253" s="9"/>
      <c r="MTH253" s="9"/>
      <c r="MTI253" s="9"/>
      <c r="MTJ253" s="9"/>
      <c r="MTK253" s="9"/>
      <c r="MTL253" s="9"/>
      <c r="MTM253" s="9"/>
      <c r="MTN253" s="9"/>
      <c r="MTO253" s="9"/>
      <c r="MTP253" s="9"/>
      <c r="MTQ253" s="9"/>
      <c r="MTR253" s="9"/>
      <c r="MTS253" s="9"/>
      <c r="MTT253" s="9"/>
      <c r="MTU253" s="9"/>
      <c r="MTV253" s="9"/>
      <c r="MTW253" s="9"/>
      <c r="MTX253" s="9"/>
      <c r="MTY253" s="9"/>
      <c r="MTZ253" s="9"/>
      <c r="MUA253" s="9"/>
      <c r="MUB253" s="9"/>
      <c r="MUC253" s="9"/>
      <c r="MUD253" s="9"/>
      <c r="MUE253" s="9"/>
      <c r="MUF253" s="9"/>
      <c r="MUG253" s="9"/>
      <c r="MUH253" s="9"/>
      <c r="MUI253" s="9"/>
      <c r="MUJ253" s="9"/>
      <c r="MUK253" s="9"/>
      <c r="MUL253" s="9"/>
      <c r="MUM253" s="9"/>
      <c r="MUN253" s="9"/>
      <c r="MUO253" s="9"/>
      <c r="MUP253" s="9"/>
      <c r="MUQ253" s="9"/>
      <c r="MUR253" s="9"/>
      <c r="MUS253" s="9"/>
      <c r="MUT253" s="9"/>
      <c r="MUU253" s="9"/>
      <c r="MUV253" s="9"/>
      <c r="MUW253" s="9"/>
      <c r="MUX253" s="9"/>
      <c r="MUY253" s="9"/>
      <c r="MUZ253" s="9"/>
      <c r="MVA253" s="9"/>
      <c r="MVB253" s="9"/>
      <c r="MVC253" s="9"/>
      <c r="MVD253" s="9"/>
      <c r="MVE253" s="9"/>
      <c r="MVF253" s="9"/>
      <c r="MVG253" s="9"/>
      <c r="MVH253" s="9"/>
      <c r="MVI253" s="9"/>
      <c r="MVJ253" s="9"/>
      <c r="MVK253" s="9"/>
      <c r="MVL253" s="9"/>
      <c r="MVM253" s="9"/>
      <c r="MVN253" s="9"/>
      <c r="MVO253" s="9"/>
      <c r="MVP253" s="9"/>
      <c r="MVQ253" s="9"/>
      <c r="MVR253" s="9"/>
      <c r="MVS253" s="9"/>
      <c r="MVT253" s="9"/>
      <c r="MVU253" s="9"/>
      <c r="MVV253" s="9"/>
      <c r="MVW253" s="9"/>
      <c r="MVX253" s="9"/>
      <c r="MVY253" s="9"/>
      <c r="MVZ253" s="9"/>
      <c r="MWA253" s="9"/>
      <c r="MWB253" s="9"/>
      <c r="MWC253" s="9"/>
      <c r="MWD253" s="9"/>
      <c r="MWE253" s="9"/>
      <c r="MWF253" s="9"/>
      <c r="MWG253" s="9"/>
      <c r="MWH253" s="9"/>
      <c r="MWI253" s="9"/>
      <c r="MWJ253" s="9"/>
      <c r="MWK253" s="9"/>
      <c r="MWL253" s="9"/>
      <c r="MWM253" s="9"/>
      <c r="MWN253" s="9"/>
      <c r="MWO253" s="9"/>
      <c r="MWP253" s="9"/>
      <c r="MWQ253" s="9"/>
      <c r="MWR253" s="9"/>
      <c r="MWS253" s="9"/>
      <c r="MWT253" s="9"/>
      <c r="MWU253" s="9"/>
      <c r="MWV253" s="9"/>
      <c r="MWW253" s="9"/>
      <c r="MWX253" s="9"/>
      <c r="MWY253" s="9"/>
      <c r="MWZ253" s="9"/>
      <c r="MXA253" s="9"/>
      <c r="MXB253" s="9"/>
      <c r="MXC253" s="9"/>
      <c r="MXD253" s="9"/>
      <c r="MXE253" s="9"/>
      <c r="MXF253" s="9"/>
      <c r="MXG253" s="9"/>
      <c r="MXH253" s="9"/>
      <c r="MXI253" s="9"/>
      <c r="MXJ253" s="9"/>
      <c r="MXK253" s="9"/>
      <c r="MXL253" s="9"/>
      <c r="MXM253" s="9"/>
      <c r="MXN253" s="9"/>
      <c r="MXO253" s="9"/>
      <c r="MXP253" s="9"/>
      <c r="MXQ253" s="9"/>
      <c r="MXR253" s="9"/>
      <c r="MXS253" s="9"/>
      <c r="MXT253" s="9"/>
      <c r="MXU253" s="9"/>
      <c r="MXV253" s="9"/>
      <c r="MXW253" s="9"/>
      <c r="MXX253" s="9"/>
      <c r="MXY253" s="9"/>
      <c r="MXZ253" s="9"/>
      <c r="MYA253" s="9"/>
      <c r="MYB253" s="9"/>
      <c r="MYC253" s="9"/>
      <c r="MYD253" s="9"/>
      <c r="MYE253" s="9"/>
      <c r="MYF253" s="9"/>
      <c r="MYG253" s="9"/>
      <c r="MYH253" s="9"/>
      <c r="MYI253" s="9"/>
      <c r="MYJ253" s="9"/>
      <c r="MYK253" s="9"/>
      <c r="MYL253" s="9"/>
      <c r="MYM253" s="9"/>
      <c r="MYN253" s="9"/>
      <c r="MYO253" s="9"/>
      <c r="MYP253" s="9"/>
      <c r="MYQ253" s="9"/>
      <c r="MYR253" s="9"/>
      <c r="MYS253" s="9"/>
      <c r="MYT253" s="9"/>
      <c r="MYU253" s="9"/>
      <c r="MYV253" s="9"/>
      <c r="MYW253" s="9"/>
      <c r="MYX253" s="9"/>
      <c r="MYY253" s="9"/>
      <c r="MYZ253" s="9"/>
      <c r="MZA253" s="9"/>
      <c r="MZB253" s="9"/>
      <c r="MZC253" s="9"/>
      <c r="MZD253" s="9"/>
      <c r="MZE253" s="9"/>
      <c r="MZF253" s="9"/>
      <c r="MZG253" s="9"/>
      <c r="MZH253" s="9"/>
      <c r="MZI253" s="9"/>
      <c r="MZJ253" s="9"/>
      <c r="MZK253" s="9"/>
      <c r="MZL253" s="9"/>
      <c r="MZM253" s="9"/>
      <c r="MZN253" s="9"/>
      <c r="MZO253" s="9"/>
      <c r="MZP253" s="9"/>
      <c r="MZQ253" s="9"/>
      <c r="MZR253" s="9"/>
      <c r="MZS253" s="9"/>
      <c r="MZT253" s="9"/>
      <c r="MZU253" s="9"/>
      <c r="MZV253" s="9"/>
      <c r="MZW253" s="9"/>
      <c r="MZX253" s="9"/>
      <c r="MZY253" s="9"/>
      <c r="MZZ253" s="9"/>
      <c r="NAA253" s="9"/>
      <c r="NAB253" s="9"/>
      <c r="NAC253" s="9"/>
      <c r="NAD253" s="9"/>
      <c r="NAE253" s="9"/>
      <c r="NAF253" s="9"/>
      <c r="NAG253" s="9"/>
      <c r="NAH253" s="9"/>
      <c r="NAI253" s="9"/>
      <c r="NAJ253" s="9"/>
      <c r="NAK253" s="9"/>
      <c r="NAL253" s="9"/>
      <c r="NAM253" s="9"/>
      <c r="NAN253" s="9"/>
      <c r="NAO253" s="9"/>
      <c r="NAP253" s="9"/>
      <c r="NAQ253" s="9"/>
      <c r="NAR253" s="9"/>
      <c r="NAS253" s="9"/>
      <c r="NAT253" s="9"/>
      <c r="NAU253" s="9"/>
      <c r="NAV253" s="9"/>
      <c r="NAW253" s="9"/>
      <c r="NAX253" s="9"/>
      <c r="NAY253" s="9"/>
      <c r="NAZ253" s="9"/>
      <c r="NBA253" s="9"/>
      <c r="NBB253" s="9"/>
      <c r="NBC253" s="9"/>
      <c r="NBD253" s="9"/>
      <c r="NBE253" s="9"/>
      <c r="NBF253" s="9"/>
      <c r="NBG253" s="9"/>
      <c r="NBH253" s="9"/>
      <c r="NBI253" s="9"/>
      <c r="NBJ253" s="9"/>
      <c r="NBK253" s="9"/>
      <c r="NBL253" s="9"/>
      <c r="NBM253" s="9"/>
      <c r="NBN253" s="9"/>
      <c r="NBO253" s="9"/>
      <c r="NBP253" s="9"/>
      <c r="NBQ253" s="9"/>
      <c r="NBR253" s="9"/>
      <c r="NBS253" s="9"/>
      <c r="NBT253" s="9"/>
      <c r="NBU253" s="9"/>
      <c r="NBV253" s="9"/>
      <c r="NBW253" s="9"/>
      <c r="NBX253" s="9"/>
      <c r="NBY253" s="9"/>
      <c r="NBZ253" s="9"/>
      <c r="NCA253" s="9"/>
      <c r="NCB253" s="9"/>
      <c r="NCC253" s="9"/>
      <c r="NCD253" s="9"/>
      <c r="NCE253" s="9"/>
      <c r="NCF253" s="9"/>
      <c r="NCG253" s="9"/>
      <c r="NCH253" s="9"/>
      <c r="NCI253" s="9"/>
      <c r="NCJ253" s="9"/>
      <c r="NCK253" s="9"/>
      <c r="NCL253" s="9"/>
      <c r="NCM253" s="9"/>
      <c r="NCN253" s="9"/>
      <c r="NCO253" s="9"/>
      <c r="NCP253" s="9"/>
      <c r="NCQ253" s="9"/>
      <c r="NCR253" s="9"/>
      <c r="NCS253" s="9"/>
      <c r="NCT253" s="9"/>
      <c r="NCU253" s="9"/>
      <c r="NCV253" s="9"/>
      <c r="NCW253" s="9"/>
      <c r="NCX253" s="9"/>
      <c r="NCY253" s="9"/>
      <c r="NCZ253" s="9"/>
      <c r="NDA253" s="9"/>
      <c r="NDB253" s="9"/>
      <c r="NDC253" s="9"/>
      <c r="NDD253" s="9"/>
      <c r="NDE253" s="9"/>
      <c r="NDF253" s="9"/>
      <c r="NDG253" s="9"/>
      <c r="NDH253" s="9"/>
      <c r="NDI253" s="9"/>
      <c r="NDJ253" s="9"/>
      <c r="NDK253" s="9"/>
      <c r="NDL253" s="9"/>
      <c r="NDM253" s="9"/>
      <c r="NDN253" s="9"/>
      <c r="NDO253" s="9"/>
      <c r="NDP253" s="9"/>
      <c r="NDQ253" s="9"/>
      <c r="NDR253" s="9"/>
      <c r="NDS253" s="9"/>
      <c r="NDT253" s="9"/>
      <c r="NDU253" s="9"/>
      <c r="NDV253" s="9"/>
      <c r="NDW253" s="9"/>
      <c r="NDX253" s="9"/>
      <c r="NDY253" s="9"/>
      <c r="NDZ253" s="9"/>
      <c r="NEA253" s="9"/>
      <c r="NEB253" s="9"/>
      <c r="NEC253" s="9"/>
      <c r="NED253" s="9"/>
      <c r="NEE253" s="9"/>
      <c r="NEF253" s="9"/>
      <c r="NEG253" s="9"/>
      <c r="NEH253" s="9"/>
      <c r="NEI253" s="9"/>
      <c r="NEJ253" s="9"/>
      <c r="NEK253" s="9"/>
      <c r="NEL253" s="9"/>
      <c r="NEM253" s="9"/>
      <c r="NEN253" s="9"/>
      <c r="NEO253" s="9"/>
      <c r="NEP253" s="9"/>
      <c r="NEQ253" s="9"/>
      <c r="NER253" s="9"/>
      <c r="NES253" s="9"/>
      <c r="NET253" s="9"/>
      <c r="NEU253" s="9"/>
      <c r="NEV253" s="9"/>
      <c r="NEW253" s="9"/>
      <c r="NEX253" s="9"/>
      <c r="NEY253" s="9"/>
      <c r="NEZ253" s="9"/>
      <c r="NFA253" s="9"/>
      <c r="NFB253" s="9"/>
      <c r="NFC253" s="9"/>
      <c r="NFD253" s="9"/>
      <c r="NFE253" s="9"/>
      <c r="NFF253" s="9"/>
      <c r="NFG253" s="9"/>
      <c r="NFH253" s="9"/>
      <c r="NFI253" s="9"/>
      <c r="NFJ253" s="9"/>
      <c r="NFK253" s="9"/>
      <c r="NFL253" s="9"/>
      <c r="NFM253" s="9"/>
      <c r="NFN253" s="9"/>
      <c r="NFO253" s="9"/>
      <c r="NFP253" s="9"/>
      <c r="NFQ253" s="9"/>
      <c r="NFR253" s="9"/>
      <c r="NFS253" s="9"/>
      <c r="NFT253" s="9"/>
      <c r="NFU253" s="9"/>
      <c r="NFV253" s="9"/>
      <c r="NFW253" s="9"/>
      <c r="NFX253" s="9"/>
      <c r="NFY253" s="9"/>
      <c r="NFZ253" s="9"/>
      <c r="NGA253" s="9"/>
      <c r="NGB253" s="9"/>
      <c r="NGC253" s="9"/>
      <c r="NGD253" s="9"/>
      <c r="NGE253" s="9"/>
      <c r="NGF253" s="9"/>
      <c r="NGG253" s="9"/>
      <c r="NGH253" s="9"/>
      <c r="NGI253" s="9"/>
      <c r="NGJ253" s="9"/>
      <c r="NGK253" s="9"/>
      <c r="NGL253" s="9"/>
      <c r="NGM253" s="9"/>
      <c r="NGN253" s="9"/>
      <c r="NGO253" s="9"/>
      <c r="NGP253" s="9"/>
      <c r="NGQ253" s="9"/>
      <c r="NGR253" s="9"/>
      <c r="NGS253" s="9"/>
      <c r="NGT253" s="9"/>
      <c r="NGU253" s="9"/>
      <c r="NGV253" s="9"/>
      <c r="NGW253" s="9"/>
      <c r="NGX253" s="9"/>
      <c r="NGY253" s="9"/>
      <c r="NGZ253" s="9"/>
      <c r="NHA253" s="9"/>
      <c r="NHB253" s="9"/>
      <c r="NHC253" s="9"/>
      <c r="NHD253" s="9"/>
      <c r="NHE253" s="9"/>
      <c r="NHF253" s="9"/>
      <c r="NHG253" s="9"/>
      <c r="NHH253" s="9"/>
      <c r="NHI253" s="9"/>
      <c r="NHJ253" s="9"/>
      <c r="NHK253" s="9"/>
      <c r="NHL253" s="9"/>
      <c r="NHM253" s="9"/>
      <c r="NHN253" s="9"/>
      <c r="NHO253" s="9"/>
      <c r="NHP253" s="9"/>
      <c r="NHQ253" s="9"/>
      <c r="NHR253" s="9"/>
      <c r="NHS253" s="9"/>
      <c r="NHT253" s="9"/>
      <c r="NHU253" s="9"/>
      <c r="NHV253" s="9"/>
      <c r="NHW253" s="9"/>
      <c r="NHX253" s="9"/>
      <c r="NHY253" s="9"/>
      <c r="NHZ253" s="9"/>
      <c r="NIA253" s="9"/>
      <c r="NIB253" s="9"/>
      <c r="NIC253" s="9"/>
      <c r="NID253" s="9"/>
      <c r="NIE253" s="9"/>
      <c r="NIF253" s="9"/>
      <c r="NIG253" s="9"/>
      <c r="NIH253" s="9"/>
      <c r="NII253" s="9"/>
      <c r="NIJ253" s="9"/>
      <c r="NIK253" s="9"/>
      <c r="NIL253" s="9"/>
      <c r="NIM253" s="9"/>
      <c r="NIN253" s="9"/>
      <c r="NIO253" s="9"/>
      <c r="NIP253" s="9"/>
      <c r="NIQ253" s="9"/>
      <c r="NIR253" s="9"/>
      <c r="NIS253" s="9"/>
      <c r="NIT253" s="9"/>
      <c r="NIU253" s="9"/>
      <c r="NIV253" s="9"/>
      <c r="NIW253" s="9"/>
      <c r="NIX253" s="9"/>
      <c r="NIY253" s="9"/>
      <c r="NIZ253" s="9"/>
      <c r="NJA253" s="9"/>
      <c r="NJB253" s="9"/>
      <c r="NJC253" s="9"/>
      <c r="NJD253" s="9"/>
      <c r="NJE253" s="9"/>
      <c r="NJF253" s="9"/>
      <c r="NJG253" s="9"/>
      <c r="NJH253" s="9"/>
      <c r="NJI253" s="9"/>
      <c r="NJJ253" s="9"/>
      <c r="NJK253" s="9"/>
      <c r="NJL253" s="9"/>
      <c r="NJM253" s="9"/>
      <c r="NJN253" s="9"/>
      <c r="NJO253" s="9"/>
      <c r="NJP253" s="9"/>
      <c r="NJQ253" s="9"/>
      <c r="NJR253" s="9"/>
      <c r="NJS253" s="9"/>
      <c r="NJT253" s="9"/>
      <c r="NJU253" s="9"/>
      <c r="NJV253" s="9"/>
      <c r="NJW253" s="9"/>
      <c r="NJX253" s="9"/>
      <c r="NJY253" s="9"/>
      <c r="NJZ253" s="9"/>
      <c r="NKA253" s="9"/>
      <c r="NKB253" s="9"/>
      <c r="NKC253" s="9"/>
      <c r="NKD253" s="9"/>
      <c r="NKE253" s="9"/>
      <c r="NKF253" s="9"/>
      <c r="NKG253" s="9"/>
      <c r="NKH253" s="9"/>
      <c r="NKI253" s="9"/>
      <c r="NKJ253" s="9"/>
      <c r="NKK253" s="9"/>
      <c r="NKL253" s="9"/>
      <c r="NKM253" s="9"/>
      <c r="NKN253" s="9"/>
      <c r="NKO253" s="9"/>
      <c r="NKP253" s="9"/>
      <c r="NKQ253" s="9"/>
      <c r="NKR253" s="9"/>
      <c r="NKS253" s="9"/>
      <c r="NKT253" s="9"/>
      <c r="NKU253" s="9"/>
      <c r="NKV253" s="9"/>
      <c r="NKW253" s="9"/>
      <c r="NKX253" s="9"/>
      <c r="NKY253" s="9"/>
      <c r="NKZ253" s="9"/>
      <c r="NLA253" s="9"/>
      <c r="NLB253" s="9"/>
      <c r="NLC253" s="9"/>
      <c r="NLD253" s="9"/>
      <c r="NLE253" s="9"/>
      <c r="NLF253" s="9"/>
      <c r="NLG253" s="9"/>
      <c r="NLH253" s="9"/>
      <c r="NLI253" s="9"/>
      <c r="NLJ253" s="9"/>
      <c r="NLK253" s="9"/>
      <c r="NLL253" s="9"/>
      <c r="NLM253" s="9"/>
      <c r="NLN253" s="9"/>
      <c r="NLO253" s="9"/>
      <c r="NLP253" s="9"/>
      <c r="NLQ253" s="9"/>
      <c r="NLR253" s="9"/>
      <c r="NLS253" s="9"/>
      <c r="NLT253" s="9"/>
      <c r="NLU253" s="9"/>
      <c r="NLV253" s="9"/>
      <c r="NLW253" s="9"/>
      <c r="NLX253" s="9"/>
      <c r="NLY253" s="9"/>
      <c r="NLZ253" s="9"/>
      <c r="NMA253" s="9"/>
      <c r="NMB253" s="9"/>
      <c r="NMC253" s="9"/>
      <c r="NMD253" s="9"/>
      <c r="NME253" s="9"/>
      <c r="NMF253" s="9"/>
      <c r="NMG253" s="9"/>
      <c r="NMH253" s="9"/>
      <c r="NMI253" s="9"/>
      <c r="NMJ253" s="9"/>
      <c r="NMK253" s="9"/>
      <c r="NML253" s="9"/>
      <c r="NMM253" s="9"/>
      <c r="NMN253" s="9"/>
      <c r="NMO253" s="9"/>
      <c r="NMP253" s="9"/>
      <c r="NMQ253" s="9"/>
      <c r="NMR253" s="9"/>
      <c r="NMS253" s="9"/>
      <c r="NMT253" s="9"/>
      <c r="NMU253" s="9"/>
      <c r="NMV253" s="9"/>
      <c r="NMW253" s="9"/>
      <c r="NMX253" s="9"/>
      <c r="NMY253" s="9"/>
      <c r="NMZ253" s="9"/>
      <c r="NNA253" s="9"/>
      <c r="NNB253" s="9"/>
      <c r="NNC253" s="9"/>
      <c r="NND253" s="9"/>
      <c r="NNE253" s="9"/>
      <c r="NNF253" s="9"/>
      <c r="NNG253" s="9"/>
      <c r="NNH253" s="9"/>
      <c r="NNI253" s="9"/>
      <c r="NNJ253" s="9"/>
      <c r="NNK253" s="9"/>
      <c r="NNL253" s="9"/>
      <c r="NNM253" s="9"/>
      <c r="NNN253" s="9"/>
      <c r="NNO253" s="9"/>
      <c r="NNP253" s="9"/>
      <c r="NNQ253" s="9"/>
      <c r="NNR253" s="9"/>
      <c r="NNS253" s="9"/>
      <c r="NNT253" s="9"/>
      <c r="NNU253" s="9"/>
      <c r="NNV253" s="9"/>
      <c r="NNW253" s="9"/>
      <c r="NNX253" s="9"/>
      <c r="NNY253" s="9"/>
      <c r="NNZ253" s="9"/>
      <c r="NOA253" s="9"/>
      <c r="NOB253" s="9"/>
      <c r="NOC253" s="9"/>
      <c r="NOD253" s="9"/>
      <c r="NOE253" s="9"/>
      <c r="NOF253" s="9"/>
      <c r="NOG253" s="9"/>
      <c r="NOH253" s="9"/>
      <c r="NOI253" s="9"/>
      <c r="NOJ253" s="9"/>
      <c r="NOK253" s="9"/>
      <c r="NOL253" s="9"/>
      <c r="NOM253" s="9"/>
      <c r="NON253" s="9"/>
      <c r="NOO253" s="9"/>
      <c r="NOP253" s="9"/>
      <c r="NOQ253" s="9"/>
      <c r="NOR253" s="9"/>
      <c r="NOS253" s="9"/>
      <c r="NOT253" s="9"/>
      <c r="NOU253" s="9"/>
      <c r="NOV253" s="9"/>
      <c r="NOW253" s="9"/>
      <c r="NOX253" s="9"/>
      <c r="NOY253" s="9"/>
      <c r="NOZ253" s="9"/>
      <c r="NPA253" s="9"/>
      <c r="NPB253" s="9"/>
      <c r="NPC253" s="9"/>
      <c r="NPD253" s="9"/>
      <c r="NPE253" s="9"/>
      <c r="NPF253" s="9"/>
      <c r="NPG253" s="9"/>
      <c r="NPH253" s="9"/>
      <c r="NPI253" s="9"/>
      <c r="NPJ253" s="9"/>
      <c r="NPK253" s="9"/>
      <c r="NPL253" s="9"/>
      <c r="NPM253" s="9"/>
      <c r="NPN253" s="9"/>
      <c r="NPO253" s="9"/>
      <c r="NPP253" s="9"/>
      <c r="NPQ253" s="9"/>
      <c r="NPR253" s="9"/>
      <c r="NPS253" s="9"/>
      <c r="NPT253" s="9"/>
      <c r="NPU253" s="9"/>
      <c r="NPV253" s="9"/>
      <c r="NPW253" s="9"/>
      <c r="NPX253" s="9"/>
      <c r="NPY253" s="9"/>
      <c r="NPZ253" s="9"/>
      <c r="NQA253" s="9"/>
      <c r="NQB253" s="9"/>
      <c r="NQC253" s="9"/>
      <c r="NQD253" s="9"/>
      <c r="NQE253" s="9"/>
      <c r="NQF253" s="9"/>
      <c r="NQG253" s="9"/>
      <c r="NQH253" s="9"/>
      <c r="NQI253" s="9"/>
      <c r="NQJ253" s="9"/>
      <c r="NQK253" s="9"/>
      <c r="NQL253" s="9"/>
      <c r="NQM253" s="9"/>
      <c r="NQN253" s="9"/>
      <c r="NQO253" s="9"/>
      <c r="NQP253" s="9"/>
      <c r="NQQ253" s="9"/>
      <c r="NQR253" s="9"/>
      <c r="NQS253" s="9"/>
      <c r="NQT253" s="9"/>
      <c r="NQU253" s="9"/>
      <c r="NQV253" s="9"/>
      <c r="NQW253" s="9"/>
      <c r="NQX253" s="9"/>
      <c r="NQY253" s="9"/>
      <c r="NQZ253" s="9"/>
      <c r="NRA253" s="9"/>
      <c r="NRB253" s="9"/>
      <c r="NRC253" s="9"/>
      <c r="NRD253" s="9"/>
      <c r="NRE253" s="9"/>
      <c r="NRF253" s="9"/>
      <c r="NRG253" s="9"/>
      <c r="NRH253" s="9"/>
      <c r="NRI253" s="9"/>
      <c r="NRJ253" s="9"/>
      <c r="NRK253" s="9"/>
      <c r="NRL253" s="9"/>
      <c r="NRM253" s="9"/>
      <c r="NRN253" s="9"/>
      <c r="NRO253" s="9"/>
      <c r="NRP253" s="9"/>
      <c r="NRQ253" s="9"/>
      <c r="NRR253" s="9"/>
      <c r="NRS253" s="9"/>
      <c r="NRT253" s="9"/>
      <c r="NRU253" s="9"/>
      <c r="NRV253" s="9"/>
      <c r="NRW253" s="9"/>
      <c r="NRX253" s="9"/>
      <c r="NRY253" s="9"/>
      <c r="NRZ253" s="9"/>
      <c r="NSA253" s="9"/>
      <c r="NSB253" s="9"/>
      <c r="NSC253" s="9"/>
      <c r="NSD253" s="9"/>
      <c r="NSE253" s="9"/>
      <c r="NSF253" s="9"/>
      <c r="NSG253" s="9"/>
      <c r="NSH253" s="9"/>
      <c r="NSI253" s="9"/>
      <c r="NSJ253" s="9"/>
      <c r="NSK253" s="9"/>
      <c r="NSL253" s="9"/>
      <c r="NSM253" s="9"/>
      <c r="NSN253" s="9"/>
      <c r="NSO253" s="9"/>
      <c r="NSP253" s="9"/>
      <c r="NSQ253" s="9"/>
      <c r="NSR253" s="9"/>
      <c r="NSS253" s="9"/>
      <c r="NST253" s="9"/>
      <c r="NSU253" s="9"/>
      <c r="NSV253" s="9"/>
      <c r="NSW253" s="9"/>
      <c r="NSX253" s="9"/>
      <c r="NSY253" s="9"/>
      <c r="NSZ253" s="9"/>
      <c r="NTA253" s="9"/>
      <c r="NTB253" s="9"/>
      <c r="NTC253" s="9"/>
      <c r="NTD253" s="9"/>
      <c r="NTE253" s="9"/>
      <c r="NTF253" s="9"/>
      <c r="NTG253" s="9"/>
      <c r="NTH253" s="9"/>
      <c r="NTI253" s="9"/>
      <c r="NTJ253" s="9"/>
      <c r="NTK253" s="9"/>
      <c r="NTL253" s="9"/>
      <c r="NTM253" s="9"/>
      <c r="NTN253" s="9"/>
      <c r="NTO253" s="9"/>
      <c r="NTP253" s="9"/>
      <c r="NTQ253" s="9"/>
      <c r="NTR253" s="9"/>
      <c r="NTS253" s="9"/>
      <c r="NTT253" s="9"/>
      <c r="NTU253" s="9"/>
      <c r="NTV253" s="9"/>
      <c r="NTW253" s="9"/>
      <c r="NTX253" s="9"/>
      <c r="NTY253" s="9"/>
      <c r="NTZ253" s="9"/>
      <c r="NUA253" s="9"/>
      <c r="NUB253" s="9"/>
      <c r="NUC253" s="9"/>
      <c r="NUD253" s="9"/>
      <c r="NUE253" s="9"/>
      <c r="NUF253" s="9"/>
      <c r="NUG253" s="9"/>
      <c r="NUH253" s="9"/>
      <c r="NUI253" s="9"/>
      <c r="NUJ253" s="9"/>
      <c r="NUK253" s="9"/>
      <c r="NUL253" s="9"/>
      <c r="NUM253" s="9"/>
      <c r="NUN253" s="9"/>
      <c r="NUO253" s="9"/>
      <c r="NUP253" s="9"/>
      <c r="NUQ253" s="9"/>
      <c r="NUR253" s="9"/>
      <c r="NUS253" s="9"/>
      <c r="NUT253" s="9"/>
      <c r="NUU253" s="9"/>
      <c r="NUV253" s="9"/>
      <c r="NUW253" s="9"/>
      <c r="NUX253" s="9"/>
      <c r="NUY253" s="9"/>
      <c r="NUZ253" s="9"/>
      <c r="NVA253" s="9"/>
      <c r="NVB253" s="9"/>
      <c r="NVC253" s="9"/>
      <c r="NVD253" s="9"/>
      <c r="NVE253" s="9"/>
      <c r="NVF253" s="9"/>
      <c r="NVG253" s="9"/>
      <c r="NVH253" s="9"/>
      <c r="NVI253" s="9"/>
      <c r="NVJ253" s="9"/>
      <c r="NVK253" s="9"/>
      <c r="NVL253" s="9"/>
      <c r="NVM253" s="9"/>
      <c r="NVN253" s="9"/>
      <c r="NVO253" s="9"/>
      <c r="NVP253" s="9"/>
      <c r="NVQ253" s="9"/>
      <c r="NVR253" s="9"/>
      <c r="NVS253" s="9"/>
      <c r="NVT253" s="9"/>
      <c r="NVU253" s="9"/>
      <c r="NVV253" s="9"/>
      <c r="NVW253" s="9"/>
      <c r="NVX253" s="9"/>
      <c r="NVY253" s="9"/>
      <c r="NVZ253" s="9"/>
      <c r="NWA253" s="9"/>
      <c r="NWB253" s="9"/>
      <c r="NWC253" s="9"/>
      <c r="NWD253" s="9"/>
      <c r="NWE253" s="9"/>
      <c r="NWF253" s="9"/>
      <c r="NWG253" s="9"/>
      <c r="NWH253" s="9"/>
      <c r="NWI253" s="9"/>
      <c r="NWJ253" s="9"/>
      <c r="NWK253" s="9"/>
      <c r="NWL253" s="9"/>
      <c r="NWM253" s="9"/>
      <c r="NWN253" s="9"/>
      <c r="NWO253" s="9"/>
      <c r="NWP253" s="9"/>
      <c r="NWQ253" s="9"/>
      <c r="NWR253" s="9"/>
      <c r="NWS253" s="9"/>
      <c r="NWT253" s="9"/>
      <c r="NWU253" s="9"/>
      <c r="NWV253" s="9"/>
      <c r="NWW253" s="9"/>
      <c r="NWX253" s="9"/>
      <c r="NWY253" s="9"/>
      <c r="NWZ253" s="9"/>
      <c r="NXA253" s="9"/>
      <c r="NXB253" s="9"/>
      <c r="NXC253" s="9"/>
      <c r="NXD253" s="9"/>
      <c r="NXE253" s="9"/>
      <c r="NXF253" s="9"/>
      <c r="NXG253" s="9"/>
      <c r="NXH253" s="9"/>
      <c r="NXI253" s="9"/>
      <c r="NXJ253" s="9"/>
      <c r="NXK253" s="9"/>
      <c r="NXL253" s="9"/>
      <c r="NXM253" s="9"/>
      <c r="NXN253" s="9"/>
      <c r="NXO253" s="9"/>
      <c r="NXP253" s="9"/>
      <c r="NXQ253" s="9"/>
      <c r="NXR253" s="9"/>
      <c r="NXS253" s="9"/>
      <c r="NXT253" s="9"/>
      <c r="NXU253" s="9"/>
      <c r="NXV253" s="9"/>
      <c r="NXW253" s="9"/>
      <c r="NXX253" s="9"/>
      <c r="NXY253" s="9"/>
      <c r="NXZ253" s="9"/>
      <c r="NYA253" s="9"/>
      <c r="NYB253" s="9"/>
      <c r="NYC253" s="9"/>
      <c r="NYD253" s="9"/>
      <c r="NYE253" s="9"/>
      <c r="NYF253" s="9"/>
      <c r="NYG253" s="9"/>
      <c r="NYH253" s="9"/>
      <c r="NYI253" s="9"/>
      <c r="NYJ253" s="9"/>
      <c r="NYK253" s="9"/>
      <c r="NYL253" s="9"/>
      <c r="NYM253" s="9"/>
      <c r="NYN253" s="9"/>
      <c r="NYO253" s="9"/>
      <c r="NYP253" s="9"/>
      <c r="NYQ253" s="9"/>
      <c r="NYR253" s="9"/>
      <c r="NYS253" s="9"/>
      <c r="NYT253" s="9"/>
      <c r="NYU253" s="9"/>
      <c r="NYV253" s="9"/>
      <c r="NYW253" s="9"/>
      <c r="NYX253" s="9"/>
      <c r="NYY253" s="9"/>
      <c r="NYZ253" s="9"/>
      <c r="NZA253" s="9"/>
      <c r="NZB253" s="9"/>
      <c r="NZC253" s="9"/>
      <c r="NZD253" s="9"/>
      <c r="NZE253" s="9"/>
      <c r="NZF253" s="9"/>
      <c r="NZG253" s="9"/>
      <c r="NZH253" s="9"/>
      <c r="NZI253" s="9"/>
      <c r="NZJ253" s="9"/>
      <c r="NZK253" s="9"/>
      <c r="NZL253" s="9"/>
      <c r="NZM253" s="9"/>
      <c r="NZN253" s="9"/>
      <c r="NZO253" s="9"/>
      <c r="NZP253" s="9"/>
      <c r="NZQ253" s="9"/>
      <c r="NZR253" s="9"/>
      <c r="NZS253" s="9"/>
      <c r="NZT253" s="9"/>
      <c r="NZU253" s="9"/>
      <c r="NZV253" s="9"/>
      <c r="NZW253" s="9"/>
      <c r="NZX253" s="9"/>
      <c r="NZY253" s="9"/>
      <c r="NZZ253" s="9"/>
      <c r="OAA253" s="9"/>
      <c r="OAB253" s="9"/>
      <c r="OAC253" s="9"/>
      <c r="OAD253" s="9"/>
      <c r="OAE253" s="9"/>
      <c r="OAF253" s="9"/>
      <c r="OAG253" s="9"/>
      <c r="OAH253" s="9"/>
      <c r="OAI253" s="9"/>
      <c r="OAJ253" s="9"/>
      <c r="OAK253" s="9"/>
      <c r="OAL253" s="9"/>
      <c r="OAM253" s="9"/>
      <c r="OAN253" s="9"/>
      <c r="OAO253" s="9"/>
      <c r="OAP253" s="9"/>
      <c r="OAQ253" s="9"/>
      <c r="OAR253" s="9"/>
      <c r="OAS253" s="9"/>
      <c r="OAT253" s="9"/>
      <c r="OAU253" s="9"/>
      <c r="OAV253" s="9"/>
      <c r="OAW253" s="9"/>
      <c r="OAX253" s="9"/>
      <c r="OAY253" s="9"/>
      <c r="OAZ253" s="9"/>
      <c r="OBA253" s="9"/>
      <c r="OBB253" s="9"/>
      <c r="OBC253" s="9"/>
      <c r="OBD253" s="9"/>
      <c r="OBE253" s="9"/>
      <c r="OBF253" s="9"/>
      <c r="OBG253" s="9"/>
      <c r="OBH253" s="9"/>
      <c r="OBI253" s="9"/>
      <c r="OBJ253" s="9"/>
      <c r="OBK253" s="9"/>
      <c r="OBL253" s="9"/>
      <c r="OBM253" s="9"/>
      <c r="OBN253" s="9"/>
      <c r="OBO253" s="9"/>
      <c r="OBP253" s="9"/>
      <c r="OBQ253" s="9"/>
      <c r="OBR253" s="9"/>
      <c r="OBS253" s="9"/>
      <c r="OBT253" s="9"/>
      <c r="OBU253" s="9"/>
      <c r="OBV253" s="9"/>
      <c r="OBW253" s="9"/>
      <c r="OBX253" s="9"/>
      <c r="OBY253" s="9"/>
      <c r="OBZ253" s="9"/>
      <c r="OCA253" s="9"/>
      <c r="OCB253" s="9"/>
      <c r="OCC253" s="9"/>
      <c r="OCD253" s="9"/>
      <c r="OCE253" s="9"/>
      <c r="OCF253" s="9"/>
      <c r="OCG253" s="9"/>
      <c r="OCH253" s="9"/>
      <c r="OCI253" s="9"/>
      <c r="OCJ253" s="9"/>
      <c r="OCK253" s="9"/>
      <c r="OCL253" s="9"/>
      <c r="OCM253" s="9"/>
      <c r="OCN253" s="9"/>
      <c r="OCO253" s="9"/>
      <c r="OCP253" s="9"/>
      <c r="OCQ253" s="9"/>
      <c r="OCR253" s="9"/>
      <c r="OCS253" s="9"/>
      <c r="OCT253" s="9"/>
      <c r="OCU253" s="9"/>
      <c r="OCV253" s="9"/>
      <c r="OCW253" s="9"/>
      <c r="OCX253" s="9"/>
      <c r="OCY253" s="9"/>
      <c r="OCZ253" s="9"/>
      <c r="ODA253" s="9"/>
      <c r="ODB253" s="9"/>
      <c r="ODC253" s="9"/>
      <c r="ODD253" s="9"/>
      <c r="ODE253" s="9"/>
      <c r="ODF253" s="9"/>
      <c r="ODG253" s="9"/>
      <c r="ODH253" s="9"/>
      <c r="ODI253" s="9"/>
      <c r="ODJ253" s="9"/>
      <c r="ODK253" s="9"/>
      <c r="ODL253" s="9"/>
      <c r="ODM253" s="9"/>
      <c r="ODN253" s="9"/>
      <c r="ODO253" s="9"/>
      <c r="ODP253" s="9"/>
      <c r="ODQ253" s="9"/>
      <c r="ODR253" s="9"/>
      <c r="ODS253" s="9"/>
      <c r="ODT253" s="9"/>
      <c r="ODU253" s="9"/>
      <c r="ODV253" s="9"/>
      <c r="ODW253" s="9"/>
      <c r="ODX253" s="9"/>
      <c r="ODY253" s="9"/>
      <c r="ODZ253" s="9"/>
      <c r="OEA253" s="9"/>
      <c r="OEB253" s="9"/>
      <c r="OEC253" s="9"/>
      <c r="OED253" s="9"/>
      <c r="OEE253" s="9"/>
      <c r="OEF253" s="9"/>
      <c r="OEG253" s="9"/>
      <c r="OEH253" s="9"/>
      <c r="OEI253" s="9"/>
      <c r="OEJ253" s="9"/>
      <c r="OEK253" s="9"/>
      <c r="OEL253" s="9"/>
      <c r="OEM253" s="9"/>
      <c r="OEN253" s="9"/>
      <c r="OEO253" s="9"/>
      <c r="OEP253" s="9"/>
      <c r="OEQ253" s="9"/>
      <c r="OER253" s="9"/>
      <c r="OES253" s="9"/>
      <c r="OET253" s="9"/>
      <c r="OEU253" s="9"/>
      <c r="OEV253" s="9"/>
      <c r="OEW253" s="9"/>
      <c r="OEX253" s="9"/>
      <c r="OEY253" s="9"/>
      <c r="OEZ253" s="9"/>
      <c r="OFA253" s="9"/>
      <c r="OFB253" s="9"/>
      <c r="OFC253" s="9"/>
      <c r="OFD253" s="9"/>
      <c r="OFE253" s="9"/>
      <c r="OFF253" s="9"/>
      <c r="OFG253" s="9"/>
      <c r="OFH253" s="9"/>
      <c r="OFI253" s="9"/>
      <c r="OFJ253" s="9"/>
      <c r="OFK253" s="9"/>
      <c r="OFL253" s="9"/>
      <c r="OFM253" s="9"/>
      <c r="OFN253" s="9"/>
      <c r="OFO253" s="9"/>
      <c r="OFP253" s="9"/>
      <c r="OFQ253" s="9"/>
      <c r="OFR253" s="9"/>
      <c r="OFS253" s="9"/>
      <c r="OFT253" s="9"/>
      <c r="OFU253" s="9"/>
      <c r="OFV253" s="9"/>
      <c r="OFW253" s="9"/>
      <c r="OFX253" s="9"/>
      <c r="OFY253" s="9"/>
      <c r="OFZ253" s="9"/>
      <c r="OGA253" s="9"/>
      <c r="OGB253" s="9"/>
      <c r="OGC253" s="9"/>
      <c r="OGD253" s="9"/>
      <c r="OGE253" s="9"/>
      <c r="OGF253" s="9"/>
      <c r="OGG253" s="9"/>
      <c r="OGH253" s="9"/>
      <c r="OGI253" s="9"/>
      <c r="OGJ253" s="9"/>
      <c r="OGK253" s="9"/>
      <c r="OGL253" s="9"/>
      <c r="OGM253" s="9"/>
      <c r="OGN253" s="9"/>
      <c r="OGO253" s="9"/>
      <c r="OGP253" s="9"/>
      <c r="OGQ253" s="9"/>
      <c r="OGR253" s="9"/>
      <c r="OGS253" s="9"/>
      <c r="OGT253" s="9"/>
      <c r="OGU253" s="9"/>
      <c r="OGV253" s="9"/>
      <c r="OGW253" s="9"/>
      <c r="OGX253" s="9"/>
      <c r="OGY253" s="9"/>
      <c r="OGZ253" s="9"/>
      <c r="OHA253" s="9"/>
      <c r="OHB253" s="9"/>
      <c r="OHC253" s="9"/>
      <c r="OHD253" s="9"/>
      <c r="OHE253" s="9"/>
      <c r="OHF253" s="9"/>
      <c r="OHG253" s="9"/>
      <c r="OHH253" s="9"/>
      <c r="OHI253" s="9"/>
      <c r="OHJ253" s="9"/>
      <c r="OHK253" s="9"/>
      <c r="OHL253" s="9"/>
      <c r="OHM253" s="9"/>
      <c r="OHN253" s="9"/>
      <c r="OHO253" s="9"/>
      <c r="OHP253" s="9"/>
      <c r="OHQ253" s="9"/>
      <c r="OHR253" s="9"/>
      <c r="OHS253" s="9"/>
      <c r="OHT253" s="9"/>
      <c r="OHU253" s="9"/>
      <c r="OHV253" s="9"/>
      <c r="OHW253" s="9"/>
      <c r="OHX253" s="9"/>
      <c r="OHY253" s="9"/>
      <c r="OHZ253" s="9"/>
      <c r="OIA253" s="9"/>
      <c r="OIB253" s="9"/>
      <c r="OIC253" s="9"/>
      <c r="OID253" s="9"/>
      <c r="OIE253" s="9"/>
      <c r="OIF253" s="9"/>
      <c r="OIG253" s="9"/>
      <c r="OIH253" s="9"/>
      <c r="OII253" s="9"/>
      <c r="OIJ253" s="9"/>
      <c r="OIK253" s="9"/>
      <c r="OIL253" s="9"/>
      <c r="OIM253" s="9"/>
      <c r="OIN253" s="9"/>
      <c r="OIO253" s="9"/>
      <c r="OIP253" s="9"/>
      <c r="OIQ253" s="9"/>
      <c r="OIR253" s="9"/>
      <c r="OIS253" s="9"/>
      <c r="OIT253" s="9"/>
      <c r="OIU253" s="9"/>
      <c r="OIV253" s="9"/>
      <c r="OIW253" s="9"/>
      <c r="OIX253" s="9"/>
      <c r="OIY253" s="9"/>
      <c r="OIZ253" s="9"/>
      <c r="OJA253" s="9"/>
      <c r="OJB253" s="9"/>
      <c r="OJC253" s="9"/>
      <c r="OJD253" s="9"/>
      <c r="OJE253" s="9"/>
      <c r="OJF253" s="9"/>
      <c r="OJG253" s="9"/>
      <c r="OJH253" s="9"/>
      <c r="OJI253" s="9"/>
      <c r="OJJ253" s="9"/>
      <c r="OJK253" s="9"/>
      <c r="OJL253" s="9"/>
      <c r="OJM253" s="9"/>
      <c r="OJN253" s="9"/>
      <c r="OJO253" s="9"/>
      <c r="OJP253" s="9"/>
      <c r="OJQ253" s="9"/>
      <c r="OJR253" s="9"/>
      <c r="OJS253" s="9"/>
      <c r="OJT253" s="9"/>
      <c r="OJU253" s="9"/>
      <c r="OJV253" s="9"/>
      <c r="OJW253" s="9"/>
      <c r="OJX253" s="9"/>
      <c r="OJY253" s="9"/>
      <c r="OJZ253" s="9"/>
      <c r="OKA253" s="9"/>
      <c r="OKB253" s="9"/>
      <c r="OKC253" s="9"/>
      <c r="OKD253" s="9"/>
      <c r="OKE253" s="9"/>
      <c r="OKF253" s="9"/>
      <c r="OKG253" s="9"/>
      <c r="OKH253" s="9"/>
      <c r="OKI253" s="9"/>
      <c r="OKJ253" s="9"/>
      <c r="OKK253" s="9"/>
      <c r="OKL253" s="9"/>
      <c r="OKM253" s="9"/>
      <c r="OKN253" s="9"/>
      <c r="OKO253" s="9"/>
      <c r="OKP253" s="9"/>
      <c r="OKQ253" s="9"/>
      <c r="OKR253" s="9"/>
      <c r="OKS253" s="9"/>
      <c r="OKT253" s="9"/>
      <c r="OKU253" s="9"/>
      <c r="OKV253" s="9"/>
      <c r="OKW253" s="9"/>
      <c r="OKX253" s="9"/>
      <c r="OKY253" s="9"/>
      <c r="OKZ253" s="9"/>
      <c r="OLA253" s="9"/>
      <c r="OLB253" s="9"/>
      <c r="OLC253" s="9"/>
      <c r="OLD253" s="9"/>
      <c r="OLE253" s="9"/>
      <c r="OLF253" s="9"/>
      <c r="OLG253" s="9"/>
      <c r="OLH253" s="9"/>
      <c r="OLI253" s="9"/>
      <c r="OLJ253" s="9"/>
      <c r="OLK253" s="9"/>
      <c r="OLL253" s="9"/>
      <c r="OLM253" s="9"/>
      <c r="OLN253" s="9"/>
      <c r="OLO253" s="9"/>
      <c r="OLP253" s="9"/>
      <c r="OLQ253" s="9"/>
      <c r="OLR253" s="9"/>
      <c r="OLS253" s="9"/>
      <c r="OLT253" s="9"/>
      <c r="OLU253" s="9"/>
      <c r="OLV253" s="9"/>
      <c r="OLW253" s="9"/>
      <c r="OLX253" s="9"/>
      <c r="OLY253" s="9"/>
      <c r="OLZ253" s="9"/>
      <c r="OMA253" s="9"/>
      <c r="OMB253" s="9"/>
      <c r="OMC253" s="9"/>
      <c r="OMD253" s="9"/>
      <c r="OME253" s="9"/>
      <c r="OMF253" s="9"/>
      <c r="OMG253" s="9"/>
      <c r="OMH253" s="9"/>
      <c r="OMI253" s="9"/>
      <c r="OMJ253" s="9"/>
      <c r="OMK253" s="9"/>
      <c r="OML253" s="9"/>
      <c r="OMM253" s="9"/>
      <c r="OMN253" s="9"/>
      <c r="OMO253" s="9"/>
      <c r="OMP253" s="9"/>
      <c r="OMQ253" s="9"/>
      <c r="OMR253" s="9"/>
      <c r="OMS253" s="9"/>
      <c r="OMT253" s="9"/>
      <c r="OMU253" s="9"/>
      <c r="OMV253" s="9"/>
      <c r="OMW253" s="9"/>
      <c r="OMX253" s="9"/>
      <c r="OMY253" s="9"/>
      <c r="OMZ253" s="9"/>
      <c r="ONA253" s="9"/>
      <c r="ONB253" s="9"/>
      <c r="ONC253" s="9"/>
      <c r="OND253" s="9"/>
      <c r="ONE253" s="9"/>
      <c r="ONF253" s="9"/>
      <c r="ONG253" s="9"/>
      <c r="ONH253" s="9"/>
      <c r="ONI253" s="9"/>
      <c r="ONJ253" s="9"/>
      <c r="ONK253" s="9"/>
      <c r="ONL253" s="9"/>
      <c r="ONM253" s="9"/>
      <c r="ONN253" s="9"/>
      <c r="ONO253" s="9"/>
      <c r="ONP253" s="9"/>
      <c r="ONQ253" s="9"/>
      <c r="ONR253" s="9"/>
      <c r="ONS253" s="9"/>
      <c r="ONT253" s="9"/>
      <c r="ONU253" s="9"/>
      <c r="ONV253" s="9"/>
      <c r="ONW253" s="9"/>
      <c r="ONX253" s="9"/>
      <c r="ONY253" s="9"/>
      <c r="ONZ253" s="9"/>
      <c r="OOA253" s="9"/>
      <c r="OOB253" s="9"/>
      <c r="OOC253" s="9"/>
      <c r="OOD253" s="9"/>
      <c r="OOE253" s="9"/>
      <c r="OOF253" s="9"/>
      <c r="OOG253" s="9"/>
      <c r="OOH253" s="9"/>
      <c r="OOI253" s="9"/>
      <c r="OOJ253" s="9"/>
      <c r="OOK253" s="9"/>
      <c r="OOL253" s="9"/>
      <c r="OOM253" s="9"/>
      <c r="OON253" s="9"/>
      <c r="OOO253" s="9"/>
      <c r="OOP253" s="9"/>
      <c r="OOQ253" s="9"/>
      <c r="OOR253" s="9"/>
      <c r="OOS253" s="9"/>
      <c r="OOT253" s="9"/>
      <c r="OOU253" s="9"/>
      <c r="OOV253" s="9"/>
      <c r="OOW253" s="9"/>
      <c r="OOX253" s="9"/>
      <c r="OOY253" s="9"/>
      <c r="OOZ253" s="9"/>
      <c r="OPA253" s="9"/>
      <c r="OPB253" s="9"/>
      <c r="OPC253" s="9"/>
      <c r="OPD253" s="9"/>
      <c r="OPE253" s="9"/>
      <c r="OPF253" s="9"/>
      <c r="OPG253" s="9"/>
      <c r="OPH253" s="9"/>
      <c r="OPI253" s="9"/>
      <c r="OPJ253" s="9"/>
      <c r="OPK253" s="9"/>
      <c r="OPL253" s="9"/>
      <c r="OPM253" s="9"/>
      <c r="OPN253" s="9"/>
      <c r="OPO253" s="9"/>
      <c r="OPP253" s="9"/>
      <c r="OPQ253" s="9"/>
      <c r="OPR253" s="9"/>
      <c r="OPS253" s="9"/>
      <c r="OPT253" s="9"/>
      <c r="OPU253" s="9"/>
      <c r="OPV253" s="9"/>
      <c r="OPW253" s="9"/>
      <c r="OPX253" s="9"/>
      <c r="OPY253" s="9"/>
      <c r="OPZ253" s="9"/>
      <c r="OQA253" s="9"/>
      <c r="OQB253" s="9"/>
      <c r="OQC253" s="9"/>
      <c r="OQD253" s="9"/>
      <c r="OQE253" s="9"/>
      <c r="OQF253" s="9"/>
      <c r="OQG253" s="9"/>
      <c r="OQH253" s="9"/>
      <c r="OQI253" s="9"/>
      <c r="OQJ253" s="9"/>
      <c r="OQK253" s="9"/>
      <c r="OQL253" s="9"/>
      <c r="OQM253" s="9"/>
      <c r="OQN253" s="9"/>
      <c r="OQO253" s="9"/>
      <c r="OQP253" s="9"/>
      <c r="OQQ253" s="9"/>
      <c r="OQR253" s="9"/>
      <c r="OQS253" s="9"/>
      <c r="OQT253" s="9"/>
      <c r="OQU253" s="9"/>
      <c r="OQV253" s="9"/>
      <c r="OQW253" s="9"/>
      <c r="OQX253" s="9"/>
      <c r="OQY253" s="9"/>
      <c r="OQZ253" s="9"/>
      <c r="ORA253" s="9"/>
      <c r="ORB253" s="9"/>
      <c r="ORC253" s="9"/>
      <c r="ORD253" s="9"/>
      <c r="ORE253" s="9"/>
      <c r="ORF253" s="9"/>
      <c r="ORG253" s="9"/>
      <c r="ORH253" s="9"/>
      <c r="ORI253" s="9"/>
      <c r="ORJ253" s="9"/>
      <c r="ORK253" s="9"/>
      <c r="ORL253" s="9"/>
      <c r="ORM253" s="9"/>
      <c r="ORN253" s="9"/>
      <c r="ORO253" s="9"/>
      <c r="ORP253" s="9"/>
      <c r="ORQ253" s="9"/>
      <c r="ORR253" s="9"/>
      <c r="ORS253" s="9"/>
      <c r="ORT253" s="9"/>
      <c r="ORU253" s="9"/>
      <c r="ORV253" s="9"/>
      <c r="ORW253" s="9"/>
      <c r="ORX253" s="9"/>
      <c r="ORY253" s="9"/>
      <c r="ORZ253" s="9"/>
      <c r="OSA253" s="9"/>
      <c r="OSB253" s="9"/>
      <c r="OSC253" s="9"/>
      <c r="OSD253" s="9"/>
      <c r="OSE253" s="9"/>
      <c r="OSF253" s="9"/>
      <c r="OSG253" s="9"/>
      <c r="OSH253" s="9"/>
      <c r="OSI253" s="9"/>
      <c r="OSJ253" s="9"/>
      <c r="OSK253" s="9"/>
      <c r="OSL253" s="9"/>
      <c r="OSM253" s="9"/>
      <c r="OSN253" s="9"/>
      <c r="OSO253" s="9"/>
      <c r="OSP253" s="9"/>
      <c r="OSQ253" s="9"/>
      <c r="OSR253" s="9"/>
      <c r="OSS253" s="9"/>
      <c r="OST253" s="9"/>
      <c r="OSU253" s="9"/>
      <c r="OSV253" s="9"/>
      <c r="OSW253" s="9"/>
      <c r="OSX253" s="9"/>
      <c r="OSY253" s="9"/>
      <c r="OSZ253" s="9"/>
      <c r="OTA253" s="9"/>
      <c r="OTB253" s="9"/>
      <c r="OTC253" s="9"/>
      <c r="OTD253" s="9"/>
      <c r="OTE253" s="9"/>
      <c r="OTF253" s="9"/>
      <c r="OTG253" s="9"/>
      <c r="OTH253" s="9"/>
      <c r="OTI253" s="9"/>
      <c r="OTJ253" s="9"/>
      <c r="OTK253" s="9"/>
      <c r="OTL253" s="9"/>
      <c r="OTM253" s="9"/>
      <c r="OTN253" s="9"/>
      <c r="OTO253" s="9"/>
      <c r="OTP253" s="9"/>
      <c r="OTQ253" s="9"/>
      <c r="OTR253" s="9"/>
      <c r="OTS253" s="9"/>
      <c r="OTT253" s="9"/>
      <c r="OTU253" s="9"/>
      <c r="OTV253" s="9"/>
      <c r="OTW253" s="9"/>
      <c r="OTX253" s="9"/>
      <c r="OTY253" s="9"/>
      <c r="OTZ253" s="9"/>
      <c r="OUA253" s="9"/>
      <c r="OUB253" s="9"/>
      <c r="OUC253" s="9"/>
      <c r="OUD253" s="9"/>
      <c r="OUE253" s="9"/>
      <c r="OUF253" s="9"/>
      <c r="OUG253" s="9"/>
      <c r="OUH253" s="9"/>
      <c r="OUI253" s="9"/>
      <c r="OUJ253" s="9"/>
      <c r="OUK253" s="9"/>
      <c r="OUL253" s="9"/>
      <c r="OUM253" s="9"/>
      <c r="OUN253" s="9"/>
      <c r="OUO253" s="9"/>
      <c r="OUP253" s="9"/>
      <c r="OUQ253" s="9"/>
      <c r="OUR253" s="9"/>
      <c r="OUS253" s="9"/>
      <c r="OUT253" s="9"/>
      <c r="OUU253" s="9"/>
      <c r="OUV253" s="9"/>
      <c r="OUW253" s="9"/>
      <c r="OUX253" s="9"/>
      <c r="OUY253" s="9"/>
      <c r="OUZ253" s="9"/>
      <c r="OVA253" s="9"/>
      <c r="OVB253" s="9"/>
      <c r="OVC253" s="9"/>
      <c r="OVD253" s="9"/>
      <c r="OVE253" s="9"/>
      <c r="OVF253" s="9"/>
      <c r="OVG253" s="9"/>
      <c r="OVH253" s="9"/>
      <c r="OVI253" s="9"/>
      <c r="OVJ253" s="9"/>
      <c r="OVK253" s="9"/>
      <c r="OVL253" s="9"/>
      <c r="OVM253" s="9"/>
      <c r="OVN253" s="9"/>
      <c r="OVO253" s="9"/>
      <c r="OVP253" s="9"/>
      <c r="OVQ253" s="9"/>
      <c r="OVR253" s="9"/>
      <c r="OVS253" s="9"/>
      <c r="OVT253" s="9"/>
      <c r="OVU253" s="9"/>
      <c r="OVV253" s="9"/>
      <c r="OVW253" s="9"/>
      <c r="OVX253" s="9"/>
      <c r="OVY253" s="9"/>
      <c r="OVZ253" s="9"/>
      <c r="OWA253" s="9"/>
      <c r="OWB253" s="9"/>
      <c r="OWC253" s="9"/>
      <c r="OWD253" s="9"/>
      <c r="OWE253" s="9"/>
      <c r="OWF253" s="9"/>
      <c r="OWG253" s="9"/>
      <c r="OWH253" s="9"/>
      <c r="OWI253" s="9"/>
      <c r="OWJ253" s="9"/>
      <c r="OWK253" s="9"/>
      <c r="OWL253" s="9"/>
      <c r="OWM253" s="9"/>
      <c r="OWN253" s="9"/>
      <c r="OWO253" s="9"/>
      <c r="OWP253" s="9"/>
      <c r="OWQ253" s="9"/>
      <c r="OWR253" s="9"/>
      <c r="OWS253" s="9"/>
      <c r="OWT253" s="9"/>
      <c r="OWU253" s="9"/>
      <c r="OWV253" s="9"/>
      <c r="OWW253" s="9"/>
      <c r="OWX253" s="9"/>
      <c r="OWY253" s="9"/>
      <c r="OWZ253" s="9"/>
      <c r="OXA253" s="9"/>
      <c r="OXB253" s="9"/>
      <c r="OXC253" s="9"/>
      <c r="OXD253" s="9"/>
      <c r="OXE253" s="9"/>
      <c r="OXF253" s="9"/>
      <c r="OXG253" s="9"/>
      <c r="OXH253" s="9"/>
      <c r="OXI253" s="9"/>
      <c r="OXJ253" s="9"/>
      <c r="OXK253" s="9"/>
      <c r="OXL253" s="9"/>
      <c r="OXM253" s="9"/>
      <c r="OXN253" s="9"/>
      <c r="OXO253" s="9"/>
      <c r="OXP253" s="9"/>
      <c r="OXQ253" s="9"/>
      <c r="OXR253" s="9"/>
      <c r="OXS253" s="9"/>
      <c r="OXT253" s="9"/>
      <c r="OXU253" s="9"/>
      <c r="OXV253" s="9"/>
      <c r="OXW253" s="9"/>
      <c r="OXX253" s="9"/>
      <c r="OXY253" s="9"/>
      <c r="OXZ253" s="9"/>
      <c r="OYA253" s="9"/>
      <c r="OYB253" s="9"/>
      <c r="OYC253" s="9"/>
      <c r="OYD253" s="9"/>
      <c r="OYE253" s="9"/>
      <c r="OYF253" s="9"/>
      <c r="OYG253" s="9"/>
      <c r="OYH253" s="9"/>
      <c r="OYI253" s="9"/>
      <c r="OYJ253" s="9"/>
      <c r="OYK253" s="9"/>
      <c r="OYL253" s="9"/>
      <c r="OYM253" s="9"/>
      <c r="OYN253" s="9"/>
      <c r="OYO253" s="9"/>
      <c r="OYP253" s="9"/>
      <c r="OYQ253" s="9"/>
      <c r="OYR253" s="9"/>
      <c r="OYS253" s="9"/>
      <c r="OYT253" s="9"/>
      <c r="OYU253" s="9"/>
      <c r="OYV253" s="9"/>
      <c r="OYW253" s="9"/>
      <c r="OYX253" s="9"/>
      <c r="OYY253" s="9"/>
      <c r="OYZ253" s="9"/>
      <c r="OZA253" s="9"/>
      <c r="OZB253" s="9"/>
      <c r="OZC253" s="9"/>
      <c r="OZD253" s="9"/>
      <c r="OZE253" s="9"/>
      <c r="OZF253" s="9"/>
      <c r="OZG253" s="9"/>
      <c r="OZH253" s="9"/>
      <c r="OZI253" s="9"/>
      <c r="OZJ253" s="9"/>
      <c r="OZK253" s="9"/>
      <c r="OZL253" s="9"/>
      <c r="OZM253" s="9"/>
      <c r="OZN253" s="9"/>
      <c r="OZO253" s="9"/>
      <c r="OZP253" s="9"/>
      <c r="OZQ253" s="9"/>
      <c r="OZR253" s="9"/>
      <c r="OZS253" s="9"/>
      <c r="OZT253" s="9"/>
      <c r="OZU253" s="9"/>
      <c r="OZV253" s="9"/>
      <c r="OZW253" s="9"/>
      <c r="OZX253" s="9"/>
      <c r="OZY253" s="9"/>
      <c r="OZZ253" s="9"/>
      <c r="PAA253" s="9"/>
      <c r="PAB253" s="9"/>
      <c r="PAC253" s="9"/>
      <c r="PAD253" s="9"/>
      <c r="PAE253" s="9"/>
      <c r="PAF253" s="9"/>
      <c r="PAG253" s="9"/>
      <c r="PAH253" s="9"/>
      <c r="PAI253" s="9"/>
      <c r="PAJ253" s="9"/>
      <c r="PAK253" s="9"/>
      <c r="PAL253" s="9"/>
      <c r="PAM253" s="9"/>
      <c r="PAN253" s="9"/>
      <c r="PAO253" s="9"/>
      <c r="PAP253" s="9"/>
      <c r="PAQ253" s="9"/>
      <c r="PAR253" s="9"/>
      <c r="PAS253" s="9"/>
      <c r="PAT253" s="9"/>
      <c r="PAU253" s="9"/>
      <c r="PAV253" s="9"/>
      <c r="PAW253" s="9"/>
      <c r="PAX253" s="9"/>
      <c r="PAY253" s="9"/>
      <c r="PAZ253" s="9"/>
      <c r="PBA253" s="9"/>
      <c r="PBB253" s="9"/>
      <c r="PBC253" s="9"/>
      <c r="PBD253" s="9"/>
      <c r="PBE253" s="9"/>
      <c r="PBF253" s="9"/>
      <c r="PBG253" s="9"/>
      <c r="PBH253" s="9"/>
      <c r="PBI253" s="9"/>
      <c r="PBJ253" s="9"/>
      <c r="PBK253" s="9"/>
      <c r="PBL253" s="9"/>
      <c r="PBM253" s="9"/>
      <c r="PBN253" s="9"/>
      <c r="PBO253" s="9"/>
      <c r="PBP253" s="9"/>
      <c r="PBQ253" s="9"/>
      <c r="PBR253" s="9"/>
      <c r="PBS253" s="9"/>
      <c r="PBT253" s="9"/>
      <c r="PBU253" s="9"/>
      <c r="PBV253" s="9"/>
      <c r="PBW253" s="9"/>
      <c r="PBX253" s="9"/>
      <c r="PBY253" s="9"/>
      <c r="PBZ253" s="9"/>
      <c r="PCA253" s="9"/>
      <c r="PCB253" s="9"/>
      <c r="PCC253" s="9"/>
      <c r="PCD253" s="9"/>
      <c r="PCE253" s="9"/>
      <c r="PCF253" s="9"/>
      <c r="PCG253" s="9"/>
      <c r="PCH253" s="9"/>
      <c r="PCI253" s="9"/>
      <c r="PCJ253" s="9"/>
      <c r="PCK253" s="9"/>
      <c r="PCL253" s="9"/>
      <c r="PCM253" s="9"/>
      <c r="PCN253" s="9"/>
      <c r="PCO253" s="9"/>
      <c r="PCP253" s="9"/>
      <c r="PCQ253" s="9"/>
      <c r="PCR253" s="9"/>
      <c r="PCS253" s="9"/>
      <c r="PCT253" s="9"/>
      <c r="PCU253" s="9"/>
      <c r="PCV253" s="9"/>
      <c r="PCW253" s="9"/>
      <c r="PCX253" s="9"/>
      <c r="PCY253" s="9"/>
      <c r="PCZ253" s="9"/>
      <c r="PDA253" s="9"/>
      <c r="PDB253" s="9"/>
      <c r="PDC253" s="9"/>
      <c r="PDD253" s="9"/>
      <c r="PDE253" s="9"/>
      <c r="PDF253" s="9"/>
      <c r="PDG253" s="9"/>
      <c r="PDH253" s="9"/>
      <c r="PDI253" s="9"/>
      <c r="PDJ253" s="9"/>
      <c r="PDK253" s="9"/>
      <c r="PDL253" s="9"/>
      <c r="PDM253" s="9"/>
      <c r="PDN253" s="9"/>
      <c r="PDO253" s="9"/>
      <c r="PDP253" s="9"/>
      <c r="PDQ253" s="9"/>
      <c r="PDR253" s="9"/>
      <c r="PDS253" s="9"/>
      <c r="PDT253" s="9"/>
      <c r="PDU253" s="9"/>
      <c r="PDV253" s="9"/>
      <c r="PDW253" s="9"/>
      <c r="PDX253" s="9"/>
      <c r="PDY253" s="9"/>
      <c r="PDZ253" s="9"/>
      <c r="PEA253" s="9"/>
      <c r="PEB253" s="9"/>
      <c r="PEC253" s="9"/>
      <c r="PED253" s="9"/>
      <c r="PEE253" s="9"/>
      <c r="PEF253" s="9"/>
      <c r="PEG253" s="9"/>
      <c r="PEH253" s="9"/>
      <c r="PEI253" s="9"/>
      <c r="PEJ253" s="9"/>
      <c r="PEK253" s="9"/>
      <c r="PEL253" s="9"/>
      <c r="PEM253" s="9"/>
      <c r="PEN253" s="9"/>
      <c r="PEO253" s="9"/>
      <c r="PEP253" s="9"/>
      <c r="PEQ253" s="9"/>
      <c r="PER253" s="9"/>
      <c r="PES253" s="9"/>
      <c r="PET253" s="9"/>
      <c r="PEU253" s="9"/>
      <c r="PEV253" s="9"/>
      <c r="PEW253" s="9"/>
      <c r="PEX253" s="9"/>
      <c r="PEY253" s="9"/>
      <c r="PEZ253" s="9"/>
      <c r="PFA253" s="9"/>
      <c r="PFB253" s="9"/>
      <c r="PFC253" s="9"/>
      <c r="PFD253" s="9"/>
      <c r="PFE253" s="9"/>
      <c r="PFF253" s="9"/>
      <c r="PFG253" s="9"/>
      <c r="PFH253" s="9"/>
      <c r="PFI253" s="9"/>
      <c r="PFJ253" s="9"/>
      <c r="PFK253" s="9"/>
      <c r="PFL253" s="9"/>
      <c r="PFM253" s="9"/>
      <c r="PFN253" s="9"/>
      <c r="PFO253" s="9"/>
      <c r="PFP253" s="9"/>
      <c r="PFQ253" s="9"/>
      <c r="PFR253" s="9"/>
      <c r="PFS253" s="9"/>
      <c r="PFT253" s="9"/>
      <c r="PFU253" s="9"/>
      <c r="PFV253" s="9"/>
      <c r="PFW253" s="9"/>
      <c r="PFX253" s="9"/>
      <c r="PFY253" s="9"/>
      <c r="PFZ253" s="9"/>
      <c r="PGA253" s="9"/>
      <c r="PGB253" s="9"/>
      <c r="PGC253" s="9"/>
      <c r="PGD253" s="9"/>
      <c r="PGE253" s="9"/>
      <c r="PGF253" s="9"/>
      <c r="PGG253" s="9"/>
      <c r="PGH253" s="9"/>
      <c r="PGI253" s="9"/>
      <c r="PGJ253" s="9"/>
      <c r="PGK253" s="9"/>
      <c r="PGL253" s="9"/>
      <c r="PGM253" s="9"/>
      <c r="PGN253" s="9"/>
      <c r="PGO253" s="9"/>
      <c r="PGP253" s="9"/>
      <c r="PGQ253" s="9"/>
      <c r="PGR253" s="9"/>
      <c r="PGS253" s="9"/>
      <c r="PGT253" s="9"/>
      <c r="PGU253" s="9"/>
      <c r="PGV253" s="9"/>
      <c r="PGW253" s="9"/>
      <c r="PGX253" s="9"/>
      <c r="PGY253" s="9"/>
      <c r="PGZ253" s="9"/>
      <c r="PHA253" s="9"/>
      <c r="PHB253" s="9"/>
      <c r="PHC253" s="9"/>
      <c r="PHD253" s="9"/>
      <c r="PHE253" s="9"/>
      <c r="PHF253" s="9"/>
      <c r="PHG253" s="9"/>
      <c r="PHH253" s="9"/>
      <c r="PHI253" s="9"/>
      <c r="PHJ253" s="9"/>
      <c r="PHK253" s="9"/>
      <c r="PHL253" s="9"/>
      <c r="PHM253" s="9"/>
      <c r="PHN253" s="9"/>
      <c r="PHO253" s="9"/>
      <c r="PHP253" s="9"/>
      <c r="PHQ253" s="9"/>
      <c r="PHR253" s="9"/>
      <c r="PHS253" s="9"/>
      <c r="PHT253" s="9"/>
      <c r="PHU253" s="9"/>
      <c r="PHV253" s="9"/>
      <c r="PHW253" s="9"/>
      <c r="PHX253" s="9"/>
      <c r="PHY253" s="9"/>
      <c r="PHZ253" s="9"/>
      <c r="PIA253" s="9"/>
      <c r="PIB253" s="9"/>
      <c r="PIC253" s="9"/>
      <c r="PID253" s="9"/>
      <c r="PIE253" s="9"/>
      <c r="PIF253" s="9"/>
      <c r="PIG253" s="9"/>
      <c r="PIH253" s="9"/>
      <c r="PII253" s="9"/>
      <c r="PIJ253" s="9"/>
      <c r="PIK253" s="9"/>
      <c r="PIL253" s="9"/>
      <c r="PIM253" s="9"/>
      <c r="PIN253" s="9"/>
      <c r="PIO253" s="9"/>
      <c r="PIP253" s="9"/>
      <c r="PIQ253" s="9"/>
      <c r="PIR253" s="9"/>
      <c r="PIS253" s="9"/>
      <c r="PIT253" s="9"/>
      <c r="PIU253" s="9"/>
      <c r="PIV253" s="9"/>
      <c r="PIW253" s="9"/>
      <c r="PIX253" s="9"/>
      <c r="PIY253" s="9"/>
      <c r="PIZ253" s="9"/>
      <c r="PJA253" s="9"/>
      <c r="PJB253" s="9"/>
      <c r="PJC253" s="9"/>
      <c r="PJD253" s="9"/>
      <c r="PJE253" s="9"/>
      <c r="PJF253" s="9"/>
      <c r="PJG253" s="9"/>
      <c r="PJH253" s="9"/>
      <c r="PJI253" s="9"/>
      <c r="PJJ253" s="9"/>
      <c r="PJK253" s="9"/>
      <c r="PJL253" s="9"/>
      <c r="PJM253" s="9"/>
      <c r="PJN253" s="9"/>
      <c r="PJO253" s="9"/>
      <c r="PJP253" s="9"/>
      <c r="PJQ253" s="9"/>
      <c r="PJR253" s="9"/>
      <c r="PJS253" s="9"/>
      <c r="PJT253" s="9"/>
      <c r="PJU253" s="9"/>
      <c r="PJV253" s="9"/>
      <c r="PJW253" s="9"/>
      <c r="PJX253" s="9"/>
      <c r="PJY253" s="9"/>
      <c r="PJZ253" s="9"/>
      <c r="PKA253" s="9"/>
      <c r="PKB253" s="9"/>
      <c r="PKC253" s="9"/>
      <c r="PKD253" s="9"/>
      <c r="PKE253" s="9"/>
      <c r="PKF253" s="9"/>
      <c r="PKG253" s="9"/>
      <c r="PKH253" s="9"/>
      <c r="PKI253" s="9"/>
      <c r="PKJ253" s="9"/>
      <c r="PKK253" s="9"/>
      <c r="PKL253" s="9"/>
      <c r="PKM253" s="9"/>
      <c r="PKN253" s="9"/>
      <c r="PKO253" s="9"/>
      <c r="PKP253" s="9"/>
      <c r="PKQ253" s="9"/>
      <c r="PKR253" s="9"/>
      <c r="PKS253" s="9"/>
      <c r="PKT253" s="9"/>
      <c r="PKU253" s="9"/>
      <c r="PKV253" s="9"/>
      <c r="PKW253" s="9"/>
      <c r="PKX253" s="9"/>
      <c r="PKY253" s="9"/>
      <c r="PKZ253" s="9"/>
      <c r="PLA253" s="9"/>
      <c r="PLB253" s="9"/>
      <c r="PLC253" s="9"/>
      <c r="PLD253" s="9"/>
      <c r="PLE253" s="9"/>
      <c r="PLF253" s="9"/>
      <c r="PLG253" s="9"/>
      <c r="PLH253" s="9"/>
      <c r="PLI253" s="9"/>
      <c r="PLJ253" s="9"/>
      <c r="PLK253" s="9"/>
      <c r="PLL253" s="9"/>
      <c r="PLM253" s="9"/>
      <c r="PLN253" s="9"/>
      <c r="PLO253" s="9"/>
      <c r="PLP253" s="9"/>
      <c r="PLQ253" s="9"/>
      <c r="PLR253" s="9"/>
      <c r="PLS253" s="9"/>
      <c r="PLT253" s="9"/>
      <c r="PLU253" s="9"/>
      <c r="PLV253" s="9"/>
      <c r="PLW253" s="9"/>
      <c r="PLX253" s="9"/>
      <c r="PLY253" s="9"/>
      <c r="PLZ253" s="9"/>
      <c r="PMA253" s="9"/>
      <c r="PMB253" s="9"/>
      <c r="PMC253" s="9"/>
      <c r="PMD253" s="9"/>
      <c r="PME253" s="9"/>
      <c r="PMF253" s="9"/>
      <c r="PMG253" s="9"/>
      <c r="PMH253" s="9"/>
      <c r="PMI253" s="9"/>
      <c r="PMJ253" s="9"/>
      <c r="PMK253" s="9"/>
      <c r="PML253" s="9"/>
      <c r="PMM253" s="9"/>
      <c r="PMN253" s="9"/>
      <c r="PMO253" s="9"/>
      <c r="PMP253" s="9"/>
      <c r="PMQ253" s="9"/>
      <c r="PMR253" s="9"/>
      <c r="PMS253" s="9"/>
      <c r="PMT253" s="9"/>
      <c r="PMU253" s="9"/>
      <c r="PMV253" s="9"/>
      <c r="PMW253" s="9"/>
      <c r="PMX253" s="9"/>
      <c r="PMY253" s="9"/>
      <c r="PMZ253" s="9"/>
      <c r="PNA253" s="9"/>
      <c r="PNB253" s="9"/>
      <c r="PNC253" s="9"/>
      <c r="PND253" s="9"/>
      <c r="PNE253" s="9"/>
      <c r="PNF253" s="9"/>
      <c r="PNG253" s="9"/>
      <c r="PNH253" s="9"/>
      <c r="PNI253" s="9"/>
      <c r="PNJ253" s="9"/>
      <c r="PNK253" s="9"/>
      <c r="PNL253" s="9"/>
      <c r="PNM253" s="9"/>
      <c r="PNN253" s="9"/>
      <c r="PNO253" s="9"/>
      <c r="PNP253" s="9"/>
      <c r="PNQ253" s="9"/>
      <c r="PNR253" s="9"/>
      <c r="PNS253" s="9"/>
      <c r="PNT253" s="9"/>
      <c r="PNU253" s="9"/>
      <c r="PNV253" s="9"/>
      <c r="PNW253" s="9"/>
      <c r="PNX253" s="9"/>
      <c r="PNY253" s="9"/>
      <c r="PNZ253" s="9"/>
      <c r="POA253" s="9"/>
      <c r="POB253" s="9"/>
      <c r="POC253" s="9"/>
      <c r="POD253" s="9"/>
      <c r="POE253" s="9"/>
      <c r="POF253" s="9"/>
      <c r="POG253" s="9"/>
      <c r="POH253" s="9"/>
      <c r="POI253" s="9"/>
      <c r="POJ253" s="9"/>
      <c r="POK253" s="9"/>
      <c r="POL253" s="9"/>
      <c r="POM253" s="9"/>
      <c r="PON253" s="9"/>
      <c r="POO253" s="9"/>
      <c r="POP253" s="9"/>
      <c r="POQ253" s="9"/>
      <c r="POR253" s="9"/>
      <c r="POS253" s="9"/>
      <c r="POT253" s="9"/>
      <c r="POU253" s="9"/>
      <c r="POV253" s="9"/>
      <c r="POW253" s="9"/>
      <c r="POX253" s="9"/>
      <c r="POY253" s="9"/>
      <c r="POZ253" s="9"/>
      <c r="PPA253" s="9"/>
      <c r="PPB253" s="9"/>
      <c r="PPC253" s="9"/>
      <c r="PPD253" s="9"/>
      <c r="PPE253" s="9"/>
      <c r="PPF253" s="9"/>
      <c r="PPG253" s="9"/>
      <c r="PPH253" s="9"/>
      <c r="PPI253" s="9"/>
      <c r="PPJ253" s="9"/>
      <c r="PPK253" s="9"/>
      <c r="PPL253" s="9"/>
      <c r="PPM253" s="9"/>
      <c r="PPN253" s="9"/>
      <c r="PPO253" s="9"/>
      <c r="PPP253" s="9"/>
      <c r="PPQ253" s="9"/>
      <c r="PPR253" s="9"/>
      <c r="PPS253" s="9"/>
      <c r="PPT253" s="9"/>
      <c r="PPU253" s="9"/>
      <c r="PPV253" s="9"/>
      <c r="PPW253" s="9"/>
      <c r="PPX253" s="9"/>
      <c r="PPY253" s="9"/>
      <c r="PPZ253" s="9"/>
      <c r="PQA253" s="9"/>
      <c r="PQB253" s="9"/>
      <c r="PQC253" s="9"/>
      <c r="PQD253" s="9"/>
      <c r="PQE253" s="9"/>
      <c r="PQF253" s="9"/>
      <c r="PQG253" s="9"/>
      <c r="PQH253" s="9"/>
      <c r="PQI253" s="9"/>
      <c r="PQJ253" s="9"/>
      <c r="PQK253" s="9"/>
      <c r="PQL253" s="9"/>
      <c r="PQM253" s="9"/>
      <c r="PQN253" s="9"/>
      <c r="PQO253" s="9"/>
      <c r="PQP253" s="9"/>
      <c r="PQQ253" s="9"/>
      <c r="PQR253" s="9"/>
      <c r="PQS253" s="9"/>
      <c r="PQT253" s="9"/>
      <c r="PQU253" s="9"/>
      <c r="PQV253" s="9"/>
      <c r="PQW253" s="9"/>
      <c r="PQX253" s="9"/>
      <c r="PQY253" s="9"/>
      <c r="PQZ253" s="9"/>
      <c r="PRA253" s="9"/>
      <c r="PRB253" s="9"/>
      <c r="PRC253" s="9"/>
      <c r="PRD253" s="9"/>
      <c r="PRE253" s="9"/>
      <c r="PRF253" s="9"/>
      <c r="PRG253" s="9"/>
      <c r="PRH253" s="9"/>
      <c r="PRI253" s="9"/>
      <c r="PRJ253" s="9"/>
      <c r="PRK253" s="9"/>
      <c r="PRL253" s="9"/>
      <c r="PRM253" s="9"/>
      <c r="PRN253" s="9"/>
      <c r="PRO253" s="9"/>
      <c r="PRP253" s="9"/>
      <c r="PRQ253" s="9"/>
      <c r="PRR253" s="9"/>
      <c r="PRS253" s="9"/>
      <c r="PRT253" s="9"/>
      <c r="PRU253" s="9"/>
      <c r="PRV253" s="9"/>
      <c r="PRW253" s="9"/>
      <c r="PRX253" s="9"/>
      <c r="PRY253" s="9"/>
      <c r="PRZ253" s="9"/>
      <c r="PSA253" s="9"/>
      <c r="PSB253" s="9"/>
      <c r="PSC253" s="9"/>
      <c r="PSD253" s="9"/>
      <c r="PSE253" s="9"/>
      <c r="PSF253" s="9"/>
      <c r="PSG253" s="9"/>
      <c r="PSH253" s="9"/>
      <c r="PSI253" s="9"/>
      <c r="PSJ253" s="9"/>
      <c r="PSK253" s="9"/>
      <c r="PSL253" s="9"/>
      <c r="PSM253" s="9"/>
      <c r="PSN253" s="9"/>
      <c r="PSO253" s="9"/>
      <c r="PSP253" s="9"/>
      <c r="PSQ253" s="9"/>
      <c r="PSR253" s="9"/>
      <c r="PSS253" s="9"/>
      <c r="PST253" s="9"/>
      <c r="PSU253" s="9"/>
      <c r="PSV253" s="9"/>
      <c r="PSW253" s="9"/>
      <c r="PSX253" s="9"/>
      <c r="PSY253" s="9"/>
      <c r="PSZ253" s="9"/>
      <c r="PTA253" s="9"/>
      <c r="PTB253" s="9"/>
      <c r="PTC253" s="9"/>
      <c r="PTD253" s="9"/>
      <c r="PTE253" s="9"/>
      <c r="PTF253" s="9"/>
      <c r="PTG253" s="9"/>
      <c r="PTH253" s="9"/>
      <c r="PTI253" s="9"/>
      <c r="PTJ253" s="9"/>
      <c r="PTK253" s="9"/>
      <c r="PTL253" s="9"/>
      <c r="PTM253" s="9"/>
      <c r="PTN253" s="9"/>
      <c r="PTO253" s="9"/>
      <c r="PTP253" s="9"/>
      <c r="PTQ253" s="9"/>
      <c r="PTR253" s="9"/>
      <c r="PTS253" s="9"/>
      <c r="PTT253" s="9"/>
      <c r="PTU253" s="9"/>
      <c r="PTV253" s="9"/>
      <c r="PTW253" s="9"/>
      <c r="PTX253" s="9"/>
      <c r="PTY253" s="9"/>
      <c r="PTZ253" s="9"/>
      <c r="PUA253" s="9"/>
      <c r="PUB253" s="9"/>
      <c r="PUC253" s="9"/>
      <c r="PUD253" s="9"/>
      <c r="PUE253" s="9"/>
      <c r="PUF253" s="9"/>
      <c r="PUG253" s="9"/>
      <c r="PUH253" s="9"/>
      <c r="PUI253" s="9"/>
      <c r="PUJ253" s="9"/>
      <c r="PUK253" s="9"/>
      <c r="PUL253" s="9"/>
      <c r="PUM253" s="9"/>
      <c r="PUN253" s="9"/>
      <c r="PUO253" s="9"/>
      <c r="PUP253" s="9"/>
      <c r="PUQ253" s="9"/>
      <c r="PUR253" s="9"/>
      <c r="PUS253" s="9"/>
      <c r="PUT253" s="9"/>
      <c r="PUU253" s="9"/>
      <c r="PUV253" s="9"/>
      <c r="PUW253" s="9"/>
      <c r="PUX253" s="9"/>
      <c r="PUY253" s="9"/>
      <c r="PUZ253" s="9"/>
      <c r="PVA253" s="9"/>
      <c r="PVB253" s="9"/>
      <c r="PVC253" s="9"/>
      <c r="PVD253" s="9"/>
      <c r="PVE253" s="9"/>
      <c r="PVF253" s="9"/>
      <c r="PVG253" s="9"/>
      <c r="PVH253" s="9"/>
      <c r="PVI253" s="9"/>
      <c r="PVJ253" s="9"/>
      <c r="PVK253" s="9"/>
      <c r="PVL253" s="9"/>
      <c r="PVM253" s="9"/>
      <c r="PVN253" s="9"/>
      <c r="PVO253" s="9"/>
      <c r="PVP253" s="9"/>
      <c r="PVQ253" s="9"/>
      <c r="PVR253" s="9"/>
      <c r="PVS253" s="9"/>
      <c r="PVT253" s="9"/>
      <c r="PVU253" s="9"/>
      <c r="PVV253" s="9"/>
      <c r="PVW253" s="9"/>
      <c r="PVX253" s="9"/>
      <c r="PVY253" s="9"/>
      <c r="PVZ253" s="9"/>
      <c r="PWA253" s="9"/>
      <c r="PWB253" s="9"/>
      <c r="PWC253" s="9"/>
      <c r="PWD253" s="9"/>
      <c r="PWE253" s="9"/>
      <c r="PWF253" s="9"/>
      <c r="PWG253" s="9"/>
      <c r="PWH253" s="9"/>
      <c r="PWI253" s="9"/>
      <c r="PWJ253" s="9"/>
      <c r="PWK253" s="9"/>
      <c r="PWL253" s="9"/>
      <c r="PWM253" s="9"/>
      <c r="PWN253" s="9"/>
      <c r="PWO253" s="9"/>
      <c r="PWP253" s="9"/>
      <c r="PWQ253" s="9"/>
      <c r="PWR253" s="9"/>
      <c r="PWS253" s="9"/>
      <c r="PWT253" s="9"/>
      <c r="PWU253" s="9"/>
      <c r="PWV253" s="9"/>
      <c r="PWW253" s="9"/>
      <c r="PWX253" s="9"/>
      <c r="PWY253" s="9"/>
      <c r="PWZ253" s="9"/>
      <c r="PXA253" s="9"/>
      <c r="PXB253" s="9"/>
      <c r="PXC253" s="9"/>
      <c r="PXD253" s="9"/>
      <c r="PXE253" s="9"/>
      <c r="PXF253" s="9"/>
      <c r="PXG253" s="9"/>
      <c r="PXH253" s="9"/>
      <c r="PXI253" s="9"/>
      <c r="PXJ253" s="9"/>
      <c r="PXK253" s="9"/>
      <c r="PXL253" s="9"/>
      <c r="PXM253" s="9"/>
      <c r="PXN253" s="9"/>
      <c r="PXO253" s="9"/>
      <c r="PXP253" s="9"/>
      <c r="PXQ253" s="9"/>
      <c r="PXR253" s="9"/>
      <c r="PXS253" s="9"/>
      <c r="PXT253" s="9"/>
      <c r="PXU253" s="9"/>
      <c r="PXV253" s="9"/>
      <c r="PXW253" s="9"/>
      <c r="PXX253" s="9"/>
      <c r="PXY253" s="9"/>
      <c r="PXZ253" s="9"/>
      <c r="PYA253" s="9"/>
      <c r="PYB253" s="9"/>
      <c r="PYC253" s="9"/>
      <c r="PYD253" s="9"/>
      <c r="PYE253" s="9"/>
      <c r="PYF253" s="9"/>
      <c r="PYG253" s="9"/>
      <c r="PYH253" s="9"/>
      <c r="PYI253" s="9"/>
      <c r="PYJ253" s="9"/>
      <c r="PYK253" s="9"/>
      <c r="PYL253" s="9"/>
      <c r="PYM253" s="9"/>
      <c r="PYN253" s="9"/>
      <c r="PYO253" s="9"/>
      <c r="PYP253" s="9"/>
      <c r="PYQ253" s="9"/>
      <c r="PYR253" s="9"/>
      <c r="PYS253" s="9"/>
      <c r="PYT253" s="9"/>
      <c r="PYU253" s="9"/>
      <c r="PYV253" s="9"/>
      <c r="PYW253" s="9"/>
      <c r="PYX253" s="9"/>
      <c r="PYY253" s="9"/>
      <c r="PYZ253" s="9"/>
      <c r="PZA253" s="9"/>
      <c r="PZB253" s="9"/>
      <c r="PZC253" s="9"/>
      <c r="PZD253" s="9"/>
      <c r="PZE253" s="9"/>
      <c r="PZF253" s="9"/>
      <c r="PZG253" s="9"/>
      <c r="PZH253" s="9"/>
      <c r="PZI253" s="9"/>
      <c r="PZJ253" s="9"/>
      <c r="PZK253" s="9"/>
      <c r="PZL253" s="9"/>
      <c r="PZM253" s="9"/>
      <c r="PZN253" s="9"/>
      <c r="PZO253" s="9"/>
      <c r="PZP253" s="9"/>
      <c r="PZQ253" s="9"/>
      <c r="PZR253" s="9"/>
      <c r="PZS253" s="9"/>
      <c r="PZT253" s="9"/>
      <c r="PZU253" s="9"/>
      <c r="PZV253" s="9"/>
      <c r="PZW253" s="9"/>
      <c r="PZX253" s="9"/>
      <c r="PZY253" s="9"/>
      <c r="PZZ253" s="9"/>
      <c r="QAA253" s="9"/>
      <c r="QAB253" s="9"/>
      <c r="QAC253" s="9"/>
      <c r="QAD253" s="9"/>
      <c r="QAE253" s="9"/>
      <c r="QAF253" s="9"/>
      <c r="QAG253" s="9"/>
      <c r="QAH253" s="9"/>
      <c r="QAI253" s="9"/>
      <c r="QAJ253" s="9"/>
      <c r="QAK253" s="9"/>
      <c r="QAL253" s="9"/>
      <c r="QAM253" s="9"/>
      <c r="QAN253" s="9"/>
      <c r="QAO253" s="9"/>
      <c r="QAP253" s="9"/>
      <c r="QAQ253" s="9"/>
      <c r="QAR253" s="9"/>
      <c r="QAS253" s="9"/>
      <c r="QAT253" s="9"/>
      <c r="QAU253" s="9"/>
      <c r="QAV253" s="9"/>
      <c r="QAW253" s="9"/>
      <c r="QAX253" s="9"/>
      <c r="QAY253" s="9"/>
      <c r="QAZ253" s="9"/>
      <c r="QBA253" s="9"/>
      <c r="QBB253" s="9"/>
      <c r="QBC253" s="9"/>
      <c r="QBD253" s="9"/>
      <c r="QBE253" s="9"/>
      <c r="QBF253" s="9"/>
      <c r="QBG253" s="9"/>
      <c r="QBH253" s="9"/>
      <c r="QBI253" s="9"/>
      <c r="QBJ253" s="9"/>
      <c r="QBK253" s="9"/>
      <c r="QBL253" s="9"/>
      <c r="QBM253" s="9"/>
      <c r="QBN253" s="9"/>
      <c r="QBO253" s="9"/>
      <c r="QBP253" s="9"/>
      <c r="QBQ253" s="9"/>
      <c r="QBR253" s="9"/>
      <c r="QBS253" s="9"/>
      <c r="QBT253" s="9"/>
      <c r="QBU253" s="9"/>
      <c r="QBV253" s="9"/>
      <c r="QBW253" s="9"/>
      <c r="QBX253" s="9"/>
      <c r="QBY253" s="9"/>
      <c r="QBZ253" s="9"/>
      <c r="QCA253" s="9"/>
      <c r="QCB253" s="9"/>
      <c r="QCC253" s="9"/>
      <c r="QCD253" s="9"/>
      <c r="QCE253" s="9"/>
      <c r="QCF253" s="9"/>
      <c r="QCG253" s="9"/>
      <c r="QCH253" s="9"/>
      <c r="QCI253" s="9"/>
      <c r="QCJ253" s="9"/>
      <c r="QCK253" s="9"/>
      <c r="QCL253" s="9"/>
      <c r="QCM253" s="9"/>
      <c r="QCN253" s="9"/>
      <c r="QCO253" s="9"/>
      <c r="QCP253" s="9"/>
      <c r="QCQ253" s="9"/>
      <c r="QCR253" s="9"/>
      <c r="QCS253" s="9"/>
      <c r="QCT253" s="9"/>
      <c r="QCU253" s="9"/>
      <c r="QCV253" s="9"/>
      <c r="QCW253" s="9"/>
      <c r="QCX253" s="9"/>
      <c r="QCY253" s="9"/>
      <c r="QCZ253" s="9"/>
      <c r="QDA253" s="9"/>
      <c r="QDB253" s="9"/>
      <c r="QDC253" s="9"/>
      <c r="QDD253" s="9"/>
      <c r="QDE253" s="9"/>
      <c r="QDF253" s="9"/>
      <c r="QDG253" s="9"/>
      <c r="QDH253" s="9"/>
      <c r="QDI253" s="9"/>
      <c r="QDJ253" s="9"/>
      <c r="QDK253" s="9"/>
      <c r="QDL253" s="9"/>
      <c r="QDM253" s="9"/>
      <c r="QDN253" s="9"/>
      <c r="QDO253" s="9"/>
      <c r="QDP253" s="9"/>
      <c r="QDQ253" s="9"/>
      <c r="QDR253" s="9"/>
      <c r="QDS253" s="9"/>
      <c r="QDT253" s="9"/>
      <c r="QDU253" s="9"/>
      <c r="QDV253" s="9"/>
      <c r="QDW253" s="9"/>
      <c r="QDX253" s="9"/>
      <c r="QDY253" s="9"/>
      <c r="QDZ253" s="9"/>
      <c r="QEA253" s="9"/>
      <c r="QEB253" s="9"/>
      <c r="QEC253" s="9"/>
      <c r="QED253" s="9"/>
      <c r="QEE253" s="9"/>
      <c r="QEF253" s="9"/>
      <c r="QEG253" s="9"/>
      <c r="QEH253" s="9"/>
      <c r="QEI253" s="9"/>
      <c r="QEJ253" s="9"/>
      <c r="QEK253" s="9"/>
      <c r="QEL253" s="9"/>
      <c r="QEM253" s="9"/>
      <c r="QEN253" s="9"/>
      <c r="QEO253" s="9"/>
      <c r="QEP253" s="9"/>
      <c r="QEQ253" s="9"/>
      <c r="QER253" s="9"/>
      <c r="QES253" s="9"/>
      <c r="QET253" s="9"/>
      <c r="QEU253" s="9"/>
      <c r="QEV253" s="9"/>
      <c r="QEW253" s="9"/>
      <c r="QEX253" s="9"/>
      <c r="QEY253" s="9"/>
      <c r="QEZ253" s="9"/>
      <c r="QFA253" s="9"/>
      <c r="QFB253" s="9"/>
      <c r="QFC253" s="9"/>
      <c r="QFD253" s="9"/>
      <c r="QFE253" s="9"/>
      <c r="QFF253" s="9"/>
      <c r="QFG253" s="9"/>
      <c r="QFH253" s="9"/>
      <c r="QFI253" s="9"/>
      <c r="QFJ253" s="9"/>
      <c r="QFK253" s="9"/>
      <c r="QFL253" s="9"/>
      <c r="QFM253" s="9"/>
      <c r="QFN253" s="9"/>
      <c r="QFO253" s="9"/>
      <c r="QFP253" s="9"/>
      <c r="QFQ253" s="9"/>
      <c r="QFR253" s="9"/>
      <c r="QFS253" s="9"/>
      <c r="QFT253" s="9"/>
      <c r="QFU253" s="9"/>
      <c r="QFV253" s="9"/>
      <c r="QFW253" s="9"/>
      <c r="QFX253" s="9"/>
      <c r="QFY253" s="9"/>
      <c r="QFZ253" s="9"/>
      <c r="QGA253" s="9"/>
      <c r="QGB253" s="9"/>
      <c r="QGC253" s="9"/>
      <c r="QGD253" s="9"/>
      <c r="QGE253" s="9"/>
      <c r="QGF253" s="9"/>
      <c r="QGG253" s="9"/>
      <c r="QGH253" s="9"/>
      <c r="QGI253" s="9"/>
      <c r="QGJ253" s="9"/>
      <c r="QGK253" s="9"/>
      <c r="QGL253" s="9"/>
      <c r="QGM253" s="9"/>
      <c r="QGN253" s="9"/>
      <c r="QGO253" s="9"/>
      <c r="QGP253" s="9"/>
      <c r="QGQ253" s="9"/>
      <c r="QGR253" s="9"/>
      <c r="QGS253" s="9"/>
      <c r="QGT253" s="9"/>
      <c r="QGU253" s="9"/>
      <c r="QGV253" s="9"/>
      <c r="QGW253" s="9"/>
      <c r="QGX253" s="9"/>
      <c r="QGY253" s="9"/>
      <c r="QGZ253" s="9"/>
      <c r="QHA253" s="9"/>
      <c r="QHB253" s="9"/>
      <c r="QHC253" s="9"/>
      <c r="QHD253" s="9"/>
      <c r="QHE253" s="9"/>
      <c r="QHF253" s="9"/>
      <c r="QHG253" s="9"/>
      <c r="QHH253" s="9"/>
      <c r="QHI253" s="9"/>
      <c r="QHJ253" s="9"/>
      <c r="QHK253" s="9"/>
      <c r="QHL253" s="9"/>
      <c r="QHM253" s="9"/>
      <c r="QHN253" s="9"/>
      <c r="QHO253" s="9"/>
      <c r="QHP253" s="9"/>
      <c r="QHQ253" s="9"/>
      <c r="QHR253" s="9"/>
      <c r="QHS253" s="9"/>
      <c r="QHT253" s="9"/>
      <c r="QHU253" s="9"/>
      <c r="QHV253" s="9"/>
      <c r="QHW253" s="9"/>
      <c r="QHX253" s="9"/>
      <c r="QHY253" s="9"/>
      <c r="QHZ253" s="9"/>
      <c r="QIA253" s="9"/>
      <c r="QIB253" s="9"/>
      <c r="QIC253" s="9"/>
      <c r="QID253" s="9"/>
      <c r="QIE253" s="9"/>
      <c r="QIF253" s="9"/>
      <c r="QIG253" s="9"/>
      <c r="QIH253" s="9"/>
      <c r="QII253" s="9"/>
      <c r="QIJ253" s="9"/>
      <c r="QIK253" s="9"/>
      <c r="QIL253" s="9"/>
      <c r="QIM253" s="9"/>
      <c r="QIN253" s="9"/>
      <c r="QIO253" s="9"/>
      <c r="QIP253" s="9"/>
      <c r="QIQ253" s="9"/>
      <c r="QIR253" s="9"/>
      <c r="QIS253" s="9"/>
      <c r="QIT253" s="9"/>
      <c r="QIU253" s="9"/>
      <c r="QIV253" s="9"/>
      <c r="QIW253" s="9"/>
      <c r="QIX253" s="9"/>
      <c r="QIY253" s="9"/>
      <c r="QIZ253" s="9"/>
      <c r="QJA253" s="9"/>
      <c r="QJB253" s="9"/>
      <c r="QJC253" s="9"/>
      <c r="QJD253" s="9"/>
      <c r="QJE253" s="9"/>
      <c r="QJF253" s="9"/>
      <c r="QJG253" s="9"/>
      <c r="QJH253" s="9"/>
      <c r="QJI253" s="9"/>
      <c r="QJJ253" s="9"/>
      <c r="QJK253" s="9"/>
      <c r="QJL253" s="9"/>
      <c r="QJM253" s="9"/>
      <c r="QJN253" s="9"/>
      <c r="QJO253" s="9"/>
      <c r="QJP253" s="9"/>
      <c r="QJQ253" s="9"/>
      <c r="QJR253" s="9"/>
      <c r="QJS253" s="9"/>
      <c r="QJT253" s="9"/>
      <c r="QJU253" s="9"/>
      <c r="QJV253" s="9"/>
      <c r="QJW253" s="9"/>
      <c r="QJX253" s="9"/>
      <c r="QJY253" s="9"/>
      <c r="QJZ253" s="9"/>
      <c r="QKA253" s="9"/>
      <c r="QKB253" s="9"/>
      <c r="QKC253" s="9"/>
      <c r="QKD253" s="9"/>
      <c r="QKE253" s="9"/>
      <c r="QKF253" s="9"/>
      <c r="QKG253" s="9"/>
      <c r="QKH253" s="9"/>
      <c r="QKI253" s="9"/>
      <c r="QKJ253" s="9"/>
      <c r="QKK253" s="9"/>
      <c r="QKL253" s="9"/>
      <c r="QKM253" s="9"/>
      <c r="QKN253" s="9"/>
      <c r="QKO253" s="9"/>
      <c r="QKP253" s="9"/>
      <c r="QKQ253" s="9"/>
      <c r="QKR253" s="9"/>
      <c r="QKS253" s="9"/>
      <c r="QKT253" s="9"/>
      <c r="QKU253" s="9"/>
      <c r="QKV253" s="9"/>
      <c r="QKW253" s="9"/>
      <c r="QKX253" s="9"/>
      <c r="QKY253" s="9"/>
      <c r="QKZ253" s="9"/>
      <c r="QLA253" s="9"/>
      <c r="QLB253" s="9"/>
      <c r="QLC253" s="9"/>
      <c r="QLD253" s="9"/>
      <c r="QLE253" s="9"/>
      <c r="QLF253" s="9"/>
      <c r="QLG253" s="9"/>
      <c r="QLH253" s="9"/>
      <c r="QLI253" s="9"/>
      <c r="QLJ253" s="9"/>
      <c r="QLK253" s="9"/>
      <c r="QLL253" s="9"/>
      <c r="QLM253" s="9"/>
      <c r="QLN253" s="9"/>
      <c r="QLO253" s="9"/>
      <c r="QLP253" s="9"/>
      <c r="QLQ253" s="9"/>
      <c r="QLR253" s="9"/>
      <c r="QLS253" s="9"/>
      <c r="QLT253" s="9"/>
      <c r="QLU253" s="9"/>
      <c r="QLV253" s="9"/>
      <c r="QLW253" s="9"/>
      <c r="QLX253" s="9"/>
      <c r="QLY253" s="9"/>
      <c r="QLZ253" s="9"/>
      <c r="QMA253" s="9"/>
      <c r="QMB253" s="9"/>
      <c r="QMC253" s="9"/>
      <c r="QMD253" s="9"/>
      <c r="QME253" s="9"/>
      <c r="QMF253" s="9"/>
      <c r="QMG253" s="9"/>
      <c r="QMH253" s="9"/>
      <c r="QMI253" s="9"/>
      <c r="QMJ253" s="9"/>
      <c r="QMK253" s="9"/>
      <c r="QML253" s="9"/>
      <c r="QMM253" s="9"/>
      <c r="QMN253" s="9"/>
      <c r="QMO253" s="9"/>
      <c r="QMP253" s="9"/>
      <c r="QMQ253" s="9"/>
      <c r="QMR253" s="9"/>
      <c r="QMS253" s="9"/>
      <c r="QMT253" s="9"/>
      <c r="QMU253" s="9"/>
      <c r="QMV253" s="9"/>
      <c r="QMW253" s="9"/>
      <c r="QMX253" s="9"/>
      <c r="QMY253" s="9"/>
      <c r="QMZ253" s="9"/>
      <c r="QNA253" s="9"/>
      <c r="QNB253" s="9"/>
      <c r="QNC253" s="9"/>
      <c r="QND253" s="9"/>
      <c r="QNE253" s="9"/>
      <c r="QNF253" s="9"/>
      <c r="QNG253" s="9"/>
      <c r="QNH253" s="9"/>
      <c r="QNI253" s="9"/>
      <c r="QNJ253" s="9"/>
      <c r="QNK253" s="9"/>
      <c r="QNL253" s="9"/>
      <c r="QNM253" s="9"/>
      <c r="QNN253" s="9"/>
      <c r="QNO253" s="9"/>
      <c r="QNP253" s="9"/>
      <c r="QNQ253" s="9"/>
      <c r="QNR253" s="9"/>
      <c r="QNS253" s="9"/>
      <c r="QNT253" s="9"/>
      <c r="QNU253" s="9"/>
      <c r="QNV253" s="9"/>
      <c r="QNW253" s="9"/>
      <c r="QNX253" s="9"/>
      <c r="QNY253" s="9"/>
      <c r="QNZ253" s="9"/>
      <c r="QOA253" s="9"/>
      <c r="QOB253" s="9"/>
      <c r="QOC253" s="9"/>
      <c r="QOD253" s="9"/>
      <c r="QOE253" s="9"/>
      <c r="QOF253" s="9"/>
      <c r="QOG253" s="9"/>
      <c r="QOH253" s="9"/>
      <c r="QOI253" s="9"/>
      <c r="QOJ253" s="9"/>
      <c r="QOK253" s="9"/>
      <c r="QOL253" s="9"/>
      <c r="QOM253" s="9"/>
      <c r="QON253" s="9"/>
      <c r="QOO253" s="9"/>
      <c r="QOP253" s="9"/>
      <c r="QOQ253" s="9"/>
      <c r="QOR253" s="9"/>
      <c r="QOS253" s="9"/>
      <c r="QOT253" s="9"/>
      <c r="QOU253" s="9"/>
      <c r="QOV253" s="9"/>
      <c r="QOW253" s="9"/>
      <c r="QOX253" s="9"/>
      <c r="QOY253" s="9"/>
      <c r="QOZ253" s="9"/>
      <c r="QPA253" s="9"/>
      <c r="QPB253" s="9"/>
      <c r="QPC253" s="9"/>
      <c r="QPD253" s="9"/>
      <c r="QPE253" s="9"/>
      <c r="QPF253" s="9"/>
      <c r="QPG253" s="9"/>
      <c r="QPH253" s="9"/>
      <c r="QPI253" s="9"/>
      <c r="QPJ253" s="9"/>
      <c r="QPK253" s="9"/>
      <c r="QPL253" s="9"/>
      <c r="QPM253" s="9"/>
      <c r="QPN253" s="9"/>
      <c r="QPO253" s="9"/>
      <c r="QPP253" s="9"/>
      <c r="QPQ253" s="9"/>
      <c r="QPR253" s="9"/>
      <c r="QPS253" s="9"/>
      <c r="QPT253" s="9"/>
      <c r="QPU253" s="9"/>
      <c r="QPV253" s="9"/>
      <c r="QPW253" s="9"/>
      <c r="QPX253" s="9"/>
      <c r="QPY253" s="9"/>
      <c r="QPZ253" s="9"/>
      <c r="QQA253" s="9"/>
      <c r="QQB253" s="9"/>
      <c r="QQC253" s="9"/>
      <c r="QQD253" s="9"/>
      <c r="QQE253" s="9"/>
      <c r="QQF253" s="9"/>
      <c r="QQG253" s="9"/>
      <c r="QQH253" s="9"/>
      <c r="QQI253" s="9"/>
      <c r="QQJ253" s="9"/>
      <c r="QQK253" s="9"/>
      <c r="QQL253" s="9"/>
      <c r="QQM253" s="9"/>
      <c r="QQN253" s="9"/>
      <c r="QQO253" s="9"/>
      <c r="QQP253" s="9"/>
      <c r="QQQ253" s="9"/>
      <c r="QQR253" s="9"/>
      <c r="QQS253" s="9"/>
      <c r="QQT253" s="9"/>
      <c r="QQU253" s="9"/>
      <c r="QQV253" s="9"/>
      <c r="QQW253" s="9"/>
      <c r="QQX253" s="9"/>
      <c r="QQY253" s="9"/>
      <c r="QQZ253" s="9"/>
      <c r="QRA253" s="9"/>
      <c r="QRB253" s="9"/>
      <c r="QRC253" s="9"/>
      <c r="QRD253" s="9"/>
      <c r="QRE253" s="9"/>
      <c r="QRF253" s="9"/>
      <c r="QRG253" s="9"/>
      <c r="QRH253" s="9"/>
      <c r="QRI253" s="9"/>
      <c r="QRJ253" s="9"/>
      <c r="QRK253" s="9"/>
      <c r="QRL253" s="9"/>
      <c r="QRM253" s="9"/>
      <c r="QRN253" s="9"/>
      <c r="QRO253" s="9"/>
      <c r="QRP253" s="9"/>
      <c r="QRQ253" s="9"/>
      <c r="QRR253" s="9"/>
      <c r="QRS253" s="9"/>
      <c r="QRT253" s="9"/>
      <c r="QRU253" s="9"/>
      <c r="QRV253" s="9"/>
      <c r="QRW253" s="9"/>
      <c r="QRX253" s="9"/>
      <c r="QRY253" s="9"/>
      <c r="QRZ253" s="9"/>
      <c r="QSA253" s="9"/>
      <c r="QSB253" s="9"/>
      <c r="QSC253" s="9"/>
      <c r="QSD253" s="9"/>
      <c r="QSE253" s="9"/>
      <c r="QSF253" s="9"/>
      <c r="QSG253" s="9"/>
      <c r="QSH253" s="9"/>
      <c r="QSI253" s="9"/>
      <c r="QSJ253" s="9"/>
      <c r="QSK253" s="9"/>
      <c r="QSL253" s="9"/>
      <c r="QSM253" s="9"/>
      <c r="QSN253" s="9"/>
      <c r="QSO253" s="9"/>
      <c r="QSP253" s="9"/>
      <c r="QSQ253" s="9"/>
      <c r="QSR253" s="9"/>
      <c r="QSS253" s="9"/>
      <c r="QST253" s="9"/>
      <c r="QSU253" s="9"/>
      <c r="QSV253" s="9"/>
      <c r="QSW253" s="9"/>
      <c r="QSX253" s="9"/>
      <c r="QSY253" s="9"/>
      <c r="QSZ253" s="9"/>
      <c r="QTA253" s="9"/>
      <c r="QTB253" s="9"/>
      <c r="QTC253" s="9"/>
      <c r="QTD253" s="9"/>
      <c r="QTE253" s="9"/>
      <c r="QTF253" s="9"/>
      <c r="QTG253" s="9"/>
      <c r="QTH253" s="9"/>
      <c r="QTI253" s="9"/>
      <c r="QTJ253" s="9"/>
      <c r="QTK253" s="9"/>
      <c r="QTL253" s="9"/>
      <c r="QTM253" s="9"/>
      <c r="QTN253" s="9"/>
      <c r="QTO253" s="9"/>
      <c r="QTP253" s="9"/>
      <c r="QTQ253" s="9"/>
      <c r="QTR253" s="9"/>
      <c r="QTS253" s="9"/>
      <c r="QTT253" s="9"/>
      <c r="QTU253" s="9"/>
      <c r="QTV253" s="9"/>
      <c r="QTW253" s="9"/>
      <c r="QTX253" s="9"/>
      <c r="QTY253" s="9"/>
      <c r="QTZ253" s="9"/>
      <c r="QUA253" s="9"/>
      <c r="QUB253" s="9"/>
      <c r="QUC253" s="9"/>
      <c r="QUD253" s="9"/>
      <c r="QUE253" s="9"/>
      <c r="QUF253" s="9"/>
      <c r="QUG253" s="9"/>
      <c r="QUH253" s="9"/>
      <c r="QUI253" s="9"/>
      <c r="QUJ253" s="9"/>
      <c r="QUK253" s="9"/>
      <c r="QUL253" s="9"/>
      <c r="QUM253" s="9"/>
      <c r="QUN253" s="9"/>
      <c r="QUO253" s="9"/>
      <c r="QUP253" s="9"/>
      <c r="QUQ253" s="9"/>
      <c r="QUR253" s="9"/>
      <c r="QUS253" s="9"/>
      <c r="QUT253" s="9"/>
      <c r="QUU253" s="9"/>
      <c r="QUV253" s="9"/>
      <c r="QUW253" s="9"/>
      <c r="QUX253" s="9"/>
      <c r="QUY253" s="9"/>
      <c r="QUZ253" s="9"/>
      <c r="QVA253" s="9"/>
      <c r="QVB253" s="9"/>
      <c r="QVC253" s="9"/>
      <c r="QVD253" s="9"/>
      <c r="QVE253" s="9"/>
      <c r="QVF253" s="9"/>
      <c r="QVG253" s="9"/>
      <c r="QVH253" s="9"/>
      <c r="QVI253" s="9"/>
      <c r="QVJ253" s="9"/>
      <c r="QVK253" s="9"/>
      <c r="QVL253" s="9"/>
      <c r="QVM253" s="9"/>
      <c r="QVN253" s="9"/>
      <c r="QVO253" s="9"/>
      <c r="QVP253" s="9"/>
      <c r="QVQ253" s="9"/>
      <c r="QVR253" s="9"/>
      <c r="QVS253" s="9"/>
      <c r="QVT253" s="9"/>
      <c r="QVU253" s="9"/>
      <c r="QVV253" s="9"/>
      <c r="QVW253" s="9"/>
      <c r="QVX253" s="9"/>
      <c r="QVY253" s="9"/>
      <c r="QVZ253" s="9"/>
      <c r="QWA253" s="9"/>
      <c r="QWB253" s="9"/>
      <c r="QWC253" s="9"/>
      <c r="QWD253" s="9"/>
      <c r="QWE253" s="9"/>
      <c r="QWF253" s="9"/>
      <c r="QWG253" s="9"/>
      <c r="QWH253" s="9"/>
      <c r="QWI253" s="9"/>
      <c r="QWJ253" s="9"/>
      <c r="QWK253" s="9"/>
      <c r="QWL253" s="9"/>
      <c r="QWM253" s="9"/>
      <c r="QWN253" s="9"/>
      <c r="QWO253" s="9"/>
      <c r="QWP253" s="9"/>
      <c r="QWQ253" s="9"/>
      <c r="QWR253" s="9"/>
      <c r="QWS253" s="9"/>
      <c r="QWT253" s="9"/>
      <c r="QWU253" s="9"/>
      <c r="QWV253" s="9"/>
      <c r="QWW253" s="9"/>
      <c r="QWX253" s="9"/>
      <c r="QWY253" s="9"/>
      <c r="QWZ253" s="9"/>
      <c r="QXA253" s="9"/>
      <c r="QXB253" s="9"/>
      <c r="QXC253" s="9"/>
      <c r="QXD253" s="9"/>
      <c r="QXE253" s="9"/>
      <c r="QXF253" s="9"/>
      <c r="QXG253" s="9"/>
      <c r="QXH253" s="9"/>
      <c r="QXI253" s="9"/>
      <c r="QXJ253" s="9"/>
      <c r="QXK253" s="9"/>
      <c r="QXL253" s="9"/>
      <c r="QXM253" s="9"/>
      <c r="QXN253" s="9"/>
      <c r="QXO253" s="9"/>
      <c r="QXP253" s="9"/>
      <c r="QXQ253" s="9"/>
      <c r="QXR253" s="9"/>
      <c r="QXS253" s="9"/>
      <c r="QXT253" s="9"/>
      <c r="QXU253" s="9"/>
      <c r="QXV253" s="9"/>
      <c r="QXW253" s="9"/>
      <c r="QXX253" s="9"/>
      <c r="QXY253" s="9"/>
      <c r="QXZ253" s="9"/>
      <c r="QYA253" s="9"/>
      <c r="QYB253" s="9"/>
      <c r="QYC253" s="9"/>
      <c r="QYD253" s="9"/>
      <c r="QYE253" s="9"/>
      <c r="QYF253" s="9"/>
      <c r="QYG253" s="9"/>
      <c r="QYH253" s="9"/>
      <c r="QYI253" s="9"/>
      <c r="QYJ253" s="9"/>
      <c r="QYK253" s="9"/>
      <c r="QYL253" s="9"/>
      <c r="QYM253" s="9"/>
      <c r="QYN253" s="9"/>
      <c r="QYO253" s="9"/>
      <c r="QYP253" s="9"/>
      <c r="QYQ253" s="9"/>
      <c r="QYR253" s="9"/>
      <c r="QYS253" s="9"/>
      <c r="QYT253" s="9"/>
      <c r="QYU253" s="9"/>
      <c r="QYV253" s="9"/>
      <c r="QYW253" s="9"/>
      <c r="QYX253" s="9"/>
      <c r="QYY253" s="9"/>
      <c r="QYZ253" s="9"/>
      <c r="QZA253" s="9"/>
      <c r="QZB253" s="9"/>
      <c r="QZC253" s="9"/>
      <c r="QZD253" s="9"/>
      <c r="QZE253" s="9"/>
      <c r="QZF253" s="9"/>
      <c r="QZG253" s="9"/>
      <c r="QZH253" s="9"/>
      <c r="QZI253" s="9"/>
      <c r="QZJ253" s="9"/>
      <c r="QZK253" s="9"/>
      <c r="QZL253" s="9"/>
      <c r="QZM253" s="9"/>
      <c r="QZN253" s="9"/>
      <c r="QZO253" s="9"/>
      <c r="QZP253" s="9"/>
      <c r="QZQ253" s="9"/>
      <c r="QZR253" s="9"/>
      <c r="QZS253" s="9"/>
      <c r="QZT253" s="9"/>
      <c r="QZU253" s="9"/>
      <c r="QZV253" s="9"/>
      <c r="QZW253" s="9"/>
      <c r="QZX253" s="9"/>
      <c r="QZY253" s="9"/>
      <c r="QZZ253" s="9"/>
      <c r="RAA253" s="9"/>
      <c r="RAB253" s="9"/>
      <c r="RAC253" s="9"/>
      <c r="RAD253" s="9"/>
      <c r="RAE253" s="9"/>
      <c r="RAF253" s="9"/>
      <c r="RAG253" s="9"/>
      <c r="RAH253" s="9"/>
      <c r="RAI253" s="9"/>
      <c r="RAJ253" s="9"/>
      <c r="RAK253" s="9"/>
      <c r="RAL253" s="9"/>
      <c r="RAM253" s="9"/>
      <c r="RAN253" s="9"/>
      <c r="RAO253" s="9"/>
      <c r="RAP253" s="9"/>
      <c r="RAQ253" s="9"/>
      <c r="RAR253" s="9"/>
      <c r="RAS253" s="9"/>
      <c r="RAT253" s="9"/>
      <c r="RAU253" s="9"/>
      <c r="RAV253" s="9"/>
      <c r="RAW253" s="9"/>
      <c r="RAX253" s="9"/>
      <c r="RAY253" s="9"/>
      <c r="RAZ253" s="9"/>
      <c r="RBA253" s="9"/>
      <c r="RBB253" s="9"/>
      <c r="RBC253" s="9"/>
      <c r="RBD253" s="9"/>
      <c r="RBE253" s="9"/>
      <c r="RBF253" s="9"/>
      <c r="RBG253" s="9"/>
      <c r="RBH253" s="9"/>
      <c r="RBI253" s="9"/>
      <c r="RBJ253" s="9"/>
      <c r="RBK253" s="9"/>
      <c r="RBL253" s="9"/>
      <c r="RBM253" s="9"/>
      <c r="RBN253" s="9"/>
      <c r="RBO253" s="9"/>
      <c r="RBP253" s="9"/>
      <c r="RBQ253" s="9"/>
      <c r="RBR253" s="9"/>
      <c r="RBS253" s="9"/>
      <c r="RBT253" s="9"/>
      <c r="RBU253" s="9"/>
      <c r="RBV253" s="9"/>
      <c r="RBW253" s="9"/>
      <c r="RBX253" s="9"/>
      <c r="RBY253" s="9"/>
      <c r="RBZ253" s="9"/>
      <c r="RCA253" s="9"/>
      <c r="RCB253" s="9"/>
      <c r="RCC253" s="9"/>
      <c r="RCD253" s="9"/>
      <c r="RCE253" s="9"/>
      <c r="RCF253" s="9"/>
      <c r="RCG253" s="9"/>
      <c r="RCH253" s="9"/>
      <c r="RCI253" s="9"/>
      <c r="RCJ253" s="9"/>
      <c r="RCK253" s="9"/>
      <c r="RCL253" s="9"/>
      <c r="RCM253" s="9"/>
      <c r="RCN253" s="9"/>
      <c r="RCO253" s="9"/>
      <c r="RCP253" s="9"/>
      <c r="RCQ253" s="9"/>
      <c r="RCR253" s="9"/>
      <c r="RCS253" s="9"/>
      <c r="RCT253" s="9"/>
      <c r="RCU253" s="9"/>
      <c r="RCV253" s="9"/>
      <c r="RCW253" s="9"/>
      <c r="RCX253" s="9"/>
      <c r="RCY253" s="9"/>
      <c r="RCZ253" s="9"/>
      <c r="RDA253" s="9"/>
      <c r="RDB253" s="9"/>
      <c r="RDC253" s="9"/>
      <c r="RDD253" s="9"/>
      <c r="RDE253" s="9"/>
      <c r="RDF253" s="9"/>
      <c r="RDG253" s="9"/>
      <c r="RDH253" s="9"/>
      <c r="RDI253" s="9"/>
      <c r="RDJ253" s="9"/>
      <c r="RDK253" s="9"/>
      <c r="RDL253" s="9"/>
      <c r="RDM253" s="9"/>
      <c r="RDN253" s="9"/>
      <c r="RDO253" s="9"/>
      <c r="RDP253" s="9"/>
      <c r="RDQ253" s="9"/>
      <c r="RDR253" s="9"/>
      <c r="RDS253" s="9"/>
      <c r="RDT253" s="9"/>
      <c r="RDU253" s="9"/>
      <c r="RDV253" s="9"/>
      <c r="RDW253" s="9"/>
      <c r="RDX253" s="9"/>
      <c r="RDY253" s="9"/>
      <c r="RDZ253" s="9"/>
      <c r="REA253" s="9"/>
      <c r="REB253" s="9"/>
      <c r="REC253" s="9"/>
      <c r="RED253" s="9"/>
      <c r="REE253" s="9"/>
      <c r="REF253" s="9"/>
      <c r="REG253" s="9"/>
      <c r="REH253" s="9"/>
      <c r="REI253" s="9"/>
      <c r="REJ253" s="9"/>
      <c r="REK253" s="9"/>
      <c r="REL253" s="9"/>
      <c r="REM253" s="9"/>
      <c r="REN253" s="9"/>
      <c r="REO253" s="9"/>
      <c r="REP253" s="9"/>
      <c r="REQ253" s="9"/>
      <c r="RER253" s="9"/>
      <c r="RES253" s="9"/>
      <c r="RET253" s="9"/>
      <c r="REU253" s="9"/>
      <c r="REV253" s="9"/>
      <c r="REW253" s="9"/>
      <c r="REX253" s="9"/>
      <c r="REY253" s="9"/>
      <c r="REZ253" s="9"/>
      <c r="RFA253" s="9"/>
      <c r="RFB253" s="9"/>
      <c r="RFC253" s="9"/>
      <c r="RFD253" s="9"/>
      <c r="RFE253" s="9"/>
      <c r="RFF253" s="9"/>
      <c r="RFG253" s="9"/>
      <c r="RFH253" s="9"/>
      <c r="RFI253" s="9"/>
      <c r="RFJ253" s="9"/>
      <c r="RFK253" s="9"/>
      <c r="RFL253" s="9"/>
      <c r="RFM253" s="9"/>
      <c r="RFN253" s="9"/>
      <c r="RFO253" s="9"/>
      <c r="RFP253" s="9"/>
      <c r="RFQ253" s="9"/>
      <c r="RFR253" s="9"/>
      <c r="RFS253" s="9"/>
      <c r="RFT253" s="9"/>
      <c r="RFU253" s="9"/>
      <c r="RFV253" s="9"/>
      <c r="RFW253" s="9"/>
      <c r="RFX253" s="9"/>
      <c r="RFY253" s="9"/>
      <c r="RFZ253" s="9"/>
      <c r="RGA253" s="9"/>
      <c r="RGB253" s="9"/>
      <c r="RGC253" s="9"/>
      <c r="RGD253" s="9"/>
      <c r="RGE253" s="9"/>
      <c r="RGF253" s="9"/>
      <c r="RGG253" s="9"/>
      <c r="RGH253" s="9"/>
      <c r="RGI253" s="9"/>
      <c r="RGJ253" s="9"/>
      <c r="RGK253" s="9"/>
      <c r="RGL253" s="9"/>
      <c r="RGM253" s="9"/>
      <c r="RGN253" s="9"/>
      <c r="RGO253" s="9"/>
      <c r="RGP253" s="9"/>
      <c r="RGQ253" s="9"/>
      <c r="RGR253" s="9"/>
      <c r="RGS253" s="9"/>
      <c r="RGT253" s="9"/>
      <c r="RGU253" s="9"/>
      <c r="RGV253" s="9"/>
      <c r="RGW253" s="9"/>
      <c r="RGX253" s="9"/>
      <c r="RGY253" s="9"/>
      <c r="RGZ253" s="9"/>
      <c r="RHA253" s="9"/>
      <c r="RHB253" s="9"/>
      <c r="RHC253" s="9"/>
      <c r="RHD253" s="9"/>
      <c r="RHE253" s="9"/>
      <c r="RHF253" s="9"/>
      <c r="RHG253" s="9"/>
      <c r="RHH253" s="9"/>
      <c r="RHI253" s="9"/>
      <c r="RHJ253" s="9"/>
      <c r="RHK253" s="9"/>
      <c r="RHL253" s="9"/>
      <c r="RHM253" s="9"/>
      <c r="RHN253" s="9"/>
      <c r="RHO253" s="9"/>
      <c r="RHP253" s="9"/>
      <c r="RHQ253" s="9"/>
      <c r="RHR253" s="9"/>
      <c r="RHS253" s="9"/>
      <c r="RHT253" s="9"/>
      <c r="RHU253" s="9"/>
      <c r="RHV253" s="9"/>
      <c r="RHW253" s="9"/>
      <c r="RHX253" s="9"/>
      <c r="RHY253" s="9"/>
      <c r="RHZ253" s="9"/>
      <c r="RIA253" s="9"/>
      <c r="RIB253" s="9"/>
      <c r="RIC253" s="9"/>
      <c r="RID253" s="9"/>
      <c r="RIE253" s="9"/>
      <c r="RIF253" s="9"/>
      <c r="RIG253" s="9"/>
      <c r="RIH253" s="9"/>
      <c r="RII253" s="9"/>
      <c r="RIJ253" s="9"/>
      <c r="RIK253" s="9"/>
      <c r="RIL253" s="9"/>
      <c r="RIM253" s="9"/>
      <c r="RIN253" s="9"/>
      <c r="RIO253" s="9"/>
      <c r="RIP253" s="9"/>
      <c r="RIQ253" s="9"/>
      <c r="RIR253" s="9"/>
      <c r="RIS253" s="9"/>
      <c r="RIT253" s="9"/>
      <c r="RIU253" s="9"/>
      <c r="RIV253" s="9"/>
      <c r="RIW253" s="9"/>
      <c r="RIX253" s="9"/>
      <c r="RIY253" s="9"/>
      <c r="RIZ253" s="9"/>
      <c r="RJA253" s="9"/>
      <c r="RJB253" s="9"/>
      <c r="RJC253" s="9"/>
      <c r="RJD253" s="9"/>
      <c r="RJE253" s="9"/>
      <c r="RJF253" s="9"/>
      <c r="RJG253" s="9"/>
      <c r="RJH253" s="9"/>
      <c r="RJI253" s="9"/>
      <c r="RJJ253" s="9"/>
      <c r="RJK253" s="9"/>
      <c r="RJL253" s="9"/>
      <c r="RJM253" s="9"/>
      <c r="RJN253" s="9"/>
      <c r="RJO253" s="9"/>
      <c r="RJP253" s="9"/>
      <c r="RJQ253" s="9"/>
      <c r="RJR253" s="9"/>
      <c r="RJS253" s="9"/>
      <c r="RJT253" s="9"/>
      <c r="RJU253" s="9"/>
      <c r="RJV253" s="9"/>
      <c r="RJW253" s="9"/>
      <c r="RJX253" s="9"/>
      <c r="RJY253" s="9"/>
      <c r="RJZ253" s="9"/>
      <c r="RKA253" s="9"/>
      <c r="RKB253" s="9"/>
      <c r="RKC253" s="9"/>
      <c r="RKD253" s="9"/>
      <c r="RKE253" s="9"/>
      <c r="RKF253" s="9"/>
      <c r="RKG253" s="9"/>
      <c r="RKH253" s="9"/>
      <c r="RKI253" s="9"/>
      <c r="RKJ253" s="9"/>
      <c r="RKK253" s="9"/>
      <c r="RKL253" s="9"/>
      <c r="RKM253" s="9"/>
      <c r="RKN253" s="9"/>
      <c r="RKO253" s="9"/>
      <c r="RKP253" s="9"/>
      <c r="RKQ253" s="9"/>
      <c r="RKR253" s="9"/>
      <c r="RKS253" s="9"/>
      <c r="RKT253" s="9"/>
      <c r="RKU253" s="9"/>
      <c r="RKV253" s="9"/>
      <c r="RKW253" s="9"/>
      <c r="RKX253" s="9"/>
      <c r="RKY253" s="9"/>
      <c r="RKZ253" s="9"/>
      <c r="RLA253" s="9"/>
      <c r="RLB253" s="9"/>
      <c r="RLC253" s="9"/>
      <c r="RLD253" s="9"/>
      <c r="RLE253" s="9"/>
      <c r="RLF253" s="9"/>
      <c r="RLG253" s="9"/>
      <c r="RLH253" s="9"/>
      <c r="RLI253" s="9"/>
      <c r="RLJ253" s="9"/>
      <c r="RLK253" s="9"/>
      <c r="RLL253" s="9"/>
      <c r="RLM253" s="9"/>
      <c r="RLN253" s="9"/>
      <c r="RLO253" s="9"/>
      <c r="RLP253" s="9"/>
      <c r="RLQ253" s="9"/>
      <c r="RLR253" s="9"/>
      <c r="RLS253" s="9"/>
      <c r="RLT253" s="9"/>
      <c r="RLU253" s="9"/>
      <c r="RLV253" s="9"/>
      <c r="RLW253" s="9"/>
      <c r="RLX253" s="9"/>
      <c r="RLY253" s="9"/>
      <c r="RLZ253" s="9"/>
      <c r="RMA253" s="9"/>
      <c r="RMB253" s="9"/>
      <c r="RMC253" s="9"/>
      <c r="RMD253" s="9"/>
      <c r="RME253" s="9"/>
      <c r="RMF253" s="9"/>
      <c r="RMG253" s="9"/>
      <c r="RMH253" s="9"/>
      <c r="RMI253" s="9"/>
      <c r="RMJ253" s="9"/>
      <c r="RMK253" s="9"/>
      <c r="RML253" s="9"/>
      <c r="RMM253" s="9"/>
      <c r="RMN253" s="9"/>
      <c r="RMO253" s="9"/>
      <c r="RMP253" s="9"/>
      <c r="RMQ253" s="9"/>
      <c r="RMR253" s="9"/>
      <c r="RMS253" s="9"/>
      <c r="RMT253" s="9"/>
      <c r="RMU253" s="9"/>
      <c r="RMV253" s="9"/>
      <c r="RMW253" s="9"/>
      <c r="RMX253" s="9"/>
      <c r="RMY253" s="9"/>
      <c r="RMZ253" s="9"/>
      <c r="RNA253" s="9"/>
      <c r="RNB253" s="9"/>
      <c r="RNC253" s="9"/>
      <c r="RND253" s="9"/>
      <c r="RNE253" s="9"/>
      <c r="RNF253" s="9"/>
      <c r="RNG253" s="9"/>
      <c r="RNH253" s="9"/>
      <c r="RNI253" s="9"/>
      <c r="RNJ253" s="9"/>
      <c r="RNK253" s="9"/>
      <c r="RNL253" s="9"/>
      <c r="RNM253" s="9"/>
      <c r="RNN253" s="9"/>
      <c r="RNO253" s="9"/>
      <c r="RNP253" s="9"/>
      <c r="RNQ253" s="9"/>
      <c r="RNR253" s="9"/>
      <c r="RNS253" s="9"/>
      <c r="RNT253" s="9"/>
      <c r="RNU253" s="9"/>
      <c r="RNV253" s="9"/>
      <c r="RNW253" s="9"/>
      <c r="RNX253" s="9"/>
      <c r="RNY253" s="9"/>
      <c r="RNZ253" s="9"/>
      <c r="ROA253" s="9"/>
      <c r="ROB253" s="9"/>
      <c r="ROC253" s="9"/>
      <c r="ROD253" s="9"/>
      <c r="ROE253" s="9"/>
      <c r="ROF253" s="9"/>
      <c r="ROG253" s="9"/>
      <c r="ROH253" s="9"/>
      <c r="ROI253" s="9"/>
      <c r="ROJ253" s="9"/>
      <c r="ROK253" s="9"/>
      <c r="ROL253" s="9"/>
      <c r="ROM253" s="9"/>
      <c r="RON253" s="9"/>
      <c r="ROO253" s="9"/>
      <c r="ROP253" s="9"/>
      <c r="ROQ253" s="9"/>
      <c r="ROR253" s="9"/>
      <c r="ROS253" s="9"/>
      <c r="ROT253" s="9"/>
      <c r="ROU253" s="9"/>
      <c r="ROV253" s="9"/>
      <c r="ROW253" s="9"/>
      <c r="ROX253" s="9"/>
      <c r="ROY253" s="9"/>
      <c r="ROZ253" s="9"/>
      <c r="RPA253" s="9"/>
      <c r="RPB253" s="9"/>
      <c r="RPC253" s="9"/>
      <c r="RPD253" s="9"/>
      <c r="RPE253" s="9"/>
      <c r="RPF253" s="9"/>
      <c r="RPG253" s="9"/>
      <c r="RPH253" s="9"/>
      <c r="RPI253" s="9"/>
      <c r="RPJ253" s="9"/>
      <c r="RPK253" s="9"/>
      <c r="RPL253" s="9"/>
      <c r="RPM253" s="9"/>
      <c r="RPN253" s="9"/>
      <c r="RPO253" s="9"/>
      <c r="RPP253" s="9"/>
      <c r="RPQ253" s="9"/>
      <c r="RPR253" s="9"/>
      <c r="RPS253" s="9"/>
      <c r="RPT253" s="9"/>
      <c r="RPU253" s="9"/>
      <c r="RPV253" s="9"/>
      <c r="RPW253" s="9"/>
      <c r="RPX253" s="9"/>
      <c r="RPY253" s="9"/>
      <c r="RPZ253" s="9"/>
      <c r="RQA253" s="9"/>
      <c r="RQB253" s="9"/>
      <c r="RQC253" s="9"/>
      <c r="RQD253" s="9"/>
      <c r="RQE253" s="9"/>
      <c r="RQF253" s="9"/>
      <c r="RQG253" s="9"/>
      <c r="RQH253" s="9"/>
      <c r="RQI253" s="9"/>
      <c r="RQJ253" s="9"/>
      <c r="RQK253" s="9"/>
      <c r="RQL253" s="9"/>
      <c r="RQM253" s="9"/>
      <c r="RQN253" s="9"/>
      <c r="RQO253" s="9"/>
      <c r="RQP253" s="9"/>
      <c r="RQQ253" s="9"/>
      <c r="RQR253" s="9"/>
      <c r="RQS253" s="9"/>
      <c r="RQT253" s="9"/>
      <c r="RQU253" s="9"/>
      <c r="RQV253" s="9"/>
      <c r="RQW253" s="9"/>
      <c r="RQX253" s="9"/>
      <c r="RQY253" s="9"/>
      <c r="RQZ253" s="9"/>
      <c r="RRA253" s="9"/>
      <c r="RRB253" s="9"/>
      <c r="RRC253" s="9"/>
      <c r="RRD253" s="9"/>
      <c r="RRE253" s="9"/>
      <c r="RRF253" s="9"/>
      <c r="RRG253" s="9"/>
      <c r="RRH253" s="9"/>
      <c r="RRI253" s="9"/>
      <c r="RRJ253" s="9"/>
      <c r="RRK253" s="9"/>
      <c r="RRL253" s="9"/>
      <c r="RRM253" s="9"/>
      <c r="RRN253" s="9"/>
      <c r="RRO253" s="9"/>
      <c r="RRP253" s="9"/>
      <c r="RRQ253" s="9"/>
      <c r="RRR253" s="9"/>
      <c r="RRS253" s="9"/>
      <c r="RRT253" s="9"/>
      <c r="RRU253" s="9"/>
      <c r="RRV253" s="9"/>
      <c r="RRW253" s="9"/>
      <c r="RRX253" s="9"/>
      <c r="RRY253" s="9"/>
      <c r="RRZ253" s="9"/>
      <c r="RSA253" s="9"/>
      <c r="RSB253" s="9"/>
      <c r="RSC253" s="9"/>
      <c r="RSD253" s="9"/>
      <c r="RSE253" s="9"/>
      <c r="RSF253" s="9"/>
      <c r="RSG253" s="9"/>
      <c r="RSH253" s="9"/>
      <c r="RSI253" s="9"/>
      <c r="RSJ253" s="9"/>
      <c r="RSK253" s="9"/>
      <c r="RSL253" s="9"/>
      <c r="RSM253" s="9"/>
      <c r="RSN253" s="9"/>
      <c r="RSO253" s="9"/>
      <c r="RSP253" s="9"/>
      <c r="RSQ253" s="9"/>
      <c r="RSR253" s="9"/>
      <c r="RSS253" s="9"/>
      <c r="RST253" s="9"/>
      <c r="RSU253" s="9"/>
      <c r="RSV253" s="9"/>
      <c r="RSW253" s="9"/>
      <c r="RSX253" s="9"/>
      <c r="RSY253" s="9"/>
      <c r="RSZ253" s="9"/>
      <c r="RTA253" s="9"/>
      <c r="RTB253" s="9"/>
      <c r="RTC253" s="9"/>
      <c r="RTD253" s="9"/>
      <c r="RTE253" s="9"/>
      <c r="RTF253" s="9"/>
      <c r="RTG253" s="9"/>
      <c r="RTH253" s="9"/>
      <c r="RTI253" s="9"/>
      <c r="RTJ253" s="9"/>
      <c r="RTK253" s="9"/>
      <c r="RTL253" s="9"/>
      <c r="RTM253" s="9"/>
      <c r="RTN253" s="9"/>
      <c r="RTO253" s="9"/>
      <c r="RTP253" s="9"/>
      <c r="RTQ253" s="9"/>
      <c r="RTR253" s="9"/>
      <c r="RTS253" s="9"/>
      <c r="RTT253" s="9"/>
      <c r="RTU253" s="9"/>
      <c r="RTV253" s="9"/>
      <c r="RTW253" s="9"/>
      <c r="RTX253" s="9"/>
      <c r="RTY253" s="9"/>
      <c r="RTZ253" s="9"/>
      <c r="RUA253" s="9"/>
      <c r="RUB253" s="9"/>
      <c r="RUC253" s="9"/>
      <c r="RUD253" s="9"/>
      <c r="RUE253" s="9"/>
      <c r="RUF253" s="9"/>
      <c r="RUG253" s="9"/>
      <c r="RUH253" s="9"/>
      <c r="RUI253" s="9"/>
      <c r="RUJ253" s="9"/>
      <c r="RUK253" s="9"/>
      <c r="RUL253" s="9"/>
      <c r="RUM253" s="9"/>
      <c r="RUN253" s="9"/>
      <c r="RUO253" s="9"/>
      <c r="RUP253" s="9"/>
      <c r="RUQ253" s="9"/>
      <c r="RUR253" s="9"/>
      <c r="RUS253" s="9"/>
      <c r="RUT253" s="9"/>
      <c r="RUU253" s="9"/>
      <c r="RUV253" s="9"/>
      <c r="RUW253" s="9"/>
      <c r="RUX253" s="9"/>
      <c r="RUY253" s="9"/>
      <c r="RUZ253" s="9"/>
      <c r="RVA253" s="9"/>
      <c r="RVB253" s="9"/>
      <c r="RVC253" s="9"/>
      <c r="RVD253" s="9"/>
      <c r="RVE253" s="9"/>
      <c r="RVF253" s="9"/>
      <c r="RVG253" s="9"/>
      <c r="RVH253" s="9"/>
      <c r="RVI253" s="9"/>
      <c r="RVJ253" s="9"/>
      <c r="RVK253" s="9"/>
      <c r="RVL253" s="9"/>
      <c r="RVM253" s="9"/>
      <c r="RVN253" s="9"/>
      <c r="RVO253" s="9"/>
      <c r="RVP253" s="9"/>
      <c r="RVQ253" s="9"/>
      <c r="RVR253" s="9"/>
      <c r="RVS253" s="9"/>
      <c r="RVT253" s="9"/>
      <c r="RVU253" s="9"/>
      <c r="RVV253" s="9"/>
      <c r="RVW253" s="9"/>
      <c r="RVX253" s="9"/>
      <c r="RVY253" s="9"/>
      <c r="RVZ253" s="9"/>
      <c r="RWA253" s="9"/>
      <c r="RWB253" s="9"/>
      <c r="RWC253" s="9"/>
      <c r="RWD253" s="9"/>
      <c r="RWE253" s="9"/>
      <c r="RWF253" s="9"/>
      <c r="RWG253" s="9"/>
      <c r="RWH253" s="9"/>
      <c r="RWI253" s="9"/>
      <c r="RWJ253" s="9"/>
      <c r="RWK253" s="9"/>
      <c r="RWL253" s="9"/>
      <c r="RWM253" s="9"/>
      <c r="RWN253" s="9"/>
      <c r="RWO253" s="9"/>
      <c r="RWP253" s="9"/>
      <c r="RWQ253" s="9"/>
      <c r="RWR253" s="9"/>
      <c r="RWS253" s="9"/>
      <c r="RWT253" s="9"/>
      <c r="RWU253" s="9"/>
      <c r="RWV253" s="9"/>
      <c r="RWW253" s="9"/>
      <c r="RWX253" s="9"/>
      <c r="RWY253" s="9"/>
      <c r="RWZ253" s="9"/>
      <c r="RXA253" s="9"/>
      <c r="RXB253" s="9"/>
      <c r="RXC253" s="9"/>
      <c r="RXD253" s="9"/>
      <c r="RXE253" s="9"/>
      <c r="RXF253" s="9"/>
      <c r="RXG253" s="9"/>
      <c r="RXH253" s="9"/>
      <c r="RXI253" s="9"/>
      <c r="RXJ253" s="9"/>
      <c r="RXK253" s="9"/>
      <c r="RXL253" s="9"/>
      <c r="RXM253" s="9"/>
      <c r="RXN253" s="9"/>
      <c r="RXO253" s="9"/>
      <c r="RXP253" s="9"/>
      <c r="RXQ253" s="9"/>
      <c r="RXR253" s="9"/>
      <c r="RXS253" s="9"/>
      <c r="RXT253" s="9"/>
      <c r="RXU253" s="9"/>
      <c r="RXV253" s="9"/>
      <c r="RXW253" s="9"/>
      <c r="RXX253" s="9"/>
      <c r="RXY253" s="9"/>
      <c r="RXZ253" s="9"/>
      <c r="RYA253" s="9"/>
      <c r="RYB253" s="9"/>
      <c r="RYC253" s="9"/>
      <c r="RYD253" s="9"/>
      <c r="RYE253" s="9"/>
      <c r="RYF253" s="9"/>
      <c r="RYG253" s="9"/>
      <c r="RYH253" s="9"/>
      <c r="RYI253" s="9"/>
      <c r="RYJ253" s="9"/>
      <c r="RYK253" s="9"/>
      <c r="RYL253" s="9"/>
      <c r="RYM253" s="9"/>
      <c r="RYN253" s="9"/>
      <c r="RYO253" s="9"/>
      <c r="RYP253" s="9"/>
      <c r="RYQ253" s="9"/>
      <c r="RYR253" s="9"/>
      <c r="RYS253" s="9"/>
      <c r="RYT253" s="9"/>
      <c r="RYU253" s="9"/>
      <c r="RYV253" s="9"/>
      <c r="RYW253" s="9"/>
      <c r="RYX253" s="9"/>
      <c r="RYY253" s="9"/>
      <c r="RYZ253" s="9"/>
      <c r="RZA253" s="9"/>
      <c r="RZB253" s="9"/>
      <c r="RZC253" s="9"/>
      <c r="RZD253" s="9"/>
      <c r="RZE253" s="9"/>
      <c r="RZF253" s="9"/>
      <c r="RZG253" s="9"/>
      <c r="RZH253" s="9"/>
      <c r="RZI253" s="9"/>
      <c r="RZJ253" s="9"/>
      <c r="RZK253" s="9"/>
      <c r="RZL253" s="9"/>
      <c r="RZM253" s="9"/>
      <c r="RZN253" s="9"/>
      <c r="RZO253" s="9"/>
      <c r="RZP253" s="9"/>
      <c r="RZQ253" s="9"/>
      <c r="RZR253" s="9"/>
      <c r="RZS253" s="9"/>
      <c r="RZT253" s="9"/>
      <c r="RZU253" s="9"/>
      <c r="RZV253" s="9"/>
      <c r="RZW253" s="9"/>
      <c r="RZX253" s="9"/>
      <c r="RZY253" s="9"/>
      <c r="RZZ253" s="9"/>
      <c r="SAA253" s="9"/>
      <c r="SAB253" s="9"/>
      <c r="SAC253" s="9"/>
      <c r="SAD253" s="9"/>
      <c r="SAE253" s="9"/>
      <c r="SAF253" s="9"/>
      <c r="SAG253" s="9"/>
      <c r="SAH253" s="9"/>
      <c r="SAI253" s="9"/>
      <c r="SAJ253" s="9"/>
      <c r="SAK253" s="9"/>
      <c r="SAL253" s="9"/>
      <c r="SAM253" s="9"/>
      <c r="SAN253" s="9"/>
      <c r="SAO253" s="9"/>
      <c r="SAP253" s="9"/>
      <c r="SAQ253" s="9"/>
      <c r="SAR253" s="9"/>
      <c r="SAS253" s="9"/>
      <c r="SAT253" s="9"/>
      <c r="SAU253" s="9"/>
      <c r="SAV253" s="9"/>
      <c r="SAW253" s="9"/>
      <c r="SAX253" s="9"/>
      <c r="SAY253" s="9"/>
      <c r="SAZ253" s="9"/>
      <c r="SBA253" s="9"/>
      <c r="SBB253" s="9"/>
      <c r="SBC253" s="9"/>
      <c r="SBD253" s="9"/>
      <c r="SBE253" s="9"/>
      <c r="SBF253" s="9"/>
      <c r="SBG253" s="9"/>
      <c r="SBH253" s="9"/>
      <c r="SBI253" s="9"/>
      <c r="SBJ253" s="9"/>
      <c r="SBK253" s="9"/>
      <c r="SBL253" s="9"/>
      <c r="SBM253" s="9"/>
      <c r="SBN253" s="9"/>
      <c r="SBO253" s="9"/>
      <c r="SBP253" s="9"/>
      <c r="SBQ253" s="9"/>
      <c r="SBR253" s="9"/>
      <c r="SBS253" s="9"/>
      <c r="SBT253" s="9"/>
      <c r="SBU253" s="9"/>
      <c r="SBV253" s="9"/>
      <c r="SBW253" s="9"/>
      <c r="SBX253" s="9"/>
      <c r="SBY253" s="9"/>
      <c r="SBZ253" s="9"/>
      <c r="SCA253" s="9"/>
      <c r="SCB253" s="9"/>
      <c r="SCC253" s="9"/>
      <c r="SCD253" s="9"/>
      <c r="SCE253" s="9"/>
      <c r="SCF253" s="9"/>
      <c r="SCG253" s="9"/>
      <c r="SCH253" s="9"/>
      <c r="SCI253" s="9"/>
      <c r="SCJ253" s="9"/>
      <c r="SCK253" s="9"/>
      <c r="SCL253" s="9"/>
      <c r="SCM253" s="9"/>
      <c r="SCN253" s="9"/>
      <c r="SCO253" s="9"/>
      <c r="SCP253" s="9"/>
      <c r="SCQ253" s="9"/>
      <c r="SCR253" s="9"/>
      <c r="SCS253" s="9"/>
      <c r="SCT253" s="9"/>
      <c r="SCU253" s="9"/>
      <c r="SCV253" s="9"/>
      <c r="SCW253" s="9"/>
      <c r="SCX253" s="9"/>
      <c r="SCY253" s="9"/>
      <c r="SCZ253" s="9"/>
      <c r="SDA253" s="9"/>
      <c r="SDB253" s="9"/>
      <c r="SDC253" s="9"/>
      <c r="SDD253" s="9"/>
      <c r="SDE253" s="9"/>
      <c r="SDF253" s="9"/>
      <c r="SDG253" s="9"/>
      <c r="SDH253" s="9"/>
      <c r="SDI253" s="9"/>
      <c r="SDJ253" s="9"/>
      <c r="SDK253" s="9"/>
      <c r="SDL253" s="9"/>
      <c r="SDM253" s="9"/>
      <c r="SDN253" s="9"/>
      <c r="SDO253" s="9"/>
      <c r="SDP253" s="9"/>
      <c r="SDQ253" s="9"/>
      <c r="SDR253" s="9"/>
      <c r="SDS253" s="9"/>
      <c r="SDT253" s="9"/>
      <c r="SDU253" s="9"/>
      <c r="SDV253" s="9"/>
      <c r="SDW253" s="9"/>
      <c r="SDX253" s="9"/>
      <c r="SDY253" s="9"/>
      <c r="SDZ253" s="9"/>
      <c r="SEA253" s="9"/>
      <c r="SEB253" s="9"/>
      <c r="SEC253" s="9"/>
      <c r="SED253" s="9"/>
      <c r="SEE253" s="9"/>
      <c r="SEF253" s="9"/>
      <c r="SEG253" s="9"/>
      <c r="SEH253" s="9"/>
      <c r="SEI253" s="9"/>
      <c r="SEJ253" s="9"/>
      <c r="SEK253" s="9"/>
      <c r="SEL253" s="9"/>
      <c r="SEM253" s="9"/>
      <c r="SEN253" s="9"/>
      <c r="SEO253" s="9"/>
      <c r="SEP253" s="9"/>
      <c r="SEQ253" s="9"/>
      <c r="SER253" s="9"/>
      <c r="SES253" s="9"/>
      <c r="SET253" s="9"/>
      <c r="SEU253" s="9"/>
      <c r="SEV253" s="9"/>
      <c r="SEW253" s="9"/>
      <c r="SEX253" s="9"/>
      <c r="SEY253" s="9"/>
      <c r="SEZ253" s="9"/>
      <c r="SFA253" s="9"/>
      <c r="SFB253" s="9"/>
      <c r="SFC253" s="9"/>
      <c r="SFD253" s="9"/>
      <c r="SFE253" s="9"/>
      <c r="SFF253" s="9"/>
      <c r="SFG253" s="9"/>
      <c r="SFH253" s="9"/>
      <c r="SFI253" s="9"/>
      <c r="SFJ253" s="9"/>
      <c r="SFK253" s="9"/>
      <c r="SFL253" s="9"/>
      <c r="SFM253" s="9"/>
      <c r="SFN253" s="9"/>
      <c r="SFO253" s="9"/>
      <c r="SFP253" s="9"/>
      <c r="SFQ253" s="9"/>
      <c r="SFR253" s="9"/>
      <c r="SFS253" s="9"/>
      <c r="SFT253" s="9"/>
      <c r="SFU253" s="9"/>
      <c r="SFV253" s="9"/>
      <c r="SFW253" s="9"/>
      <c r="SFX253" s="9"/>
      <c r="SFY253" s="9"/>
      <c r="SFZ253" s="9"/>
      <c r="SGA253" s="9"/>
      <c r="SGB253" s="9"/>
      <c r="SGC253" s="9"/>
      <c r="SGD253" s="9"/>
      <c r="SGE253" s="9"/>
      <c r="SGF253" s="9"/>
      <c r="SGG253" s="9"/>
      <c r="SGH253" s="9"/>
      <c r="SGI253" s="9"/>
      <c r="SGJ253" s="9"/>
      <c r="SGK253" s="9"/>
      <c r="SGL253" s="9"/>
      <c r="SGM253" s="9"/>
      <c r="SGN253" s="9"/>
      <c r="SGO253" s="9"/>
      <c r="SGP253" s="9"/>
      <c r="SGQ253" s="9"/>
      <c r="SGR253" s="9"/>
      <c r="SGS253" s="9"/>
      <c r="SGT253" s="9"/>
      <c r="SGU253" s="9"/>
      <c r="SGV253" s="9"/>
      <c r="SGW253" s="9"/>
      <c r="SGX253" s="9"/>
      <c r="SGY253" s="9"/>
      <c r="SGZ253" s="9"/>
      <c r="SHA253" s="9"/>
      <c r="SHB253" s="9"/>
      <c r="SHC253" s="9"/>
      <c r="SHD253" s="9"/>
      <c r="SHE253" s="9"/>
      <c r="SHF253" s="9"/>
      <c r="SHG253" s="9"/>
      <c r="SHH253" s="9"/>
      <c r="SHI253" s="9"/>
      <c r="SHJ253" s="9"/>
      <c r="SHK253" s="9"/>
      <c r="SHL253" s="9"/>
      <c r="SHM253" s="9"/>
      <c r="SHN253" s="9"/>
      <c r="SHO253" s="9"/>
      <c r="SHP253" s="9"/>
      <c r="SHQ253" s="9"/>
      <c r="SHR253" s="9"/>
      <c r="SHS253" s="9"/>
      <c r="SHT253" s="9"/>
      <c r="SHU253" s="9"/>
      <c r="SHV253" s="9"/>
      <c r="SHW253" s="9"/>
      <c r="SHX253" s="9"/>
      <c r="SHY253" s="9"/>
      <c r="SHZ253" s="9"/>
      <c r="SIA253" s="9"/>
      <c r="SIB253" s="9"/>
      <c r="SIC253" s="9"/>
      <c r="SID253" s="9"/>
      <c r="SIE253" s="9"/>
      <c r="SIF253" s="9"/>
      <c r="SIG253" s="9"/>
      <c r="SIH253" s="9"/>
      <c r="SII253" s="9"/>
      <c r="SIJ253" s="9"/>
      <c r="SIK253" s="9"/>
      <c r="SIL253" s="9"/>
      <c r="SIM253" s="9"/>
      <c r="SIN253" s="9"/>
      <c r="SIO253" s="9"/>
      <c r="SIP253" s="9"/>
      <c r="SIQ253" s="9"/>
      <c r="SIR253" s="9"/>
      <c r="SIS253" s="9"/>
      <c r="SIT253" s="9"/>
      <c r="SIU253" s="9"/>
      <c r="SIV253" s="9"/>
      <c r="SIW253" s="9"/>
      <c r="SIX253" s="9"/>
      <c r="SIY253" s="9"/>
      <c r="SIZ253" s="9"/>
      <c r="SJA253" s="9"/>
      <c r="SJB253" s="9"/>
      <c r="SJC253" s="9"/>
      <c r="SJD253" s="9"/>
      <c r="SJE253" s="9"/>
      <c r="SJF253" s="9"/>
      <c r="SJG253" s="9"/>
      <c r="SJH253" s="9"/>
      <c r="SJI253" s="9"/>
      <c r="SJJ253" s="9"/>
      <c r="SJK253" s="9"/>
      <c r="SJL253" s="9"/>
      <c r="SJM253" s="9"/>
      <c r="SJN253" s="9"/>
      <c r="SJO253" s="9"/>
      <c r="SJP253" s="9"/>
      <c r="SJQ253" s="9"/>
      <c r="SJR253" s="9"/>
      <c r="SJS253" s="9"/>
      <c r="SJT253" s="9"/>
      <c r="SJU253" s="9"/>
      <c r="SJV253" s="9"/>
      <c r="SJW253" s="9"/>
      <c r="SJX253" s="9"/>
      <c r="SJY253" s="9"/>
      <c r="SJZ253" s="9"/>
      <c r="SKA253" s="9"/>
      <c r="SKB253" s="9"/>
      <c r="SKC253" s="9"/>
      <c r="SKD253" s="9"/>
      <c r="SKE253" s="9"/>
      <c r="SKF253" s="9"/>
      <c r="SKG253" s="9"/>
      <c r="SKH253" s="9"/>
      <c r="SKI253" s="9"/>
      <c r="SKJ253" s="9"/>
      <c r="SKK253" s="9"/>
      <c r="SKL253" s="9"/>
      <c r="SKM253" s="9"/>
      <c r="SKN253" s="9"/>
      <c r="SKO253" s="9"/>
      <c r="SKP253" s="9"/>
      <c r="SKQ253" s="9"/>
      <c r="SKR253" s="9"/>
      <c r="SKS253" s="9"/>
      <c r="SKT253" s="9"/>
      <c r="SKU253" s="9"/>
      <c r="SKV253" s="9"/>
      <c r="SKW253" s="9"/>
      <c r="SKX253" s="9"/>
      <c r="SKY253" s="9"/>
      <c r="SKZ253" s="9"/>
      <c r="SLA253" s="9"/>
      <c r="SLB253" s="9"/>
      <c r="SLC253" s="9"/>
      <c r="SLD253" s="9"/>
      <c r="SLE253" s="9"/>
      <c r="SLF253" s="9"/>
      <c r="SLG253" s="9"/>
      <c r="SLH253" s="9"/>
      <c r="SLI253" s="9"/>
      <c r="SLJ253" s="9"/>
      <c r="SLK253" s="9"/>
      <c r="SLL253" s="9"/>
      <c r="SLM253" s="9"/>
      <c r="SLN253" s="9"/>
      <c r="SLO253" s="9"/>
      <c r="SLP253" s="9"/>
      <c r="SLQ253" s="9"/>
      <c r="SLR253" s="9"/>
      <c r="SLS253" s="9"/>
      <c r="SLT253" s="9"/>
      <c r="SLU253" s="9"/>
      <c r="SLV253" s="9"/>
      <c r="SLW253" s="9"/>
      <c r="SLX253" s="9"/>
      <c r="SLY253" s="9"/>
      <c r="SLZ253" s="9"/>
      <c r="SMA253" s="9"/>
      <c r="SMB253" s="9"/>
      <c r="SMC253" s="9"/>
      <c r="SMD253" s="9"/>
      <c r="SME253" s="9"/>
      <c r="SMF253" s="9"/>
      <c r="SMG253" s="9"/>
      <c r="SMH253" s="9"/>
      <c r="SMI253" s="9"/>
      <c r="SMJ253" s="9"/>
      <c r="SMK253" s="9"/>
      <c r="SML253" s="9"/>
      <c r="SMM253" s="9"/>
      <c r="SMN253" s="9"/>
      <c r="SMO253" s="9"/>
      <c r="SMP253" s="9"/>
      <c r="SMQ253" s="9"/>
      <c r="SMR253" s="9"/>
      <c r="SMS253" s="9"/>
      <c r="SMT253" s="9"/>
      <c r="SMU253" s="9"/>
      <c r="SMV253" s="9"/>
      <c r="SMW253" s="9"/>
      <c r="SMX253" s="9"/>
      <c r="SMY253" s="9"/>
      <c r="SMZ253" s="9"/>
      <c r="SNA253" s="9"/>
      <c r="SNB253" s="9"/>
      <c r="SNC253" s="9"/>
      <c r="SND253" s="9"/>
      <c r="SNE253" s="9"/>
      <c r="SNF253" s="9"/>
      <c r="SNG253" s="9"/>
      <c r="SNH253" s="9"/>
      <c r="SNI253" s="9"/>
      <c r="SNJ253" s="9"/>
      <c r="SNK253" s="9"/>
      <c r="SNL253" s="9"/>
      <c r="SNM253" s="9"/>
      <c r="SNN253" s="9"/>
      <c r="SNO253" s="9"/>
      <c r="SNP253" s="9"/>
      <c r="SNQ253" s="9"/>
      <c r="SNR253" s="9"/>
      <c r="SNS253" s="9"/>
      <c r="SNT253" s="9"/>
      <c r="SNU253" s="9"/>
      <c r="SNV253" s="9"/>
      <c r="SNW253" s="9"/>
      <c r="SNX253" s="9"/>
      <c r="SNY253" s="9"/>
      <c r="SNZ253" s="9"/>
      <c r="SOA253" s="9"/>
      <c r="SOB253" s="9"/>
      <c r="SOC253" s="9"/>
      <c r="SOD253" s="9"/>
      <c r="SOE253" s="9"/>
      <c r="SOF253" s="9"/>
      <c r="SOG253" s="9"/>
      <c r="SOH253" s="9"/>
      <c r="SOI253" s="9"/>
      <c r="SOJ253" s="9"/>
      <c r="SOK253" s="9"/>
      <c r="SOL253" s="9"/>
      <c r="SOM253" s="9"/>
      <c r="SON253" s="9"/>
      <c r="SOO253" s="9"/>
      <c r="SOP253" s="9"/>
      <c r="SOQ253" s="9"/>
      <c r="SOR253" s="9"/>
      <c r="SOS253" s="9"/>
      <c r="SOT253" s="9"/>
      <c r="SOU253" s="9"/>
      <c r="SOV253" s="9"/>
      <c r="SOW253" s="9"/>
      <c r="SOX253" s="9"/>
      <c r="SOY253" s="9"/>
      <c r="SOZ253" s="9"/>
      <c r="SPA253" s="9"/>
      <c r="SPB253" s="9"/>
      <c r="SPC253" s="9"/>
      <c r="SPD253" s="9"/>
      <c r="SPE253" s="9"/>
      <c r="SPF253" s="9"/>
      <c r="SPG253" s="9"/>
      <c r="SPH253" s="9"/>
      <c r="SPI253" s="9"/>
      <c r="SPJ253" s="9"/>
      <c r="SPK253" s="9"/>
      <c r="SPL253" s="9"/>
      <c r="SPM253" s="9"/>
      <c r="SPN253" s="9"/>
      <c r="SPO253" s="9"/>
      <c r="SPP253" s="9"/>
      <c r="SPQ253" s="9"/>
      <c r="SPR253" s="9"/>
      <c r="SPS253" s="9"/>
      <c r="SPT253" s="9"/>
      <c r="SPU253" s="9"/>
      <c r="SPV253" s="9"/>
      <c r="SPW253" s="9"/>
      <c r="SPX253" s="9"/>
      <c r="SPY253" s="9"/>
      <c r="SPZ253" s="9"/>
      <c r="SQA253" s="9"/>
      <c r="SQB253" s="9"/>
      <c r="SQC253" s="9"/>
      <c r="SQD253" s="9"/>
      <c r="SQE253" s="9"/>
      <c r="SQF253" s="9"/>
      <c r="SQG253" s="9"/>
      <c r="SQH253" s="9"/>
      <c r="SQI253" s="9"/>
      <c r="SQJ253" s="9"/>
      <c r="SQK253" s="9"/>
      <c r="SQL253" s="9"/>
      <c r="SQM253" s="9"/>
      <c r="SQN253" s="9"/>
      <c r="SQO253" s="9"/>
      <c r="SQP253" s="9"/>
      <c r="SQQ253" s="9"/>
      <c r="SQR253" s="9"/>
      <c r="SQS253" s="9"/>
      <c r="SQT253" s="9"/>
      <c r="SQU253" s="9"/>
      <c r="SQV253" s="9"/>
      <c r="SQW253" s="9"/>
      <c r="SQX253" s="9"/>
      <c r="SQY253" s="9"/>
      <c r="SQZ253" s="9"/>
      <c r="SRA253" s="9"/>
      <c r="SRB253" s="9"/>
      <c r="SRC253" s="9"/>
      <c r="SRD253" s="9"/>
      <c r="SRE253" s="9"/>
      <c r="SRF253" s="9"/>
      <c r="SRG253" s="9"/>
      <c r="SRH253" s="9"/>
      <c r="SRI253" s="9"/>
      <c r="SRJ253" s="9"/>
      <c r="SRK253" s="9"/>
      <c r="SRL253" s="9"/>
      <c r="SRM253" s="9"/>
      <c r="SRN253" s="9"/>
      <c r="SRO253" s="9"/>
      <c r="SRP253" s="9"/>
      <c r="SRQ253" s="9"/>
      <c r="SRR253" s="9"/>
      <c r="SRS253" s="9"/>
      <c r="SRT253" s="9"/>
      <c r="SRU253" s="9"/>
      <c r="SRV253" s="9"/>
      <c r="SRW253" s="9"/>
      <c r="SRX253" s="9"/>
      <c r="SRY253" s="9"/>
      <c r="SRZ253" s="9"/>
      <c r="SSA253" s="9"/>
      <c r="SSB253" s="9"/>
      <c r="SSC253" s="9"/>
      <c r="SSD253" s="9"/>
      <c r="SSE253" s="9"/>
      <c r="SSF253" s="9"/>
      <c r="SSG253" s="9"/>
      <c r="SSH253" s="9"/>
      <c r="SSI253" s="9"/>
      <c r="SSJ253" s="9"/>
      <c r="SSK253" s="9"/>
      <c r="SSL253" s="9"/>
      <c r="SSM253" s="9"/>
      <c r="SSN253" s="9"/>
      <c r="SSO253" s="9"/>
      <c r="SSP253" s="9"/>
      <c r="SSQ253" s="9"/>
      <c r="SSR253" s="9"/>
      <c r="SSS253" s="9"/>
      <c r="SST253" s="9"/>
      <c r="SSU253" s="9"/>
      <c r="SSV253" s="9"/>
      <c r="SSW253" s="9"/>
      <c r="SSX253" s="9"/>
      <c r="SSY253" s="9"/>
      <c r="SSZ253" s="9"/>
      <c r="STA253" s="9"/>
      <c r="STB253" s="9"/>
      <c r="STC253" s="9"/>
      <c r="STD253" s="9"/>
      <c r="STE253" s="9"/>
      <c r="STF253" s="9"/>
      <c r="STG253" s="9"/>
      <c r="STH253" s="9"/>
      <c r="STI253" s="9"/>
      <c r="STJ253" s="9"/>
      <c r="STK253" s="9"/>
      <c r="STL253" s="9"/>
      <c r="STM253" s="9"/>
      <c r="STN253" s="9"/>
      <c r="STO253" s="9"/>
      <c r="STP253" s="9"/>
      <c r="STQ253" s="9"/>
      <c r="STR253" s="9"/>
      <c r="STS253" s="9"/>
      <c r="STT253" s="9"/>
      <c r="STU253" s="9"/>
      <c r="STV253" s="9"/>
      <c r="STW253" s="9"/>
      <c r="STX253" s="9"/>
      <c r="STY253" s="9"/>
      <c r="STZ253" s="9"/>
      <c r="SUA253" s="9"/>
      <c r="SUB253" s="9"/>
      <c r="SUC253" s="9"/>
      <c r="SUD253" s="9"/>
      <c r="SUE253" s="9"/>
      <c r="SUF253" s="9"/>
      <c r="SUG253" s="9"/>
      <c r="SUH253" s="9"/>
      <c r="SUI253" s="9"/>
      <c r="SUJ253" s="9"/>
      <c r="SUK253" s="9"/>
      <c r="SUL253" s="9"/>
      <c r="SUM253" s="9"/>
      <c r="SUN253" s="9"/>
      <c r="SUO253" s="9"/>
      <c r="SUP253" s="9"/>
      <c r="SUQ253" s="9"/>
      <c r="SUR253" s="9"/>
      <c r="SUS253" s="9"/>
      <c r="SUT253" s="9"/>
      <c r="SUU253" s="9"/>
      <c r="SUV253" s="9"/>
      <c r="SUW253" s="9"/>
      <c r="SUX253" s="9"/>
      <c r="SUY253" s="9"/>
      <c r="SUZ253" s="9"/>
      <c r="SVA253" s="9"/>
      <c r="SVB253" s="9"/>
      <c r="SVC253" s="9"/>
      <c r="SVD253" s="9"/>
      <c r="SVE253" s="9"/>
      <c r="SVF253" s="9"/>
      <c r="SVG253" s="9"/>
      <c r="SVH253" s="9"/>
      <c r="SVI253" s="9"/>
      <c r="SVJ253" s="9"/>
      <c r="SVK253" s="9"/>
      <c r="SVL253" s="9"/>
      <c r="SVM253" s="9"/>
      <c r="SVN253" s="9"/>
      <c r="SVO253" s="9"/>
      <c r="SVP253" s="9"/>
      <c r="SVQ253" s="9"/>
      <c r="SVR253" s="9"/>
      <c r="SVS253" s="9"/>
      <c r="SVT253" s="9"/>
      <c r="SVU253" s="9"/>
      <c r="SVV253" s="9"/>
      <c r="SVW253" s="9"/>
      <c r="SVX253" s="9"/>
      <c r="SVY253" s="9"/>
      <c r="SVZ253" s="9"/>
      <c r="SWA253" s="9"/>
      <c r="SWB253" s="9"/>
      <c r="SWC253" s="9"/>
      <c r="SWD253" s="9"/>
      <c r="SWE253" s="9"/>
      <c r="SWF253" s="9"/>
      <c r="SWG253" s="9"/>
      <c r="SWH253" s="9"/>
      <c r="SWI253" s="9"/>
      <c r="SWJ253" s="9"/>
      <c r="SWK253" s="9"/>
      <c r="SWL253" s="9"/>
      <c r="SWM253" s="9"/>
      <c r="SWN253" s="9"/>
      <c r="SWO253" s="9"/>
      <c r="SWP253" s="9"/>
      <c r="SWQ253" s="9"/>
      <c r="SWR253" s="9"/>
      <c r="SWS253" s="9"/>
      <c r="SWT253" s="9"/>
      <c r="SWU253" s="9"/>
      <c r="SWV253" s="9"/>
      <c r="SWW253" s="9"/>
      <c r="SWX253" s="9"/>
      <c r="SWY253" s="9"/>
      <c r="SWZ253" s="9"/>
      <c r="SXA253" s="9"/>
      <c r="SXB253" s="9"/>
      <c r="SXC253" s="9"/>
      <c r="SXD253" s="9"/>
      <c r="SXE253" s="9"/>
      <c r="SXF253" s="9"/>
      <c r="SXG253" s="9"/>
      <c r="SXH253" s="9"/>
      <c r="SXI253" s="9"/>
      <c r="SXJ253" s="9"/>
      <c r="SXK253" s="9"/>
      <c r="SXL253" s="9"/>
      <c r="SXM253" s="9"/>
      <c r="SXN253" s="9"/>
      <c r="SXO253" s="9"/>
      <c r="SXP253" s="9"/>
      <c r="SXQ253" s="9"/>
      <c r="SXR253" s="9"/>
      <c r="SXS253" s="9"/>
      <c r="SXT253" s="9"/>
      <c r="SXU253" s="9"/>
      <c r="SXV253" s="9"/>
      <c r="SXW253" s="9"/>
      <c r="SXX253" s="9"/>
      <c r="SXY253" s="9"/>
      <c r="SXZ253" s="9"/>
      <c r="SYA253" s="9"/>
      <c r="SYB253" s="9"/>
      <c r="SYC253" s="9"/>
      <c r="SYD253" s="9"/>
      <c r="SYE253" s="9"/>
      <c r="SYF253" s="9"/>
      <c r="SYG253" s="9"/>
      <c r="SYH253" s="9"/>
      <c r="SYI253" s="9"/>
      <c r="SYJ253" s="9"/>
      <c r="SYK253" s="9"/>
      <c r="SYL253" s="9"/>
      <c r="SYM253" s="9"/>
      <c r="SYN253" s="9"/>
      <c r="SYO253" s="9"/>
      <c r="SYP253" s="9"/>
      <c r="SYQ253" s="9"/>
      <c r="SYR253" s="9"/>
      <c r="SYS253" s="9"/>
      <c r="SYT253" s="9"/>
      <c r="SYU253" s="9"/>
      <c r="SYV253" s="9"/>
      <c r="SYW253" s="9"/>
      <c r="SYX253" s="9"/>
      <c r="SYY253" s="9"/>
      <c r="SYZ253" s="9"/>
      <c r="SZA253" s="9"/>
      <c r="SZB253" s="9"/>
      <c r="SZC253" s="9"/>
      <c r="SZD253" s="9"/>
      <c r="SZE253" s="9"/>
      <c r="SZF253" s="9"/>
      <c r="SZG253" s="9"/>
      <c r="SZH253" s="9"/>
      <c r="SZI253" s="9"/>
      <c r="SZJ253" s="9"/>
      <c r="SZK253" s="9"/>
      <c r="SZL253" s="9"/>
      <c r="SZM253" s="9"/>
      <c r="SZN253" s="9"/>
      <c r="SZO253" s="9"/>
      <c r="SZP253" s="9"/>
      <c r="SZQ253" s="9"/>
      <c r="SZR253" s="9"/>
      <c r="SZS253" s="9"/>
      <c r="SZT253" s="9"/>
      <c r="SZU253" s="9"/>
      <c r="SZV253" s="9"/>
      <c r="SZW253" s="9"/>
      <c r="SZX253" s="9"/>
      <c r="SZY253" s="9"/>
      <c r="SZZ253" s="9"/>
      <c r="TAA253" s="9"/>
      <c r="TAB253" s="9"/>
      <c r="TAC253" s="9"/>
      <c r="TAD253" s="9"/>
      <c r="TAE253" s="9"/>
      <c r="TAF253" s="9"/>
      <c r="TAG253" s="9"/>
      <c r="TAH253" s="9"/>
      <c r="TAI253" s="9"/>
      <c r="TAJ253" s="9"/>
      <c r="TAK253" s="9"/>
      <c r="TAL253" s="9"/>
      <c r="TAM253" s="9"/>
      <c r="TAN253" s="9"/>
      <c r="TAO253" s="9"/>
      <c r="TAP253" s="9"/>
      <c r="TAQ253" s="9"/>
      <c r="TAR253" s="9"/>
      <c r="TAS253" s="9"/>
      <c r="TAT253" s="9"/>
      <c r="TAU253" s="9"/>
      <c r="TAV253" s="9"/>
      <c r="TAW253" s="9"/>
      <c r="TAX253" s="9"/>
      <c r="TAY253" s="9"/>
      <c r="TAZ253" s="9"/>
      <c r="TBA253" s="9"/>
      <c r="TBB253" s="9"/>
      <c r="TBC253" s="9"/>
      <c r="TBD253" s="9"/>
      <c r="TBE253" s="9"/>
      <c r="TBF253" s="9"/>
      <c r="TBG253" s="9"/>
      <c r="TBH253" s="9"/>
      <c r="TBI253" s="9"/>
      <c r="TBJ253" s="9"/>
      <c r="TBK253" s="9"/>
      <c r="TBL253" s="9"/>
      <c r="TBM253" s="9"/>
      <c r="TBN253" s="9"/>
      <c r="TBO253" s="9"/>
      <c r="TBP253" s="9"/>
      <c r="TBQ253" s="9"/>
      <c r="TBR253" s="9"/>
      <c r="TBS253" s="9"/>
      <c r="TBT253" s="9"/>
      <c r="TBU253" s="9"/>
      <c r="TBV253" s="9"/>
      <c r="TBW253" s="9"/>
      <c r="TBX253" s="9"/>
      <c r="TBY253" s="9"/>
      <c r="TBZ253" s="9"/>
      <c r="TCA253" s="9"/>
      <c r="TCB253" s="9"/>
      <c r="TCC253" s="9"/>
      <c r="TCD253" s="9"/>
      <c r="TCE253" s="9"/>
      <c r="TCF253" s="9"/>
      <c r="TCG253" s="9"/>
      <c r="TCH253" s="9"/>
      <c r="TCI253" s="9"/>
      <c r="TCJ253" s="9"/>
      <c r="TCK253" s="9"/>
      <c r="TCL253" s="9"/>
      <c r="TCM253" s="9"/>
      <c r="TCN253" s="9"/>
      <c r="TCO253" s="9"/>
      <c r="TCP253" s="9"/>
      <c r="TCQ253" s="9"/>
      <c r="TCR253" s="9"/>
      <c r="TCS253" s="9"/>
      <c r="TCT253" s="9"/>
      <c r="TCU253" s="9"/>
      <c r="TCV253" s="9"/>
      <c r="TCW253" s="9"/>
      <c r="TCX253" s="9"/>
      <c r="TCY253" s="9"/>
      <c r="TCZ253" s="9"/>
      <c r="TDA253" s="9"/>
      <c r="TDB253" s="9"/>
      <c r="TDC253" s="9"/>
      <c r="TDD253" s="9"/>
      <c r="TDE253" s="9"/>
      <c r="TDF253" s="9"/>
      <c r="TDG253" s="9"/>
      <c r="TDH253" s="9"/>
      <c r="TDI253" s="9"/>
      <c r="TDJ253" s="9"/>
      <c r="TDK253" s="9"/>
      <c r="TDL253" s="9"/>
      <c r="TDM253" s="9"/>
      <c r="TDN253" s="9"/>
      <c r="TDO253" s="9"/>
      <c r="TDP253" s="9"/>
      <c r="TDQ253" s="9"/>
      <c r="TDR253" s="9"/>
      <c r="TDS253" s="9"/>
      <c r="TDT253" s="9"/>
      <c r="TDU253" s="9"/>
      <c r="TDV253" s="9"/>
      <c r="TDW253" s="9"/>
      <c r="TDX253" s="9"/>
      <c r="TDY253" s="9"/>
      <c r="TDZ253" s="9"/>
      <c r="TEA253" s="9"/>
      <c r="TEB253" s="9"/>
      <c r="TEC253" s="9"/>
      <c r="TED253" s="9"/>
      <c r="TEE253" s="9"/>
      <c r="TEF253" s="9"/>
      <c r="TEG253" s="9"/>
      <c r="TEH253" s="9"/>
      <c r="TEI253" s="9"/>
      <c r="TEJ253" s="9"/>
      <c r="TEK253" s="9"/>
      <c r="TEL253" s="9"/>
      <c r="TEM253" s="9"/>
      <c r="TEN253" s="9"/>
      <c r="TEO253" s="9"/>
      <c r="TEP253" s="9"/>
      <c r="TEQ253" s="9"/>
      <c r="TER253" s="9"/>
      <c r="TES253" s="9"/>
      <c r="TET253" s="9"/>
      <c r="TEU253" s="9"/>
      <c r="TEV253" s="9"/>
      <c r="TEW253" s="9"/>
      <c r="TEX253" s="9"/>
      <c r="TEY253" s="9"/>
      <c r="TEZ253" s="9"/>
      <c r="TFA253" s="9"/>
      <c r="TFB253" s="9"/>
      <c r="TFC253" s="9"/>
      <c r="TFD253" s="9"/>
      <c r="TFE253" s="9"/>
      <c r="TFF253" s="9"/>
      <c r="TFG253" s="9"/>
      <c r="TFH253" s="9"/>
      <c r="TFI253" s="9"/>
      <c r="TFJ253" s="9"/>
      <c r="TFK253" s="9"/>
      <c r="TFL253" s="9"/>
      <c r="TFM253" s="9"/>
      <c r="TFN253" s="9"/>
      <c r="TFO253" s="9"/>
      <c r="TFP253" s="9"/>
      <c r="TFQ253" s="9"/>
      <c r="TFR253" s="9"/>
      <c r="TFS253" s="9"/>
      <c r="TFT253" s="9"/>
      <c r="TFU253" s="9"/>
      <c r="TFV253" s="9"/>
      <c r="TFW253" s="9"/>
      <c r="TFX253" s="9"/>
      <c r="TFY253" s="9"/>
      <c r="TFZ253" s="9"/>
      <c r="TGA253" s="9"/>
      <c r="TGB253" s="9"/>
      <c r="TGC253" s="9"/>
      <c r="TGD253" s="9"/>
      <c r="TGE253" s="9"/>
      <c r="TGF253" s="9"/>
      <c r="TGG253" s="9"/>
      <c r="TGH253" s="9"/>
      <c r="TGI253" s="9"/>
      <c r="TGJ253" s="9"/>
      <c r="TGK253" s="9"/>
      <c r="TGL253" s="9"/>
      <c r="TGM253" s="9"/>
      <c r="TGN253" s="9"/>
      <c r="TGO253" s="9"/>
      <c r="TGP253" s="9"/>
      <c r="TGQ253" s="9"/>
      <c r="TGR253" s="9"/>
      <c r="TGS253" s="9"/>
      <c r="TGT253" s="9"/>
      <c r="TGU253" s="9"/>
      <c r="TGV253" s="9"/>
      <c r="TGW253" s="9"/>
      <c r="TGX253" s="9"/>
      <c r="TGY253" s="9"/>
      <c r="TGZ253" s="9"/>
      <c r="THA253" s="9"/>
      <c r="THB253" s="9"/>
      <c r="THC253" s="9"/>
      <c r="THD253" s="9"/>
      <c r="THE253" s="9"/>
      <c r="THF253" s="9"/>
      <c r="THG253" s="9"/>
      <c r="THH253" s="9"/>
      <c r="THI253" s="9"/>
      <c r="THJ253" s="9"/>
      <c r="THK253" s="9"/>
      <c r="THL253" s="9"/>
      <c r="THM253" s="9"/>
      <c r="THN253" s="9"/>
      <c r="THO253" s="9"/>
      <c r="THP253" s="9"/>
      <c r="THQ253" s="9"/>
      <c r="THR253" s="9"/>
      <c r="THS253" s="9"/>
      <c r="THT253" s="9"/>
      <c r="THU253" s="9"/>
      <c r="THV253" s="9"/>
      <c r="THW253" s="9"/>
      <c r="THX253" s="9"/>
      <c r="THY253" s="9"/>
      <c r="THZ253" s="9"/>
      <c r="TIA253" s="9"/>
      <c r="TIB253" s="9"/>
      <c r="TIC253" s="9"/>
      <c r="TID253" s="9"/>
      <c r="TIE253" s="9"/>
      <c r="TIF253" s="9"/>
      <c r="TIG253" s="9"/>
      <c r="TIH253" s="9"/>
      <c r="TII253" s="9"/>
      <c r="TIJ253" s="9"/>
      <c r="TIK253" s="9"/>
      <c r="TIL253" s="9"/>
      <c r="TIM253" s="9"/>
      <c r="TIN253" s="9"/>
      <c r="TIO253" s="9"/>
      <c r="TIP253" s="9"/>
      <c r="TIQ253" s="9"/>
      <c r="TIR253" s="9"/>
      <c r="TIS253" s="9"/>
      <c r="TIT253" s="9"/>
      <c r="TIU253" s="9"/>
      <c r="TIV253" s="9"/>
      <c r="TIW253" s="9"/>
      <c r="TIX253" s="9"/>
      <c r="TIY253" s="9"/>
      <c r="TIZ253" s="9"/>
      <c r="TJA253" s="9"/>
      <c r="TJB253" s="9"/>
      <c r="TJC253" s="9"/>
      <c r="TJD253" s="9"/>
      <c r="TJE253" s="9"/>
      <c r="TJF253" s="9"/>
      <c r="TJG253" s="9"/>
      <c r="TJH253" s="9"/>
      <c r="TJI253" s="9"/>
      <c r="TJJ253" s="9"/>
      <c r="TJK253" s="9"/>
      <c r="TJL253" s="9"/>
      <c r="TJM253" s="9"/>
      <c r="TJN253" s="9"/>
      <c r="TJO253" s="9"/>
      <c r="TJP253" s="9"/>
      <c r="TJQ253" s="9"/>
      <c r="TJR253" s="9"/>
      <c r="TJS253" s="9"/>
      <c r="TJT253" s="9"/>
      <c r="TJU253" s="9"/>
      <c r="TJV253" s="9"/>
      <c r="TJW253" s="9"/>
      <c r="TJX253" s="9"/>
      <c r="TJY253" s="9"/>
      <c r="TJZ253" s="9"/>
      <c r="TKA253" s="9"/>
      <c r="TKB253" s="9"/>
      <c r="TKC253" s="9"/>
      <c r="TKD253" s="9"/>
      <c r="TKE253" s="9"/>
      <c r="TKF253" s="9"/>
      <c r="TKG253" s="9"/>
      <c r="TKH253" s="9"/>
      <c r="TKI253" s="9"/>
      <c r="TKJ253" s="9"/>
      <c r="TKK253" s="9"/>
      <c r="TKL253" s="9"/>
      <c r="TKM253" s="9"/>
      <c r="TKN253" s="9"/>
      <c r="TKO253" s="9"/>
      <c r="TKP253" s="9"/>
      <c r="TKQ253" s="9"/>
      <c r="TKR253" s="9"/>
      <c r="TKS253" s="9"/>
      <c r="TKT253" s="9"/>
      <c r="TKU253" s="9"/>
      <c r="TKV253" s="9"/>
      <c r="TKW253" s="9"/>
      <c r="TKX253" s="9"/>
      <c r="TKY253" s="9"/>
      <c r="TKZ253" s="9"/>
      <c r="TLA253" s="9"/>
      <c r="TLB253" s="9"/>
      <c r="TLC253" s="9"/>
      <c r="TLD253" s="9"/>
      <c r="TLE253" s="9"/>
      <c r="TLF253" s="9"/>
      <c r="TLG253" s="9"/>
      <c r="TLH253" s="9"/>
      <c r="TLI253" s="9"/>
      <c r="TLJ253" s="9"/>
      <c r="TLK253" s="9"/>
      <c r="TLL253" s="9"/>
      <c r="TLM253" s="9"/>
      <c r="TLN253" s="9"/>
      <c r="TLO253" s="9"/>
      <c r="TLP253" s="9"/>
      <c r="TLQ253" s="9"/>
      <c r="TLR253" s="9"/>
      <c r="TLS253" s="9"/>
      <c r="TLT253" s="9"/>
      <c r="TLU253" s="9"/>
      <c r="TLV253" s="9"/>
      <c r="TLW253" s="9"/>
      <c r="TLX253" s="9"/>
      <c r="TLY253" s="9"/>
      <c r="TLZ253" s="9"/>
      <c r="TMA253" s="9"/>
      <c r="TMB253" s="9"/>
      <c r="TMC253" s="9"/>
      <c r="TMD253" s="9"/>
      <c r="TME253" s="9"/>
      <c r="TMF253" s="9"/>
      <c r="TMG253" s="9"/>
      <c r="TMH253" s="9"/>
      <c r="TMI253" s="9"/>
      <c r="TMJ253" s="9"/>
      <c r="TMK253" s="9"/>
      <c r="TML253" s="9"/>
      <c r="TMM253" s="9"/>
      <c r="TMN253" s="9"/>
      <c r="TMO253" s="9"/>
      <c r="TMP253" s="9"/>
      <c r="TMQ253" s="9"/>
      <c r="TMR253" s="9"/>
      <c r="TMS253" s="9"/>
      <c r="TMT253" s="9"/>
      <c r="TMU253" s="9"/>
      <c r="TMV253" s="9"/>
      <c r="TMW253" s="9"/>
      <c r="TMX253" s="9"/>
      <c r="TMY253" s="9"/>
      <c r="TMZ253" s="9"/>
      <c r="TNA253" s="9"/>
      <c r="TNB253" s="9"/>
      <c r="TNC253" s="9"/>
      <c r="TND253" s="9"/>
      <c r="TNE253" s="9"/>
      <c r="TNF253" s="9"/>
      <c r="TNG253" s="9"/>
      <c r="TNH253" s="9"/>
      <c r="TNI253" s="9"/>
      <c r="TNJ253" s="9"/>
      <c r="TNK253" s="9"/>
      <c r="TNL253" s="9"/>
      <c r="TNM253" s="9"/>
      <c r="TNN253" s="9"/>
      <c r="TNO253" s="9"/>
      <c r="TNP253" s="9"/>
      <c r="TNQ253" s="9"/>
      <c r="TNR253" s="9"/>
      <c r="TNS253" s="9"/>
      <c r="TNT253" s="9"/>
      <c r="TNU253" s="9"/>
      <c r="TNV253" s="9"/>
      <c r="TNW253" s="9"/>
      <c r="TNX253" s="9"/>
      <c r="TNY253" s="9"/>
      <c r="TNZ253" s="9"/>
      <c r="TOA253" s="9"/>
      <c r="TOB253" s="9"/>
      <c r="TOC253" s="9"/>
      <c r="TOD253" s="9"/>
      <c r="TOE253" s="9"/>
      <c r="TOF253" s="9"/>
      <c r="TOG253" s="9"/>
      <c r="TOH253" s="9"/>
      <c r="TOI253" s="9"/>
      <c r="TOJ253" s="9"/>
      <c r="TOK253" s="9"/>
      <c r="TOL253" s="9"/>
      <c r="TOM253" s="9"/>
      <c r="TON253" s="9"/>
      <c r="TOO253" s="9"/>
      <c r="TOP253" s="9"/>
      <c r="TOQ253" s="9"/>
      <c r="TOR253" s="9"/>
      <c r="TOS253" s="9"/>
      <c r="TOT253" s="9"/>
      <c r="TOU253" s="9"/>
      <c r="TOV253" s="9"/>
      <c r="TOW253" s="9"/>
      <c r="TOX253" s="9"/>
      <c r="TOY253" s="9"/>
      <c r="TOZ253" s="9"/>
      <c r="TPA253" s="9"/>
      <c r="TPB253" s="9"/>
      <c r="TPC253" s="9"/>
      <c r="TPD253" s="9"/>
      <c r="TPE253" s="9"/>
      <c r="TPF253" s="9"/>
      <c r="TPG253" s="9"/>
      <c r="TPH253" s="9"/>
      <c r="TPI253" s="9"/>
      <c r="TPJ253" s="9"/>
      <c r="TPK253" s="9"/>
      <c r="TPL253" s="9"/>
      <c r="TPM253" s="9"/>
      <c r="TPN253" s="9"/>
      <c r="TPO253" s="9"/>
      <c r="TPP253" s="9"/>
      <c r="TPQ253" s="9"/>
      <c r="TPR253" s="9"/>
      <c r="TPS253" s="9"/>
      <c r="TPT253" s="9"/>
      <c r="TPU253" s="9"/>
      <c r="TPV253" s="9"/>
      <c r="TPW253" s="9"/>
      <c r="TPX253" s="9"/>
      <c r="TPY253" s="9"/>
      <c r="TPZ253" s="9"/>
      <c r="TQA253" s="9"/>
      <c r="TQB253" s="9"/>
      <c r="TQC253" s="9"/>
      <c r="TQD253" s="9"/>
      <c r="TQE253" s="9"/>
      <c r="TQF253" s="9"/>
      <c r="TQG253" s="9"/>
      <c r="TQH253" s="9"/>
      <c r="TQI253" s="9"/>
      <c r="TQJ253" s="9"/>
      <c r="TQK253" s="9"/>
      <c r="TQL253" s="9"/>
      <c r="TQM253" s="9"/>
      <c r="TQN253" s="9"/>
      <c r="TQO253" s="9"/>
      <c r="TQP253" s="9"/>
      <c r="TQQ253" s="9"/>
      <c r="TQR253" s="9"/>
      <c r="TQS253" s="9"/>
      <c r="TQT253" s="9"/>
      <c r="TQU253" s="9"/>
      <c r="TQV253" s="9"/>
      <c r="TQW253" s="9"/>
      <c r="TQX253" s="9"/>
      <c r="TQY253" s="9"/>
      <c r="TQZ253" s="9"/>
      <c r="TRA253" s="9"/>
      <c r="TRB253" s="9"/>
      <c r="TRC253" s="9"/>
      <c r="TRD253" s="9"/>
      <c r="TRE253" s="9"/>
      <c r="TRF253" s="9"/>
      <c r="TRG253" s="9"/>
      <c r="TRH253" s="9"/>
      <c r="TRI253" s="9"/>
      <c r="TRJ253" s="9"/>
      <c r="TRK253" s="9"/>
      <c r="TRL253" s="9"/>
      <c r="TRM253" s="9"/>
      <c r="TRN253" s="9"/>
      <c r="TRO253" s="9"/>
      <c r="TRP253" s="9"/>
      <c r="TRQ253" s="9"/>
      <c r="TRR253" s="9"/>
      <c r="TRS253" s="9"/>
      <c r="TRT253" s="9"/>
      <c r="TRU253" s="9"/>
      <c r="TRV253" s="9"/>
      <c r="TRW253" s="9"/>
      <c r="TRX253" s="9"/>
      <c r="TRY253" s="9"/>
      <c r="TRZ253" s="9"/>
      <c r="TSA253" s="9"/>
      <c r="TSB253" s="9"/>
      <c r="TSC253" s="9"/>
      <c r="TSD253" s="9"/>
      <c r="TSE253" s="9"/>
      <c r="TSF253" s="9"/>
      <c r="TSG253" s="9"/>
      <c r="TSH253" s="9"/>
      <c r="TSI253" s="9"/>
      <c r="TSJ253" s="9"/>
      <c r="TSK253" s="9"/>
      <c r="TSL253" s="9"/>
      <c r="TSM253" s="9"/>
      <c r="TSN253" s="9"/>
      <c r="TSO253" s="9"/>
      <c r="TSP253" s="9"/>
      <c r="TSQ253" s="9"/>
      <c r="TSR253" s="9"/>
      <c r="TSS253" s="9"/>
      <c r="TST253" s="9"/>
      <c r="TSU253" s="9"/>
      <c r="TSV253" s="9"/>
      <c r="TSW253" s="9"/>
      <c r="TSX253" s="9"/>
      <c r="TSY253" s="9"/>
      <c r="TSZ253" s="9"/>
      <c r="TTA253" s="9"/>
      <c r="TTB253" s="9"/>
      <c r="TTC253" s="9"/>
      <c r="TTD253" s="9"/>
      <c r="TTE253" s="9"/>
      <c r="TTF253" s="9"/>
      <c r="TTG253" s="9"/>
      <c r="TTH253" s="9"/>
      <c r="TTI253" s="9"/>
      <c r="TTJ253" s="9"/>
      <c r="TTK253" s="9"/>
      <c r="TTL253" s="9"/>
      <c r="TTM253" s="9"/>
      <c r="TTN253" s="9"/>
      <c r="TTO253" s="9"/>
      <c r="TTP253" s="9"/>
      <c r="TTQ253" s="9"/>
      <c r="TTR253" s="9"/>
      <c r="TTS253" s="9"/>
      <c r="TTT253" s="9"/>
      <c r="TTU253" s="9"/>
      <c r="TTV253" s="9"/>
      <c r="TTW253" s="9"/>
      <c r="TTX253" s="9"/>
      <c r="TTY253" s="9"/>
      <c r="TTZ253" s="9"/>
      <c r="TUA253" s="9"/>
      <c r="TUB253" s="9"/>
      <c r="TUC253" s="9"/>
      <c r="TUD253" s="9"/>
      <c r="TUE253" s="9"/>
      <c r="TUF253" s="9"/>
      <c r="TUG253" s="9"/>
      <c r="TUH253" s="9"/>
      <c r="TUI253" s="9"/>
      <c r="TUJ253" s="9"/>
      <c r="TUK253" s="9"/>
      <c r="TUL253" s="9"/>
      <c r="TUM253" s="9"/>
      <c r="TUN253" s="9"/>
      <c r="TUO253" s="9"/>
      <c r="TUP253" s="9"/>
      <c r="TUQ253" s="9"/>
      <c r="TUR253" s="9"/>
      <c r="TUS253" s="9"/>
      <c r="TUT253" s="9"/>
      <c r="TUU253" s="9"/>
      <c r="TUV253" s="9"/>
      <c r="TUW253" s="9"/>
      <c r="TUX253" s="9"/>
      <c r="TUY253" s="9"/>
      <c r="TUZ253" s="9"/>
      <c r="TVA253" s="9"/>
      <c r="TVB253" s="9"/>
      <c r="TVC253" s="9"/>
      <c r="TVD253" s="9"/>
      <c r="TVE253" s="9"/>
      <c r="TVF253" s="9"/>
      <c r="TVG253" s="9"/>
      <c r="TVH253" s="9"/>
      <c r="TVI253" s="9"/>
      <c r="TVJ253" s="9"/>
      <c r="TVK253" s="9"/>
      <c r="TVL253" s="9"/>
      <c r="TVM253" s="9"/>
      <c r="TVN253" s="9"/>
      <c r="TVO253" s="9"/>
      <c r="TVP253" s="9"/>
      <c r="TVQ253" s="9"/>
      <c r="TVR253" s="9"/>
      <c r="TVS253" s="9"/>
      <c r="TVT253" s="9"/>
      <c r="TVU253" s="9"/>
      <c r="TVV253" s="9"/>
      <c r="TVW253" s="9"/>
      <c r="TVX253" s="9"/>
      <c r="TVY253" s="9"/>
      <c r="TVZ253" s="9"/>
      <c r="TWA253" s="9"/>
      <c r="TWB253" s="9"/>
      <c r="TWC253" s="9"/>
      <c r="TWD253" s="9"/>
      <c r="TWE253" s="9"/>
      <c r="TWF253" s="9"/>
      <c r="TWG253" s="9"/>
      <c r="TWH253" s="9"/>
      <c r="TWI253" s="9"/>
      <c r="TWJ253" s="9"/>
      <c r="TWK253" s="9"/>
      <c r="TWL253" s="9"/>
      <c r="TWM253" s="9"/>
      <c r="TWN253" s="9"/>
      <c r="TWO253" s="9"/>
      <c r="TWP253" s="9"/>
      <c r="TWQ253" s="9"/>
      <c r="TWR253" s="9"/>
      <c r="TWS253" s="9"/>
      <c r="TWT253" s="9"/>
      <c r="TWU253" s="9"/>
      <c r="TWV253" s="9"/>
      <c r="TWW253" s="9"/>
      <c r="TWX253" s="9"/>
      <c r="TWY253" s="9"/>
      <c r="TWZ253" s="9"/>
      <c r="TXA253" s="9"/>
      <c r="TXB253" s="9"/>
      <c r="TXC253" s="9"/>
      <c r="TXD253" s="9"/>
      <c r="TXE253" s="9"/>
      <c r="TXF253" s="9"/>
      <c r="TXG253" s="9"/>
      <c r="TXH253" s="9"/>
      <c r="TXI253" s="9"/>
      <c r="TXJ253" s="9"/>
      <c r="TXK253" s="9"/>
      <c r="TXL253" s="9"/>
      <c r="TXM253" s="9"/>
      <c r="TXN253" s="9"/>
      <c r="TXO253" s="9"/>
      <c r="TXP253" s="9"/>
      <c r="TXQ253" s="9"/>
      <c r="TXR253" s="9"/>
      <c r="TXS253" s="9"/>
      <c r="TXT253" s="9"/>
      <c r="TXU253" s="9"/>
      <c r="TXV253" s="9"/>
      <c r="TXW253" s="9"/>
      <c r="TXX253" s="9"/>
      <c r="TXY253" s="9"/>
      <c r="TXZ253" s="9"/>
      <c r="TYA253" s="9"/>
      <c r="TYB253" s="9"/>
      <c r="TYC253" s="9"/>
      <c r="TYD253" s="9"/>
      <c r="TYE253" s="9"/>
      <c r="TYF253" s="9"/>
      <c r="TYG253" s="9"/>
      <c r="TYH253" s="9"/>
      <c r="TYI253" s="9"/>
      <c r="TYJ253" s="9"/>
      <c r="TYK253" s="9"/>
      <c r="TYL253" s="9"/>
      <c r="TYM253" s="9"/>
      <c r="TYN253" s="9"/>
      <c r="TYO253" s="9"/>
      <c r="TYP253" s="9"/>
      <c r="TYQ253" s="9"/>
      <c r="TYR253" s="9"/>
      <c r="TYS253" s="9"/>
      <c r="TYT253" s="9"/>
      <c r="TYU253" s="9"/>
      <c r="TYV253" s="9"/>
      <c r="TYW253" s="9"/>
      <c r="TYX253" s="9"/>
      <c r="TYY253" s="9"/>
      <c r="TYZ253" s="9"/>
      <c r="TZA253" s="9"/>
      <c r="TZB253" s="9"/>
      <c r="TZC253" s="9"/>
      <c r="TZD253" s="9"/>
      <c r="TZE253" s="9"/>
      <c r="TZF253" s="9"/>
      <c r="TZG253" s="9"/>
      <c r="TZH253" s="9"/>
      <c r="TZI253" s="9"/>
      <c r="TZJ253" s="9"/>
      <c r="TZK253" s="9"/>
      <c r="TZL253" s="9"/>
      <c r="TZM253" s="9"/>
      <c r="TZN253" s="9"/>
      <c r="TZO253" s="9"/>
      <c r="TZP253" s="9"/>
      <c r="TZQ253" s="9"/>
      <c r="TZR253" s="9"/>
      <c r="TZS253" s="9"/>
      <c r="TZT253" s="9"/>
      <c r="TZU253" s="9"/>
      <c r="TZV253" s="9"/>
      <c r="TZW253" s="9"/>
      <c r="TZX253" s="9"/>
      <c r="TZY253" s="9"/>
      <c r="TZZ253" s="9"/>
      <c r="UAA253" s="9"/>
      <c r="UAB253" s="9"/>
      <c r="UAC253" s="9"/>
      <c r="UAD253" s="9"/>
      <c r="UAE253" s="9"/>
      <c r="UAF253" s="9"/>
      <c r="UAG253" s="9"/>
      <c r="UAH253" s="9"/>
      <c r="UAI253" s="9"/>
      <c r="UAJ253" s="9"/>
      <c r="UAK253" s="9"/>
      <c r="UAL253" s="9"/>
      <c r="UAM253" s="9"/>
      <c r="UAN253" s="9"/>
      <c r="UAO253" s="9"/>
      <c r="UAP253" s="9"/>
      <c r="UAQ253" s="9"/>
      <c r="UAR253" s="9"/>
      <c r="UAS253" s="9"/>
      <c r="UAT253" s="9"/>
      <c r="UAU253" s="9"/>
      <c r="UAV253" s="9"/>
      <c r="UAW253" s="9"/>
      <c r="UAX253" s="9"/>
      <c r="UAY253" s="9"/>
      <c r="UAZ253" s="9"/>
      <c r="UBA253" s="9"/>
      <c r="UBB253" s="9"/>
      <c r="UBC253" s="9"/>
      <c r="UBD253" s="9"/>
      <c r="UBE253" s="9"/>
      <c r="UBF253" s="9"/>
      <c r="UBG253" s="9"/>
      <c r="UBH253" s="9"/>
      <c r="UBI253" s="9"/>
      <c r="UBJ253" s="9"/>
      <c r="UBK253" s="9"/>
      <c r="UBL253" s="9"/>
      <c r="UBM253" s="9"/>
      <c r="UBN253" s="9"/>
      <c r="UBO253" s="9"/>
      <c r="UBP253" s="9"/>
      <c r="UBQ253" s="9"/>
      <c r="UBR253" s="9"/>
      <c r="UBS253" s="9"/>
      <c r="UBT253" s="9"/>
      <c r="UBU253" s="9"/>
      <c r="UBV253" s="9"/>
      <c r="UBW253" s="9"/>
      <c r="UBX253" s="9"/>
      <c r="UBY253" s="9"/>
      <c r="UBZ253" s="9"/>
      <c r="UCA253" s="9"/>
      <c r="UCB253" s="9"/>
      <c r="UCC253" s="9"/>
      <c r="UCD253" s="9"/>
      <c r="UCE253" s="9"/>
      <c r="UCF253" s="9"/>
      <c r="UCG253" s="9"/>
      <c r="UCH253" s="9"/>
      <c r="UCI253" s="9"/>
      <c r="UCJ253" s="9"/>
      <c r="UCK253" s="9"/>
      <c r="UCL253" s="9"/>
      <c r="UCM253" s="9"/>
      <c r="UCN253" s="9"/>
      <c r="UCO253" s="9"/>
      <c r="UCP253" s="9"/>
      <c r="UCQ253" s="9"/>
      <c r="UCR253" s="9"/>
      <c r="UCS253" s="9"/>
      <c r="UCT253" s="9"/>
      <c r="UCU253" s="9"/>
      <c r="UCV253" s="9"/>
      <c r="UCW253" s="9"/>
      <c r="UCX253" s="9"/>
      <c r="UCY253" s="9"/>
      <c r="UCZ253" s="9"/>
      <c r="UDA253" s="9"/>
      <c r="UDB253" s="9"/>
      <c r="UDC253" s="9"/>
      <c r="UDD253" s="9"/>
      <c r="UDE253" s="9"/>
      <c r="UDF253" s="9"/>
      <c r="UDG253" s="9"/>
      <c r="UDH253" s="9"/>
      <c r="UDI253" s="9"/>
      <c r="UDJ253" s="9"/>
      <c r="UDK253" s="9"/>
      <c r="UDL253" s="9"/>
      <c r="UDM253" s="9"/>
      <c r="UDN253" s="9"/>
      <c r="UDO253" s="9"/>
      <c r="UDP253" s="9"/>
      <c r="UDQ253" s="9"/>
      <c r="UDR253" s="9"/>
      <c r="UDS253" s="9"/>
      <c r="UDT253" s="9"/>
      <c r="UDU253" s="9"/>
      <c r="UDV253" s="9"/>
      <c r="UDW253" s="9"/>
      <c r="UDX253" s="9"/>
      <c r="UDY253" s="9"/>
      <c r="UDZ253" s="9"/>
      <c r="UEA253" s="9"/>
      <c r="UEB253" s="9"/>
      <c r="UEC253" s="9"/>
      <c r="UED253" s="9"/>
      <c r="UEE253" s="9"/>
      <c r="UEF253" s="9"/>
      <c r="UEG253" s="9"/>
      <c r="UEH253" s="9"/>
      <c r="UEI253" s="9"/>
      <c r="UEJ253" s="9"/>
      <c r="UEK253" s="9"/>
      <c r="UEL253" s="9"/>
      <c r="UEM253" s="9"/>
      <c r="UEN253" s="9"/>
      <c r="UEO253" s="9"/>
      <c r="UEP253" s="9"/>
      <c r="UEQ253" s="9"/>
      <c r="UER253" s="9"/>
      <c r="UES253" s="9"/>
      <c r="UET253" s="9"/>
      <c r="UEU253" s="9"/>
      <c r="UEV253" s="9"/>
      <c r="UEW253" s="9"/>
      <c r="UEX253" s="9"/>
      <c r="UEY253" s="9"/>
      <c r="UEZ253" s="9"/>
      <c r="UFA253" s="9"/>
      <c r="UFB253" s="9"/>
      <c r="UFC253" s="9"/>
      <c r="UFD253" s="9"/>
      <c r="UFE253" s="9"/>
      <c r="UFF253" s="9"/>
      <c r="UFG253" s="9"/>
      <c r="UFH253" s="9"/>
      <c r="UFI253" s="9"/>
      <c r="UFJ253" s="9"/>
      <c r="UFK253" s="9"/>
      <c r="UFL253" s="9"/>
      <c r="UFM253" s="9"/>
      <c r="UFN253" s="9"/>
      <c r="UFO253" s="9"/>
      <c r="UFP253" s="9"/>
      <c r="UFQ253" s="9"/>
      <c r="UFR253" s="9"/>
      <c r="UFS253" s="9"/>
      <c r="UFT253" s="9"/>
      <c r="UFU253" s="9"/>
      <c r="UFV253" s="9"/>
      <c r="UFW253" s="9"/>
      <c r="UFX253" s="9"/>
      <c r="UFY253" s="9"/>
      <c r="UFZ253" s="9"/>
      <c r="UGA253" s="9"/>
      <c r="UGB253" s="9"/>
      <c r="UGC253" s="9"/>
      <c r="UGD253" s="9"/>
      <c r="UGE253" s="9"/>
      <c r="UGF253" s="9"/>
      <c r="UGG253" s="9"/>
      <c r="UGH253" s="9"/>
      <c r="UGI253" s="9"/>
      <c r="UGJ253" s="9"/>
      <c r="UGK253" s="9"/>
      <c r="UGL253" s="9"/>
      <c r="UGM253" s="9"/>
      <c r="UGN253" s="9"/>
      <c r="UGO253" s="9"/>
      <c r="UGP253" s="9"/>
      <c r="UGQ253" s="9"/>
      <c r="UGR253" s="9"/>
      <c r="UGS253" s="9"/>
      <c r="UGT253" s="9"/>
      <c r="UGU253" s="9"/>
      <c r="UGV253" s="9"/>
      <c r="UGW253" s="9"/>
      <c r="UGX253" s="9"/>
      <c r="UGY253" s="9"/>
      <c r="UGZ253" s="9"/>
      <c r="UHA253" s="9"/>
      <c r="UHB253" s="9"/>
      <c r="UHC253" s="9"/>
      <c r="UHD253" s="9"/>
      <c r="UHE253" s="9"/>
      <c r="UHF253" s="9"/>
      <c r="UHG253" s="9"/>
      <c r="UHH253" s="9"/>
      <c r="UHI253" s="9"/>
      <c r="UHJ253" s="9"/>
      <c r="UHK253" s="9"/>
      <c r="UHL253" s="9"/>
      <c r="UHM253" s="9"/>
      <c r="UHN253" s="9"/>
      <c r="UHO253" s="9"/>
      <c r="UHP253" s="9"/>
      <c r="UHQ253" s="9"/>
      <c r="UHR253" s="9"/>
      <c r="UHS253" s="9"/>
      <c r="UHT253" s="9"/>
      <c r="UHU253" s="9"/>
      <c r="UHV253" s="9"/>
      <c r="UHW253" s="9"/>
      <c r="UHX253" s="9"/>
      <c r="UHY253" s="9"/>
      <c r="UHZ253" s="9"/>
      <c r="UIA253" s="9"/>
      <c r="UIB253" s="9"/>
      <c r="UIC253" s="9"/>
      <c r="UID253" s="9"/>
      <c r="UIE253" s="9"/>
      <c r="UIF253" s="9"/>
      <c r="UIG253" s="9"/>
      <c r="UIH253" s="9"/>
      <c r="UII253" s="9"/>
      <c r="UIJ253" s="9"/>
      <c r="UIK253" s="9"/>
      <c r="UIL253" s="9"/>
      <c r="UIM253" s="9"/>
      <c r="UIN253" s="9"/>
      <c r="UIO253" s="9"/>
      <c r="UIP253" s="9"/>
      <c r="UIQ253" s="9"/>
      <c r="UIR253" s="9"/>
      <c r="UIS253" s="9"/>
      <c r="UIT253" s="9"/>
      <c r="UIU253" s="9"/>
      <c r="UIV253" s="9"/>
      <c r="UIW253" s="9"/>
      <c r="UIX253" s="9"/>
      <c r="UIY253" s="9"/>
      <c r="UIZ253" s="9"/>
      <c r="UJA253" s="9"/>
      <c r="UJB253" s="9"/>
      <c r="UJC253" s="9"/>
      <c r="UJD253" s="9"/>
      <c r="UJE253" s="9"/>
      <c r="UJF253" s="9"/>
      <c r="UJG253" s="9"/>
      <c r="UJH253" s="9"/>
      <c r="UJI253" s="9"/>
      <c r="UJJ253" s="9"/>
      <c r="UJK253" s="9"/>
      <c r="UJL253" s="9"/>
      <c r="UJM253" s="9"/>
      <c r="UJN253" s="9"/>
      <c r="UJO253" s="9"/>
      <c r="UJP253" s="9"/>
      <c r="UJQ253" s="9"/>
      <c r="UJR253" s="9"/>
      <c r="UJS253" s="9"/>
      <c r="UJT253" s="9"/>
      <c r="UJU253" s="9"/>
      <c r="UJV253" s="9"/>
      <c r="UJW253" s="9"/>
      <c r="UJX253" s="9"/>
      <c r="UJY253" s="9"/>
      <c r="UJZ253" s="9"/>
      <c r="UKA253" s="9"/>
      <c r="UKB253" s="9"/>
      <c r="UKC253" s="9"/>
      <c r="UKD253" s="9"/>
      <c r="UKE253" s="9"/>
      <c r="UKF253" s="9"/>
      <c r="UKG253" s="9"/>
      <c r="UKH253" s="9"/>
      <c r="UKI253" s="9"/>
      <c r="UKJ253" s="9"/>
      <c r="UKK253" s="9"/>
      <c r="UKL253" s="9"/>
      <c r="UKM253" s="9"/>
      <c r="UKN253" s="9"/>
      <c r="UKO253" s="9"/>
      <c r="UKP253" s="9"/>
      <c r="UKQ253" s="9"/>
      <c r="UKR253" s="9"/>
      <c r="UKS253" s="9"/>
      <c r="UKT253" s="9"/>
      <c r="UKU253" s="9"/>
      <c r="UKV253" s="9"/>
      <c r="UKW253" s="9"/>
      <c r="UKX253" s="9"/>
      <c r="UKY253" s="9"/>
      <c r="UKZ253" s="9"/>
      <c r="ULA253" s="9"/>
      <c r="ULB253" s="9"/>
      <c r="ULC253" s="9"/>
      <c r="ULD253" s="9"/>
      <c r="ULE253" s="9"/>
      <c r="ULF253" s="9"/>
      <c r="ULG253" s="9"/>
      <c r="ULH253" s="9"/>
      <c r="ULI253" s="9"/>
      <c r="ULJ253" s="9"/>
      <c r="ULK253" s="9"/>
      <c r="ULL253" s="9"/>
      <c r="ULM253" s="9"/>
      <c r="ULN253" s="9"/>
      <c r="ULO253" s="9"/>
      <c r="ULP253" s="9"/>
      <c r="ULQ253" s="9"/>
      <c r="ULR253" s="9"/>
      <c r="ULS253" s="9"/>
      <c r="ULT253" s="9"/>
      <c r="ULU253" s="9"/>
      <c r="ULV253" s="9"/>
      <c r="ULW253" s="9"/>
      <c r="ULX253" s="9"/>
      <c r="ULY253" s="9"/>
      <c r="ULZ253" s="9"/>
      <c r="UMA253" s="9"/>
      <c r="UMB253" s="9"/>
      <c r="UMC253" s="9"/>
      <c r="UMD253" s="9"/>
      <c r="UME253" s="9"/>
      <c r="UMF253" s="9"/>
      <c r="UMG253" s="9"/>
      <c r="UMH253" s="9"/>
      <c r="UMI253" s="9"/>
      <c r="UMJ253" s="9"/>
      <c r="UMK253" s="9"/>
      <c r="UML253" s="9"/>
      <c r="UMM253" s="9"/>
      <c r="UMN253" s="9"/>
      <c r="UMO253" s="9"/>
      <c r="UMP253" s="9"/>
      <c r="UMQ253" s="9"/>
      <c r="UMR253" s="9"/>
      <c r="UMS253" s="9"/>
      <c r="UMT253" s="9"/>
      <c r="UMU253" s="9"/>
      <c r="UMV253" s="9"/>
      <c r="UMW253" s="9"/>
      <c r="UMX253" s="9"/>
      <c r="UMY253" s="9"/>
      <c r="UMZ253" s="9"/>
      <c r="UNA253" s="9"/>
      <c r="UNB253" s="9"/>
      <c r="UNC253" s="9"/>
      <c r="UND253" s="9"/>
      <c r="UNE253" s="9"/>
      <c r="UNF253" s="9"/>
      <c r="UNG253" s="9"/>
      <c r="UNH253" s="9"/>
      <c r="UNI253" s="9"/>
      <c r="UNJ253" s="9"/>
      <c r="UNK253" s="9"/>
      <c r="UNL253" s="9"/>
      <c r="UNM253" s="9"/>
      <c r="UNN253" s="9"/>
      <c r="UNO253" s="9"/>
      <c r="UNP253" s="9"/>
      <c r="UNQ253" s="9"/>
      <c r="UNR253" s="9"/>
      <c r="UNS253" s="9"/>
      <c r="UNT253" s="9"/>
      <c r="UNU253" s="9"/>
      <c r="UNV253" s="9"/>
      <c r="UNW253" s="9"/>
      <c r="UNX253" s="9"/>
      <c r="UNY253" s="9"/>
      <c r="UNZ253" s="9"/>
      <c r="UOA253" s="9"/>
      <c r="UOB253" s="9"/>
      <c r="UOC253" s="9"/>
      <c r="UOD253" s="9"/>
      <c r="UOE253" s="9"/>
      <c r="UOF253" s="9"/>
      <c r="UOG253" s="9"/>
      <c r="UOH253" s="9"/>
      <c r="UOI253" s="9"/>
      <c r="UOJ253" s="9"/>
      <c r="UOK253" s="9"/>
      <c r="UOL253" s="9"/>
      <c r="UOM253" s="9"/>
      <c r="UON253" s="9"/>
      <c r="UOO253" s="9"/>
      <c r="UOP253" s="9"/>
      <c r="UOQ253" s="9"/>
      <c r="UOR253" s="9"/>
      <c r="UOS253" s="9"/>
      <c r="UOT253" s="9"/>
      <c r="UOU253" s="9"/>
      <c r="UOV253" s="9"/>
      <c r="UOW253" s="9"/>
      <c r="UOX253" s="9"/>
      <c r="UOY253" s="9"/>
      <c r="UOZ253" s="9"/>
      <c r="UPA253" s="9"/>
      <c r="UPB253" s="9"/>
      <c r="UPC253" s="9"/>
      <c r="UPD253" s="9"/>
      <c r="UPE253" s="9"/>
      <c r="UPF253" s="9"/>
      <c r="UPG253" s="9"/>
      <c r="UPH253" s="9"/>
      <c r="UPI253" s="9"/>
      <c r="UPJ253" s="9"/>
      <c r="UPK253" s="9"/>
      <c r="UPL253" s="9"/>
      <c r="UPM253" s="9"/>
      <c r="UPN253" s="9"/>
      <c r="UPO253" s="9"/>
      <c r="UPP253" s="9"/>
      <c r="UPQ253" s="9"/>
      <c r="UPR253" s="9"/>
      <c r="UPS253" s="9"/>
      <c r="UPT253" s="9"/>
      <c r="UPU253" s="9"/>
      <c r="UPV253" s="9"/>
      <c r="UPW253" s="9"/>
      <c r="UPX253" s="9"/>
      <c r="UPY253" s="9"/>
      <c r="UPZ253" s="9"/>
      <c r="UQA253" s="9"/>
      <c r="UQB253" s="9"/>
      <c r="UQC253" s="9"/>
      <c r="UQD253" s="9"/>
      <c r="UQE253" s="9"/>
      <c r="UQF253" s="9"/>
      <c r="UQG253" s="9"/>
      <c r="UQH253" s="9"/>
      <c r="UQI253" s="9"/>
      <c r="UQJ253" s="9"/>
      <c r="UQK253" s="9"/>
      <c r="UQL253" s="9"/>
      <c r="UQM253" s="9"/>
      <c r="UQN253" s="9"/>
      <c r="UQO253" s="9"/>
      <c r="UQP253" s="9"/>
      <c r="UQQ253" s="9"/>
      <c r="UQR253" s="9"/>
      <c r="UQS253" s="9"/>
      <c r="UQT253" s="9"/>
      <c r="UQU253" s="9"/>
      <c r="UQV253" s="9"/>
      <c r="UQW253" s="9"/>
      <c r="UQX253" s="9"/>
      <c r="UQY253" s="9"/>
      <c r="UQZ253" s="9"/>
      <c r="URA253" s="9"/>
      <c r="URB253" s="9"/>
      <c r="URC253" s="9"/>
      <c r="URD253" s="9"/>
      <c r="URE253" s="9"/>
      <c r="URF253" s="9"/>
      <c r="URG253" s="9"/>
      <c r="URH253" s="9"/>
      <c r="URI253" s="9"/>
      <c r="URJ253" s="9"/>
      <c r="URK253" s="9"/>
      <c r="URL253" s="9"/>
      <c r="URM253" s="9"/>
      <c r="URN253" s="9"/>
      <c r="URO253" s="9"/>
      <c r="URP253" s="9"/>
      <c r="URQ253" s="9"/>
      <c r="URR253" s="9"/>
      <c r="URS253" s="9"/>
      <c r="URT253" s="9"/>
      <c r="URU253" s="9"/>
      <c r="URV253" s="9"/>
      <c r="URW253" s="9"/>
      <c r="URX253" s="9"/>
      <c r="URY253" s="9"/>
      <c r="URZ253" s="9"/>
      <c r="USA253" s="9"/>
      <c r="USB253" s="9"/>
      <c r="USC253" s="9"/>
      <c r="USD253" s="9"/>
      <c r="USE253" s="9"/>
      <c r="USF253" s="9"/>
      <c r="USG253" s="9"/>
      <c r="USH253" s="9"/>
      <c r="USI253" s="9"/>
      <c r="USJ253" s="9"/>
      <c r="USK253" s="9"/>
      <c r="USL253" s="9"/>
      <c r="USM253" s="9"/>
      <c r="USN253" s="9"/>
      <c r="USO253" s="9"/>
      <c r="USP253" s="9"/>
      <c r="USQ253" s="9"/>
      <c r="USR253" s="9"/>
      <c r="USS253" s="9"/>
      <c r="UST253" s="9"/>
      <c r="USU253" s="9"/>
      <c r="USV253" s="9"/>
      <c r="USW253" s="9"/>
      <c r="USX253" s="9"/>
      <c r="USY253" s="9"/>
      <c r="USZ253" s="9"/>
      <c r="UTA253" s="9"/>
      <c r="UTB253" s="9"/>
      <c r="UTC253" s="9"/>
      <c r="UTD253" s="9"/>
      <c r="UTE253" s="9"/>
      <c r="UTF253" s="9"/>
      <c r="UTG253" s="9"/>
      <c r="UTH253" s="9"/>
      <c r="UTI253" s="9"/>
      <c r="UTJ253" s="9"/>
      <c r="UTK253" s="9"/>
      <c r="UTL253" s="9"/>
      <c r="UTM253" s="9"/>
      <c r="UTN253" s="9"/>
      <c r="UTO253" s="9"/>
      <c r="UTP253" s="9"/>
      <c r="UTQ253" s="9"/>
      <c r="UTR253" s="9"/>
      <c r="UTS253" s="9"/>
      <c r="UTT253" s="9"/>
      <c r="UTU253" s="9"/>
      <c r="UTV253" s="9"/>
      <c r="UTW253" s="9"/>
      <c r="UTX253" s="9"/>
      <c r="UTY253" s="9"/>
      <c r="UTZ253" s="9"/>
      <c r="UUA253" s="9"/>
      <c r="UUB253" s="9"/>
      <c r="UUC253" s="9"/>
      <c r="UUD253" s="9"/>
      <c r="UUE253" s="9"/>
      <c r="UUF253" s="9"/>
      <c r="UUG253" s="9"/>
      <c r="UUH253" s="9"/>
      <c r="UUI253" s="9"/>
      <c r="UUJ253" s="9"/>
      <c r="UUK253" s="9"/>
      <c r="UUL253" s="9"/>
      <c r="UUM253" s="9"/>
      <c r="UUN253" s="9"/>
      <c r="UUO253" s="9"/>
      <c r="UUP253" s="9"/>
      <c r="UUQ253" s="9"/>
      <c r="UUR253" s="9"/>
      <c r="UUS253" s="9"/>
      <c r="UUT253" s="9"/>
      <c r="UUU253" s="9"/>
      <c r="UUV253" s="9"/>
      <c r="UUW253" s="9"/>
      <c r="UUX253" s="9"/>
      <c r="UUY253" s="9"/>
      <c r="UUZ253" s="9"/>
      <c r="UVA253" s="9"/>
      <c r="UVB253" s="9"/>
      <c r="UVC253" s="9"/>
      <c r="UVD253" s="9"/>
      <c r="UVE253" s="9"/>
      <c r="UVF253" s="9"/>
      <c r="UVG253" s="9"/>
      <c r="UVH253" s="9"/>
      <c r="UVI253" s="9"/>
      <c r="UVJ253" s="9"/>
      <c r="UVK253" s="9"/>
      <c r="UVL253" s="9"/>
      <c r="UVM253" s="9"/>
      <c r="UVN253" s="9"/>
      <c r="UVO253" s="9"/>
      <c r="UVP253" s="9"/>
      <c r="UVQ253" s="9"/>
      <c r="UVR253" s="9"/>
      <c r="UVS253" s="9"/>
      <c r="UVT253" s="9"/>
      <c r="UVU253" s="9"/>
      <c r="UVV253" s="9"/>
      <c r="UVW253" s="9"/>
      <c r="UVX253" s="9"/>
      <c r="UVY253" s="9"/>
      <c r="UVZ253" s="9"/>
      <c r="UWA253" s="9"/>
      <c r="UWB253" s="9"/>
      <c r="UWC253" s="9"/>
      <c r="UWD253" s="9"/>
      <c r="UWE253" s="9"/>
      <c r="UWF253" s="9"/>
      <c r="UWG253" s="9"/>
      <c r="UWH253" s="9"/>
      <c r="UWI253" s="9"/>
      <c r="UWJ253" s="9"/>
      <c r="UWK253" s="9"/>
      <c r="UWL253" s="9"/>
      <c r="UWM253" s="9"/>
      <c r="UWN253" s="9"/>
      <c r="UWO253" s="9"/>
      <c r="UWP253" s="9"/>
      <c r="UWQ253" s="9"/>
      <c r="UWR253" s="9"/>
      <c r="UWS253" s="9"/>
      <c r="UWT253" s="9"/>
      <c r="UWU253" s="9"/>
      <c r="UWV253" s="9"/>
      <c r="UWW253" s="9"/>
      <c r="UWX253" s="9"/>
      <c r="UWY253" s="9"/>
      <c r="UWZ253" s="9"/>
      <c r="UXA253" s="9"/>
      <c r="UXB253" s="9"/>
      <c r="UXC253" s="9"/>
      <c r="UXD253" s="9"/>
      <c r="UXE253" s="9"/>
      <c r="UXF253" s="9"/>
      <c r="UXG253" s="9"/>
      <c r="UXH253" s="9"/>
      <c r="UXI253" s="9"/>
      <c r="UXJ253" s="9"/>
      <c r="UXK253" s="9"/>
      <c r="UXL253" s="9"/>
      <c r="UXM253" s="9"/>
      <c r="UXN253" s="9"/>
      <c r="UXO253" s="9"/>
      <c r="UXP253" s="9"/>
      <c r="UXQ253" s="9"/>
      <c r="UXR253" s="9"/>
      <c r="UXS253" s="9"/>
      <c r="UXT253" s="9"/>
      <c r="UXU253" s="9"/>
      <c r="UXV253" s="9"/>
      <c r="UXW253" s="9"/>
      <c r="UXX253" s="9"/>
      <c r="UXY253" s="9"/>
      <c r="UXZ253" s="9"/>
      <c r="UYA253" s="9"/>
      <c r="UYB253" s="9"/>
      <c r="UYC253" s="9"/>
      <c r="UYD253" s="9"/>
      <c r="UYE253" s="9"/>
      <c r="UYF253" s="9"/>
      <c r="UYG253" s="9"/>
      <c r="UYH253" s="9"/>
      <c r="UYI253" s="9"/>
      <c r="UYJ253" s="9"/>
      <c r="UYK253" s="9"/>
      <c r="UYL253" s="9"/>
      <c r="UYM253" s="9"/>
      <c r="UYN253" s="9"/>
      <c r="UYO253" s="9"/>
      <c r="UYP253" s="9"/>
      <c r="UYQ253" s="9"/>
      <c r="UYR253" s="9"/>
      <c r="UYS253" s="9"/>
      <c r="UYT253" s="9"/>
      <c r="UYU253" s="9"/>
      <c r="UYV253" s="9"/>
      <c r="UYW253" s="9"/>
      <c r="UYX253" s="9"/>
      <c r="UYY253" s="9"/>
      <c r="UYZ253" s="9"/>
      <c r="UZA253" s="9"/>
      <c r="UZB253" s="9"/>
      <c r="UZC253" s="9"/>
      <c r="UZD253" s="9"/>
      <c r="UZE253" s="9"/>
      <c r="UZF253" s="9"/>
      <c r="UZG253" s="9"/>
      <c r="UZH253" s="9"/>
      <c r="UZI253" s="9"/>
      <c r="UZJ253" s="9"/>
      <c r="UZK253" s="9"/>
      <c r="UZL253" s="9"/>
      <c r="UZM253" s="9"/>
      <c r="UZN253" s="9"/>
      <c r="UZO253" s="9"/>
      <c r="UZP253" s="9"/>
      <c r="UZQ253" s="9"/>
      <c r="UZR253" s="9"/>
      <c r="UZS253" s="9"/>
      <c r="UZT253" s="9"/>
      <c r="UZU253" s="9"/>
      <c r="UZV253" s="9"/>
      <c r="UZW253" s="9"/>
      <c r="UZX253" s="9"/>
      <c r="UZY253" s="9"/>
      <c r="UZZ253" s="9"/>
      <c r="VAA253" s="9"/>
      <c r="VAB253" s="9"/>
      <c r="VAC253" s="9"/>
      <c r="VAD253" s="9"/>
      <c r="VAE253" s="9"/>
      <c r="VAF253" s="9"/>
      <c r="VAG253" s="9"/>
      <c r="VAH253" s="9"/>
      <c r="VAI253" s="9"/>
      <c r="VAJ253" s="9"/>
      <c r="VAK253" s="9"/>
      <c r="VAL253" s="9"/>
      <c r="VAM253" s="9"/>
      <c r="VAN253" s="9"/>
      <c r="VAO253" s="9"/>
      <c r="VAP253" s="9"/>
      <c r="VAQ253" s="9"/>
      <c r="VAR253" s="9"/>
      <c r="VAS253" s="9"/>
      <c r="VAT253" s="9"/>
      <c r="VAU253" s="9"/>
      <c r="VAV253" s="9"/>
      <c r="VAW253" s="9"/>
      <c r="VAX253" s="9"/>
      <c r="VAY253" s="9"/>
      <c r="VAZ253" s="9"/>
      <c r="VBA253" s="9"/>
      <c r="VBB253" s="9"/>
      <c r="VBC253" s="9"/>
      <c r="VBD253" s="9"/>
      <c r="VBE253" s="9"/>
      <c r="VBF253" s="9"/>
      <c r="VBG253" s="9"/>
      <c r="VBH253" s="9"/>
      <c r="VBI253" s="9"/>
      <c r="VBJ253" s="9"/>
      <c r="VBK253" s="9"/>
      <c r="VBL253" s="9"/>
      <c r="VBM253" s="9"/>
      <c r="VBN253" s="9"/>
      <c r="VBO253" s="9"/>
      <c r="VBP253" s="9"/>
      <c r="VBQ253" s="9"/>
      <c r="VBR253" s="9"/>
      <c r="VBS253" s="9"/>
      <c r="VBT253" s="9"/>
      <c r="VBU253" s="9"/>
      <c r="VBV253" s="9"/>
      <c r="VBW253" s="9"/>
      <c r="VBX253" s="9"/>
      <c r="VBY253" s="9"/>
      <c r="VBZ253" s="9"/>
      <c r="VCA253" s="9"/>
      <c r="VCB253" s="9"/>
      <c r="VCC253" s="9"/>
      <c r="VCD253" s="9"/>
      <c r="VCE253" s="9"/>
      <c r="VCF253" s="9"/>
      <c r="VCG253" s="9"/>
      <c r="VCH253" s="9"/>
      <c r="VCI253" s="9"/>
      <c r="VCJ253" s="9"/>
      <c r="VCK253" s="9"/>
      <c r="VCL253" s="9"/>
      <c r="VCM253" s="9"/>
      <c r="VCN253" s="9"/>
      <c r="VCO253" s="9"/>
      <c r="VCP253" s="9"/>
      <c r="VCQ253" s="9"/>
      <c r="VCR253" s="9"/>
      <c r="VCS253" s="9"/>
      <c r="VCT253" s="9"/>
      <c r="VCU253" s="9"/>
      <c r="VCV253" s="9"/>
      <c r="VCW253" s="9"/>
      <c r="VCX253" s="9"/>
      <c r="VCY253" s="9"/>
      <c r="VCZ253" s="9"/>
      <c r="VDA253" s="9"/>
      <c r="VDB253" s="9"/>
      <c r="VDC253" s="9"/>
      <c r="VDD253" s="9"/>
      <c r="VDE253" s="9"/>
      <c r="VDF253" s="9"/>
      <c r="VDG253" s="9"/>
      <c r="VDH253" s="9"/>
      <c r="VDI253" s="9"/>
      <c r="VDJ253" s="9"/>
      <c r="VDK253" s="9"/>
      <c r="VDL253" s="9"/>
      <c r="VDM253" s="9"/>
      <c r="VDN253" s="9"/>
      <c r="VDO253" s="9"/>
      <c r="VDP253" s="9"/>
      <c r="VDQ253" s="9"/>
      <c r="VDR253" s="9"/>
      <c r="VDS253" s="9"/>
      <c r="VDT253" s="9"/>
      <c r="VDU253" s="9"/>
      <c r="VDV253" s="9"/>
      <c r="VDW253" s="9"/>
      <c r="VDX253" s="9"/>
      <c r="VDY253" s="9"/>
      <c r="VDZ253" s="9"/>
      <c r="VEA253" s="9"/>
      <c r="VEB253" s="9"/>
      <c r="VEC253" s="9"/>
      <c r="VED253" s="9"/>
      <c r="VEE253" s="9"/>
      <c r="VEF253" s="9"/>
      <c r="VEG253" s="9"/>
      <c r="VEH253" s="9"/>
      <c r="VEI253" s="9"/>
      <c r="VEJ253" s="9"/>
      <c r="VEK253" s="9"/>
      <c r="VEL253" s="9"/>
      <c r="VEM253" s="9"/>
      <c r="VEN253" s="9"/>
      <c r="VEO253" s="9"/>
      <c r="VEP253" s="9"/>
      <c r="VEQ253" s="9"/>
      <c r="VER253" s="9"/>
      <c r="VES253" s="9"/>
      <c r="VET253" s="9"/>
      <c r="VEU253" s="9"/>
      <c r="VEV253" s="9"/>
      <c r="VEW253" s="9"/>
      <c r="VEX253" s="9"/>
      <c r="VEY253" s="9"/>
      <c r="VEZ253" s="9"/>
      <c r="VFA253" s="9"/>
      <c r="VFB253" s="9"/>
      <c r="VFC253" s="9"/>
      <c r="VFD253" s="9"/>
      <c r="VFE253" s="9"/>
      <c r="VFF253" s="9"/>
      <c r="VFG253" s="9"/>
      <c r="VFH253" s="9"/>
      <c r="VFI253" s="9"/>
      <c r="VFJ253" s="9"/>
      <c r="VFK253" s="9"/>
      <c r="VFL253" s="9"/>
      <c r="VFM253" s="9"/>
      <c r="VFN253" s="9"/>
      <c r="VFO253" s="9"/>
      <c r="VFP253" s="9"/>
      <c r="VFQ253" s="9"/>
      <c r="VFR253" s="9"/>
      <c r="VFS253" s="9"/>
      <c r="VFT253" s="9"/>
      <c r="VFU253" s="9"/>
      <c r="VFV253" s="9"/>
      <c r="VFW253" s="9"/>
      <c r="VFX253" s="9"/>
      <c r="VFY253" s="9"/>
      <c r="VFZ253" s="9"/>
      <c r="VGA253" s="9"/>
      <c r="VGB253" s="9"/>
      <c r="VGC253" s="9"/>
      <c r="VGD253" s="9"/>
      <c r="VGE253" s="9"/>
      <c r="VGF253" s="9"/>
      <c r="VGG253" s="9"/>
      <c r="VGH253" s="9"/>
      <c r="VGI253" s="9"/>
      <c r="VGJ253" s="9"/>
      <c r="VGK253" s="9"/>
      <c r="VGL253" s="9"/>
      <c r="VGM253" s="9"/>
      <c r="VGN253" s="9"/>
      <c r="VGO253" s="9"/>
      <c r="VGP253" s="9"/>
      <c r="VGQ253" s="9"/>
      <c r="VGR253" s="9"/>
      <c r="VGS253" s="9"/>
      <c r="VGT253" s="9"/>
      <c r="VGU253" s="9"/>
      <c r="VGV253" s="9"/>
      <c r="VGW253" s="9"/>
      <c r="VGX253" s="9"/>
      <c r="VGY253" s="9"/>
      <c r="VGZ253" s="9"/>
      <c r="VHA253" s="9"/>
      <c r="VHB253" s="9"/>
      <c r="VHC253" s="9"/>
      <c r="VHD253" s="9"/>
      <c r="VHE253" s="9"/>
      <c r="VHF253" s="9"/>
      <c r="VHG253" s="9"/>
      <c r="VHH253" s="9"/>
      <c r="VHI253" s="9"/>
      <c r="VHJ253" s="9"/>
      <c r="VHK253" s="9"/>
      <c r="VHL253" s="9"/>
      <c r="VHM253" s="9"/>
      <c r="VHN253" s="9"/>
      <c r="VHO253" s="9"/>
      <c r="VHP253" s="9"/>
      <c r="VHQ253" s="9"/>
      <c r="VHR253" s="9"/>
      <c r="VHS253" s="9"/>
      <c r="VHT253" s="9"/>
      <c r="VHU253" s="9"/>
      <c r="VHV253" s="9"/>
      <c r="VHW253" s="9"/>
      <c r="VHX253" s="9"/>
      <c r="VHY253" s="9"/>
      <c r="VHZ253" s="9"/>
      <c r="VIA253" s="9"/>
      <c r="VIB253" s="9"/>
      <c r="VIC253" s="9"/>
      <c r="VID253" s="9"/>
      <c r="VIE253" s="9"/>
      <c r="VIF253" s="9"/>
      <c r="VIG253" s="9"/>
      <c r="VIH253" s="9"/>
      <c r="VII253" s="9"/>
      <c r="VIJ253" s="9"/>
      <c r="VIK253" s="9"/>
      <c r="VIL253" s="9"/>
      <c r="VIM253" s="9"/>
      <c r="VIN253" s="9"/>
      <c r="VIO253" s="9"/>
      <c r="VIP253" s="9"/>
      <c r="VIQ253" s="9"/>
      <c r="VIR253" s="9"/>
      <c r="VIS253" s="9"/>
      <c r="VIT253" s="9"/>
      <c r="VIU253" s="9"/>
      <c r="VIV253" s="9"/>
      <c r="VIW253" s="9"/>
      <c r="VIX253" s="9"/>
      <c r="VIY253" s="9"/>
      <c r="VIZ253" s="9"/>
      <c r="VJA253" s="9"/>
      <c r="VJB253" s="9"/>
      <c r="VJC253" s="9"/>
      <c r="VJD253" s="9"/>
      <c r="VJE253" s="9"/>
      <c r="VJF253" s="9"/>
      <c r="VJG253" s="9"/>
      <c r="VJH253" s="9"/>
      <c r="VJI253" s="9"/>
      <c r="VJJ253" s="9"/>
      <c r="VJK253" s="9"/>
      <c r="VJL253" s="9"/>
      <c r="VJM253" s="9"/>
      <c r="VJN253" s="9"/>
      <c r="VJO253" s="9"/>
      <c r="VJP253" s="9"/>
      <c r="VJQ253" s="9"/>
      <c r="VJR253" s="9"/>
      <c r="VJS253" s="9"/>
      <c r="VJT253" s="9"/>
      <c r="VJU253" s="9"/>
      <c r="VJV253" s="9"/>
      <c r="VJW253" s="9"/>
      <c r="VJX253" s="9"/>
      <c r="VJY253" s="9"/>
      <c r="VJZ253" s="9"/>
      <c r="VKA253" s="9"/>
      <c r="VKB253" s="9"/>
      <c r="VKC253" s="9"/>
      <c r="VKD253" s="9"/>
      <c r="VKE253" s="9"/>
      <c r="VKF253" s="9"/>
      <c r="VKG253" s="9"/>
      <c r="VKH253" s="9"/>
      <c r="VKI253" s="9"/>
      <c r="VKJ253" s="9"/>
      <c r="VKK253" s="9"/>
      <c r="VKL253" s="9"/>
      <c r="VKM253" s="9"/>
      <c r="VKN253" s="9"/>
      <c r="VKO253" s="9"/>
      <c r="VKP253" s="9"/>
      <c r="VKQ253" s="9"/>
      <c r="VKR253" s="9"/>
      <c r="VKS253" s="9"/>
      <c r="VKT253" s="9"/>
      <c r="VKU253" s="9"/>
      <c r="VKV253" s="9"/>
      <c r="VKW253" s="9"/>
      <c r="VKX253" s="9"/>
      <c r="VKY253" s="9"/>
      <c r="VKZ253" s="9"/>
      <c r="VLA253" s="9"/>
      <c r="VLB253" s="9"/>
      <c r="VLC253" s="9"/>
      <c r="VLD253" s="9"/>
      <c r="VLE253" s="9"/>
      <c r="VLF253" s="9"/>
      <c r="VLG253" s="9"/>
      <c r="VLH253" s="9"/>
      <c r="VLI253" s="9"/>
      <c r="VLJ253" s="9"/>
      <c r="VLK253" s="9"/>
      <c r="VLL253" s="9"/>
      <c r="VLM253" s="9"/>
      <c r="VLN253" s="9"/>
      <c r="VLO253" s="9"/>
      <c r="VLP253" s="9"/>
      <c r="VLQ253" s="9"/>
      <c r="VLR253" s="9"/>
      <c r="VLS253" s="9"/>
      <c r="VLT253" s="9"/>
      <c r="VLU253" s="9"/>
      <c r="VLV253" s="9"/>
      <c r="VLW253" s="9"/>
      <c r="VLX253" s="9"/>
      <c r="VLY253" s="9"/>
      <c r="VLZ253" s="9"/>
      <c r="VMA253" s="9"/>
      <c r="VMB253" s="9"/>
      <c r="VMC253" s="9"/>
      <c r="VMD253" s="9"/>
      <c r="VME253" s="9"/>
      <c r="VMF253" s="9"/>
      <c r="VMG253" s="9"/>
      <c r="VMH253" s="9"/>
      <c r="VMI253" s="9"/>
      <c r="VMJ253" s="9"/>
      <c r="VMK253" s="9"/>
      <c r="VML253" s="9"/>
      <c r="VMM253" s="9"/>
      <c r="VMN253" s="9"/>
      <c r="VMO253" s="9"/>
      <c r="VMP253" s="9"/>
      <c r="VMQ253" s="9"/>
      <c r="VMR253" s="9"/>
      <c r="VMS253" s="9"/>
      <c r="VMT253" s="9"/>
      <c r="VMU253" s="9"/>
      <c r="VMV253" s="9"/>
      <c r="VMW253" s="9"/>
      <c r="VMX253" s="9"/>
      <c r="VMY253" s="9"/>
      <c r="VMZ253" s="9"/>
      <c r="VNA253" s="9"/>
      <c r="VNB253" s="9"/>
      <c r="VNC253" s="9"/>
      <c r="VND253" s="9"/>
      <c r="VNE253" s="9"/>
      <c r="VNF253" s="9"/>
      <c r="VNG253" s="9"/>
      <c r="VNH253" s="9"/>
      <c r="VNI253" s="9"/>
      <c r="VNJ253" s="9"/>
      <c r="VNK253" s="9"/>
      <c r="VNL253" s="9"/>
      <c r="VNM253" s="9"/>
      <c r="VNN253" s="9"/>
      <c r="VNO253" s="9"/>
      <c r="VNP253" s="9"/>
      <c r="VNQ253" s="9"/>
      <c r="VNR253" s="9"/>
      <c r="VNS253" s="9"/>
      <c r="VNT253" s="9"/>
      <c r="VNU253" s="9"/>
      <c r="VNV253" s="9"/>
      <c r="VNW253" s="9"/>
      <c r="VNX253" s="9"/>
      <c r="VNY253" s="9"/>
      <c r="VNZ253" s="9"/>
      <c r="VOA253" s="9"/>
      <c r="VOB253" s="9"/>
      <c r="VOC253" s="9"/>
      <c r="VOD253" s="9"/>
      <c r="VOE253" s="9"/>
      <c r="VOF253" s="9"/>
      <c r="VOG253" s="9"/>
      <c r="VOH253" s="9"/>
      <c r="VOI253" s="9"/>
      <c r="VOJ253" s="9"/>
      <c r="VOK253" s="9"/>
      <c r="VOL253" s="9"/>
      <c r="VOM253" s="9"/>
      <c r="VON253" s="9"/>
      <c r="VOO253" s="9"/>
      <c r="VOP253" s="9"/>
      <c r="VOQ253" s="9"/>
      <c r="VOR253" s="9"/>
      <c r="VOS253" s="9"/>
      <c r="VOT253" s="9"/>
      <c r="VOU253" s="9"/>
      <c r="VOV253" s="9"/>
      <c r="VOW253" s="9"/>
      <c r="VOX253" s="9"/>
      <c r="VOY253" s="9"/>
      <c r="VOZ253" s="9"/>
      <c r="VPA253" s="9"/>
      <c r="VPB253" s="9"/>
      <c r="VPC253" s="9"/>
      <c r="VPD253" s="9"/>
      <c r="VPE253" s="9"/>
      <c r="VPF253" s="9"/>
      <c r="VPG253" s="9"/>
      <c r="VPH253" s="9"/>
      <c r="VPI253" s="9"/>
      <c r="VPJ253" s="9"/>
      <c r="VPK253" s="9"/>
      <c r="VPL253" s="9"/>
      <c r="VPM253" s="9"/>
      <c r="VPN253" s="9"/>
      <c r="VPO253" s="9"/>
      <c r="VPP253" s="9"/>
      <c r="VPQ253" s="9"/>
      <c r="VPR253" s="9"/>
      <c r="VPS253" s="9"/>
      <c r="VPT253" s="9"/>
      <c r="VPU253" s="9"/>
      <c r="VPV253" s="9"/>
      <c r="VPW253" s="9"/>
      <c r="VPX253" s="9"/>
      <c r="VPY253" s="9"/>
      <c r="VPZ253" s="9"/>
      <c r="VQA253" s="9"/>
      <c r="VQB253" s="9"/>
      <c r="VQC253" s="9"/>
      <c r="VQD253" s="9"/>
      <c r="VQE253" s="9"/>
      <c r="VQF253" s="9"/>
      <c r="VQG253" s="9"/>
      <c r="VQH253" s="9"/>
      <c r="VQI253" s="9"/>
      <c r="VQJ253" s="9"/>
      <c r="VQK253" s="9"/>
      <c r="VQL253" s="9"/>
      <c r="VQM253" s="9"/>
      <c r="VQN253" s="9"/>
      <c r="VQO253" s="9"/>
      <c r="VQP253" s="9"/>
      <c r="VQQ253" s="9"/>
      <c r="VQR253" s="9"/>
      <c r="VQS253" s="9"/>
      <c r="VQT253" s="9"/>
      <c r="VQU253" s="9"/>
      <c r="VQV253" s="9"/>
      <c r="VQW253" s="9"/>
      <c r="VQX253" s="9"/>
      <c r="VQY253" s="9"/>
      <c r="VQZ253" s="9"/>
      <c r="VRA253" s="9"/>
      <c r="VRB253" s="9"/>
      <c r="VRC253" s="9"/>
      <c r="VRD253" s="9"/>
      <c r="VRE253" s="9"/>
      <c r="VRF253" s="9"/>
      <c r="VRG253" s="9"/>
      <c r="VRH253" s="9"/>
      <c r="VRI253" s="9"/>
      <c r="VRJ253" s="9"/>
      <c r="VRK253" s="9"/>
      <c r="VRL253" s="9"/>
      <c r="VRM253" s="9"/>
      <c r="VRN253" s="9"/>
      <c r="VRO253" s="9"/>
      <c r="VRP253" s="9"/>
      <c r="VRQ253" s="9"/>
      <c r="VRR253" s="9"/>
      <c r="VRS253" s="9"/>
      <c r="VRT253" s="9"/>
      <c r="VRU253" s="9"/>
      <c r="VRV253" s="9"/>
      <c r="VRW253" s="9"/>
      <c r="VRX253" s="9"/>
      <c r="VRY253" s="9"/>
      <c r="VRZ253" s="9"/>
      <c r="VSA253" s="9"/>
      <c r="VSB253" s="9"/>
      <c r="VSC253" s="9"/>
      <c r="VSD253" s="9"/>
      <c r="VSE253" s="9"/>
      <c r="VSF253" s="9"/>
      <c r="VSG253" s="9"/>
      <c r="VSH253" s="9"/>
      <c r="VSI253" s="9"/>
      <c r="VSJ253" s="9"/>
      <c r="VSK253" s="9"/>
      <c r="VSL253" s="9"/>
      <c r="VSM253" s="9"/>
      <c r="VSN253" s="9"/>
      <c r="VSO253" s="9"/>
      <c r="VSP253" s="9"/>
      <c r="VSQ253" s="9"/>
      <c r="VSR253" s="9"/>
      <c r="VSS253" s="9"/>
      <c r="VST253" s="9"/>
      <c r="VSU253" s="9"/>
      <c r="VSV253" s="9"/>
      <c r="VSW253" s="9"/>
      <c r="VSX253" s="9"/>
      <c r="VSY253" s="9"/>
      <c r="VSZ253" s="9"/>
      <c r="VTA253" s="9"/>
      <c r="VTB253" s="9"/>
      <c r="VTC253" s="9"/>
      <c r="VTD253" s="9"/>
      <c r="VTE253" s="9"/>
      <c r="VTF253" s="9"/>
      <c r="VTG253" s="9"/>
      <c r="VTH253" s="9"/>
      <c r="VTI253" s="9"/>
      <c r="VTJ253" s="9"/>
      <c r="VTK253" s="9"/>
      <c r="VTL253" s="9"/>
      <c r="VTM253" s="9"/>
      <c r="VTN253" s="9"/>
      <c r="VTO253" s="9"/>
      <c r="VTP253" s="9"/>
      <c r="VTQ253" s="9"/>
      <c r="VTR253" s="9"/>
      <c r="VTS253" s="9"/>
      <c r="VTT253" s="9"/>
      <c r="VTU253" s="9"/>
      <c r="VTV253" s="9"/>
      <c r="VTW253" s="9"/>
      <c r="VTX253" s="9"/>
      <c r="VTY253" s="9"/>
      <c r="VTZ253" s="9"/>
      <c r="VUA253" s="9"/>
      <c r="VUB253" s="9"/>
      <c r="VUC253" s="9"/>
      <c r="VUD253" s="9"/>
      <c r="VUE253" s="9"/>
      <c r="VUF253" s="9"/>
      <c r="VUG253" s="9"/>
      <c r="VUH253" s="9"/>
      <c r="VUI253" s="9"/>
      <c r="VUJ253" s="9"/>
      <c r="VUK253" s="9"/>
      <c r="VUL253" s="9"/>
      <c r="VUM253" s="9"/>
      <c r="VUN253" s="9"/>
      <c r="VUO253" s="9"/>
      <c r="VUP253" s="9"/>
      <c r="VUQ253" s="9"/>
      <c r="VUR253" s="9"/>
      <c r="VUS253" s="9"/>
      <c r="VUT253" s="9"/>
      <c r="VUU253" s="9"/>
      <c r="VUV253" s="9"/>
      <c r="VUW253" s="9"/>
      <c r="VUX253" s="9"/>
      <c r="VUY253" s="9"/>
      <c r="VUZ253" s="9"/>
      <c r="VVA253" s="9"/>
      <c r="VVB253" s="9"/>
      <c r="VVC253" s="9"/>
      <c r="VVD253" s="9"/>
      <c r="VVE253" s="9"/>
      <c r="VVF253" s="9"/>
      <c r="VVG253" s="9"/>
      <c r="VVH253" s="9"/>
      <c r="VVI253" s="9"/>
      <c r="VVJ253" s="9"/>
      <c r="VVK253" s="9"/>
      <c r="VVL253" s="9"/>
      <c r="VVM253" s="9"/>
      <c r="VVN253" s="9"/>
      <c r="VVO253" s="9"/>
      <c r="VVP253" s="9"/>
      <c r="VVQ253" s="9"/>
      <c r="VVR253" s="9"/>
      <c r="VVS253" s="9"/>
      <c r="VVT253" s="9"/>
      <c r="VVU253" s="9"/>
      <c r="VVV253" s="9"/>
      <c r="VVW253" s="9"/>
      <c r="VVX253" s="9"/>
      <c r="VVY253" s="9"/>
      <c r="VVZ253" s="9"/>
      <c r="VWA253" s="9"/>
      <c r="VWB253" s="9"/>
      <c r="VWC253" s="9"/>
      <c r="VWD253" s="9"/>
      <c r="VWE253" s="9"/>
      <c r="VWF253" s="9"/>
      <c r="VWG253" s="9"/>
      <c r="VWH253" s="9"/>
      <c r="VWI253" s="9"/>
      <c r="VWJ253" s="9"/>
      <c r="VWK253" s="9"/>
      <c r="VWL253" s="9"/>
      <c r="VWM253" s="9"/>
      <c r="VWN253" s="9"/>
      <c r="VWO253" s="9"/>
      <c r="VWP253" s="9"/>
      <c r="VWQ253" s="9"/>
      <c r="VWR253" s="9"/>
      <c r="VWS253" s="9"/>
      <c r="VWT253" s="9"/>
      <c r="VWU253" s="9"/>
      <c r="VWV253" s="9"/>
      <c r="VWW253" s="9"/>
      <c r="VWX253" s="9"/>
      <c r="VWY253" s="9"/>
      <c r="VWZ253" s="9"/>
      <c r="VXA253" s="9"/>
      <c r="VXB253" s="9"/>
      <c r="VXC253" s="9"/>
      <c r="VXD253" s="9"/>
      <c r="VXE253" s="9"/>
      <c r="VXF253" s="9"/>
      <c r="VXG253" s="9"/>
      <c r="VXH253" s="9"/>
      <c r="VXI253" s="9"/>
      <c r="VXJ253" s="9"/>
      <c r="VXK253" s="9"/>
      <c r="VXL253" s="9"/>
      <c r="VXM253" s="9"/>
      <c r="VXN253" s="9"/>
      <c r="VXO253" s="9"/>
      <c r="VXP253" s="9"/>
      <c r="VXQ253" s="9"/>
      <c r="VXR253" s="9"/>
      <c r="VXS253" s="9"/>
      <c r="VXT253" s="9"/>
      <c r="VXU253" s="9"/>
      <c r="VXV253" s="9"/>
      <c r="VXW253" s="9"/>
      <c r="VXX253" s="9"/>
      <c r="VXY253" s="9"/>
      <c r="VXZ253" s="9"/>
      <c r="VYA253" s="9"/>
      <c r="VYB253" s="9"/>
      <c r="VYC253" s="9"/>
      <c r="VYD253" s="9"/>
      <c r="VYE253" s="9"/>
      <c r="VYF253" s="9"/>
      <c r="VYG253" s="9"/>
      <c r="VYH253" s="9"/>
      <c r="VYI253" s="9"/>
      <c r="VYJ253" s="9"/>
      <c r="VYK253" s="9"/>
      <c r="VYL253" s="9"/>
      <c r="VYM253" s="9"/>
      <c r="VYN253" s="9"/>
      <c r="VYO253" s="9"/>
      <c r="VYP253" s="9"/>
      <c r="VYQ253" s="9"/>
      <c r="VYR253" s="9"/>
      <c r="VYS253" s="9"/>
      <c r="VYT253" s="9"/>
      <c r="VYU253" s="9"/>
      <c r="VYV253" s="9"/>
      <c r="VYW253" s="9"/>
      <c r="VYX253" s="9"/>
      <c r="VYY253" s="9"/>
      <c r="VYZ253" s="9"/>
      <c r="VZA253" s="9"/>
      <c r="VZB253" s="9"/>
      <c r="VZC253" s="9"/>
      <c r="VZD253" s="9"/>
      <c r="VZE253" s="9"/>
      <c r="VZF253" s="9"/>
      <c r="VZG253" s="9"/>
      <c r="VZH253" s="9"/>
      <c r="VZI253" s="9"/>
      <c r="VZJ253" s="9"/>
      <c r="VZK253" s="9"/>
      <c r="VZL253" s="9"/>
      <c r="VZM253" s="9"/>
      <c r="VZN253" s="9"/>
      <c r="VZO253" s="9"/>
      <c r="VZP253" s="9"/>
      <c r="VZQ253" s="9"/>
      <c r="VZR253" s="9"/>
      <c r="VZS253" s="9"/>
      <c r="VZT253" s="9"/>
      <c r="VZU253" s="9"/>
      <c r="VZV253" s="9"/>
      <c r="VZW253" s="9"/>
      <c r="VZX253" s="9"/>
      <c r="VZY253" s="9"/>
      <c r="VZZ253" s="9"/>
      <c r="WAA253" s="9"/>
      <c r="WAB253" s="9"/>
      <c r="WAC253" s="9"/>
      <c r="WAD253" s="9"/>
      <c r="WAE253" s="9"/>
      <c r="WAF253" s="9"/>
      <c r="WAG253" s="9"/>
      <c r="WAH253" s="9"/>
      <c r="WAI253" s="9"/>
      <c r="WAJ253" s="9"/>
      <c r="WAK253" s="9"/>
      <c r="WAL253" s="9"/>
      <c r="WAM253" s="9"/>
      <c r="WAN253" s="9"/>
      <c r="WAO253" s="9"/>
      <c r="WAP253" s="9"/>
      <c r="WAQ253" s="9"/>
      <c r="WAR253" s="9"/>
      <c r="WAS253" s="9"/>
      <c r="WAT253" s="9"/>
      <c r="WAU253" s="9"/>
      <c r="WAV253" s="9"/>
      <c r="WAW253" s="9"/>
      <c r="WAX253" s="9"/>
      <c r="WAY253" s="9"/>
      <c r="WAZ253" s="9"/>
      <c r="WBA253" s="9"/>
      <c r="WBB253" s="9"/>
      <c r="WBC253" s="9"/>
      <c r="WBD253" s="9"/>
      <c r="WBE253" s="9"/>
      <c r="WBF253" s="9"/>
      <c r="WBG253" s="9"/>
      <c r="WBH253" s="9"/>
      <c r="WBI253" s="9"/>
      <c r="WBJ253" s="9"/>
      <c r="WBK253" s="9"/>
      <c r="WBL253" s="9"/>
      <c r="WBM253" s="9"/>
      <c r="WBN253" s="9"/>
      <c r="WBO253" s="9"/>
      <c r="WBP253" s="9"/>
      <c r="WBQ253" s="9"/>
      <c r="WBR253" s="9"/>
      <c r="WBS253" s="9"/>
      <c r="WBT253" s="9"/>
      <c r="WBU253" s="9"/>
      <c r="WBV253" s="9"/>
      <c r="WBW253" s="9"/>
      <c r="WBX253" s="9"/>
      <c r="WBY253" s="9"/>
      <c r="WBZ253" s="9"/>
      <c r="WCA253" s="9"/>
      <c r="WCB253" s="9"/>
      <c r="WCC253" s="9"/>
      <c r="WCD253" s="9"/>
      <c r="WCE253" s="9"/>
      <c r="WCF253" s="9"/>
      <c r="WCG253" s="9"/>
      <c r="WCH253" s="9"/>
      <c r="WCI253" s="9"/>
      <c r="WCJ253" s="9"/>
      <c r="WCK253" s="9"/>
      <c r="WCL253" s="9"/>
      <c r="WCM253" s="9"/>
      <c r="WCN253" s="9"/>
      <c r="WCO253" s="9"/>
      <c r="WCP253" s="9"/>
      <c r="WCQ253" s="9"/>
      <c r="WCR253" s="9"/>
      <c r="WCS253" s="9"/>
      <c r="WCT253" s="9"/>
      <c r="WCU253" s="9"/>
      <c r="WCV253" s="9"/>
      <c r="WCW253" s="9"/>
      <c r="WCX253" s="9"/>
      <c r="WCY253" s="9"/>
      <c r="WCZ253" s="9"/>
      <c r="WDA253" s="9"/>
      <c r="WDB253" s="9"/>
      <c r="WDC253" s="9"/>
      <c r="WDD253" s="9"/>
      <c r="WDE253" s="9"/>
      <c r="WDF253" s="9"/>
      <c r="WDG253" s="9"/>
      <c r="WDH253" s="9"/>
      <c r="WDI253" s="9"/>
      <c r="WDJ253" s="9"/>
      <c r="WDK253" s="9"/>
      <c r="WDL253" s="9"/>
      <c r="WDM253" s="9"/>
      <c r="WDN253" s="9"/>
      <c r="WDO253" s="9"/>
      <c r="WDP253" s="9"/>
      <c r="WDQ253" s="9"/>
      <c r="WDR253" s="9"/>
      <c r="WDS253" s="9"/>
      <c r="WDT253" s="9"/>
      <c r="WDU253" s="9"/>
      <c r="WDV253" s="9"/>
      <c r="WDW253" s="9"/>
      <c r="WDX253" s="9"/>
      <c r="WDY253" s="9"/>
      <c r="WDZ253" s="9"/>
      <c r="WEA253" s="9"/>
      <c r="WEB253" s="9"/>
      <c r="WEC253" s="9"/>
      <c r="WED253" s="9"/>
      <c r="WEE253" s="9"/>
      <c r="WEF253" s="9"/>
      <c r="WEG253" s="9"/>
      <c r="WEH253" s="9"/>
      <c r="WEI253" s="9"/>
      <c r="WEJ253" s="9"/>
      <c r="WEK253" s="9"/>
      <c r="WEL253" s="9"/>
      <c r="WEM253" s="9"/>
      <c r="WEN253" s="9"/>
      <c r="WEO253" s="9"/>
      <c r="WEP253" s="9"/>
      <c r="WEQ253" s="9"/>
      <c r="WER253" s="9"/>
      <c r="WES253" s="9"/>
      <c r="WET253" s="9"/>
      <c r="WEU253" s="9"/>
      <c r="WEV253" s="9"/>
      <c r="WEW253" s="9"/>
      <c r="WEX253" s="9"/>
      <c r="WEY253" s="9"/>
      <c r="WEZ253" s="9"/>
      <c r="WFA253" s="9"/>
      <c r="WFB253" s="9"/>
      <c r="WFC253" s="9"/>
      <c r="WFD253" s="9"/>
      <c r="WFE253" s="9"/>
      <c r="WFF253" s="9"/>
      <c r="WFG253" s="9"/>
      <c r="WFH253" s="9"/>
      <c r="WFI253" s="9"/>
      <c r="WFJ253" s="9"/>
      <c r="WFK253" s="9"/>
      <c r="WFL253" s="9"/>
      <c r="WFM253" s="9"/>
      <c r="WFN253" s="9"/>
      <c r="WFO253" s="9"/>
      <c r="WFP253" s="9"/>
      <c r="WFQ253" s="9"/>
      <c r="WFR253" s="9"/>
      <c r="WFS253" s="9"/>
      <c r="WFT253" s="9"/>
      <c r="WFU253" s="9"/>
      <c r="WFV253" s="9"/>
      <c r="WFW253" s="9"/>
      <c r="WFX253" s="9"/>
      <c r="WFY253" s="9"/>
      <c r="WFZ253" s="9"/>
      <c r="WGA253" s="9"/>
      <c r="WGB253" s="9"/>
      <c r="WGC253" s="9"/>
      <c r="WGD253" s="9"/>
      <c r="WGE253" s="9"/>
      <c r="WGF253" s="9"/>
      <c r="WGG253" s="9"/>
      <c r="WGH253" s="9"/>
      <c r="WGI253" s="9"/>
      <c r="WGJ253" s="9"/>
      <c r="WGK253" s="9"/>
      <c r="WGL253" s="9"/>
      <c r="WGM253" s="9"/>
      <c r="WGN253" s="9"/>
      <c r="WGO253" s="9"/>
      <c r="WGP253" s="9"/>
      <c r="WGQ253" s="9"/>
      <c r="WGR253" s="9"/>
      <c r="WGS253" s="9"/>
      <c r="WGT253" s="9"/>
      <c r="WGU253" s="9"/>
      <c r="WGV253" s="9"/>
      <c r="WGW253" s="9"/>
      <c r="WGX253" s="9"/>
      <c r="WGY253" s="9"/>
      <c r="WGZ253" s="9"/>
      <c r="WHA253" s="9"/>
      <c r="WHB253" s="9"/>
      <c r="WHC253" s="9"/>
      <c r="WHD253" s="9"/>
      <c r="WHE253" s="9"/>
      <c r="WHF253" s="9"/>
      <c r="WHG253" s="9"/>
      <c r="WHH253" s="9"/>
      <c r="WHI253" s="9"/>
      <c r="WHJ253" s="9"/>
      <c r="WHK253" s="9"/>
      <c r="WHL253" s="9"/>
      <c r="WHM253" s="9"/>
      <c r="WHN253" s="9"/>
      <c r="WHO253" s="9"/>
      <c r="WHP253" s="9"/>
      <c r="WHQ253" s="9"/>
      <c r="WHR253" s="9"/>
      <c r="WHS253" s="9"/>
      <c r="WHT253" s="9"/>
      <c r="WHU253" s="9"/>
      <c r="WHV253" s="9"/>
      <c r="WHW253" s="9"/>
      <c r="WHX253" s="9"/>
      <c r="WHY253" s="9"/>
      <c r="WHZ253" s="9"/>
      <c r="WIA253" s="9"/>
      <c r="WIB253" s="9"/>
      <c r="WIC253" s="9"/>
      <c r="WID253" s="9"/>
      <c r="WIE253" s="9"/>
      <c r="WIF253" s="9"/>
      <c r="WIG253" s="9"/>
      <c r="WIH253" s="9"/>
      <c r="WII253" s="9"/>
      <c r="WIJ253" s="9"/>
      <c r="WIK253" s="9"/>
      <c r="WIL253" s="9"/>
      <c r="WIM253" s="9"/>
      <c r="WIN253" s="9"/>
      <c r="WIO253" s="9"/>
      <c r="WIP253" s="9"/>
      <c r="WIQ253" s="9"/>
      <c r="WIR253" s="9"/>
      <c r="WIS253" s="9"/>
      <c r="WIT253" s="9"/>
      <c r="WIU253" s="9"/>
      <c r="WIV253" s="9"/>
      <c r="WIW253" s="9"/>
      <c r="WIX253" s="9"/>
      <c r="WIY253" s="9"/>
      <c r="WIZ253" s="9"/>
      <c r="WJA253" s="9"/>
      <c r="WJB253" s="9"/>
      <c r="WJC253" s="9"/>
      <c r="WJD253" s="9"/>
      <c r="WJE253" s="9"/>
      <c r="WJF253" s="9"/>
      <c r="WJG253" s="9"/>
      <c r="WJH253" s="9"/>
      <c r="WJI253" s="9"/>
      <c r="WJJ253" s="9"/>
      <c r="WJK253" s="9"/>
      <c r="WJL253" s="9"/>
      <c r="WJM253" s="9"/>
      <c r="WJN253" s="9"/>
      <c r="WJO253" s="9"/>
      <c r="WJP253" s="9"/>
      <c r="WJQ253" s="9"/>
      <c r="WJR253" s="9"/>
      <c r="WJS253" s="9"/>
      <c r="WJT253" s="9"/>
      <c r="WJU253" s="9"/>
      <c r="WJV253" s="9"/>
      <c r="WJW253" s="9"/>
      <c r="WJX253" s="9"/>
      <c r="WJY253" s="9"/>
      <c r="WJZ253" s="9"/>
      <c r="WKA253" s="9"/>
      <c r="WKB253" s="9"/>
      <c r="WKC253" s="9"/>
      <c r="WKD253" s="9"/>
      <c r="WKE253" s="9"/>
      <c r="WKF253" s="9"/>
      <c r="WKG253" s="9"/>
      <c r="WKH253" s="9"/>
      <c r="WKI253" s="9"/>
      <c r="WKJ253" s="9"/>
      <c r="WKK253" s="9"/>
      <c r="WKL253" s="9"/>
      <c r="WKM253" s="9"/>
      <c r="WKN253" s="9"/>
      <c r="WKO253" s="9"/>
      <c r="WKP253" s="9"/>
      <c r="WKQ253" s="9"/>
      <c r="WKR253" s="9"/>
      <c r="WKS253" s="9"/>
      <c r="WKT253" s="9"/>
      <c r="WKU253" s="9"/>
      <c r="WKV253" s="9"/>
      <c r="WKW253" s="9"/>
      <c r="WKX253" s="9"/>
      <c r="WKY253" s="9"/>
      <c r="WKZ253" s="9"/>
      <c r="WLA253" s="9"/>
      <c r="WLB253" s="9"/>
      <c r="WLC253" s="9"/>
      <c r="WLD253" s="9"/>
      <c r="WLE253" s="9"/>
      <c r="WLF253" s="9"/>
      <c r="WLG253" s="9"/>
      <c r="WLH253" s="9"/>
      <c r="WLI253" s="9"/>
      <c r="WLJ253" s="9"/>
      <c r="WLK253" s="9"/>
      <c r="WLL253" s="9"/>
      <c r="WLM253" s="9"/>
      <c r="WLN253" s="9"/>
      <c r="WLO253" s="9"/>
      <c r="WLP253" s="9"/>
      <c r="WLQ253" s="9"/>
      <c r="WLR253" s="9"/>
      <c r="WLS253" s="9"/>
      <c r="WLT253" s="9"/>
      <c r="WLU253" s="9"/>
      <c r="WLV253" s="9"/>
      <c r="WLW253" s="9"/>
      <c r="WLX253" s="9"/>
      <c r="WLY253" s="9"/>
      <c r="WLZ253" s="9"/>
      <c r="WMA253" s="9"/>
      <c r="WMB253" s="9"/>
      <c r="WMC253" s="9"/>
      <c r="WMD253" s="9"/>
      <c r="WME253" s="9"/>
      <c r="WMF253" s="9"/>
      <c r="WMG253" s="9"/>
      <c r="WMH253" s="9"/>
      <c r="WMI253" s="9"/>
      <c r="WMJ253" s="9"/>
      <c r="WMK253" s="9"/>
      <c r="WML253" s="9"/>
      <c r="WMM253" s="9"/>
      <c r="WMN253" s="9"/>
      <c r="WMO253" s="9"/>
      <c r="WMP253" s="9"/>
      <c r="WMQ253" s="9"/>
      <c r="WMR253" s="9"/>
      <c r="WMS253" s="9"/>
      <c r="WMT253" s="9"/>
      <c r="WMU253" s="9"/>
      <c r="WMV253" s="9"/>
      <c r="WMW253" s="9"/>
      <c r="WMX253" s="9"/>
      <c r="WMY253" s="9"/>
      <c r="WMZ253" s="9"/>
      <c r="WNA253" s="9"/>
      <c r="WNB253" s="9"/>
      <c r="WNC253" s="9"/>
      <c r="WND253" s="9"/>
      <c r="WNE253" s="9"/>
      <c r="WNF253" s="9"/>
      <c r="WNG253" s="9"/>
      <c r="WNH253" s="9"/>
      <c r="WNI253" s="9"/>
      <c r="WNJ253" s="9"/>
      <c r="WNK253" s="9"/>
      <c r="WNL253" s="9"/>
      <c r="WNM253" s="9"/>
      <c r="WNN253" s="9"/>
      <c r="WNO253" s="9"/>
      <c r="WNP253" s="9"/>
      <c r="WNQ253" s="9"/>
      <c r="WNR253" s="9"/>
      <c r="WNS253" s="9"/>
      <c r="WNT253" s="9"/>
      <c r="WNU253" s="9"/>
      <c r="WNV253" s="9"/>
      <c r="WNW253" s="9"/>
      <c r="WNX253" s="9"/>
      <c r="WNY253" s="9"/>
      <c r="WNZ253" s="9"/>
      <c r="WOA253" s="9"/>
      <c r="WOB253" s="9"/>
      <c r="WOC253" s="9"/>
      <c r="WOD253" s="9"/>
      <c r="WOE253" s="9"/>
      <c r="WOF253" s="9"/>
      <c r="WOG253" s="9"/>
      <c r="WOH253" s="9"/>
      <c r="WOI253" s="9"/>
      <c r="WOJ253" s="9"/>
      <c r="WOK253" s="9"/>
      <c r="WOL253" s="9"/>
      <c r="WOM253" s="9"/>
      <c r="WON253" s="9"/>
      <c r="WOO253" s="9"/>
      <c r="WOP253" s="9"/>
      <c r="WOQ253" s="9"/>
      <c r="WOR253" s="9"/>
      <c r="WOS253" s="9"/>
      <c r="WOT253" s="9"/>
      <c r="WOU253" s="9"/>
      <c r="WOV253" s="9"/>
      <c r="WOW253" s="9"/>
      <c r="WOX253" s="9"/>
      <c r="WOY253" s="9"/>
      <c r="WOZ253" s="9"/>
      <c r="WPA253" s="9"/>
      <c r="WPB253" s="9"/>
      <c r="WPC253" s="9"/>
      <c r="WPD253" s="9"/>
      <c r="WPE253" s="9"/>
      <c r="WPF253" s="9"/>
      <c r="WPG253" s="9"/>
      <c r="WPH253" s="9"/>
      <c r="WPI253" s="9"/>
      <c r="WPJ253" s="9"/>
      <c r="WPK253" s="9"/>
      <c r="WPL253" s="9"/>
      <c r="WPM253" s="9"/>
      <c r="WPN253" s="9"/>
      <c r="WPO253" s="9"/>
      <c r="WPP253" s="9"/>
      <c r="WPQ253" s="9"/>
      <c r="WPR253" s="9"/>
      <c r="WPS253" s="9"/>
      <c r="WPT253" s="9"/>
      <c r="WPU253" s="9"/>
      <c r="WPV253" s="9"/>
      <c r="WPW253" s="9"/>
      <c r="WPX253" s="9"/>
      <c r="WPY253" s="9"/>
      <c r="WPZ253" s="9"/>
      <c r="WQA253" s="9"/>
      <c r="WQB253" s="9"/>
      <c r="WQC253" s="9"/>
      <c r="WQD253" s="9"/>
      <c r="WQE253" s="9"/>
      <c r="WQF253" s="9"/>
      <c r="WQG253" s="9"/>
      <c r="WQH253" s="9"/>
      <c r="WQI253" s="9"/>
      <c r="WQJ253" s="9"/>
      <c r="WQK253" s="9"/>
      <c r="WQL253" s="9"/>
      <c r="WQM253" s="9"/>
      <c r="WQN253" s="9"/>
      <c r="WQO253" s="9"/>
      <c r="WQP253" s="9"/>
      <c r="WQQ253" s="9"/>
      <c r="WQR253" s="9"/>
      <c r="WQS253" s="9"/>
      <c r="WQT253" s="9"/>
      <c r="WQU253" s="9"/>
      <c r="WQV253" s="9"/>
      <c r="WQW253" s="9"/>
      <c r="WQX253" s="9"/>
      <c r="WQY253" s="9"/>
      <c r="WQZ253" s="9"/>
      <c r="WRA253" s="9"/>
      <c r="WRB253" s="9"/>
      <c r="WRC253" s="9"/>
      <c r="WRD253" s="9"/>
      <c r="WRE253" s="9"/>
      <c r="WRF253" s="9"/>
      <c r="WRG253" s="9"/>
      <c r="WRH253" s="9"/>
      <c r="WRI253" s="9"/>
      <c r="WRJ253" s="9"/>
      <c r="WRK253" s="9"/>
      <c r="WRL253" s="9"/>
      <c r="WRM253" s="9"/>
      <c r="WRN253" s="9"/>
      <c r="WRO253" s="9"/>
      <c r="WRP253" s="9"/>
      <c r="WRQ253" s="9"/>
      <c r="WRR253" s="9"/>
      <c r="WRS253" s="9"/>
      <c r="WRT253" s="9"/>
      <c r="WRU253" s="9"/>
      <c r="WRV253" s="9"/>
      <c r="WRW253" s="9"/>
      <c r="WRX253" s="9"/>
      <c r="WRY253" s="9"/>
      <c r="WRZ253" s="9"/>
      <c r="WSA253" s="9"/>
      <c r="WSB253" s="9"/>
      <c r="WSC253" s="9"/>
      <c r="WSD253" s="9"/>
      <c r="WSE253" s="9"/>
      <c r="WSF253" s="9"/>
      <c r="WSG253" s="9"/>
      <c r="WSH253" s="9"/>
      <c r="WSI253" s="9"/>
      <c r="WSJ253" s="9"/>
      <c r="WSK253" s="9"/>
      <c r="WSL253" s="9"/>
      <c r="WSM253" s="9"/>
      <c r="WSN253" s="9"/>
      <c r="WSO253" s="9"/>
      <c r="WSP253" s="9"/>
      <c r="WSQ253" s="9"/>
      <c r="WSR253" s="9"/>
      <c r="WSS253" s="9"/>
      <c r="WST253" s="9"/>
      <c r="WSU253" s="9"/>
      <c r="WSV253" s="9"/>
      <c r="WSW253" s="9"/>
      <c r="WSX253" s="9"/>
      <c r="WSY253" s="9"/>
      <c r="WSZ253" s="9"/>
      <c r="WTA253" s="9"/>
      <c r="WTB253" s="9"/>
      <c r="WTC253" s="9"/>
      <c r="WTD253" s="9"/>
      <c r="WTE253" s="9"/>
      <c r="WTF253" s="9"/>
      <c r="WTG253" s="9"/>
      <c r="WTH253" s="9"/>
      <c r="WTI253" s="9"/>
      <c r="WTJ253" s="9"/>
      <c r="WTK253" s="9"/>
      <c r="WTL253" s="9"/>
      <c r="WTM253" s="9"/>
      <c r="WTN253" s="9"/>
      <c r="WTO253" s="9"/>
      <c r="WTP253" s="9"/>
      <c r="WTQ253" s="9"/>
      <c r="WTR253" s="9"/>
      <c r="WTS253" s="9"/>
      <c r="WTT253" s="9"/>
      <c r="WTU253" s="9"/>
      <c r="WTV253" s="9"/>
      <c r="WTW253" s="9"/>
      <c r="WTX253" s="9"/>
      <c r="WTY253" s="9"/>
      <c r="WTZ253" s="9"/>
      <c r="WUA253" s="9"/>
      <c r="WUB253" s="9"/>
      <c r="WUC253" s="9"/>
      <c r="WUD253" s="9"/>
      <c r="WUE253" s="9"/>
      <c r="WUF253" s="9"/>
      <c r="WUG253" s="9"/>
      <c r="WUH253" s="9"/>
      <c r="WUI253" s="9"/>
      <c r="WUJ253" s="9"/>
      <c r="WUK253" s="9"/>
      <c r="WUL253" s="9"/>
      <c r="WUM253" s="9"/>
      <c r="WUN253" s="9"/>
      <c r="WUO253" s="9"/>
      <c r="WUP253" s="9"/>
      <c r="WUQ253" s="9"/>
      <c r="WUR253" s="9"/>
      <c r="WUS253" s="9"/>
      <c r="WUT253" s="9"/>
      <c r="WUU253" s="9"/>
      <c r="WUV253" s="9"/>
      <c r="WUW253" s="9"/>
      <c r="WUX253" s="9"/>
      <c r="WUY253" s="9"/>
      <c r="WUZ253" s="9"/>
      <c r="WVA253" s="9"/>
      <c r="WVB253" s="9"/>
      <c r="WVC253" s="9"/>
      <c r="WVD253" s="9"/>
      <c r="WVE253" s="9"/>
      <c r="WVF253" s="9"/>
      <c r="WVG253" s="9"/>
      <c r="WVH253" s="9"/>
      <c r="WVI253" s="9"/>
      <c r="WVJ253" s="9"/>
      <c r="WVK253" s="9"/>
      <c r="WVL253" s="9"/>
      <c r="WVM253" s="9"/>
      <c r="WVN253" s="9"/>
      <c r="WVO253" s="9"/>
      <c r="WVP253" s="9"/>
      <c r="WVQ253" s="9"/>
      <c r="WVR253" s="9"/>
      <c r="WVS253" s="9"/>
      <c r="WVT253" s="9"/>
      <c r="WVU253" s="9"/>
    </row>
    <row r="254" spans="1:16141" s="21" customFormat="1">
      <c r="A254" s="9"/>
      <c r="B254" s="9"/>
      <c r="C254" s="9"/>
      <c r="D254" s="9"/>
      <c r="E254" s="9"/>
      <c r="F254" s="9"/>
      <c r="G254" s="9"/>
      <c r="H254" s="3434" t="s">
        <v>906</v>
      </c>
      <c r="I254" s="3434"/>
      <c r="J254" s="3434"/>
      <c r="K254" s="1091"/>
      <c r="L254" s="41"/>
      <c r="M254" s="41"/>
      <c r="N254" s="41"/>
      <c r="O254" s="9"/>
      <c r="P254" s="9"/>
      <c r="Q254" s="158">
        <f>Q245-K245</f>
        <v>0</v>
      </c>
      <c r="R254" s="9"/>
      <c r="S254" s="41"/>
      <c r="T254" s="41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  <c r="IZ254" s="9"/>
      <c r="JA254" s="9"/>
      <c r="JB254" s="9"/>
      <c r="JC254" s="9"/>
      <c r="JD254" s="9"/>
      <c r="JE254" s="9"/>
      <c r="JF254" s="9"/>
      <c r="JG254" s="9"/>
      <c r="JH254" s="9"/>
      <c r="JI254" s="9"/>
      <c r="JJ254" s="9"/>
      <c r="JK254" s="9"/>
      <c r="JL254" s="9"/>
      <c r="JM254" s="9"/>
      <c r="JN254" s="9"/>
      <c r="JO254" s="9"/>
      <c r="JP254" s="9"/>
      <c r="JQ254" s="9"/>
      <c r="JR254" s="9"/>
      <c r="JS254" s="9"/>
      <c r="JT254" s="9"/>
      <c r="JU254" s="9"/>
      <c r="JV254" s="9"/>
      <c r="JW254" s="9"/>
      <c r="JX254" s="9"/>
      <c r="JY254" s="9"/>
      <c r="JZ254" s="9"/>
      <c r="KA254" s="9"/>
      <c r="KB254" s="9"/>
      <c r="KC254" s="9"/>
      <c r="KD254" s="9"/>
      <c r="KE254" s="9"/>
      <c r="KF254" s="9"/>
      <c r="KG254" s="9"/>
      <c r="KH254" s="9"/>
      <c r="KI254" s="9"/>
      <c r="KJ254" s="9"/>
      <c r="KK254" s="9"/>
      <c r="KL254" s="9"/>
      <c r="KM254" s="9"/>
      <c r="KN254" s="9"/>
      <c r="KO254" s="9"/>
      <c r="KP254" s="9"/>
      <c r="KQ254" s="9"/>
      <c r="KR254" s="9"/>
      <c r="KS254" s="9"/>
      <c r="KT254" s="9"/>
      <c r="KU254" s="9"/>
      <c r="KV254" s="9"/>
      <c r="KW254" s="9"/>
      <c r="KX254" s="9"/>
      <c r="KY254" s="9"/>
      <c r="KZ254" s="9"/>
      <c r="LA254" s="9"/>
      <c r="LB254" s="9"/>
      <c r="LC254" s="9"/>
      <c r="LD254" s="9"/>
      <c r="LE254" s="9"/>
      <c r="LF254" s="9"/>
      <c r="LG254" s="9"/>
      <c r="LH254" s="9"/>
      <c r="LI254" s="9"/>
      <c r="LJ254" s="9"/>
      <c r="LK254" s="9"/>
      <c r="LL254" s="9"/>
      <c r="LM254" s="9"/>
      <c r="LN254" s="9"/>
      <c r="LO254" s="9"/>
      <c r="LP254" s="9"/>
      <c r="LQ254" s="9"/>
      <c r="LR254" s="9"/>
      <c r="LS254" s="9"/>
      <c r="LT254" s="9"/>
      <c r="LU254" s="9"/>
      <c r="LV254" s="9"/>
      <c r="LW254" s="9"/>
      <c r="LX254" s="9"/>
      <c r="LY254" s="9"/>
      <c r="LZ254" s="9"/>
      <c r="MA254" s="9"/>
      <c r="MB254" s="9"/>
      <c r="MC254" s="9"/>
      <c r="MD254" s="9"/>
      <c r="ME254" s="9"/>
      <c r="MF254" s="9"/>
      <c r="MG254" s="9"/>
      <c r="MH254" s="9"/>
      <c r="MI254" s="9"/>
      <c r="MJ254" s="9"/>
      <c r="MK254" s="9"/>
      <c r="ML254" s="9"/>
      <c r="MM254" s="9"/>
      <c r="MN254" s="9"/>
      <c r="MO254" s="9"/>
      <c r="MP254" s="9"/>
      <c r="MQ254" s="9"/>
      <c r="MR254" s="9"/>
      <c r="MS254" s="9"/>
      <c r="MT254" s="9"/>
      <c r="MU254" s="9"/>
      <c r="MV254" s="9"/>
      <c r="MW254" s="9"/>
      <c r="MX254" s="9"/>
      <c r="MY254" s="9"/>
      <c r="MZ254" s="9"/>
      <c r="NA254" s="9"/>
      <c r="NB254" s="9"/>
      <c r="NC254" s="9"/>
      <c r="ND254" s="9"/>
      <c r="NE254" s="9"/>
      <c r="NF254" s="9"/>
      <c r="NG254" s="9"/>
      <c r="NH254" s="9"/>
      <c r="NI254" s="9"/>
      <c r="NJ254" s="9"/>
      <c r="NK254" s="9"/>
      <c r="NL254" s="9"/>
      <c r="NM254" s="9"/>
      <c r="NN254" s="9"/>
      <c r="NO254" s="9"/>
      <c r="NP254" s="9"/>
      <c r="NQ254" s="9"/>
      <c r="NR254" s="9"/>
      <c r="NS254" s="9"/>
      <c r="NT254" s="9"/>
      <c r="NU254" s="9"/>
      <c r="NV254" s="9"/>
      <c r="NW254" s="9"/>
      <c r="NX254" s="9"/>
      <c r="NY254" s="9"/>
      <c r="NZ254" s="9"/>
      <c r="OA254" s="9"/>
      <c r="OB254" s="9"/>
      <c r="OC254" s="9"/>
      <c r="OD254" s="9"/>
      <c r="OE254" s="9"/>
      <c r="OF254" s="9"/>
      <c r="OG254" s="9"/>
      <c r="OH254" s="9"/>
      <c r="OI254" s="9"/>
      <c r="OJ254" s="9"/>
      <c r="OK254" s="9"/>
      <c r="OL254" s="9"/>
      <c r="OM254" s="9"/>
      <c r="ON254" s="9"/>
      <c r="OO254" s="9"/>
      <c r="OP254" s="9"/>
      <c r="OQ254" s="9"/>
      <c r="OR254" s="9"/>
      <c r="OS254" s="9"/>
      <c r="OT254" s="9"/>
      <c r="OU254" s="9"/>
      <c r="OV254" s="9"/>
      <c r="OW254" s="9"/>
      <c r="OX254" s="9"/>
      <c r="OY254" s="9"/>
      <c r="OZ254" s="9"/>
      <c r="PA254" s="9"/>
      <c r="PB254" s="9"/>
      <c r="PC254" s="9"/>
      <c r="PD254" s="9"/>
      <c r="PE254" s="9"/>
      <c r="PF254" s="9"/>
      <c r="PG254" s="9"/>
      <c r="PH254" s="9"/>
      <c r="PI254" s="9"/>
      <c r="PJ254" s="9"/>
      <c r="PK254" s="9"/>
      <c r="PL254" s="9"/>
      <c r="PM254" s="9"/>
      <c r="PN254" s="9"/>
      <c r="PO254" s="9"/>
      <c r="PP254" s="9"/>
      <c r="PQ254" s="9"/>
      <c r="PR254" s="9"/>
      <c r="PS254" s="9"/>
      <c r="PT254" s="9"/>
      <c r="PU254" s="9"/>
      <c r="PV254" s="9"/>
      <c r="PW254" s="9"/>
      <c r="PX254" s="9"/>
      <c r="PY254" s="9"/>
      <c r="PZ254" s="9"/>
      <c r="QA254" s="9"/>
      <c r="QB254" s="9"/>
      <c r="QC254" s="9"/>
      <c r="QD254" s="9"/>
      <c r="QE254" s="9"/>
      <c r="QF254" s="9"/>
      <c r="QG254" s="9"/>
      <c r="QH254" s="9"/>
      <c r="QI254" s="9"/>
      <c r="QJ254" s="9"/>
      <c r="QK254" s="9"/>
      <c r="QL254" s="9"/>
      <c r="QM254" s="9"/>
      <c r="QN254" s="9"/>
      <c r="QO254" s="9"/>
      <c r="QP254" s="9"/>
      <c r="QQ254" s="9"/>
      <c r="QR254" s="9"/>
      <c r="QS254" s="9"/>
      <c r="QT254" s="9"/>
      <c r="QU254" s="9"/>
      <c r="QV254" s="9"/>
      <c r="QW254" s="9"/>
      <c r="QX254" s="9"/>
      <c r="QY254" s="9"/>
      <c r="QZ254" s="9"/>
      <c r="RA254" s="9"/>
      <c r="RB254" s="9"/>
      <c r="RC254" s="9"/>
      <c r="RD254" s="9"/>
      <c r="RE254" s="9"/>
      <c r="RF254" s="9"/>
      <c r="RG254" s="9"/>
      <c r="RH254" s="9"/>
      <c r="RI254" s="9"/>
      <c r="RJ254" s="9"/>
      <c r="RK254" s="9"/>
      <c r="RL254" s="9"/>
      <c r="RM254" s="9"/>
      <c r="RN254" s="9"/>
      <c r="RO254" s="9"/>
      <c r="RP254" s="9"/>
      <c r="RQ254" s="9"/>
      <c r="RR254" s="9"/>
      <c r="RS254" s="9"/>
      <c r="RT254" s="9"/>
      <c r="RU254" s="9"/>
      <c r="RV254" s="9"/>
      <c r="RW254" s="9"/>
      <c r="RX254" s="9"/>
      <c r="RY254" s="9"/>
      <c r="RZ254" s="9"/>
      <c r="SA254" s="9"/>
      <c r="SB254" s="9"/>
      <c r="SC254" s="9"/>
      <c r="SD254" s="9"/>
      <c r="SE254" s="9"/>
      <c r="SF254" s="9"/>
      <c r="SG254" s="9"/>
      <c r="SH254" s="9"/>
      <c r="SI254" s="9"/>
      <c r="SJ254" s="9"/>
      <c r="SK254" s="9"/>
      <c r="SL254" s="9"/>
      <c r="SM254" s="9"/>
      <c r="SN254" s="9"/>
      <c r="SO254" s="9"/>
      <c r="SP254" s="9"/>
      <c r="SQ254" s="9"/>
      <c r="SR254" s="9"/>
      <c r="SS254" s="9"/>
      <c r="ST254" s="9"/>
      <c r="SU254" s="9"/>
      <c r="SV254" s="9"/>
      <c r="SW254" s="9"/>
      <c r="SX254" s="9"/>
      <c r="SY254" s="9"/>
      <c r="SZ254" s="9"/>
      <c r="TA254" s="9"/>
      <c r="TB254" s="9"/>
      <c r="TC254" s="9"/>
      <c r="TD254" s="9"/>
      <c r="TE254" s="9"/>
      <c r="TF254" s="9"/>
      <c r="TG254" s="9"/>
      <c r="TH254" s="9"/>
      <c r="TI254" s="9"/>
      <c r="TJ254" s="9"/>
      <c r="TK254" s="9"/>
      <c r="TL254" s="9"/>
      <c r="TM254" s="9"/>
      <c r="TN254" s="9"/>
      <c r="TO254" s="9"/>
      <c r="TP254" s="9"/>
      <c r="TQ254" s="9"/>
      <c r="TR254" s="9"/>
      <c r="TS254" s="9"/>
      <c r="TT254" s="9"/>
      <c r="TU254" s="9"/>
      <c r="TV254" s="9"/>
      <c r="TW254" s="9"/>
      <c r="TX254" s="9"/>
      <c r="TY254" s="9"/>
      <c r="TZ254" s="9"/>
      <c r="UA254" s="9"/>
      <c r="UB254" s="9"/>
      <c r="UC254" s="9"/>
      <c r="UD254" s="9"/>
      <c r="UE254" s="9"/>
      <c r="UF254" s="9"/>
      <c r="UG254" s="9"/>
      <c r="UH254" s="9"/>
      <c r="UI254" s="9"/>
      <c r="UJ254" s="9"/>
      <c r="UK254" s="9"/>
      <c r="UL254" s="9"/>
      <c r="UM254" s="9"/>
      <c r="UN254" s="9"/>
      <c r="UO254" s="9"/>
      <c r="UP254" s="9"/>
      <c r="UQ254" s="9"/>
      <c r="UR254" s="9"/>
      <c r="US254" s="9"/>
      <c r="UT254" s="9"/>
      <c r="UU254" s="9"/>
      <c r="UV254" s="9"/>
      <c r="UW254" s="9"/>
      <c r="UX254" s="9"/>
      <c r="UY254" s="9"/>
      <c r="UZ254" s="9"/>
      <c r="VA254" s="9"/>
      <c r="VB254" s="9"/>
      <c r="VC254" s="9"/>
      <c r="VD254" s="9"/>
      <c r="VE254" s="9"/>
      <c r="VF254" s="9"/>
      <c r="VG254" s="9"/>
      <c r="VH254" s="9"/>
      <c r="VI254" s="9"/>
      <c r="VJ254" s="9"/>
      <c r="VK254" s="9"/>
      <c r="VL254" s="9"/>
      <c r="VM254" s="9"/>
      <c r="VN254" s="9"/>
      <c r="VO254" s="9"/>
      <c r="VP254" s="9"/>
      <c r="VQ254" s="9"/>
      <c r="VR254" s="9"/>
      <c r="VS254" s="9"/>
      <c r="VT254" s="9"/>
      <c r="VU254" s="9"/>
      <c r="VV254" s="9"/>
      <c r="VW254" s="9"/>
      <c r="VX254" s="9"/>
      <c r="VY254" s="9"/>
      <c r="VZ254" s="9"/>
      <c r="WA254" s="9"/>
      <c r="WB254" s="9"/>
      <c r="WC254" s="9"/>
      <c r="WD254" s="9"/>
      <c r="WE254" s="9"/>
      <c r="WF254" s="9"/>
      <c r="WG254" s="9"/>
      <c r="WH254" s="9"/>
      <c r="WI254" s="9"/>
      <c r="WJ254" s="9"/>
      <c r="WK254" s="9"/>
      <c r="WL254" s="9"/>
      <c r="WM254" s="9"/>
      <c r="WN254" s="9"/>
      <c r="WO254" s="9"/>
      <c r="WP254" s="9"/>
      <c r="WQ254" s="9"/>
      <c r="WR254" s="9"/>
      <c r="WS254" s="9"/>
      <c r="WT254" s="9"/>
      <c r="WU254" s="9"/>
      <c r="WV254" s="9"/>
      <c r="WW254" s="9"/>
      <c r="WX254" s="9"/>
      <c r="WY254" s="9"/>
      <c r="WZ254" s="9"/>
      <c r="XA254" s="9"/>
      <c r="XB254" s="9"/>
      <c r="XC254" s="9"/>
      <c r="XD254" s="9"/>
      <c r="XE254" s="9"/>
      <c r="XF254" s="9"/>
      <c r="XG254" s="9"/>
      <c r="XH254" s="9"/>
      <c r="XI254" s="9"/>
      <c r="XJ254" s="9"/>
      <c r="XK254" s="9"/>
      <c r="XL254" s="9"/>
      <c r="XM254" s="9"/>
      <c r="XN254" s="9"/>
      <c r="XO254" s="9"/>
      <c r="XP254" s="9"/>
      <c r="XQ254" s="9"/>
      <c r="XR254" s="9"/>
      <c r="XS254" s="9"/>
      <c r="XT254" s="9"/>
      <c r="XU254" s="9"/>
      <c r="XV254" s="9"/>
      <c r="XW254" s="9"/>
      <c r="XX254" s="9"/>
      <c r="XY254" s="9"/>
      <c r="XZ254" s="9"/>
      <c r="YA254" s="9"/>
      <c r="YB254" s="9"/>
      <c r="YC254" s="9"/>
      <c r="YD254" s="9"/>
      <c r="YE254" s="9"/>
      <c r="YF254" s="9"/>
      <c r="YG254" s="9"/>
      <c r="YH254" s="9"/>
      <c r="YI254" s="9"/>
      <c r="YJ254" s="9"/>
      <c r="YK254" s="9"/>
      <c r="YL254" s="9"/>
      <c r="YM254" s="9"/>
      <c r="YN254" s="9"/>
      <c r="YO254" s="9"/>
      <c r="YP254" s="9"/>
      <c r="YQ254" s="9"/>
      <c r="YR254" s="9"/>
      <c r="YS254" s="9"/>
      <c r="YT254" s="9"/>
      <c r="YU254" s="9"/>
      <c r="YV254" s="9"/>
      <c r="YW254" s="9"/>
      <c r="YX254" s="9"/>
      <c r="YY254" s="9"/>
      <c r="YZ254" s="9"/>
      <c r="ZA254" s="9"/>
      <c r="ZB254" s="9"/>
      <c r="ZC254" s="9"/>
      <c r="ZD254" s="9"/>
      <c r="ZE254" s="9"/>
      <c r="ZF254" s="9"/>
      <c r="ZG254" s="9"/>
      <c r="ZH254" s="9"/>
      <c r="ZI254" s="9"/>
      <c r="ZJ254" s="9"/>
      <c r="ZK254" s="9"/>
      <c r="ZL254" s="9"/>
      <c r="ZM254" s="9"/>
      <c r="ZN254" s="9"/>
      <c r="ZO254" s="9"/>
      <c r="ZP254" s="9"/>
      <c r="ZQ254" s="9"/>
      <c r="ZR254" s="9"/>
      <c r="ZS254" s="9"/>
      <c r="ZT254" s="9"/>
      <c r="ZU254" s="9"/>
      <c r="ZV254" s="9"/>
      <c r="ZW254" s="9"/>
      <c r="ZX254" s="9"/>
      <c r="ZY254" s="9"/>
      <c r="ZZ254" s="9"/>
      <c r="AAA254" s="9"/>
      <c r="AAB254" s="9"/>
      <c r="AAC254" s="9"/>
      <c r="AAD254" s="9"/>
      <c r="AAE254" s="9"/>
      <c r="AAF254" s="9"/>
      <c r="AAG254" s="9"/>
      <c r="AAH254" s="9"/>
      <c r="AAI254" s="9"/>
      <c r="AAJ254" s="9"/>
      <c r="AAK254" s="9"/>
      <c r="AAL254" s="9"/>
      <c r="AAM254" s="9"/>
      <c r="AAN254" s="9"/>
      <c r="AAO254" s="9"/>
      <c r="AAP254" s="9"/>
      <c r="AAQ254" s="9"/>
      <c r="AAR254" s="9"/>
      <c r="AAS254" s="9"/>
      <c r="AAT254" s="9"/>
      <c r="AAU254" s="9"/>
      <c r="AAV254" s="9"/>
      <c r="AAW254" s="9"/>
      <c r="AAX254" s="9"/>
      <c r="AAY254" s="9"/>
      <c r="AAZ254" s="9"/>
      <c r="ABA254" s="9"/>
      <c r="ABB254" s="9"/>
      <c r="ABC254" s="9"/>
      <c r="ABD254" s="9"/>
      <c r="ABE254" s="9"/>
      <c r="ABF254" s="9"/>
      <c r="ABG254" s="9"/>
      <c r="ABH254" s="9"/>
      <c r="ABI254" s="9"/>
      <c r="ABJ254" s="9"/>
      <c r="ABK254" s="9"/>
      <c r="ABL254" s="9"/>
      <c r="ABM254" s="9"/>
      <c r="ABN254" s="9"/>
      <c r="ABO254" s="9"/>
      <c r="ABP254" s="9"/>
      <c r="ABQ254" s="9"/>
      <c r="ABR254" s="9"/>
      <c r="ABS254" s="9"/>
      <c r="ABT254" s="9"/>
      <c r="ABU254" s="9"/>
      <c r="ABV254" s="9"/>
      <c r="ABW254" s="9"/>
      <c r="ABX254" s="9"/>
      <c r="ABY254" s="9"/>
      <c r="ABZ254" s="9"/>
      <c r="ACA254" s="9"/>
      <c r="ACB254" s="9"/>
      <c r="ACC254" s="9"/>
      <c r="ACD254" s="9"/>
      <c r="ACE254" s="9"/>
      <c r="ACF254" s="9"/>
      <c r="ACG254" s="9"/>
      <c r="ACH254" s="9"/>
      <c r="ACI254" s="9"/>
      <c r="ACJ254" s="9"/>
      <c r="ACK254" s="9"/>
      <c r="ACL254" s="9"/>
      <c r="ACM254" s="9"/>
      <c r="ACN254" s="9"/>
      <c r="ACO254" s="9"/>
      <c r="ACP254" s="9"/>
      <c r="ACQ254" s="9"/>
      <c r="ACR254" s="9"/>
      <c r="ACS254" s="9"/>
      <c r="ACT254" s="9"/>
      <c r="ACU254" s="9"/>
      <c r="ACV254" s="9"/>
      <c r="ACW254" s="9"/>
      <c r="ACX254" s="9"/>
      <c r="ACY254" s="9"/>
      <c r="ACZ254" s="9"/>
      <c r="ADA254" s="9"/>
      <c r="ADB254" s="9"/>
      <c r="ADC254" s="9"/>
      <c r="ADD254" s="9"/>
      <c r="ADE254" s="9"/>
      <c r="ADF254" s="9"/>
      <c r="ADG254" s="9"/>
      <c r="ADH254" s="9"/>
      <c r="ADI254" s="9"/>
      <c r="ADJ254" s="9"/>
      <c r="ADK254" s="9"/>
      <c r="ADL254" s="9"/>
      <c r="ADM254" s="9"/>
      <c r="ADN254" s="9"/>
      <c r="ADO254" s="9"/>
      <c r="ADP254" s="9"/>
      <c r="ADQ254" s="9"/>
      <c r="ADR254" s="9"/>
      <c r="ADS254" s="9"/>
      <c r="ADT254" s="9"/>
      <c r="ADU254" s="9"/>
      <c r="ADV254" s="9"/>
      <c r="ADW254" s="9"/>
      <c r="ADX254" s="9"/>
      <c r="ADY254" s="9"/>
      <c r="ADZ254" s="9"/>
      <c r="AEA254" s="9"/>
      <c r="AEB254" s="9"/>
      <c r="AEC254" s="9"/>
      <c r="AED254" s="9"/>
      <c r="AEE254" s="9"/>
      <c r="AEF254" s="9"/>
      <c r="AEG254" s="9"/>
      <c r="AEH254" s="9"/>
      <c r="AEI254" s="9"/>
      <c r="AEJ254" s="9"/>
      <c r="AEK254" s="9"/>
      <c r="AEL254" s="9"/>
      <c r="AEM254" s="9"/>
      <c r="AEN254" s="9"/>
      <c r="AEO254" s="9"/>
      <c r="AEP254" s="9"/>
      <c r="AEQ254" s="9"/>
      <c r="AER254" s="9"/>
      <c r="AES254" s="9"/>
      <c r="AET254" s="9"/>
      <c r="AEU254" s="9"/>
      <c r="AEV254" s="9"/>
      <c r="AEW254" s="9"/>
      <c r="AEX254" s="9"/>
      <c r="AEY254" s="9"/>
      <c r="AEZ254" s="9"/>
      <c r="AFA254" s="9"/>
      <c r="AFB254" s="9"/>
      <c r="AFC254" s="9"/>
      <c r="AFD254" s="9"/>
      <c r="AFE254" s="9"/>
      <c r="AFF254" s="9"/>
      <c r="AFG254" s="9"/>
      <c r="AFH254" s="9"/>
      <c r="AFI254" s="9"/>
      <c r="AFJ254" s="9"/>
      <c r="AFK254" s="9"/>
      <c r="AFL254" s="9"/>
      <c r="AFM254" s="9"/>
      <c r="AFN254" s="9"/>
      <c r="AFO254" s="9"/>
      <c r="AFP254" s="9"/>
      <c r="AFQ254" s="9"/>
      <c r="AFR254" s="9"/>
      <c r="AFS254" s="9"/>
      <c r="AFT254" s="9"/>
      <c r="AFU254" s="9"/>
      <c r="AFV254" s="9"/>
      <c r="AFW254" s="9"/>
      <c r="AFX254" s="9"/>
      <c r="AFY254" s="9"/>
      <c r="AFZ254" s="9"/>
      <c r="AGA254" s="9"/>
      <c r="AGB254" s="9"/>
      <c r="AGC254" s="9"/>
      <c r="AGD254" s="9"/>
      <c r="AGE254" s="9"/>
      <c r="AGF254" s="9"/>
      <c r="AGG254" s="9"/>
      <c r="AGH254" s="9"/>
      <c r="AGI254" s="9"/>
      <c r="AGJ254" s="9"/>
      <c r="AGK254" s="9"/>
      <c r="AGL254" s="9"/>
      <c r="AGM254" s="9"/>
      <c r="AGN254" s="9"/>
      <c r="AGO254" s="9"/>
      <c r="AGP254" s="9"/>
      <c r="AGQ254" s="9"/>
      <c r="AGR254" s="9"/>
      <c r="AGS254" s="9"/>
      <c r="AGT254" s="9"/>
      <c r="AGU254" s="9"/>
      <c r="AGV254" s="9"/>
      <c r="AGW254" s="9"/>
      <c r="AGX254" s="9"/>
      <c r="AGY254" s="9"/>
      <c r="AGZ254" s="9"/>
      <c r="AHA254" s="9"/>
      <c r="AHB254" s="9"/>
      <c r="AHC254" s="9"/>
      <c r="AHD254" s="9"/>
      <c r="AHE254" s="9"/>
      <c r="AHF254" s="9"/>
      <c r="AHG254" s="9"/>
      <c r="AHH254" s="9"/>
      <c r="AHI254" s="9"/>
      <c r="AHJ254" s="9"/>
      <c r="AHK254" s="9"/>
      <c r="AHL254" s="9"/>
      <c r="AHM254" s="9"/>
      <c r="AHN254" s="9"/>
      <c r="AHO254" s="9"/>
      <c r="AHP254" s="9"/>
      <c r="AHQ254" s="9"/>
      <c r="AHR254" s="9"/>
      <c r="AHS254" s="9"/>
      <c r="AHT254" s="9"/>
      <c r="AHU254" s="9"/>
      <c r="AHV254" s="9"/>
      <c r="AHW254" s="9"/>
      <c r="AHX254" s="9"/>
      <c r="AHY254" s="9"/>
      <c r="AHZ254" s="9"/>
      <c r="AIA254" s="9"/>
      <c r="AIB254" s="9"/>
      <c r="AIC254" s="9"/>
      <c r="AID254" s="9"/>
      <c r="AIE254" s="9"/>
      <c r="AIF254" s="9"/>
      <c r="AIG254" s="9"/>
      <c r="AIH254" s="9"/>
      <c r="AII254" s="9"/>
      <c r="AIJ254" s="9"/>
      <c r="AIK254" s="9"/>
      <c r="AIL254" s="9"/>
      <c r="AIM254" s="9"/>
      <c r="AIN254" s="9"/>
      <c r="AIO254" s="9"/>
      <c r="AIP254" s="9"/>
      <c r="AIQ254" s="9"/>
      <c r="AIR254" s="9"/>
      <c r="AIS254" s="9"/>
      <c r="AIT254" s="9"/>
      <c r="AIU254" s="9"/>
      <c r="AIV254" s="9"/>
      <c r="AIW254" s="9"/>
      <c r="AIX254" s="9"/>
      <c r="AIY254" s="9"/>
      <c r="AIZ254" s="9"/>
      <c r="AJA254" s="9"/>
      <c r="AJB254" s="9"/>
      <c r="AJC254" s="9"/>
      <c r="AJD254" s="9"/>
      <c r="AJE254" s="9"/>
      <c r="AJF254" s="9"/>
      <c r="AJG254" s="9"/>
      <c r="AJH254" s="9"/>
      <c r="AJI254" s="9"/>
      <c r="AJJ254" s="9"/>
      <c r="AJK254" s="9"/>
      <c r="AJL254" s="9"/>
      <c r="AJM254" s="9"/>
      <c r="AJN254" s="9"/>
      <c r="AJO254" s="9"/>
      <c r="AJP254" s="9"/>
      <c r="AJQ254" s="9"/>
      <c r="AJR254" s="9"/>
      <c r="AJS254" s="9"/>
      <c r="AJT254" s="9"/>
      <c r="AJU254" s="9"/>
      <c r="AJV254" s="9"/>
      <c r="AJW254" s="9"/>
      <c r="AJX254" s="9"/>
      <c r="AJY254" s="9"/>
      <c r="AJZ254" s="9"/>
      <c r="AKA254" s="9"/>
      <c r="AKB254" s="9"/>
      <c r="AKC254" s="9"/>
      <c r="AKD254" s="9"/>
      <c r="AKE254" s="9"/>
      <c r="AKF254" s="9"/>
      <c r="AKG254" s="9"/>
      <c r="AKH254" s="9"/>
      <c r="AKI254" s="9"/>
      <c r="AKJ254" s="9"/>
      <c r="AKK254" s="9"/>
      <c r="AKL254" s="9"/>
      <c r="AKM254" s="9"/>
      <c r="AKN254" s="9"/>
      <c r="AKO254" s="9"/>
      <c r="AKP254" s="9"/>
      <c r="AKQ254" s="9"/>
      <c r="AKR254" s="9"/>
      <c r="AKS254" s="9"/>
      <c r="AKT254" s="9"/>
      <c r="AKU254" s="9"/>
      <c r="AKV254" s="9"/>
      <c r="AKW254" s="9"/>
      <c r="AKX254" s="9"/>
      <c r="AKY254" s="9"/>
      <c r="AKZ254" s="9"/>
      <c r="ALA254" s="9"/>
      <c r="ALB254" s="9"/>
      <c r="ALC254" s="9"/>
      <c r="ALD254" s="9"/>
      <c r="ALE254" s="9"/>
      <c r="ALF254" s="9"/>
      <c r="ALG254" s="9"/>
      <c r="ALH254" s="9"/>
      <c r="ALI254" s="9"/>
      <c r="ALJ254" s="9"/>
      <c r="ALK254" s="9"/>
      <c r="ALL254" s="9"/>
      <c r="ALM254" s="9"/>
      <c r="ALN254" s="9"/>
      <c r="ALO254" s="9"/>
      <c r="ALP254" s="9"/>
      <c r="ALQ254" s="9"/>
      <c r="ALR254" s="9"/>
      <c r="ALS254" s="9"/>
      <c r="ALT254" s="9"/>
      <c r="ALU254" s="9"/>
      <c r="ALV254" s="9"/>
      <c r="ALW254" s="9"/>
      <c r="ALX254" s="9"/>
      <c r="ALY254" s="9"/>
      <c r="ALZ254" s="9"/>
      <c r="AMA254" s="9"/>
      <c r="AMB254" s="9"/>
      <c r="AMC254" s="9"/>
      <c r="AMD254" s="9"/>
      <c r="AME254" s="9"/>
      <c r="AMF254" s="9"/>
      <c r="AMG254" s="9"/>
      <c r="AMH254" s="9"/>
      <c r="AMI254" s="9"/>
      <c r="AMJ254" s="9"/>
      <c r="AMK254" s="9"/>
      <c r="AML254" s="9"/>
      <c r="AMM254" s="9"/>
      <c r="AMN254" s="9"/>
      <c r="AMO254" s="9"/>
      <c r="AMP254" s="9"/>
      <c r="AMQ254" s="9"/>
      <c r="AMR254" s="9"/>
      <c r="AMS254" s="9"/>
      <c r="AMT254" s="9"/>
      <c r="AMU254" s="9"/>
      <c r="AMV254" s="9"/>
      <c r="AMW254" s="9"/>
      <c r="AMX254" s="9"/>
      <c r="AMY254" s="9"/>
      <c r="AMZ254" s="9"/>
      <c r="ANA254" s="9"/>
      <c r="ANB254" s="9"/>
      <c r="ANC254" s="9"/>
      <c r="AND254" s="9"/>
      <c r="ANE254" s="9"/>
      <c r="ANF254" s="9"/>
      <c r="ANG254" s="9"/>
      <c r="ANH254" s="9"/>
      <c r="ANI254" s="9"/>
      <c r="ANJ254" s="9"/>
      <c r="ANK254" s="9"/>
      <c r="ANL254" s="9"/>
      <c r="ANM254" s="9"/>
      <c r="ANN254" s="9"/>
      <c r="ANO254" s="9"/>
      <c r="ANP254" s="9"/>
      <c r="ANQ254" s="9"/>
      <c r="ANR254" s="9"/>
      <c r="ANS254" s="9"/>
      <c r="ANT254" s="9"/>
      <c r="ANU254" s="9"/>
      <c r="ANV254" s="9"/>
      <c r="ANW254" s="9"/>
      <c r="ANX254" s="9"/>
      <c r="ANY254" s="9"/>
      <c r="ANZ254" s="9"/>
      <c r="AOA254" s="9"/>
      <c r="AOB254" s="9"/>
      <c r="AOC254" s="9"/>
      <c r="AOD254" s="9"/>
      <c r="AOE254" s="9"/>
      <c r="AOF254" s="9"/>
      <c r="AOG254" s="9"/>
      <c r="AOH254" s="9"/>
      <c r="AOI254" s="9"/>
      <c r="AOJ254" s="9"/>
      <c r="AOK254" s="9"/>
      <c r="AOL254" s="9"/>
      <c r="AOM254" s="9"/>
      <c r="AON254" s="9"/>
      <c r="AOO254" s="9"/>
      <c r="AOP254" s="9"/>
      <c r="AOQ254" s="9"/>
      <c r="AOR254" s="9"/>
      <c r="AOS254" s="9"/>
      <c r="AOT254" s="9"/>
      <c r="AOU254" s="9"/>
      <c r="AOV254" s="9"/>
      <c r="AOW254" s="9"/>
      <c r="AOX254" s="9"/>
      <c r="AOY254" s="9"/>
      <c r="AOZ254" s="9"/>
      <c r="APA254" s="9"/>
      <c r="APB254" s="9"/>
      <c r="APC254" s="9"/>
      <c r="APD254" s="9"/>
      <c r="APE254" s="9"/>
      <c r="APF254" s="9"/>
      <c r="APG254" s="9"/>
      <c r="APH254" s="9"/>
      <c r="API254" s="9"/>
      <c r="APJ254" s="9"/>
      <c r="APK254" s="9"/>
      <c r="APL254" s="9"/>
      <c r="APM254" s="9"/>
      <c r="APN254" s="9"/>
      <c r="APO254" s="9"/>
      <c r="APP254" s="9"/>
      <c r="APQ254" s="9"/>
      <c r="APR254" s="9"/>
      <c r="APS254" s="9"/>
      <c r="APT254" s="9"/>
      <c r="APU254" s="9"/>
      <c r="APV254" s="9"/>
      <c r="APW254" s="9"/>
      <c r="APX254" s="9"/>
      <c r="APY254" s="9"/>
      <c r="APZ254" s="9"/>
      <c r="AQA254" s="9"/>
      <c r="AQB254" s="9"/>
      <c r="AQC254" s="9"/>
      <c r="AQD254" s="9"/>
      <c r="AQE254" s="9"/>
      <c r="AQF254" s="9"/>
      <c r="AQG254" s="9"/>
      <c r="AQH254" s="9"/>
      <c r="AQI254" s="9"/>
      <c r="AQJ254" s="9"/>
      <c r="AQK254" s="9"/>
      <c r="AQL254" s="9"/>
      <c r="AQM254" s="9"/>
      <c r="AQN254" s="9"/>
      <c r="AQO254" s="9"/>
      <c r="AQP254" s="9"/>
      <c r="AQQ254" s="9"/>
      <c r="AQR254" s="9"/>
      <c r="AQS254" s="9"/>
      <c r="AQT254" s="9"/>
      <c r="AQU254" s="9"/>
      <c r="AQV254" s="9"/>
      <c r="AQW254" s="9"/>
      <c r="AQX254" s="9"/>
      <c r="AQY254" s="9"/>
      <c r="AQZ254" s="9"/>
      <c r="ARA254" s="9"/>
      <c r="ARB254" s="9"/>
      <c r="ARC254" s="9"/>
      <c r="ARD254" s="9"/>
      <c r="ARE254" s="9"/>
      <c r="ARF254" s="9"/>
      <c r="ARG254" s="9"/>
      <c r="ARH254" s="9"/>
      <c r="ARI254" s="9"/>
      <c r="ARJ254" s="9"/>
      <c r="ARK254" s="9"/>
      <c r="ARL254" s="9"/>
      <c r="ARM254" s="9"/>
      <c r="ARN254" s="9"/>
      <c r="ARO254" s="9"/>
      <c r="ARP254" s="9"/>
      <c r="ARQ254" s="9"/>
      <c r="ARR254" s="9"/>
      <c r="ARS254" s="9"/>
      <c r="ART254" s="9"/>
      <c r="ARU254" s="9"/>
      <c r="ARV254" s="9"/>
      <c r="ARW254" s="9"/>
      <c r="ARX254" s="9"/>
      <c r="ARY254" s="9"/>
      <c r="ARZ254" s="9"/>
      <c r="ASA254" s="9"/>
      <c r="ASB254" s="9"/>
      <c r="ASC254" s="9"/>
      <c r="ASD254" s="9"/>
      <c r="ASE254" s="9"/>
      <c r="ASF254" s="9"/>
      <c r="ASG254" s="9"/>
      <c r="ASH254" s="9"/>
      <c r="ASI254" s="9"/>
      <c r="ASJ254" s="9"/>
      <c r="ASK254" s="9"/>
      <c r="ASL254" s="9"/>
      <c r="ASM254" s="9"/>
      <c r="ASN254" s="9"/>
      <c r="ASO254" s="9"/>
      <c r="ASP254" s="9"/>
      <c r="ASQ254" s="9"/>
      <c r="ASR254" s="9"/>
      <c r="ASS254" s="9"/>
      <c r="AST254" s="9"/>
      <c r="ASU254" s="9"/>
      <c r="ASV254" s="9"/>
      <c r="ASW254" s="9"/>
      <c r="ASX254" s="9"/>
      <c r="ASY254" s="9"/>
      <c r="ASZ254" s="9"/>
      <c r="ATA254" s="9"/>
      <c r="ATB254" s="9"/>
      <c r="ATC254" s="9"/>
      <c r="ATD254" s="9"/>
      <c r="ATE254" s="9"/>
      <c r="ATF254" s="9"/>
      <c r="ATG254" s="9"/>
      <c r="ATH254" s="9"/>
      <c r="ATI254" s="9"/>
      <c r="ATJ254" s="9"/>
      <c r="ATK254" s="9"/>
      <c r="ATL254" s="9"/>
      <c r="ATM254" s="9"/>
      <c r="ATN254" s="9"/>
      <c r="ATO254" s="9"/>
      <c r="ATP254" s="9"/>
      <c r="ATQ254" s="9"/>
      <c r="ATR254" s="9"/>
      <c r="ATS254" s="9"/>
      <c r="ATT254" s="9"/>
      <c r="ATU254" s="9"/>
      <c r="ATV254" s="9"/>
      <c r="ATW254" s="9"/>
      <c r="ATX254" s="9"/>
      <c r="ATY254" s="9"/>
      <c r="ATZ254" s="9"/>
      <c r="AUA254" s="9"/>
      <c r="AUB254" s="9"/>
      <c r="AUC254" s="9"/>
      <c r="AUD254" s="9"/>
      <c r="AUE254" s="9"/>
      <c r="AUF254" s="9"/>
      <c r="AUG254" s="9"/>
      <c r="AUH254" s="9"/>
      <c r="AUI254" s="9"/>
      <c r="AUJ254" s="9"/>
      <c r="AUK254" s="9"/>
      <c r="AUL254" s="9"/>
      <c r="AUM254" s="9"/>
      <c r="AUN254" s="9"/>
      <c r="AUO254" s="9"/>
      <c r="AUP254" s="9"/>
      <c r="AUQ254" s="9"/>
      <c r="AUR254" s="9"/>
      <c r="AUS254" s="9"/>
      <c r="AUT254" s="9"/>
      <c r="AUU254" s="9"/>
      <c r="AUV254" s="9"/>
      <c r="AUW254" s="9"/>
      <c r="AUX254" s="9"/>
      <c r="AUY254" s="9"/>
      <c r="AUZ254" s="9"/>
      <c r="AVA254" s="9"/>
      <c r="AVB254" s="9"/>
      <c r="AVC254" s="9"/>
      <c r="AVD254" s="9"/>
      <c r="AVE254" s="9"/>
      <c r="AVF254" s="9"/>
      <c r="AVG254" s="9"/>
      <c r="AVH254" s="9"/>
      <c r="AVI254" s="9"/>
      <c r="AVJ254" s="9"/>
      <c r="AVK254" s="9"/>
      <c r="AVL254" s="9"/>
      <c r="AVM254" s="9"/>
      <c r="AVN254" s="9"/>
      <c r="AVO254" s="9"/>
      <c r="AVP254" s="9"/>
      <c r="AVQ254" s="9"/>
      <c r="AVR254" s="9"/>
      <c r="AVS254" s="9"/>
      <c r="AVT254" s="9"/>
      <c r="AVU254" s="9"/>
      <c r="AVV254" s="9"/>
      <c r="AVW254" s="9"/>
      <c r="AVX254" s="9"/>
      <c r="AVY254" s="9"/>
      <c r="AVZ254" s="9"/>
      <c r="AWA254" s="9"/>
      <c r="AWB254" s="9"/>
      <c r="AWC254" s="9"/>
      <c r="AWD254" s="9"/>
      <c r="AWE254" s="9"/>
      <c r="AWF254" s="9"/>
      <c r="AWG254" s="9"/>
      <c r="AWH254" s="9"/>
      <c r="AWI254" s="9"/>
      <c r="AWJ254" s="9"/>
      <c r="AWK254" s="9"/>
      <c r="AWL254" s="9"/>
      <c r="AWM254" s="9"/>
      <c r="AWN254" s="9"/>
      <c r="AWO254" s="9"/>
      <c r="AWP254" s="9"/>
      <c r="AWQ254" s="9"/>
      <c r="AWR254" s="9"/>
      <c r="AWS254" s="9"/>
      <c r="AWT254" s="9"/>
      <c r="AWU254" s="9"/>
      <c r="AWV254" s="9"/>
      <c r="AWW254" s="9"/>
      <c r="AWX254" s="9"/>
      <c r="AWY254" s="9"/>
      <c r="AWZ254" s="9"/>
      <c r="AXA254" s="9"/>
      <c r="AXB254" s="9"/>
      <c r="AXC254" s="9"/>
      <c r="AXD254" s="9"/>
      <c r="AXE254" s="9"/>
      <c r="AXF254" s="9"/>
      <c r="AXG254" s="9"/>
      <c r="AXH254" s="9"/>
      <c r="AXI254" s="9"/>
      <c r="AXJ254" s="9"/>
      <c r="AXK254" s="9"/>
      <c r="AXL254" s="9"/>
      <c r="AXM254" s="9"/>
      <c r="AXN254" s="9"/>
      <c r="AXO254" s="9"/>
      <c r="AXP254" s="9"/>
      <c r="AXQ254" s="9"/>
      <c r="AXR254" s="9"/>
      <c r="AXS254" s="9"/>
      <c r="AXT254" s="9"/>
      <c r="AXU254" s="9"/>
      <c r="AXV254" s="9"/>
      <c r="AXW254" s="9"/>
      <c r="AXX254" s="9"/>
      <c r="AXY254" s="9"/>
      <c r="AXZ254" s="9"/>
      <c r="AYA254" s="9"/>
      <c r="AYB254" s="9"/>
      <c r="AYC254" s="9"/>
      <c r="AYD254" s="9"/>
      <c r="AYE254" s="9"/>
      <c r="AYF254" s="9"/>
      <c r="AYG254" s="9"/>
      <c r="AYH254" s="9"/>
      <c r="AYI254" s="9"/>
      <c r="AYJ254" s="9"/>
      <c r="AYK254" s="9"/>
      <c r="AYL254" s="9"/>
      <c r="AYM254" s="9"/>
      <c r="AYN254" s="9"/>
      <c r="AYO254" s="9"/>
      <c r="AYP254" s="9"/>
      <c r="AYQ254" s="9"/>
      <c r="AYR254" s="9"/>
      <c r="AYS254" s="9"/>
      <c r="AYT254" s="9"/>
      <c r="AYU254" s="9"/>
      <c r="AYV254" s="9"/>
      <c r="AYW254" s="9"/>
      <c r="AYX254" s="9"/>
      <c r="AYY254" s="9"/>
      <c r="AYZ254" s="9"/>
      <c r="AZA254" s="9"/>
      <c r="AZB254" s="9"/>
      <c r="AZC254" s="9"/>
      <c r="AZD254" s="9"/>
      <c r="AZE254" s="9"/>
      <c r="AZF254" s="9"/>
      <c r="AZG254" s="9"/>
      <c r="AZH254" s="9"/>
      <c r="AZI254" s="9"/>
      <c r="AZJ254" s="9"/>
      <c r="AZK254" s="9"/>
      <c r="AZL254" s="9"/>
      <c r="AZM254" s="9"/>
      <c r="AZN254" s="9"/>
      <c r="AZO254" s="9"/>
      <c r="AZP254" s="9"/>
      <c r="AZQ254" s="9"/>
      <c r="AZR254" s="9"/>
      <c r="AZS254" s="9"/>
      <c r="AZT254" s="9"/>
      <c r="AZU254" s="9"/>
      <c r="AZV254" s="9"/>
      <c r="AZW254" s="9"/>
      <c r="AZX254" s="9"/>
      <c r="AZY254" s="9"/>
      <c r="AZZ254" s="9"/>
      <c r="BAA254" s="9"/>
      <c r="BAB254" s="9"/>
      <c r="BAC254" s="9"/>
      <c r="BAD254" s="9"/>
      <c r="BAE254" s="9"/>
      <c r="BAF254" s="9"/>
      <c r="BAG254" s="9"/>
      <c r="BAH254" s="9"/>
      <c r="BAI254" s="9"/>
      <c r="BAJ254" s="9"/>
      <c r="BAK254" s="9"/>
      <c r="BAL254" s="9"/>
      <c r="BAM254" s="9"/>
      <c r="BAN254" s="9"/>
      <c r="BAO254" s="9"/>
      <c r="BAP254" s="9"/>
      <c r="BAQ254" s="9"/>
      <c r="BAR254" s="9"/>
      <c r="BAS254" s="9"/>
      <c r="BAT254" s="9"/>
      <c r="BAU254" s="9"/>
      <c r="BAV254" s="9"/>
      <c r="BAW254" s="9"/>
      <c r="BAX254" s="9"/>
      <c r="BAY254" s="9"/>
      <c r="BAZ254" s="9"/>
      <c r="BBA254" s="9"/>
      <c r="BBB254" s="9"/>
      <c r="BBC254" s="9"/>
      <c r="BBD254" s="9"/>
      <c r="BBE254" s="9"/>
      <c r="BBF254" s="9"/>
      <c r="BBG254" s="9"/>
      <c r="BBH254" s="9"/>
      <c r="BBI254" s="9"/>
      <c r="BBJ254" s="9"/>
      <c r="BBK254" s="9"/>
      <c r="BBL254" s="9"/>
      <c r="BBM254" s="9"/>
      <c r="BBN254" s="9"/>
      <c r="BBO254" s="9"/>
      <c r="BBP254" s="9"/>
      <c r="BBQ254" s="9"/>
      <c r="BBR254" s="9"/>
      <c r="BBS254" s="9"/>
      <c r="BBT254" s="9"/>
      <c r="BBU254" s="9"/>
      <c r="BBV254" s="9"/>
      <c r="BBW254" s="9"/>
      <c r="BBX254" s="9"/>
      <c r="BBY254" s="9"/>
      <c r="BBZ254" s="9"/>
      <c r="BCA254" s="9"/>
      <c r="BCB254" s="9"/>
      <c r="BCC254" s="9"/>
      <c r="BCD254" s="9"/>
      <c r="BCE254" s="9"/>
      <c r="BCF254" s="9"/>
      <c r="BCG254" s="9"/>
      <c r="BCH254" s="9"/>
      <c r="BCI254" s="9"/>
      <c r="BCJ254" s="9"/>
      <c r="BCK254" s="9"/>
      <c r="BCL254" s="9"/>
      <c r="BCM254" s="9"/>
      <c r="BCN254" s="9"/>
      <c r="BCO254" s="9"/>
      <c r="BCP254" s="9"/>
      <c r="BCQ254" s="9"/>
      <c r="BCR254" s="9"/>
      <c r="BCS254" s="9"/>
      <c r="BCT254" s="9"/>
      <c r="BCU254" s="9"/>
      <c r="BCV254" s="9"/>
      <c r="BCW254" s="9"/>
      <c r="BCX254" s="9"/>
      <c r="BCY254" s="9"/>
      <c r="BCZ254" s="9"/>
      <c r="BDA254" s="9"/>
      <c r="BDB254" s="9"/>
      <c r="BDC254" s="9"/>
      <c r="BDD254" s="9"/>
      <c r="BDE254" s="9"/>
      <c r="BDF254" s="9"/>
      <c r="BDG254" s="9"/>
      <c r="BDH254" s="9"/>
      <c r="BDI254" s="9"/>
      <c r="BDJ254" s="9"/>
      <c r="BDK254" s="9"/>
      <c r="BDL254" s="9"/>
      <c r="BDM254" s="9"/>
      <c r="BDN254" s="9"/>
      <c r="BDO254" s="9"/>
      <c r="BDP254" s="9"/>
      <c r="BDQ254" s="9"/>
      <c r="BDR254" s="9"/>
      <c r="BDS254" s="9"/>
      <c r="BDT254" s="9"/>
      <c r="BDU254" s="9"/>
      <c r="BDV254" s="9"/>
      <c r="BDW254" s="9"/>
      <c r="BDX254" s="9"/>
      <c r="BDY254" s="9"/>
      <c r="BDZ254" s="9"/>
      <c r="BEA254" s="9"/>
      <c r="BEB254" s="9"/>
      <c r="BEC254" s="9"/>
      <c r="BED254" s="9"/>
      <c r="BEE254" s="9"/>
      <c r="BEF254" s="9"/>
      <c r="BEG254" s="9"/>
      <c r="BEH254" s="9"/>
      <c r="BEI254" s="9"/>
      <c r="BEJ254" s="9"/>
      <c r="BEK254" s="9"/>
      <c r="BEL254" s="9"/>
      <c r="BEM254" s="9"/>
      <c r="BEN254" s="9"/>
      <c r="BEO254" s="9"/>
      <c r="BEP254" s="9"/>
      <c r="BEQ254" s="9"/>
      <c r="BER254" s="9"/>
      <c r="BES254" s="9"/>
      <c r="BET254" s="9"/>
      <c r="BEU254" s="9"/>
      <c r="BEV254" s="9"/>
      <c r="BEW254" s="9"/>
      <c r="BEX254" s="9"/>
      <c r="BEY254" s="9"/>
      <c r="BEZ254" s="9"/>
      <c r="BFA254" s="9"/>
      <c r="BFB254" s="9"/>
      <c r="BFC254" s="9"/>
      <c r="BFD254" s="9"/>
      <c r="BFE254" s="9"/>
      <c r="BFF254" s="9"/>
      <c r="BFG254" s="9"/>
      <c r="BFH254" s="9"/>
      <c r="BFI254" s="9"/>
      <c r="BFJ254" s="9"/>
      <c r="BFK254" s="9"/>
      <c r="BFL254" s="9"/>
      <c r="BFM254" s="9"/>
      <c r="BFN254" s="9"/>
      <c r="BFO254" s="9"/>
      <c r="BFP254" s="9"/>
      <c r="BFQ254" s="9"/>
      <c r="BFR254" s="9"/>
      <c r="BFS254" s="9"/>
      <c r="BFT254" s="9"/>
      <c r="BFU254" s="9"/>
      <c r="BFV254" s="9"/>
      <c r="BFW254" s="9"/>
      <c r="BFX254" s="9"/>
      <c r="BFY254" s="9"/>
      <c r="BFZ254" s="9"/>
      <c r="BGA254" s="9"/>
      <c r="BGB254" s="9"/>
      <c r="BGC254" s="9"/>
      <c r="BGD254" s="9"/>
      <c r="BGE254" s="9"/>
      <c r="BGF254" s="9"/>
      <c r="BGG254" s="9"/>
      <c r="BGH254" s="9"/>
      <c r="BGI254" s="9"/>
      <c r="BGJ254" s="9"/>
      <c r="BGK254" s="9"/>
      <c r="BGL254" s="9"/>
      <c r="BGM254" s="9"/>
      <c r="BGN254" s="9"/>
      <c r="BGO254" s="9"/>
      <c r="BGP254" s="9"/>
      <c r="BGQ254" s="9"/>
      <c r="BGR254" s="9"/>
      <c r="BGS254" s="9"/>
      <c r="BGT254" s="9"/>
      <c r="BGU254" s="9"/>
      <c r="BGV254" s="9"/>
      <c r="BGW254" s="9"/>
      <c r="BGX254" s="9"/>
      <c r="BGY254" s="9"/>
      <c r="BGZ254" s="9"/>
      <c r="BHA254" s="9"/>
      <c r="BHB254" s="9"/>
      <c r="BHC254" s="9"/>
      <c r="BHD254" s="9"/>
      <c r="BHE254" s="9"/>
      <c r="BHF254" s="9"/>
      <c r="BHG254" s="9"/>
      <c r="BHH254" s="9"/>
      <c r="BHI254" s="9"/>
      <c r="BHJ254" s="9"/>
      <c r="BHK254" s="9"/>
      <c r="BHL254" s="9"/>
      <c r="BHM254" s="9"/>
      <c r="BHN254" s="9"/>
      <c r="BHO254" s="9"/>
      <c r="BHP254" s="9"/>
      <c r="BHQ254" s="9"/>
      <c r="BHR254" s="9"/>
      <c r="BHS254" s="9"/>
      <c r="BHT254" s="9"/>
      <c r="BHU254" s="9"/>
      <c r="BHV254" s="9"/>
      <c r="BHW254" s="9"/>
      <c r="BHX254" s="9"/>
      <c r="BHY254" s="9"/>
      <c r="BHZ254" s="9"/>
      <c r="BIA254" s="9"/>
      <c r="BIB254" s="9"/>
      <c r="BIC254" s="9"/>
      <c r="BID254" s="9"/>
      <c r="BIE254" s="9"/>
      <c r="BIF254" s="9"/>
      <c r="BIG254" s="9"/>
      <c r="BIH254" s="9"/>
      <c r="BII254" s="9"/>
      <c r="BIJ254" s="9"/>
      <c r="BIK254" s="9"/>
      <c r="BIL254" s="9"/>
      <c r="BIM254" s="9"/>
      <c r="BIN254" s="9"/>
      <c r="BIO254" s="9"/>
      <c r="BIP254" s="9"/>
      <c r="BIQ254" s="9"/>
      <c r="BIR254" s="9"/>
      <c r="BIS254" s="9"/>
      <c r="BIT254" s="9"/>
      <c r="BIU254" s="9"/>
      <c r="BIV254" s="9"/>
      <c r="BIW254" s="9"/>
      <c r="BIX254" s="9"/>
      <c r="BIY254" s="9"/>
      <c r="BIZ254" s="9"/>
      <c r="BJA254" s="9"/>
      <c r="BJB254" s="9"/>
      <c r="BJC254" s="9"/>
      <c r="BJD254" s="9"/>
      <c r="BJE254" s="9"/>
      <c r="BJF254" s="9"/>
      <c r="BJG254" s="9"/>
      <c r="BJH254" s="9"/>
      <c r="BJI254" s="9"/>
      <c r="BJJ254" s="9"/>
      <c r="BJK254" s="9"/>
      <c r="BJL254" s="9"/>
      <c r="BJM254" s="9"/>
      <c r="BJN254" s="9"/>
      <c r="BJO254" s="9"/>
      <c r="BJP254" s="9"/>
      <c r="BJQ254" s="9"/>
      <c r="BJR254" s="9"/>
      <c r="BJS254" s="9"/>
      <c r="BJT254" s="9"/>
      <c r="BJU254" s="9"/>
      <c r="BJV254" s="9"/>
      <c r="BJW254" s="9"/>
      <c r="BJX254" s="9"/>
      <c r="BJY254" s="9"/>
      <c r="BJZ254" s="9"/>
      <c r="BKA254" s="9"/>
      <c r="BKB254" s="9"/>
      <c r="BKC254" s="9"/>
      <c r="BKD254" s="9"/>
      <c r="BKE254" s="9"/>
      <c r="BKF254" s="9"/>
      <c r="BKG254" s="9"/>
      <c r="BKH254" s="9"/>
      <c r="BKI254" s="9"/>
      <c r="BKJ254" s="9"/>
      <c r="BKK254" s="9"/>
      <c r="BKL254" s="9"/>
      <c r="BKM254" s="9"/>
      <c r="BKN254" s="9"/>
      <c r="BKO254" s="9"/>
      <c r="BKP254" s="9"/>
      <c r="BKQ254" s="9"/>
      <c r="BKR254" s="9"/>
      <c r="BKS254" s="9"/>
      <c r="BKT254" s="9"/>
      <c r="BKU254" s="9"/>
      <c r="BKV254" s="9"/>
      <c r="BKW254" s="9"/>
      <c r="BKX254" s="9"/>
      <c r="BKY254" s="9"/>
      <c r="BKZ254" s="9"/>
      <c r="BLA254" s="9"/>
      <c r="BLB254" s="9"/>
      <c r="BLC254" s="9"/>
      <c r="BLD254" s="9"/>
      <c r="BLE254" s="9"/>
      <c r="BLF254" s="9"/>
      <c r="BLG254" s="9"/>
      <c r="BLH254" s="9"/>
      <c r="BLI254" s="9"/>
      <c r="BLJ254" s="9"/>
      <c r="BLK254" s="9"/>
      <c r="BLL254" s="9"/>
      <c r="BLM254" s="9"/>
      <c r="BLN254" s="9"/>
      <c r="BLO254" s="9"/>
      <c r="BLP254" s="9"/>
      <c r="BLQ254" s="9"/>
      <c r="BLR254" s="9"/>
      <c r="BLS254" s="9"/>
      <c r="BLT254" s="9"/>
      <c r="BLU254" s="9"/>
      <c r="BLV254" s="9"/>
      <c r="BLW254" s="9"/>
      <c r="BLX254" s="9"/>
      <c r="BLY254" s="9"/>
      <c r="BLZ254" s="9"/>
      <c r="BMA254" s="9"/>
      <c r="BMB254" s="9"/>
      <c r="BMC254" s="9"/>
      <c r="BMD254" s="9"/>
      <c r="BME254" s="9"/>
      <c r="BMF254" s="9"/>
      <c r="BMG254" s="9"/>
      <c r="BMH254" s="9"/>
      <c r="BMI254" s="9"/>
      <c r="BMJ254" s="9"/>
      <c r="BMK254" s="9"/>
      <c r="BML254" s="9"/>
      <c r="BMM254" s="9"/>
      <c r="BMN254" s="9"/>
      <c r="BMO254" s="9"/>
      <c r="BMP254" s="9"/>
      <c r="BMQ254" s="9"/>
      <c r="BMR254" s="9"/>
      <c r="BMS254" s="9"/>
      <c r="BMT254" s="9"/>
      <c r="BMU254" s="9"/>
      <c r="BMV254" s="9"/>
      <c r="BMW254" s="9"/>
      <c r="BMX254" s="9"/>
      <c r="BMY254" s="9"/>
      <c r="BMZ254" s="9"/>
      <c r="BNA254" s="9"/>
      <c r="BNB254" s="9"/>
      <c r="BNC254" s="9"/>
      <c r="BND254" s="9"/>
      <c r="BNE254" s="9"/>
      <c r="BNF254" s="9"/>
      <c r="BNG254" s="9"/>
      <c r="BNH254" s="9"/>
      <c r="BNI254" s="9"/>
      <c r="BNJ254" s="9"/>
      <c r="BNK254" s="9"/>
      <c r="BNL254" s="9"/>
      <c r="BNM254" s="9"/>
      <c r="BNN254" s="9"/>
      <c r="BNO254" s="9"/>
      <c r="BNP254" s="9"/>
      <c r="BNQ254" s="9"/>
      <c r="BNR254" s="9"/>
      <c r="BNS254" s="9"/>
      <c r="BNT254" s="9"/>
      <c r="BNU254" s="9"/>
      <c r="BNV254" s="9"/>
      <c r="BNW254" s="9"/>
      <c r="BNX254" s="9"/>
      <c r="BNY254" s="9"/>
      <c r="BNZ254" s="9"/>
      <c r="BOA254" s="9"/>
      <c r="BOB254" s="9"/>
      <c r="BOC254" s="9"/>
      <c r="BOD254" s="9"/>
      <c r="BOE254" s="9"/>
      <c r="BOF254" s="9"/>
      <c r="BOG254" s="9"/>
      <c r="BOH254" s="9"/>
      <c r="BOI254" s="9"/>
      <c r="BOJ254" s="9"/>
      <c r="BOK254" s="9"/>
      <c r="BOL254" s="9"/>
      <c r="BOM254" s="9"/>
      <c r="BON254" s="9"/>
      <c r="BOO254" s="9"/>
      <c r="BOP254" s="9"/>
      <c r="BOQ254" s="9"/>
      <c r="BOR254" s="9"/>
      <c r="BOS254" s="9"/>
      <c r="BOT254" s="9"/>
      <c r="BOU254" s="9"/>
      <c r="BOV254" s="9"/>
      <c r="BOW254" s="9"/>
      <c r="BOX254" s="9"/>
      <c r="BOY254" s="9"/>
      <c r="BOZ254" s="9"/>
      <c r="BPA254" s="9"/>
      <c r="BPB254" s="9"/>
      <c r="BPC254" s="9"/>
      <c r="BPD254" s="9"/>
      <c r="BPE254" s="9"/>
      <c r="BPF254" s="9"/>
      <c r="BPG254" s="9"/>
      <c r="BPH254" s="9"/>
      <c r="BPI254" s="9"/>
      <c r="BPJ254" s="9"/>
      <c r="BPK254" s="9"/>
      <c r="BPL254" s="9"/>
      <c r="BPM254" s="9"/>
      <c r="BPN254" s="9"/>
      <c r="BPO254" s="9"/>
      <c r="BPP254" s="9"/>
      <c r="BPQ254" s="9"/>
      <c r="BPR254" s="9"/>
      <c r="BPS254" s="9"/>
      <c r="BPT254" s="9"/>
      <c r="BPU254" s="9"/>
      <c r="BPV254" s="9"/>
      <c r="BPW254" s="9"/>
      <c r="BPX254" s="9"/>
      <c r="BPY254" s="9"/>
      <c r="BPZ254" s="9"/>
      <c r="BQA254" s="9"/>
      <c r="BQB254" s="9"/>
      <c r="BQC254" s="9"/>
      <c r="BQD254" s="9"/>
      <c r="BQE254" s="9"/>
      <c r="BQF254" s="9"/>
      <c r="BQG254" s="9"/>
      <c r="BQH254" s="9"/>
      <c r="BQI254" s="9"/>
      <c r="BQJ254" s="9"/>
      <c r="BQK254" s="9"/>
      <c r="BQL254" s="9"/>
      <c r="BQM254" s="9"/>
      <c r="BQN254" s="9"/>
      <c r="BQO254" s="9"/>
      <c r="BQP254" s="9"/>
      <c r="BQQ254" s="9"/>
      <c r="BQR254" s="9"/>
      <c r="BQS254" s="9"/>
      <c r="BQT254" s="9"/>
      <c r="BQU254" s="9"/>
      <c r="BQV254" s="9"/>
      <c r="BQW254" s="9"/>
      <c r="BQX254" s="9"/>
      <c r="BQY254" s="9"/>
      <c r="BQZ254" s="9"/>
      <c r="BRA254" s="9"/>
      <c r="BRB254" s="9"/>
      <c r="BRC254" s="9"/>
      <c r="BRD254" s="9"/>
      <c r="BRE254" s="9"/>
      <c r="BRF254" s="9"/>
      <c r="BRG254" s="9"/>
      <c r="BRH254" s="9"/>
      <c r="BRI254" s="9"/>
      <c r="BRJ254" s="9"/>
      <c r="BRK254" s="9"/>
      <c r="BRL254" s="9"/>
      <c r="BRM254" s="9"/>
      <c r="BRN254" s="9"/>
      <c r="BRO254" s="9"/>
      <c r="BRP254" s="9"/>
      <c r="BRQ254" s="9"/>
      <c r="BRR254" s="9"/>
      <c r="BRS254" s="9"/>
      <c r="BRT254" s="9"/>
      <c r="BRU254" s="9"/>
      <c r="BRV254" s="9"/>
      <c r="BRW254" s="9"/>
      <c r="BRX254" s="9"/>
      <c r="BRY254" s="9"/>
      <c r="BRZ254" s="9"/>
      <c r="BSA254" s="9"/>
      <c r="BSB254" s="9"/>
      <c r="BSC254" s="9"/>
      <c r="BSD254" s="9"/>
      <c r="BSE254" s="9"/>
      <c r="BSF254" s="9"/>
      <c r="BSG254" s="9"/>
      <c r="BSH254" s="9"/>
      <c r="BSI254" s="9"/>
      <c r="BSJ254" s="9"/>
      <c r="BSK254" s="9"/>
      <c r="BSL254" s="9"/>
      <c r="BSM254" s="9"/>
      <c r="BSN254" s="9"/>
      <c r="BSO254" s="9"/>
      <c r="BSP254" s="9"/>
      <c r="BSQ254" s="9"/>
      <c r="BSR254" s="9"/>
      <c r="BSS254" s="9"/>
      <c r="BST254" s="9"/>
      <c r="BSU254" s="9"/>
      <c r="BSV254" s="9"/>
      <c r="BSW254" s="9"/>
      <c r="BSX254" s="9"/>
      <c r="BSY254" s="9"/>
      <c r="BSZ254" s="9"/>
      <c r="BTA254" s="9"/>
      <c r="BTB254" s="9"/>
      <c r="BTC254" s="9"/>
      <c r="BTD254" s="9"/>
      <c r="BTE254" s="9"/>
      <c r="BTF254" s="9"/>
      <c r="BTG254" s="9"/>
      <c r="BTH254" s="9"/>
      <c r="BTI254" s="9"/>
      <c r="BTJ254" s="9"/>
      <c r="BTK254" s="9"/>
      <c r="BTL254" s="9"/>
      <c r="BTM254" s="9"/>
      <c r="BTN254" s="9"/>
      <c r="BTO254" s="9"/>
      <c r="BTP254" s="9"/>
      <c r="BTQ254" s="9"/>
      <c r="BTR254" s="9"/>
      <c r="BTS254" s="9"/>
      <c r="BTT254" s="9"/>
      <c r="BTU254" s="9"/>
      <c r="BTV254" s="9"/>
      <c r="BTW254" s="9"/>
      <c r="BTX254" s="9"/>
      <c r="BTY254" s="9"/>
      <c r="BTZ254" s="9"/>
      <c r="BUA254" s="9"/>
      <c r="BUB254" s="9"/>
      <c r="BUC254" s="9"/>
      <c r="BUD254" s="9"/>
      <c r="BUE254" s="9"/>
      <c r="BUF254" s="9"/>
      <c r="BUG254" s="9"/>
      <c r="BUH254" s="9"/>
      <c r="BUI254" s="9"/>
      <c r="BUJ254" s="9"/>
      <c r="BUK254" s="9"/>
      <c r="BUL254" s="9"/>
      <c r="BUM254" s="9"/>
      <c r="BUN254" s="9"/>
      <c r="BUO254" s="9"/>
      <c r="BUP254" s="9"/>
      <c r="BUQ254" s="9"/>
      <c r="BUR254" s="9"/>
      <c r="BUS254" s="9"/>
      <c r="BUT254" s="9"/>
      <c r="BUU254" s="9"/>
      <c r="BUV254" s="9"/>
      <c r="BUW254" s="9"/>
      <c r="BUX254" s="9"/>
      <c r="BUY254" s="9"/>
      <c r="BUZ254" s="9"/>
      <c r="BVA254" s="9"/>
      <c r="BVB254" s="9"/>
      <c r="BVC254" s="9"/>
      <c r="BVD254" s="9"/>
      <c r="BVE254" s="9"/>
      <c r="BVF254" s="9"/>
      <c r="BVG254" s="9"/>
      <c r="BVH254" s="9"/>
      <c r="BVI254" s="9"/>
      <c r="BVJ254" s="9"/>
      <c r="BVK254" s="9"/>
      <c r="BVL254" s="9"/>
      <c r="BVM254" s="9"/>
      <c r="BVN254" s="9"/>
      <c r="BVO254" s="9"/>
      <c r="BVP254" s="9"/>
      <c r="BVQ254" s="9"/>
      <c r="BVR254" s="9"/>
      <c r="BVS254" s="9"/>
      <c r="BVT254" s="9"/>
      <c r="BVU254" s="9"/>
      <c r="BVV254" s="9"/>
      <c r="BVW254" s="9"/>
      <c r="BVX254" s="9"/>
      <c r="BVY254" s="9"/>
      <c r="BVZ254" s="9"/>
      <c r="BWA254" s="9"/>
      <c r="BWB254" s="9"/>
      <c r="BWC254" s="9"/>
      <c r="BWD254" s="9"/>
      <c r="BWE254" s="9"/>
      <c r="BWF254" s="9"/>
      <c r="BWG254" s="9"/>
      <c r="BWH254" s="9"/>
      <c r="BWI254" s="9"/>
      <c r="BWJ254" s="9"/>
      <c r="BWK254" s="9"/>
      <c r="BWL254" s="9"/>
      <c r="BWM254" s="9"/>
      <c r="BWN254" s="9"/>
      <c r="BWO254" s="9"/>
      <c r="BWP254" s="9"/>
      <c r="BWQ254" s="9"/>
      <c r="BWR254" s="9"/>
      <c r="BWS254" s="9"/>
      <c r="BWT254" s="9"/>
      <c r="BWU254" s="9"/>
      <c r="BWV254" s="9"/>
      <c r="BWW254" s="9"/>
      <c r="BWX254" s="9"/>
      <c r="BWY254" s="9"/>
      <c r="BWZ254" s="9"/>
      <c r="BXA254" s="9"/>
      <c r="BXB254" s="9"/>
      <c r="BXC254" s="9"/>
      <c r="BXD254" s="9"/>
      <c r="BXE254" s="9"/>
      <c r="BXF254" s="9"/>
      <c r="BXG254" s="9"/>
      <c r="BXH254" s="9"/>
      <c r="BXI254" s="9"/>
      <c r="BXJ254" s="9"/>
      <c r="BXK254" s="9"/>
      <c r="BXL254" s="9"/>
      <c r="BXM254" s="9"/>
      <c r="BXN254" s="9"/>
      <c r="BXO254" s="9"/>
      <c r="BXP254" s="9"/>
      <c r="BXQ254" s="9"/>
      <c r="BXR254" s="9"/>
      <c r="BXS254" s="9"/>
      <c r="BXT254" s="9"/>
      <c r="BXU254" s="9"/>
      <c r="BXV254" s="9"/>
      <c r="BXW254" s="9"/>
      <c r="BXX254" s="9"/>
      <c r="BXY254" s="9"/>
      <c r="BXZ254" s="9"/>
      <c r="BYA254" s="9"/>
      <c r="BYB254" s="9"/>
      <c r="BYC254" s="9"/>
      <c r="BYD254" s="9"/>
      <c r="BYE254" s="9"/>
      <c r="BYF254" s="9"/>
      <c r="BYG254" s="9"/>
      <c r="BYH254" s="9"/>
      <c r="BYI254" s="9"/>
      <c r="BYJ254" s="9"/>
      <c r="BYK254" s="9"/>
      <c r="BYL254" s="9"/>
      <c r="BYM254" s="9"/>
      <c r="BYN254" s="9"/>
      <c r="BYO254" s="9"/>
      <c r="BYP254" s="9"/>
      <c r="BYQ254" s="9"/>
      <c r="BYR254" s="9"/>
      <c r="BYS254" s="9"/>
      <c r="BYT254" s="9"/>
      <c r="BYU254" s="9"/>
      <c r="BYV254" s="9"/>
      <c r="BYW254" s="9"/>
      <c r="BYX254" s="9"/>
      <c r="BYY254" s="9"/>
      <c r="BYZ254" s="9"/>
      <c r="BZA254" s="9"/>
      <c r="BZB254" s="9"/>
      <c r="BZC254" s="9"/>
      <c r="BZD254" s="9"/>
      <c r="BZE254" s="9"/>
      <c r="BZF254" s="9"/>
      <c r="BZG254" s="9"/>
      <c r="BZH254" s="9"/>
      <c r="BZI254" s="9"/>
      <c r="BZJ254" s="9"/>
      <c r="BZK254" s="9"/>
      <c r="BZL254" s="9"/>
      <c r="BZM254" s="9"/>
      <c r="BZN254" s="9"/>
      <c r="BZO254" s="9"/>
      <c r="BZP254" s="9"/>
      <c r="BZQ254" s="9"/>
      <c r="BZR254" s="9"/>
      <c r="BZS254" s="9"/>
      <c r="BZT254" s="9"/>
      <c r="BZU254" s="9"/>
      <c r="BZV254" s="9"/>
      <c r="BZW254" s="9"/>
      <c r="BZX254" s="9"/>
      <c r="BZY254" s="9"/>
      <c r="BZZ254" s="9"/>
      <c r="CAA254" s="9"/>
      <c r="CAB254" s="9"/>
      <c r="CAC254" s="9"/>
      <c r="CAD254" s="9"/>
      <c r="CAE254" s="9"/>
      <c r="CAF254" s="9"/>
      <c r="CAG254" s="9"/>
      <c r="CAH254" s="9"/>
      <c r="CAI254" s="9"/>
      <c r="CAJ254" s="9"/>
      <c r="CAK254" s="9"/>
      <c r="CAL254" s="9"/>
      <c r="CAM254" s="9"/>
      <c r="CAN254" s="9"/>
      <c r="CAO254" s="9"/>
      <c r="CAP254" s="9"/>
      <c r="CAQ254" s="9"/>
      <c r="CAR254" s="9"/>
      <c r="CAS254" s="9"/>
      <c r="CAT254" s="9"/>
      <c r="CAU254" s="9"/>
      <c r="CAV254" s="9"/>
      <c r="CAW254" s="9"/>
      <c r="CAX254" s="9"/>
      <c r="CAY254" s="9"/>
      <c r="CAZ254" s="9"/>
      <c r="CBA254" s="9"/>
      <c r="CBB254" s="9"/>
      <c r="CBC254" s="9"/>
      <c r="CBD254" s="9"/>
      <c r="CBE254" s="9"/>
      <c r="CBF254" s="9"/>
      <c r="CBG254" s="9"/>
      <c r="CBH254" s="9"/>
      <c r="CBI254" s="9"/>
      <c r="CBJ254" s="9"/>
      <c r="CBK254" s="9"/>
      <c r="CBL254" s="9"/>
      <c r="CBM254" s="9"/>
      <c r="CBN254" s="9"/>
      <c r="CBO254" s="9"/>
      <c r="CBP254" s="9"/>
      <c r="CBQ254" s="9"/>
      <c r="CBR254" s="9"/>
      <c r="CBS254" s="9"/>
      <c r="CBT254" s="9"/>
      <c r="CBU254" s="9"/>
      <c r="CBV254" s="9"/>
      <c r="CBW254" s="9"/>
      <c r="CBX254" s="9"/>
      <c r="CBY254" s="9"/>
      <c r="CBZ254" s="9"/>
      <c r="CCA254" s="9"/>
      <c r="CCB254" s="9"/>
      <c r="CCC254" s="9"/>
      <c r="CCD254" s="9"/>
      <c r="CCE254" s="9"/>
      <c r="CCF254" s="9"/>
      <c r="CCG254" s="9"/>
      <c r="CCH254" s="9"/>
      <c r="CCI254" s="9"/>
      <c r="CCJ254" s="9"/>
      <c r="CCK254" s="9"/>
      <c r="CCL254" s="9"/>
      <c r="CCM254" s="9"/>
      <c r="CCN254" s="9"/>
      <c r="CCO254" s="9"/>
      <c r="CCP254" s="9"/>
      <c r="CCQ254" s="9"/>
      <c r="CCR254" s="9"/>
      <c r="CCS254" s="9"/>
      <c r="CCT254" s="9"/>
      <c r="CCU254" s="9"/>
      <c r="CCV254" s="9"/>
      <c r="CCW254" s="9"/>
      <c r="CCX254" s="9"/>
      <c r="CCY254" s="9"/>
      <c r="CCZ254" s="9"/>
      <c r="CDA254" s="9"/>
      <c r="CDB254" s="9"/>
      <c r="CDC254" s="9"/>
      <c r="CDD254" s="9"/>
      <c r="CDE254" s="9"/>
      <c r="CDF254" s="9"/>
      <c r="CDG254" s="9"/>
      <c r="CDH254" s="9"/>
      <c r="CDI254" s="9"/>
      <c r="CDJ254" s="9"/>
      <c r="CDK254" s="9"/>
      <c r="CDL254" s="9"/>
      <c r="CDM254" s="9"/>
      <c r="CDN254" s="9"/>
      <c r="CDO254" s="9"/>
      <c r="CDP254" s="9"/>
      <c r="CDQ254" s="9"/>
      <c r="CDR254" s="9"/>
      <c r="CDS254" s="9"/>
      <c r="CDT254" s="9"/>
      <c r="CDU254" s="9"/>
      <c r="CDV254" s="9"/>
      <c r="CDW254" s="9"/>
      <c r="CDX254" s="9"/>
      <c r="CDY254" s="9"/>
      <c r="CDZ254" s="9"/>
      <c r="CEA254" s="9"/>
      <c r="CEB254" s="9"/>
      <c r="CEC254" s="9"/>
      <c r="CED254" s="9"/>
      <c r="CEE254" s="9"/>
      <c r="CEF254" s="9"/>
      <c r="CEG254" s="9"/>
      <c r="CEH254" s="9"/>
      <c r="CEI254" s="9"/>
      <c r="CEJ254" s="9"/>
      <c r="CEK254" s="9"/>
      <c r="CEL254" s="9"/>
      <c r="CEM254" s="9"/>
      <c r="CEN254" s="9"/>
      <c r="CEO254" s="9"/>
      <c r="CEP254" s="9"/>
      <c r="CEQ254" s="9"/>
      <c r="CER254" s="9"/>
      <c r="CES254" s="9"/>
      <c r="CET254" s="9"/>
      <c r="CEU254" s="9"/>
      <c r="CEV254" s="9"/>
      <c r="CEW254" s="9"/>
      <c r="CEX254" s="9"/>
      <c r="CEY254" s="9"/>
      <c r="CEZ254" s="9"/>
      <c r="CFA254" s="9"/>
      <c r="CFB254" s="9"/>
      <c r="CFC254" s="9"/>
      <c r="CFD254" s="9"/>
      <c r="CFE254" s="9"/>
      <c r="CFF254" s="9"/>
      <c r="CFG254" s="9"/>
      <c r="CFH254" s="9"/>
      <c r="CFI254" s="9"/>
      <c r="CFJ254" s="9"/>
      <c r="CFK254" s="9"/>
      <c r="CFL254" s="9"/>
      <c r="CFM254" s="9"/>
      <c r="CFN254" s="9"/>
      <c r="CFO254" s="9"/>
      <c r="CFP254" s="9"/>
      <c r="CFQ254" s="9"/>
      <c r="CFR254" s="9"/>
      <c r="CFS254" s="9"/>
      <c r="CFT254" s="9"/>
      <c r="CFU254" s="9"/>
      <c r="CFV254" s="9"/>
      <c r="CFW254" s="9"/>
      <c r="CFX254" s="9"/>
      <c r="CFY254" s="9"/>
      <c r="CFZ254" s="9"/>
      <c r="CGA254" s="9"/>
      <c r="CGB254" s="9"/>
      <c r="CGC254" s="9"/>
      <c r="CGD254" s="9"/>
      <c r="CGE254" s="9"/>
      <c r="CGF254" s="9"/>
      <c r="CGG254" s="9"/>
      <c r="CGH254" s="9"/>
      <c r="CGI254" s="9"/>
      <c r="CGJ254" s="9"/>
      <c r="CGK254" s="9"/>
      <c r="CGL254" s="9"/>
      <c r="CGM254" s="9"/>
      <c r="CGN254" s="9"/>
      <c r="CGO254" s="9"/>
      <c r="CGP254" s="9"/>
      <c r="CGQ254" s="9"/>
      <c r="CGR254" s="9"/>
      <c r="CGS254" s="9"/>
      <c r="CGT254" s="9"/>
      <c r="CGU254" s="9"/>
      <c r="CGV254" s="9"/>
      <c r="CGW254" s="9"/>
      <c r="CGX254" s="9"/>
      <c r="CGY254" s="9"/>
      <c r="CGZ254" s="9"/>
      <c r="CHA254" s="9"/>
      <c r="CHB254" s="9"/>
      <c r="CHC254" s="9"/>
      <c r="CHD254" s="9"/>
      <c r="CHE254" s="9"/>
      <c r="CHF254" s="9"/>
      <c r="CHG254" s="9"/>
      <c r="CHH254" s="9"/>
      <c r="CHI254" s="9"/>
      <c r="CHJ254" s="9"/>
      <c r="CHK254" s="9"/>
      <c r="CHL254" s="9"/>
      <c r="CHM254" s="9"/>
      <c r="CHN254" s="9"/>
      <c r="CHO254" s="9"/>
      <c r="CHP254" s="9"/>
      <c r="CHQ254" s="9"/>
      <c r="CHR254" s="9"/>
      <c r="CHS254" s="9"/>
      <c r="CHT254" s="9"/>
      <c r="CHU254" s="9"/>
      <c r="CHV254" s="9"/>
      <c r="CHW254" s="9"/>
      <c r="CHX254" s="9"/>
      <c r="CHY254" s="9"/>
      <c r="CHZ254" s="9"/>
      <c r="CIA254" s="9"/>
      <c r="CIB254" s="9"/>
      <c r="CIC254" s="9"/>
      <c r="CID254" s="9"/>
      <c r="CIE254" s="9"/>
      <c r="CIF254" s="9"/>
      <c r="CIG254" s="9"/>
      <c r="CIH254" s="9"/>
      <c r="CII254" s="9"/>
      <c r="CIJ254" s="9"/>
      <c r="CIK254" s="9"/>
      <c r="CIL254" s="9"/>
      <c r="CIM254" s="9"/>
      <c r="CIN254" s="9"/>
      <c r="CIO254" s="9"/>
      <c r="CIP254" s="9"/>
      <c r="CIQ254" s="9"/>
      <c r="CIR254" s="9"/>
      <c r="CIS254" s="9"/>
      <c r="CIT254" s="9"/>
      <c r="CIU254" s="9"/>
      <c r="CIV254" s="9"/>
      <c r="CIW254" s="9"/>
      <c r="CIX254" s="9"/>
      <c r="CIY254" s="9"/>
      <c r="CIZ254" s="9"/>
      <c r="CJA254" s="9"/>
      <c r="CJB254" s="9"/>
      <c r="CJC254" s="9"/>
      <c r="CJD254" s="9"/>
      <c r="CJE254" s="9"/>
      <c r="CJF254" s="9"/>
      <c r="CJG254" s="9"/>
      <c r="CJH254" s="9"/>
      <c r="CJI254" s="9"/>
      <c r="CJJ254" s="9"/>
      <c r="CJK254" s="9"/>
      <c r="CJL254" s="9"/>
      <c r="CJM254" s="9"/>
      <c r="CJN254" s="9"/>
      <c r="CJO254" s="9"/>
      <c r="CJP254" s="9"/>
      <c r="CJQ254" s="9"/>
      <c r="CJR254" s="9"/>
      <c r="CJS254" s="9"/>
      <c r="CJT254" s="9"/>
      <c r="CJU254" s="9"/>
      <c r="CJV254" s="9"/>
      <c r="CJW254" s="9"/>
      <c r="CJX254" s="9"/>
      <c r="CJY254" s="9"/>
      <c r="CJZ254" s="9"/>
      <c r="CKA254" s="9"/>
      <c r="CKB254" s="9"/>
      <c r="CKC254" s="9"/>
      <c r="CKD254" s="9"/>
      <c r="CKE254" s="9"/>
      <c r="CKF254" s="9"/>
      <c r="CKG254" s="9"/>
      <c r="CKH254" s="9"/>
      <c r="CKI254" s="9"/>
      <c r="CKJ254" s="9"/>
      <c r="CKK254" s="9"/>
      <c r="CKL254" s="9"/>
      <c r="CKM254" s="9"/>
      <c r="CKN254" s="9"/>
      <c r="CKO254" s="9"/>
      <c r="CKP254" s="9"/>
      <c r="CKQ254" s="9"/>
      <c r="CKR254" s="9"/>
      <c r="CKS254" s="9"/>
      <c r="CKT254" s="9"/>
      <c r="CKU254" s="9"/>
      <c r="CKV254" s="9"/>
      <c r="CKW254" s="9"/>
      <c r="CKX254" s="9"/>
      <c r="CKY254" s="9"/>
      <c r="CKZ254" s="9"/>
      <c r="CLA254" s="9"/>
      <c r="CLB254" s="9"/>
      <c r="CLC254" s="9"/>
      <c r="CLD254" s="9"/>
      <c r="CLE254" s="9"/>
      <c r="CLF254" s="9"/>
      <c r="CLG254" s="9"/>
      <c r="CLH254" s="9"/>
      <c r="CLI254" s="9"/>
      <c r="CLJ254" s="9"/>
      <c r="CLK254" s="9"/>
      <c r="CLL254" s="9"/>
      <c r="CLM254" s="9"/>
      <c r="CLN254" s="9"/>
      <c r="CLO254" s="9"/>
      <c r="CLP254" s="9"/>
      <c r="CLQ254" s="9"/>
      <c r="CLR254" s="9"/>
      <c r="CLS254" s="9"/>
      <c r="CLT254" s="9"/>
      <c r="CLU254" s="9"/>
      <c r="CLV254" s="9"/>
      <c r="CLW254" s="9"/>
      <c r="CLX254" s="9"/>
      <c r="CLY254" s="9"/>
      <c r="CLZ254" s="9"/>
      <c r="CMA254" s="9"/>
      <c r="CMB254" s="9"/>
      <c r="CMC254" s="9"/>
      <c r="CMD254" s="9"/>
      <c r="CME254" s="9"/>
      <c r="CMF254" s="9"/>
      <c r="CMG254" s="9"/>
      <c r="CMH254" s="9"/>
      <c r="CMI254" s="9"/>
      <c r="CMJ254" s="9"/>
      <c r="CMK254" s="9"/>
      <c r="CML254" s="9"/>
      <c r="CMM254" s="9"/>
      <c r="CMN254" s="9"/>
      <c r="CMO254" s="9"/>
      <c r="CMP254" s="9"/>
      <c r="CMQ254" s="9"/>
      <c r="CMR254" s="9"/>
      <c r="CMS254" s="9"/>
      <c r="CMT254" s="9"/>
      <c r="CMU254" s="9"/>
      <c r="CMV254" s="9"/>
      <c r="CMW254" s="9"/>
      <c r="CMX254" s="9"/>
      <c r="CMY254" s="9"/>
      <c r="CMZ254" s="9"/>
      <c r="CNA254" s="9"/>
      <c r="CNB254" s="9"/>
      <c r="CNC254" s="9"/>
      <c r="CND254" s="9"/>
      <c r="CNE254" s="9"/>
      <c r="CNF254" s="9"/>
      <c r="CNG254" s="9"/>
      <c r="CNH254" s="9"/>
      <c r="CNI254" s="9"/>
      <c r="CNJ254" s="9"/>
      <c r="CNK254" s="9"/>
      <c r="CNL254" s="9"/>
      <c r="CNM254" s="9"/>
      <c r="CNN254" s="9"/>
      <c r="CNO254" s="9"/>
      <c r="CNP254" s="9"/>
      <c r="CNQ254" s="9"/>
      <c r="CNR254" s="9"/>
      <c r="CNS254" s="9"/>
      <c r="CNT254" s="9"/>
      <c r="CNU254" s="9"/>
      <c r="CNV254" s="9"/>
      <c r="CNW254" s="9"/>
      <c r="CNX254" s="9"/>
      <c r="CNY254" s="9"/>
      <c r="CNZ254" s="9"/>
      <c r="COA254" s="9"/>
      <c r="COB254" s="9"/>
      <c r="COC254" s="9"/>
      <c r="COD254" s="9"/>
      <c r="COE254" s="9"/>
      <c r="COF254" s="9"/>
      <c r="COG254" s="9"/>
      <c r="COH254" s="9"/>
      <c r="COI254" s="9"/>
      <c r="COJ254" s="9"/>
      <c r="COK254" s="9"/>
      <c r="COL254" s="9"/>
      <c r="COM254" s="9"/>
      <c r="CON254" s="9"/>
      <c r="COO254" s="9"/>
      <c r="COP254" s="9"/>
      <c r="COQ254" s="9"/>
      <c r="COR254" s="9"/>
      <c r="COS254" s="9"/>
      <c r="COT254" s="9"/>
      <c r="COU254" s="9"/>
      <c r="COV254" s="9"/>
      <c r="COW254" s="9"/>
      <c r="COX254" s="9"/>
      <c r="COY254" s="9"/>
      <c r="COZ254" s="9"/>
      <c r="CPA254" s="9"/>
      <c r="CPB254" s="9"/>
      <c r="CPC254" s="9"/>
      <c r="CPD254" s="9"/>
      <c r="CPE254" s="9"/>
      <c r="CPF254" s="9"/>
      <c r="CPG254" s="9"/>
      <c r="CPH254" s="9"/>
      <c r="CPI254" s="9"/>
      <c r="CPJ254" s="9"/>
      <c r="CPK254" s="9"/>
      <c r="CPL254" s="9"/>
      <c r="CPM254" s="9"/>
      <c r="CPN254" s="9"/>
      <c r="CPO254" s="9"/>
      <c r="CPP254" s="9"/>
      <c r="CPQ254" s="9"/>
      <c r="CPR254" s="9"/>
      <c r="CPS254" s="9"/>
      <c r="CPT254" s="9"/>
      <c r="CPU254" s="9"/>
      <c r="CPV254" s="9"/>
      <c r="CPW254" s="9"/>
      <c r="CPX254" s="9"/>
      <c r="CPY254" s="9"/>
      <c r="CPZ254" s="9"/>
      <c r="CQA254" s="9"/>
      <c r="CQB254" s="9"/>
      <c r="CQC254" s="9"/>
      <c r="CQD254" s="9"/>
      <c r="CQE254" s="9"/>
      <c r="CQF254" s="9"/>
      <c r="CQG254" s="9"/>
      <c r="CQH254" s="9"/>
      <c r="CQI254" s="9"/>
      <c r="CQJ254" s="9"/>
      <c r="CQK254" s="9"/>
      <c r="CQL254" s="9"/>
      <c r="CQM254" s="9"/>
      <c r="CQN254" s="9"/>
      <c r="CQO254" s="9"/>
      <c r="CQP254" s="9"/>
      <c r="CQQ254" s="9"/>
      <c r="CQR254" s="9"/>
      <c r="CQS254" s="9"/>
      <c r="CQT254" s="9"/>
      <c r="CQU254" s="9"/>
      <c r="CQV254" s="9"/>
      <c r="CQW254" s="9"/>
      <c r="CQX254" s="9"/>
      <c r="CQY254" s="9"/>
      <c r="CQZ254" s="9"/>
      <c r="CRA254" s="9"/>
      <c r="CRB254" s="9"/>
      <c r="CRC254" s="9"/>
      <c r="CRD254" s="9"/>
      <c r="CRE254" s="9"/>
      <c r="CRF254" s="9"/>
      <c r="CRG254" s="9"/>
      <c r="CRH254" s="9"/>
      <c r="CRI254" s="9"/>
      <c r="CRJ254" s="9"/>
      <c r="CRK254" s="9"/>
      <c r="CRL254" s="9"/>
      <c r="CRM254" s="9"/>
      <c r="CRN254" s="9"/>
      <c r="CRO254" s="9"/>
      <c r="CRP254" s="9"/>
      <c r="CRQ254" s="9"/>
      <c r="CRR254" s="9"/>
      <c r="CRS254" s="9"/>
      <c r="CRT254" s="9"/>
      <c r="CRU254" s="9"/>
      <c r="CRV254" s="9"/>
      <c r="CRW254" s="9"/>
      <c r="CRX254" s="9"/>
      <c r="CRY254" s="9"/>
      <c r="CRZ254" s="9"/>
      <c r="CSA254" s="9"/>
      <c r="CSB254" s="9"/>
      <c r="CSC254" s="9"/>
      <c r="CSD254" s="9"/>
      <c r="CSE254" s="9"/>
      <c r="CSF254" s="9"/>
      <c r="CSG254" s="9"/>
      <c r="CSH254" s="9"/>
      <c r="CSI254" s="9"/>
      <c r="CSJ254" s="9"/>
      <c r="CSK254" s="9"/>
      <c r="CSL254" s="9"/>
      <c r="CSM254" s="9"/>
      <c r="CSN254" s="9"/>
      <c r="CSO254" s="9"/>
      <c r="CSP254" s="9"/>
      <c r="CSQ254" s="9"/>
      <c r="CSR254" s="9"/>
      <c r="CSS254" s="9"/>
      <c r="CST254" s="9"/>
      <c r="CSU254" s="9"/>
      <c r="CSV254" s="9"/>
      <c r="CSW254" s="9"/>
      <c r="CSX254" s="9"/>
      <c r="CSY254" s="9"/>
      <c r="CSZ254" s="9"/>
      <c r="CTA254" s="9"/>
      <c r="CTB254" s="9"/>
      <c r="CTC254" s="9"/>
      <c r="CTD254" s="9"/>
      <c r="CTE254" s="9"/>
      <c r="CTF254" s="9"/>
      <c r="CTG254" s="9"/>
      <c r="CTH254" s="9"/>
      <c r="CTI254" s="9"/>
      <c r="CTJ254" s="9"/>
      <c r="CTK254" s="9"/>
      <c r="CTL254" s="9"/>
      <c r="CTM254" s="9"/>
      <c r="CTN254" s="9"/>
      <c r="CTO254" s="9"/>
      <c r="CTP254" s="9"/>
      <c r="CTQ254" s="9"/>
      <c r="CTR254" s="9"/>
      <c r="CTS254" s="9"/>
      <c r="CTT254" s="9"/>
      <c r="CTU254" s="9"/>
      <c r="CTV254" s="9"/>
      <c r="CTW254" s="9"/>
      <c r="CTX254" s="9"/>
      <c r="CTY254" s="9"/>
      <c r="CTZ254" s="9"/>
      <c r="CUA254" s="9"/>
      <c r="CUB254" s="9"/>
      <c r="CUC254" s="9"/>
      <c r="CUD254" s="9"/>
      <c r="CUE254" s="9"/>
      <c r="CUF254" s="9"/>
      <c r="CUG254" s="9"/>
      <c r="CUH254" s="9"/>
      <c r="CUI254" s="9"/>
      <c r="CUJ254" s="9"/>
      <c r="CUK254" s="9"/>
      <c r="CUL254" s="9"/>
      <c r="CUM254" s="9"/>
      <c r="CUN254" s="9"/>
      <c r="CUO254" s="9"/>
      <c r="CUP254" s="9"/>
      <c r="CUQ254" s="9"/>
      <c r="CUR254" s="9"/>
      <c r="CUS254" s="9"/>
      <c r="CUT254" s="9"/>
      <c r="CUU254" s="9"/>
      <c r="CUV254" s="9"/>
      <c r="CUW254" s="9"/>
      <c r="CUX254" s="9"/>
      <c r="CUY254" s="9"/>
      <c r="CUZ254" s="9"/>
      <c r="CVA254" s="9"/>
      <c r="CVB254" s="9"/>
      <c r="CVC254" s="9"/>
      <c r="CVD254" s="9"/>
      <c r="CVE254" s="9"/>
      <c r="CVF254" s="9"/>
      <c r="CVG254" s="9"/>
      <c r="CVH254" s="9"/>
      <c r="CVI254" s="9"/>
      <c r="CVJ254" s="9"/>
      <c r="CVK254" s="9"/>
      <c r="CVL254" s="9"/>
      <c r="CVM254" s="9"/>
      <c r="CVN254" s="9"/>
      <c r="CVO254" s="9"/>
      <c r="CVP254" s="9"/>
      <c r="CVQ254" s="9"/>
      <c r="CVR254" s="9"/>
      <c r="CVS254" s="9"/>
      <c r="CVT254" s="9"/>
      <c r="CVU254" s="9"/>
      <c r="CVV254" s="9"/>
      <c r="CVW254" s="9"/>
      <c r="CVX254" s="9"/>
      <c r="CVY254" s="9"/>
      <c r="CVZ254" s="9"/>
      <c r="CWA254" s="9"/>
      <c r="CWB254" s="9"/>
      <c r="CWC254" s="9"/>
      <c r="CWD254" s="9"/>
      <c r="CWE254" s="9"/>
      <c r="CWF254" s="9"/>
      <c r="CWG254" s="9"/>
      <c r="CWH254" s="9"/>
      <c r="CWI254" s="9"/>
      <c r="CWJ254" s="9"/>
      <c r="CWK254" s="9"/>
      <c r="CWL254" s="9"/>
      <c r="CWM254" s="9"/>
      <c r="CWN254" s="9"/>
      <c r="CWO254" s="9"/>
      <c r="CWP254" s="9"/>
      <c r="CWQ254" s="9"/>
      <c r="CWR254" s="9"/>
      <c r="CWS254" s="9"/>
      <c r="CWT254" s="9"/>
      <c r="CWU254" s="9"/>
      <c r="CWV254" s="9"/>
      <c r="CWW254" s="9"/>
      <c r="CWX254" s="9"/>
      <c r="CWY254" s="9"/>
      <c r="CWZ254" s="9"/>
      <c r="CXA254" s="9"/>
      <c r="CXB254" s="9"/>
      <c r="CXC254" s="9"/>
      <c r="CXD254" s="9"/>
      <c r="CXE254" s="9"/>
      <c r="CXF254" s="9"/>
      <c r="CXG254" s="9"/>
      <c r="CXH254" s="9"/>
      <c r="CXI254" s="9"/>
      <c r="CXJ254" s="9"/>
      <c r="CXK254" s="9"/>
      <c r="CXL254" s="9"/>
      <c r="CXM254" s="9"/>
      <c r="CXN254" s="9"/>
      <c r="CXO254" s="9"/>
      <c r="CXP254" s="9"/>
      <c r="CXQ254" s="9"/>
      <c r="CXR254" s="9"/>
      <c r="CXS254" s="9"/>
      <c r="CXT254" s="9"/>
      <c r="CXU254" s="9"/>
      <c r="CXV254" s="9"/>
      <c r="CXW254" s="9"/>
      <c r="CXX254" s="9"/>
      <c r="CXY254" s="9"/>
      <c r="CXZ254" s="9"/>
      <c r="CYA254" s="9"/>
      <c r="CYB254" s="9"/>
      <c r="CYC254" s="9"/>
      <c r="CYD254" s="9"/>
      <c r="CYE254" s="9"/>
      <c r="CYF254" s="9"/>
      <c r="CYG254" s="9"/>
      <c r="CYH254" s="9"/>
      <c r="CYI254" s="9"/>
      <c r="CYJ254" s="9"/>
      <c r="CYK254" s="9"/>
      <c r="CYL254" s="9"/>
      <c r="CYM254" s="9"/>
      <c r="CYN254" s="9"/>
      <c r="CYO254" s="9"/>
      <c r="CYP254" s="9"/>
      <c r="CYQ254" s="9"/>
      <c r="CYR254" s="9"/>
      <c r="CYS254" s="9"/>
      <c r="CYT254" s="9"/>
      <c r="CYU254" s="9"/>
      <c r="CYV254" s="9"/>
      <c r="CYW254" s="9"/>
      <c r="CYX254" s="9"/>
      <c r="CYY254" s="9"/>
      <c r="CYZ254" s="9"/>
      <c r="CZA254" s="9"/>
      <c r="CZB254" s="9"/>
      <c r="CZC254" s="9"/>
      <c r="CZD254" s="9"/>
      <c r="CZE254" s="9"/>
      <c r="CZF254" s="9"/>
      <c r="CZG254" s="9"/>
      <c r="CZH254" s="9"/>
      <c r="CZI254" s="9"/>
      <c r="CZJ254" s="9"/>
      <c r="CZK254" s="9"/>
      <c r="CZL254" s="9"/>
      <c r="CZM254" s="9"/>
      <c r="CZN254" s="9"/>
      <c r="CZO254" s="9"/>
      <c r="CZP254" s="9"/>
      <c r="CZQ254" s="9"/>
      <c r="CZR254" s="9"/>
      <c r="CZS254" s="9"/>
      <c r="CZT254" s="9"/>
      <c r="CZU254" s="9"/>
      <c r="CZV254" s="9"/>
      <c r="CZW254" s="9"/>
      <c r="CZX254" s="9"/>
      <c r="CZY254" s="9"/>
      <c r="CZZ254" s="9"/>
      <c r="DAA254" s="9"/>
      <c r="DAB254" s="9"/>
      <c r="DAC254" s="9"/>
      <c r="DAD254" s="9"/>
      <c r="DAE254" s="9"/>
      <c r="DAF254" s="9"/>
      <c r="DAG254" s="9"/>
      <c r="DAH254" s="9"/>
      <c r="DAI254" s="9"/>
      <c r="DAJ254" s="9"/>
      <c r="DAK254" s="9"/>
      <c r="DAL254" s="9"/>
      <c r="DAM254" s="9"/>
      <c r="DAN254" s="9"/>
      <c r="DAO254" s="9"/>
      <c r="DAP254" s="9"/>
      <c r="DAQ254" s="9"/>
      <c r="DAR254" s="9"/>
      <c r="DAS254" s="9"/>
      <c r="DAT254" s="9"/>
      <c r="DAU254" s="9"/>
      <c r="DAV254" s="9"/>
      <c r="DAW254" s="9"/>
      <c r="DAX254" s="9"/>
      <c r="DAY254" s="9"/>
      <c r="DAZ254" s="9"/>
      <c r="DBA254" s="9"/>
      <c r="DBB254" s="9"/>
      <c r="DBC254" s="9"/>
      <c r="DBD254" s="9"/>
      <c r="DBE254" s="9"/>
      <c r="DBF254" s="9"/>
      <c r="DBG254" s="9"/>
      <c r="DBH254" s="9"/>
      <c r="DBI254" s="9"/>
      <c r="DBJ254" s="9"/>
      <c r="DBK254" s="9"/>
      <c r="DBL254" s="9"/>
      <c r="DBM254" s="9"/>
      <c r="DBN254" s="9"/>
      <c r="DBO254" s="9"/>
      <c r="DBP254" s="9"/>
      <c r="DBQ254" s="9"/>
      <c r="DBR254" s="9"/>
      <c r="DBS254" s="9"/>
      <c r="DBT254" s="9"/>
      <c r="DBU254" s="9"/>
      <c r="DBV254" s="9"/>
      <c r="DBW254" s="9"/>
      <c r="DBX254" s="9"/>
      <c r="DBY254" s="9"/>
      <c r="DBZ254" s="9"/>
      <c r="DCA254" s="9"/>
      <c r="DCB254" s="9"/>
      <c r="DCC254" s="9"/>
      <c r="DCD254" s="9"/>
      <c r="DCE254" s="9"/>
      <c r="DCF254" s="9"/>
      <c r="DCG254" s="9"/>
      <c r="DCH254" s="9"/>
      <c r="DCI254" s="9"/>
      <c r="DCJ254" s="9"/>
      <c r="DCK254" s="9"/>
      <c r="DCL254" s="9"/>
      <c r="DCM254" s="9"/>
      <c r="DCN254" s="9"/>
      <c r="DCO254" s="9"/>
      <c r="DCP254" s="9"/>
      <c r="DCQ254" s="9"/>
      <c r="DCR254" s="9"/>
      <c r="DCS254" s="9"/>
      <c r="DCT254" s="9"/>
      <c r="DCU254" s="9"/>
      <c r="DCV254" s="9"/>
      <c r="DCW254" s="9"/>
      <c r="DCX254" s="9"/>
      <c r="DCY254" s="9"/>
      <c r="DCZ254" s="9"/>
      <c r="DDA254" s="9"/>
      <c r="DDB254" s="9"/>
      <c r="DDC254" s="9"/>
      <c r="DDD254" s="9"/>
      <c r="DDE254" s="9"/>
      <c r="DDF254" s="9"/>
      <c r="DDG254" s="9"/>
      <c r="DDH254" s="9"/>
      <c r="DDI254" s="9"/>
      <c r="DDJ254" s="9"/>
      <c r="DDK254" s="9"/>
      <c r="DDL254" s="9"/>
      <c r="DDM254" s="9"/>
      <c r="DDN254" s="9"/>
      <c r="DDO254" s="9"/>
      <c r="DDP254" s="9"/>
      <c r="DDQ254" s="9"/>
      <c r="DDR254" s="9"/>
      <c r="DDS254" s="9"/>
      <c r="DDT254" s="9"/>
      <c r="DDU254" s="9"/>
      <c r="DDV254" s="9"/>
      <c r="DDW254" s="9"/>
      <c r="DDX254" s="9"/>
      <c r="DDY254" s="9"/>
      <c r="DDZ254" s="9"/>
      <c r="DEA254" s="9"/>
      <c r="DEB254" s="9"/>
      <c r="DEC254" s="9"/>
      <c r="DED254" s="9"/>
      <c r="DEE254" s="9"/>
      <c r="DEF254" s="9"/>
      <c r="DEG254" s="9"/>
      <c r="DEH254" s="9"/>
      <c r="DEI254" s="9"/>
      <c r="DEJ254" s="9"/>
      <c r="DEK254" s="9"/>
      <c r="DEL254" s="9"/>
      <c r="DEM254" s="9"/>
      <c r="DEN254" s="9"/>
      <c r="DEO254" s="9"/>
      <c r="DEP254" s="9"/>
      <c r="DEQ254" s="9"/>
      <c r="DER254" s="9"/>
      <c r="DES254" s="9"/>
      <c r="DET254" s="9"/>
      <c r="DEU254" s="9"/>
      <c r="DEV254" s="9"/>
      <c r="DEW254" s="9"/>
      <c r="DEX254" s="9"/>
      <c r="DEY254" s="9"/>
      <c r="DEZ254" s="9"/>
      <c r="DFA254" s="9"/>
      <c r="DFB254" s="9"/>
      <c r="DFC254" s="9"/>
      <c r="DFD254" s="9"/>
      <c r="DFE254" s="9"/>
      <c r="DFF254" s="9"/>
      <c r="DFG254" s="9"/>
      <c r="DFH254" s="9"/>
      <c r="DFI254" s="9"/>
      <c r="DFJ254" s="9"/>
      <c r="DFK254" s="9"/>
      <c r="DFL254" s="9"/>
      <c r="DFM254" s="9"/>
      <c r="DFN254" s="9"/>
      <c r="DFO254" s="9"/>
      <c r="DFP254" s="9"/>
      <c r="DFQ254" s="9"/>
      <c r="DFR254" s="9"/>
      <c r="DFS254" s="9"/>
      <c r="DFT254" s="9"/>
      <c r="DFU254" s="9"/>
      <c r="DFV254" s="9"/>
      <c r="DFW254" s="9"/>
      <c r="DFX254" s="9"/>
      <c r="DFY254" s="9"/>
      <c r="DFZ254" s="9"/>
      <c r="DGA254" s="9"/>
      <c r="DGB254" s="9"/>
      <c r="DGC254" s="9"/>
      <c r="DGD254" s="9"/>
      <c r="DGE254" s="9"/>
      <c r="DGF254" s="9"/>
      <c r="DGG254" s="9"/>
      <c r="DGH254" s="9"/>
      <c r="DGI254" s="9"/>
      <c r="DGJ254" s="9"/>
      <c r="DGK254" s="9"/>
      <c r="DGL254" s="9"/>
      <c r="DGM254" s="9"/>
      <c r="DGN254" s="9"/>
      <c r="DGO254" s="9"/>
      <c r="DGP254" s="9"/>
      <c r="DGQ254" s="9"/>
      <c r="DGR254" s="9"/>
      <c r="DGS254" s="9"/>
      <c r="DGT254" s="9"/>
      <c r="DGU254" s="9"/>
      <c r="DGV254" s="9"/>
      <c r="DGW254" s="9"/>
      <c r="DGX254" s="9"/>
      <c r="DGY254" s="9"/>
      <c r="DGZ254" s="9"/>
      <c r="DHA254" s="9"/>
      <c r="DHB254" s="9"/>
      <c r="DHC254" s="9"/>
      <c r="DHD254" s="9"/>
      <c r="DHE254" s="9"/>
      <c r="DHF254" s="9"/>
      <c r="DHG254" s="9"/>
      <c r="DHH254" s="9"/>
      <c r="DHI254" s="9"/>
      <c r="DHJ254" s="9"/>
      <c r="DHK254" s="9"/>
      <c r="DHL254" s="9"/>
      <c r="DHM254" s="9"/>
      <c r="DHN254" s="9"/>
      <c r="DHO254" s="9"/>
      <c r="DHP254" s="9"/>
      <c r="DHQ254" s="9"/>
      <c r="DHR254" s="9"/>
      <c r="DHS254" s="9"/>
      <c r="DHT254" s="9"/>
      <c r="DHU254" s="9"/>
      <c r="DHV254" s="9"/>
      <c r="DHW254" s="9"/>
      <c r="DHX254" s="9"/>
      <c r="DHY254" s="9"/>
      <c r="DHZ254" s="9"/>
      <c r="DIA254" s="9"/>
      <c r="DIB254" s="9"/>
      <c r="DIC254" s="9"/>
      <c r="DID254" s="9"/>
      <c r="DIE254" s="9"/>
      <c r="DIF254" s="9"/>
      <c r="DIG254" s="9"/>
      <c r="DIH254" s="9"/>
      <c r="DII254" s="9"/>
      <c r="DIJ254" s="9"/>
      <c r="DIK254" s="9"/>
      <c r="DIL254" s="9"/>
      <c r="DIM254" s="9"/>
      <c r="DIN254" s="9"/>
      <c r="DIO254" s="9"/>
      <c r="DIP254" s="9"/>
      <c r="DIQ254" s="9"/>
      <c r="DIR254" s="9"/>
      <c r="DIS254" s="9"/>
      <c r="DIT254" s="9"/>
      <c r="DIU254" s="9"/>
      <c r="DIV254" s="9"/>
      <c r="DIW254" s="9"/>
      <c r="DIX254" s="9"/>
      <c r="DIY254" s="9"/>
      <c r="DIZ254" s="9"/>
      <c r="DJA254" s="9"/>
      <c r="DJB254" s="9"/>
      <c r="DJC254" s="9"/>
      <c r="DJD254" s="9"/>
      <c r="DJE254" s="9"/>
      <c r="DJF254" s="9"/>
      <c r="DJG254" s="9"/>
      <c r="DJH254" s="9"/>
      <c r="DJI254" s="9"/>
      <c r="DJJ254" s="9"/>
      <c r="DJK254" s="9"/>
      <c r="DJL254" s="9"/>
      <c r="DJM254" s="9"/>
      <c r="DJN254" s="9"/>
      <c r="DJO254" s="9"/>
      <c r="DJP254" s="9"/>
      <c r="DJQ254" s="9"/>
      <c r="DJR254" s="9"/>
      <c r="DJS254" s="9"/>
      <c r="DJT254" s="9"/>
      <c r="DJU254" s="9"/>
      <c r="DJV254" s="9"/>
      <c r="DJW254" s="9"/>
      <c r="DJX254" s="9"/>
      <c r="DJY254" s="9"/>
      <c r="DJZ254" s="9"/>
      <c r="DKA254" s="9"/>
      <c r="DKB254" s="9"/>
      <c r="DKC254" s="9"/>
      <c r="DKD254" s="9"/>
      <c r="DKE254" s="9"/>
      <c r="DKF254" s="9"/>
      <c r="DKG254" s="9"/>
      <c r="DKH254" s="9"/>
      <c r="DKI254" s="9"/>
      <c r="DKJ254" s="9"/>
      <c r="DKK254" s="9"/>
      <c r="DKL254" s="9"/>
      <c r="DKM254" s="9"/>
      <c r="DKN254" s="9"/>
      <c r="DKO254" s="9"/>
      <c r="DKP254" s="9"/>
      <c r="DKQ254" s="9"/>
      <c r="DKR254" s="9"/>
      <c r="DKS254" s="9"/>
      <c r="DKT254" s="9"/>
      <c r="DKU254" s="9"/>
      <c r="DKV254" s="9"/>
      <c r="DKW254" s="9"/>
      <c r="DKX254" s="9"/>
      <c r="DKY254" s="9"/>
      <c r="DKZ254" s="9"/>
      <c r="DLA254" s="9"/>
      <c r="DLB254" s="9"/>
      <c r="DLC254" s="9"/>
      <c r="DLD254" s="9"/>
      <c r="DLE254" s="9"/>
      <c r="DLF254" s="9"/>
      <c r="DLG254" s="9"/>
      <c r="DLH254" s="9"/>
      <c r="DLI254" s="9"/>
      <c r="DLJ254" s="9"/>
      <c r="DLK254" s="9"/>
      <c r="DLL254" s="9"/>
      <c r="DLM254" s="9"/>
      <c r="DLN254" s="9"/>
      <c r="DLO254" s="9"/>
      <c r="DLP254" s="9"/>
      <c r="DLQ254" s="9"/>
      <c r="DLR254" s="9"/>
      <c r="DLS254" s="9"/>
      <c r="DLT254" s="9"/>
      <c r="DLU254" s="9"/>
      <c r="DLV254" s="9"/>
      <c r="DLW254" s="9"/>
      <c r="DLX254" s="9"/>
      <c r="DLY254" s="9"/>
      <c r="DLZ254" s="9"/>
      <c r="DMA254" s="9"/>
      <c r="DMB254" s="9"/>
      <c r="DMC254" s="9"/>
      <c r="DMD254" s="9"/>
      <c r="DME254" s="9"/>
      <c r="DMF254" s="9"/>
      <c r="DMG254" s="9"/>
      <c r="DMH254" s="9"/>
      <c r="DMI254" s="9"/>
      <c r="DMJ254" s="9"/>
      <c r="DMK254" s="9"/>
      <c r="DML254" s="9"/>
      <c r="DMM254" s="9"/>
      <c r="DMN254" s="9"/>
      <c r="DMO254" s="9"/>
      <c r="DMP254" s="9"/>
      <c r="DMQ254" s="9"/>
      <c r="DMR254" s="9"/>
      <c r="DMS254" s="9"/>
      <c r="DMT254" s="9"/>
      <c r="DMU254" s="9"/>
      <c r="DMV254" s="9"/>
      <c r="DMW254" s="9"/>
      <c r="DMX254" s="9"/>
      <c r="DMY254" s="9"/>
      <c r="DMZ254" s="9"/>
      <c r="DNA254" s="9"/>
      <c r="DNB254" s="9"/>
      <c r="DNC254" s="9"/>
      <c r="DND254" s="9"/>
      <c r="DNE254" s="9"/>
      <c r="DNF254" s="9"/>
      <c r="DNG254" s="9"/>
      <c r="DNH254" s="9"/>
      <c r="DNI254" s="9"/>
      <c r="DNJ254" s="9"/>
      <c r="DNK254" s="9"/>
      <c r="DNL254" s="9"/>
      <c r="DNM254" s="9"/>
      <c r="DNN254" s="9"/>
      <c r="DNO254" s="9"/>
      <c r="DNP254" s="9"/>
      <c r="DNQ254" s="9"/>
      <c r="DNR254" s="9"/>
      <c r="DNS254" s="9"/>
      <c r="DNT254" s="9"/>
      <c r="DNU254" s="9"/>
      <c r="DNV254" s="9"/>
      <c r="DNW254" s="9"/>
      <c r="DNX254" s="9"/>
      <c r="DNY254" s="9"/>
      <c r="DNZ254" s="9"/>
      <c r="DOA254" s="9"/>
      <c r="DOB254" s="9"/>
      <c r="DOC254" s="9"/>
      <c r="DOD254" s="9"/>
      <c r="DOE254" s="9"/>
      <c r="DOF254" s="9"/>
      <c r="DOG254" s="9"/>
      <c r="DOH254" s="9"/>
      <c r="DOI254" s="9"/>
      <c r="DOJ254" s="9"/>
      <c r="DOK254" s="9"/>
      <c r="DOL254" s="9"/>
      <c r="DOM254" s="9"/>
      <c r="DON254" s="9"/>
      <c r="DOO254" s="9"/>
      <c r="DOP254" s="9"/>
      <c r="DOQ254" s="9"/>
      <c r="DOR254" s="9"/>
      <c r="DOS254" s="9"/>
      <c r="DOT254" s="9"/>
      <c r="DOU254" s="9"/>
      <c r="DOV254" s="9"/>
      <c r="DOW254" s="9"/>
      <c r="DOX254" s="9"/>
      <c r="DOY254" s="9"/>
      <c r="DOZ254" s="9"/>
      <c r="DPA254" s="9"/>
      <c r="DPB254" s="9"/>
      <c r="DPC254" s="9"/>
      <c r="DPD254" s="9"/>
      <c r="DPE254" s="9"/>
      <c r="DPF254" s="9"/>
      <c r="DPG254" s="9"/>
      <c r="DPH254" s="9"/>
      <c r="DPI254" s="9"/>
      <c r="DPJ254" s="9"/>
      <c r="DPK254" s="9"/>
      <c r="DPL254" s="9"/>
      <c r="DPM254" s="9"/>
      <c r="DPN254" s="9"/>
      <c r="DPO254" s="9"/>
      <c r="DPP254" s="9"/>
      <c r="DPQ254" s="9"/>
      <c r="DPR254" s="9"/>
      <c r="DPS254" s="9"/>
      <c r="DPT254" s="9"/>
      <c r="DPU254" s="9"/>
      <c r="DPV254" s="9"/>
      <c r="DPW254" s="9"/>
      <c r="DPX254" s="9"/>
      <c r="DPY254" s="9"/>
      <c r="DPZ254" s="9"/>
      <c r="DQA254" s="9"/>
      <c r="DQB254" s="9"/>
      <c r="DQC254" s="9"/>
      <c r="DQD254" s="9"/>
      <c r="DQE254" s="9"/>
      <c r="DQF254" s="9"/>
      <c r="DQG254" s="9"/>
      <c r="DQH254" s="9"/>
      <c r="DQI254" s="9"/>
      <c r="DQJ254" s="9"/>
      <c r="DQK254" s="9"/>
      <c r="DQL254" s="9"/>
      <c r="DQM254" s="9"/>
      <c r="DQN254" s="9"/>
      <c r="DQO254" s="9"/>
      <c r="DQP254" s="9"/>
      <c r="DQQ254" s="9"/>
      <c r="DQR254" s="9"/>
      <c r="DQS254" s="9"/>
      <c r="DQT254" s="9"/>
      <c r="DQU254" s="9"/>
      <c r="DQV254" s="9"/>
      <c r="DQW254" s="9"/>
      <c r="DQX254" s="9"/>
      <c r="DQY254" s="9"/>
      <c r="DQZ254" s="9"/>
      <c r="DRA254" s="9"/>
      <c r="DRB254" s="9"/>
      <c r="DRC254" s="9"/>
      <c r="DRD254" s="9"/>
      <c r="DRE254" s="9"/>
      <c r="DRF254" s="9"/>
      <c r="DRG254" s="9"/>
      <c r="DRH254" s="9"/>
      <c r="DRI254" s="9"/>
      <c r="DRJ254" s="9"/>
      <c r="DRK254" s="9"/>
      <c r="DRL254" s="9"/>
      <c r="DRM254" s="9"/>
      <c r="DRN254" s="9"/>
      <c r="DRO254" s="9"/>
      <c r="DRP254" s="9"/>
      <c r="DRQ254" s="9"/>
      <c r="DRR254" s="9"/>
      <c r="DRS254" s="9"/>
      <c r="DRT254" s="9"/>
      <c r="DRU254" s="9"/>
      <c r="DRV254" s="9"/>
      <c r="DRW254" s="9"/>
      <c r="DRX254" s="9"/>
      <c r="DRY254" s="9"/>
      <c r="DRZ254" s="9"/>
      <c r="DSA254" s="9"/>
      <c r="DSB254" s="9"/>
      <c r="DSC254" s="9"/>
      <c r="DSD254" s="9"/>
      <c r="DSE254" s="9"/>
      <c r="DSF254" s="9"/>
      <c r="DSG254" s="9"/>
      <c r="DSH254" s="9"/>
      <c r="DSI254" s="9"/>
      <c r="DSJ254" s="9"/>
      <c r="DSK254" s="9"/>
      <c r="DSL254" s="9"/>
      <c r="DSM254" s="9"/>
      <c r="DSN254" s="9"/>
      <c r="DSO254" s="9"/>
      <c r="DSP254" s="9"/>
      <c r="DSQ254" s="9"/>
      <c r="DSR254" s="9"/>
      <c r="DSS254" s="9"/>
      <c r="DST254" s="9"/>
      <c r="DSU254" s="9"/>
      <c r="DSV254" s="9"/>
      <c r="DSW254" s="9"/>
      <c r="DSX254" s="9"/>
      <c r="DSY254" s="9"/>
      <c r="DSZ254" s="9"/>
      <c r="DTA254" s="9"/>
      <c r="DTB254" s="9"/>
      <c r="DTC254" s="9"/>
      <c r="DTD254" s="9"/>
      <c r="DTE254" s="9"/>
      <c r="DTF254" s="9"/>
      <c r="DTG254" s="9"/>
      <c r="DTH254" s="9"/>
      <c r="DTI254" s="9"/>
      <c r="DTJ254" s="9"/>
      <c r="DTK254" s="9"/>
      <c r="DTL254" s="9"/>
      <c r="DTM254" s="9"/>
      <c r="DTN254" s="9"/>
      <c r="DTO254" s="9"/>
      <c r="DTP254" s="9"/>
      <c r="DTQ254" s="9"/>
      <c r="DTR254" s="9"/>
      <c r="DTS254" s="9"/>
      <c r="DTT254" s="9"/>
      <c r="DTU254" s="9"/>
      <c r="DTV254" s="9"/>
      <c r="DTW254" s="9"/>
      <c r="DTX254" s="9"/>
      <c r="DTY254" s="9"/>
      <c r="DTZ254" s="9"/>
      <c r="DUA254" s="9"/>
      <c r="DUB254" s="9"/>
      <c r="DUC254" s="9"/>
      <c r="DUD254" s="9"/>
      <c r="DUE254" s="9"/>
      <c r="DUF254" s="9"/>
      <c r="DUG254" s="9"/>
      <c r="DUH254" s="9"/>
      <c r="DUI254" s="9"/>
      <c r="DUJ254" s="9"/>
      <c r="DUK254" s="9"/>
      <c r="DUL254" s="9"/>
      <c r="DUM254" s="9"/>
      <c r="DUN254" s="9"/>
      <c r="DUO254" s="9"/>
      <c r="DUP254" s="9"/>
      <c r="DUQ254" s="9"/>
      <c r="DUR254" s="9"/>
      <c r="DUS254" s="9"/>
      <c r="DUT254" s="9"/>
      <c r="DUU254" s="9"/>
      <c r="DUV254" s="9"/>
      <c r="DUW254" s="9"/>
      <c r="DUX254" s="9"/>
      <c r="DUY254" s="9"/>
      <c r="DUZ254" s="9"/>
      <c r="DVA254" s="9"/>
      <c r="DVB254" s="9"/>
      <c r="DVC254" s="9"/>
      <c r="DVD254" s="9"/>
      <c r="DVE254" s="9"/>
      <c r="DVF254" s="9"/>
      <c r="DVG254" s="9"/>
      <c r="DVH254" s="9"/>
      <c r="DVI254" s="9"/>
      <c r="DVJ254" s="9"/>
      <c r="DVK254" s="9"/>
      <c r="DVL254" s="9"/>
      <c r="DVM254" s="9"/>
      <c r="DVN254" s="9"/>
      <c r="DVO254" s="9"/>
      <c r="DVP254" s="9"/>
      <c r="DVQ254" s="9"/>
      <c r="DVR254" s="9"/>
      <c r="DVS254" s="9"/>
      <c r="DVT254" s="9"/>
      <c r="DVU254" s="9"/>
      <c r="DVV254" s="9"/>
      <c r="DVW254" s="9"/>
      <c r="DVX254" s="9"/>
      <c r="DVY254" s="9"/>
      <c r="DVZ254" s="9"/>
      <c r="DWA254" s="9"/>
      <c r="DWB254" s="9"/>
      <c r="DWC254" s="9"/>
      <c r="DWD254" s="9"/>
      <c r="DWE254" s="9"/>
      <c r="DWF254" s="9"/>
      <c r="DWG254" s="9"/>
      <c r="DWH254" s="9"/>
      <c r="DWI254" s="9"/>
      <c r="DWJ254" s="9"/>
      <c r="DWK254" s="9"/>
      <c r="DWL254" s="9"/>
      <c r="DWM254" s="9"/>
      <c r="DWN254" s="9"/>
      <c r="DWO254" s="9"/>
      <c r="DWP254" s="9"/>
      <c r="DWQ254" s="9"/>
      <c r="DWR254" s="9"/>
      <c r="DWS254" s="9"/>
      <c r="DWT254" s="9"/>
      <c r="DWU254" s="9"/>
      <c r="DWV254" s="9"/>
      <c r="DWW254" s="9"/>
      <c r="DWX254" s="9"/>
      <c r="DWY254" s="9"/>
      <c r="DWZ254" s="9"/>
      <c r="DXA254" s="9"/>
      <c r="DXB254" s="9"/>
      <c r="DXC254" s="9"/>
      <c r="DXD254" s="9"/>
      <c r="DXE254" s="9"/>
      <c r="DXF254" s="9"/>
      <c r="DXG254" s="9"/>
      <c r="DXH254" s="9"/>
      <c r="DXI254" s="9"/>
      <c r="DXJ254" s="9"/>
      <c r="DXK254" s="9"/>
      <c r="DXL254" s="9"/>
      <c r="DXM254" s="9"/>
      <c r="DXN254" s="9"/>
      <c r="DXO254" s="9"/>
      <c r="DXP254" s="9"/>
      <c r="DXQ254" s="9"/>
      <c r="DXR254" s="9"/>
      <c r="DXS254" s="9"/>
      <c r="DXT254" s="9"/>
      <c r="DXU254" s="9"/>
      <c r="DXV254" s="9"/>
      <c r="DXW254" s="9"/>
      <c r="DXX254" s="9"/>
      <c r="DXY254" s="9"/>
      <c r="DXZ254" s="9"/>
      <c r="DYA254" s="9"/>
      <c r="DYB254" s="9"/>
      <c r="DYC254" s="9"/>
      <c r="DYD254" s="9"/>
      <c r="DYE254" s="9"/>
      <c r="DYF254" s="9"/>
      <c r="DYG254" s="9"/>
      <c r="DYH254" s="9"/>
      <c r="DYI254" s="9"/>
      <c r="DYJ254" s="9"/>
      <c r="DYK254" s="9"/>
      <c r="DYL254" s="9"/>
      <c r="DYM254" s="9"/>
      <c r="DYN254" s="9"/>
      <c r="DYO254" s="9"/>
      <c r="DYP254" s="9"/>
      <c r="DYQ254" s="9"/>
      <c r="DYR254" s="9"/>
      <c r="DYS254" s="9"/>
      <c r="DYT254" s="9"/>
      <c r="DYU254" s="9"/>
      <c r="DYV254" s="9"/>
      <c r="DYW254" s="9"/>
      <c r="DYX254" s="9"/>
      <c r="DYY254" s="9"/>
      <c r="DYZ254" s="9"/>
      <c r="DZA254" s="9"/>
      <c r="DZB254" s="9"/>
      <c r="DZC254" s="9"/>
      <c r="DZD254" s="9"/>
      <c r="DZE254" s="9"/>
      <c r="DZF254" s="9"/>
      <c r="DZG254" s="9"/>
      <c r="DZH254" s="9"/>
      <c r="DZI254" s="9"/>
      <c r="DZJ254" s="9"/>
      <c r="DZK254" s="9"/>
      <c r="DZL254" s="9"/>
      <c r="DZM254" s="9"/>
      <c r="DZN254" s="9"/>
      <c r="DZO254" s="9"/>
      <c r="DZP254" s="9"/>
      <c r="DZQ254" s="9"/>
      <c r="DZR254" s="9"/>
      <c r="DZS254" s="9"/>
      <c r="DZT254" s="9"/>
      <c r="DZU254" s="9"/>
      <c r="DZV254" s="9"/>
      <c r="DZW254" s="9"/>
      <c r="DZX254" s="9"/>
      <c r="DZY254" s="9"/>
      <c r="DZZ254" s="9"/>
      <c r="EAA254" s="9"/>
      <c r="EAB254" s="9"/>
      <c r="EAC254" s="9"/>
      <c r="EAD254" s="9"/>
      <c r="EAE254" s="9"/>
      <c r="EAF254" s="9"/>
      <c r="EAG254" s="9"/>
      <c r="EAH254" s="9"/>
      <c r="EAI254" s="9"/>
      <c r="EAJ254" s="9"/>
      <c r="EAK254" s="9"/>
      <c r="EAL254" s="9"/>
      <c r="EAM254" s="9"/>
      <c r="EAN254" s="9"/>
      <c r="EAO254" s="9"/>
      <c r="EAP254" s="9"/>
      <c r="EAQ254" s="9"/>
      <c r="EAR254" s="9"/>
      <c r="EAS254" s="9"/>
      <c r="EAT254" s="9"/>
      <c r="EAU254" s="9"/>
      <c r="EAV254" s="9"/>
      <c r="EAW254" s="9"/>
      <c r="EAX254" s="9"/>
      <c r="EAY254" s="9"/>
      <c r="EAZ254" s="9"/>
      <c r="EBA254" s="9"/>
      <c r="EBB254" s="9"/>
      <c r="EBC254" s="9"/>
      <c r="EBD254" s="9"/>
      <c r="EBE254" s="9"/>
      <c r="EBF254" s="9"/>
      <c r="EBG254" s="9"/>
      <c r="EBH254" s="9"/>
      <c r="EBI254" s="9"/>
      <c r="EBJ254" s="9"/>
      <c r="EBK254" s="9"/>
      <c r="EBL254" s="9"/>
      <c r="EBM254" s="9"/>
      <c r="EBN254" s="9"/>
      <c r="EBO254" s="9"/>
      <c r="EBP254" s="9"/>
      <c r="EBQ254" s="9"/>
      <c r="EBR254" s="9"/>
      <c r="EBS254" s="9"/>
      <c r="EBT254" s="9"/>
      <c r="EBU254" s="9"/>
      <c r="EBV254" s="9"/>
      <c r="EBW254" s="9"/>
      <c r="EBX254" s="9"/>
      <c r="EBY254" s="9"/>
      <c r="EBZ254" s="9"/>
      <c r="ECA254" s="9"/>
      <c r="ECB254" s="9"/>
      <c r="ECC254" s="9"/>
      <c r="ECD254" s="9"/>
      <c r="ECE254" s="9"/>
      <c r="ECF254" s="9"/>
      <c r="ECG254" s="9"/>
      <c r="ECH254" s="9"/>
      <c r="ECI254" s="9"/>
      <c r="ECJ254" s="9"/>
      <c r="ECK254" s="9"/>
      <c r="ECL254" s="9"/>
      <c r="ECM254" s="9"/>
      <c r="ECN254" s="9"/>
      <c r="ECO254" s="9"/>
      <c r="ECP254" s="9"/>
      <c r="ECQ254" s="9"/>
      <c r="ECR254" s="9"/>
      <c r="ECS254" s="9"/>
      <c r="ECT254" s="9"/>
      <c r="ECU254" s="9"/>
      <c r="ECV254" s="9"/>
      <c r="ECW254" s="9"/>
      <c r="ECX254" s="9"/>
      <c r="ECY254" s="9"/>
      <c r="ECZ254" s="9"/>
      <c r="EDA254" s="9"/>
      <c r="EDB254" s="9"/>
      <c r="EDC254" s="9"/>
      <c r="EDD254" s="9"/>
      <c r="EDE254" s="9"/>
      <c r="EDF254" s="9"/>
      <c r="EDG254" s="9"/>
      <c r="EDH254" s="9"/>
      <c r="EDI254" s="9"/>
      <c r="EDJ254" s="9"/>
      <c r="EDK254" s="9"/>
      <c r="EDL254" s="9"/>
      <c r="EDM254" s="9"/>
      <c r="EDN254" s="9"/>
      <c r="EDO254" s="9"/>
      <c r="EDP254" s="9"/>
      <c r="EDQ254" s="9"/>
      <c r="EDR254" s="9"/>
      <c r="EDS254" s="9"/>
      <c r="EDT254" s="9"/>
      <c r="EDU254" s="9"/>
      <c r="EDV254" s="9"/>
      <c r="EDW254" s="9"/>
      <c r="EDX254" s="9"/>
      <c r="EDY254" s="9"/>
      <c r="EDZ254" s="9"/>
      <c r="EEA254" s="9"/>
      <c r="EEB254" s="9"/>
      <c r="EEC254" s="9"/>
      <c r="EED254" s="9"/>
      <c r="EEE254" s="9"/>
      <c r="EEF254" s="9"/>
      <c r="EEG254" s="9"/>
      <c r="EEH254" s="9"/>
      <c r="EEI254" s="9"/>
      <c r="EEJ254" s="9"/>
      <c r="EEK254" s="9"/>
      <c r="EEL254" s="9"/>
      <c r="EEM254" s="9"/>
      <c r="EEN254" s="9"/>
      <c r="EEO254" s="9"/>
      <c r="EEP254" s="9"/>
      <c r="EEQ254" s="9"/>
      <c r="EER254" s="9"/>
      <c r="EES254" s="9"/>
      <c r="EET254" s="9"/>
      <c r="EEU254" s="9"/>
      <c r="EEV254" s="9"/>
      <c r="EEW254" s="9"/>
      <c r="EEX254" s="9"/>
      <c r="EEY254" s="9"/>
      <c r="EEZ254" s="9"/>
      <c r="EFA254" s="9"/>
      <c r="EFB254" s="9"/>
      <c r="EFC254" s="9"/>
      <c r="EFD254" s="9"/>
      <c r="EFE254" s="9"/>
      <c r="EFF254" s="9"/>
      <c r="EFG254" s="9"/>
      <c r="EFH254" s="9"/>
      <c r="EFI254" s="9"/>
      <c r="EFJ254" s="9"/>
      <c r="EFK254" s="9"/>
      <c r="EFL254" s="9"/>
      <c r="EFM254" s="9"/>
      <c r="EFN254" s="9"/>
      <c r="EFO254" s="9"/>
      <c r="EFP254" s="9"/>
      <c r="EFQ254" s="9"/>
      <c r="EFR254" s="9"/>
      <c r="EFS254" s="9"/>
      <c r="EFT254" s="9"/>
      <c r="EFU254" s="9"/>
      <c r="EFV254" s="9"/>
      <c r="EFW254" s="9"/>
      <c r="EFX254" s="9"/>
      <c r="EFY254" s="9"/>
      <c r="EFZ254" s="9"/>
      <c r="EGA254" s="9"/>
      <c r="EGB254" s="9"/>
      <c r="EGC254" s="9"/>
      <c r="EGD254" s="9"/>
      <c r="EGE254" s="9"/>
      <c r="EGF254" s="9"/>
      <c r="EGG254" s="9"/>
      <c r="EGH254" s="9"/>
      <c r="EGI254" s="9"/>
      <c r="EGJ254" s="9"/>
      <c r="EGK254" s="9"/>
      <c r="EGL254" s="9"/>
      <c r="EGM254" s="9"/>
      <c r="EGN254" s="9"/>
      <c r="EGO254" s="9"/>
      <c r="EGP254" s="9"/>
      <c r="EGQ254" s="9"/>
      <c r="EGR254" s="9"/>
      <c r="EGS254" s="9"/>
      <c r="EGT254" s="9"/>
      <c r="EGU254" s="9"/>
      <c r="EGV254" s="9"/>
      <c r="EGW254" s="9"/>
      <c r="EGX254" s="9"/>
      <c r="EGY254" s="9"/>
      <c r="EGZ254" s="9"/>
      <c r="EHA254" s="9"/>
      <c r="EHB254" s="9"/>
      <c r="EHC254" s="9"/>
      <c r="EHD254" s="9"/>
      <c r="EHE254" s="9"/>
      <c r="EHF254" s="9"/>
      <c r="EHG254" s="9"/>
      <c r="EHH254" s="9"/>
      <c r="EHI254" s="9"/>
      <c r="EHJ254" s="9"/>
      <c r="EHK254" s="9"/>
      <c r="EHL254" s="9"/>
      <c r="EHM254" s="9"/>
      <c r="EHN254" s="9"/>
      <c r="EHO254" s="9"/>
      <c r="EHP254" s="9"/>
      <c r="EHQ254" s="9"/>
      <c r="EHR254" s="9"/>
      <c r="EHS254" s="9"/>
      <c r="EHT254" s="9"/>
      <c r="EHU254" s="9"/>
      <c r="EHV254" s="9"/>
      <c r="EHW254" s="9"/>
      <c r="EHX254" s="9"/>
      <c r="EHY254" s="9"/>
      <c r="EHZ254" s="9"/>
      <c r="EIA254" s="9"/>
      <c r="EIB254" s="9"/>
      <c r="EIC254" s="9"/>
      <c r="EID254" s="9"/>
      <c r="EIE254" s="9"/>
      <c r="EIF254" s="9"/>
      <c r="EIG254" s="9"/>
      <c r="EIH254" s="9"/>
      <c r="EII254" s="9"/>
      <c r="EIJ254" s="9"/>
      <c r="EIK254" s="9"/>
      <c r="EIL254" s="9"/>
      <c r="EIM254" s="9"/>
      <c r="EIN254" s="9"/>
      <c r="EIO254" s="9"/>
      <c r="EIP254" s="9"/>
      <c r="EIQ254" s="9"/>
      <c r="EIR254" s="9"/>
      <c r="EIS254" s="9"/>
      <c r="EIT254" s="9"/>
      <c r="EIU254" s="9"/>
      <c r="EIV254" s="9"/>
      <c r="EIW254" s="9"/>
      <c r="EIX254" s="9"/>
      <c r="EIY254" s="9"/>
      <c r="EIZ254" s="9"/>
      <c r="EJA254" s="9"/>
      <c r="EJB254" s="9"/>
      <c r="EJC254" s="9"/>
      <c r="EJD254" s="9"/>
      <c r="EJE254" s="9"/>
      <c r="EJF254" s="9"/>
      <c r="EJG254" s="9"/>
      <c r="EJH254" s="9"/>
      <c r="EJI254" s="9"/>
      <c r="EJJ254" s="9"/>
      <c r="EJK254" s="9"/>
      <c r="EJL254" s="9"/>
      <c r="EJM254" s="9"/>
      <c r="EJN254" s="9"/>
      <c r="EJO254" s="9"/>
      <c r="EJP254" s="9"/>
      <c r="EJQ254" s="9"/>
      <c r="EJR254" s="9"/>
      <c r="EJS254" s="9"/>
      <c r="EJT254" s="9"/>
      <c r="EJU254" s="9"/>
      <c r="EJV254" s="9"/>
      <c r="EJW254" s="9"/>
      <c r="EJX254" s="9"/>
      <c r="EJY254" s="9"/>
      <c r="EJZ254" s="9"/>
      <c r="EKA254" s="9"/>
      <c r="EKB254" s="9"/>
      <c r="EKC254" s="9"/>
      <c r="EKD254" s="9"/>
      <c r="EKE254" s="9"/>
      <c r="EKF254" s="9"/>
      <c r="EKG254" s="9"/>
      <c r="EKH254" s="9"/>
      <c r="EKI254" s="9"/>
      <c r="EKJ254" s="9"/>
      <c r="EKK254" s="9"/>
      <c r="EKL254" s="9"/>
      <c r="EKM254" s="9"/>
      <c r="EKN254" s="9"/>
      <c r="EKO254" s="9"/>
      <c r="EKP254" s="9"/>
      <c r="EKQ254" s="9"/>
      <c r="EKR254" s="9"/>
      <c r="EKS254" s="9"/>
      <c r="EKT254" s="9"/>
      <c r="EKU254" s="9"/>
      <c r="EKV254" s="9"/>
      <c r="EKW254" s="9"/>
      <c r="EKX254" s="9"/>
      <c r="EKY254" s="9"/>
      <c r="EKZ254" s="9"/>
      <c r="ELA254" s="9"/>
      <c r="ELB254" s="9"/>
      <c r="ELC254" s="9"/>
      <c r="ELD254" s="9"/>
      <c r="ELE254" s="9"/>
      <c r="ELF254" s="9"/>
      <c r="ELG254" s="9"/>
      <c r="ELH254" s="9"/>
      <c r="ELI254" s="9"/>
      <c r="ELJ254" s="9"/>
      <c r="ELK254" s="9"/>
      <c r="ELL254" s="9"/>
      <c r="ELM254" s="9"/>
      <c r="ELN254" s="9"/>
      <c r="ELO254" s="9"/>
      <c r="ELP254" s="9"/>
      <c r="ELQ254" s="9"/>
      <c r="ELR254" s="9"/>
      <c r="ELS254" s="9"/>
      <c r="ELT254" s="9"/>
      <c r="ELU254" s="9"/>
      <c r="ELV254" s="9"/>
      <c r="ELW254" s="9"/>
      <c r="ELX254" s="9"/>
      <c r="ELY254" s="9"/>
      <c r="ELZ254" s="9"/>
      <c r="EMA254" s="9"/>
      <c r="EMB254" s="9"/>
      <c r="EMC254" s="9"/>
      <c r="EMD254" s="9"/>
      <c r="EME254" s="9"/>
      <c r="EMF254" s="9"/>
      <c r="EMG254" s="9"/>
      <c r="EMH254" s="9"/>
      <c r="EMI254" s="9"/>
      <c r="EMJ254" s="9"/>
      <c r="EMK254" s="9"/>
      <c r="EML254" s="9"/>
      <c r="EMM254" s="9"/>
      <c r="EMN254" s="9"/>
      <c r="EMO254" s="9"/>
      <c r="EMP254" s="9"/>
      <c r="EMQ254" s="9"/>
      <c r="EMR254" s="9"/>
      <c r="EMS254" s="9"/>
      <c r="EMT254" s="9"/>
      <c r="EMU254" s="9"/>
      <c r="EMV254" s="9"/>
      <c r="EMW254" s="9"/>
      <c r="EMX254" s="9"/>
      <c r="EMY254" s="9"/>
      <c r="EMZ254" s="9"/>
      <c r="ENA254" s="9"/>
      <c r="ENB254" s="9"/>
      <c r="ENC254" s="9"/>
      <c r="END254" s="9"/>
      <c r="ENE254" s="9"/>
      <c r="ENF254" s="9"/>
      <c r="ENG254" s="9"/>
      <c r="ENH254" s="9"/>
      <c r="ENI254" s="9"/>
      <c r="ENJ254" s="9"/>
      <c r="ENK254" s="9"/>
      <c r="ENL254" s="9"/>
      <c r="ENM254" s="9"/>
      <c r="ENN254" s="9"/>
      <c r="ENO254" s="9"/>
      <c r="ENP254" s="9"/>
      <c r="ENQ254" s="9"/>
      <c r="ENR254" s="9"/>
      <c r="ENS254" s="9"/>
      <c r="ENT254" s="9"/>
      <c r="ENU254" s="9"/>
      <c r="ENV254" s="9"/>
      <c r="ENW254" s="9"/>
      <c r="ENX254" s="9"/>
      <c r="ENY254" s="9"/>
      <c r="ENZ254" s="9"/>
      <c r="EOA254" s="9"/>
      <c r="EOB254" s="9"/>
      <c r="EOC254" s="9"/>
      <c r="EOD254" s="9"/>
      <c r="EOE254" s="9"/>
      <c r="EOF254" s="9"/>
      <c r="EOG254" s="9"/>
      <c r="EOH254" s="9"/>
      <c r="EOI254" s="9"/>
      <c r="EOJ254" s="9"/>
      <c r="EOK254" s="9"/>
      <c r="EOL254" s="9"/>
      <c r="EOM254" s="9"/>
      <c r="EON254" s="9"/>
      <c r="EOO254" s="9"/>
      <c r="EOP254" s="9"/>
      <c r="EOQ254" s="9"/>
      <c r="EOR254" s="9"/>
      <c r="EOS254" s="9"/>
      <c r="EOT254" s="9"/>
      <c r="EOU254" s="9"/>
      <c r="EOV254" s="9"/>
      <c r="EOW254" s="9"/>
      <c r="EOX254" s="9"/>
      <c r="EOY254" s="9"/>
      <c r="EOZ254" s="9"/>
      <c r="EPA254" s="9"/>
      <c r="EPB254" s="9"/>
      <c r="EPC254" s="9"/>
      <c r="EPD254" s="9"/>
      <c r="EPE254" s="9"/>
      <c r="EPF254" s="9"/>
      <c r="EPG254" s="9"/>
      <c r="EPH254" s="9"/>
      <c r="EPI254" s="9"/>
      <c r="EPJ254" s="9"/>
      <c r="EPK254" s="9"/>
      <c r="EPL254" s="9"/>
      <c r="EPM254" s="9"/>
      <c r="EPN254" s="9"/>
      <c r="EPO254" s="9"/>
      <c r="EPP254" s="9"/>
      <c r="EPQ254" s="9"/>
      <c r="EPR254" s="9"/>
      <c r="EPS254" s="9"/>
      <c r="EPT254" s="9"/>
      <c r="EPU254" s="9"/>
      <c r="EPV254" s="9"/>
      <c r="EPW254" s="9"/>
      <c r="EPX254" s="9"/>
      <c r="EPY254" s="9"/>
      <c r="EPZ254" s="9"/>
      <c r="EQA254" s="9"/>
      <c r="EQB254" s="9"/>
      <c r="EQC254" s="9"/>
      <c r="EQD254" s="9"/>
      <c r="EQE254" s="9"/>
      <c r="EQF254" s="9"/>
      <c r="EQG254" s="9"/>
      <c r="EQH254" s="9"/>
      <c r="EQI254" s="9"/>
      <c r="EQJ254" s="9"/>
      <c r="EQK254" s="9"/>
      <c r="EQL254" s="9"/>
      <c r="EQM254" s="9"/>
      <c r="EQN254" s="9"/>
      <c r="EQO254" s="9"/>
      <c r="EQP254" s="9"/>
      <c r="EQQ254" s="9"/>
      <c r="EQR254" s="9"/>
      <c r="EQS254" s="9"/>
      <c r="EQT254" s="9"/>
      <c r="EQU254" s="9"/>
      <c r="EQV254" s="9"/>
      <c r="EQW254" s="9"/>
      <c r="EQX254" s="9"/>
      <c r="EQY254" s="9"/>
      <c r="EQZ254" s="9"/>
      <c r="ERA254" s="9"/>
      <c r="ERB254" s="9"/>
      <c r="ERC254" s="9"/>
      <c r="ERD254" s="9"/>
      <c r="ERE254" s="9"/>
      <c r="ERF254" s="9"/>
      <c r="ERG254" s="9"/>
      <c r="ERH254" s="9"/>
      <c r="ERI254" s="9"/>
      <c r="ERJ254" s="9"/>
      <c r="ERK254" s="9"/>
      <c r="ERL254" s="9"/>
      <c r="ERM254" s="9"/>
      <c r="ERN254" s="9"/>
      <c r="ERO254" s="9"/>
      <c r="ERP254" s="9"/>
      <c r="ERQ254" s="9"/>
      <c r="ERR254" s="9"/>
      <c r="ERS254" s="9"/>
      <c r="ERT254" s="9"/>
      <c r="ERU254" s="9"/>
      <c r="ERV254" s="9"/>
      <c r="ERW254" s="9"/>
      <c r="ERX254" s="9"/>
      <c r="ERY254" s="9"/>
      <c r="ERZ254" s="9"/>
      <c r="ESA254" s="9"/>
      <c r="ESB254" s="9"/>
      <c r="ESC254" s="9"/>
      <c r="ESD254" s="9"/>
      <c r="ESE254" s="9"/>
      <c r="ESF254" s="9"/>
      <c r="ESG254" s="9"/>
      <c r="ESH254" s="9"/>
      <c r="ESI254" s="9"/>
      <c r="ESJ254" s="9"/>
      <c r="ESK254" s="9"/>
      <c r="ESL254" s="9"/>
      <c r="ESM254" s="9"/>
      <c r="ESN254" s="9"/>
      <c r="ESO254" s="9"/>
      <c r="ESP254" s="9"/>
      <c r="ESQ254" s="9"/>
      <c r="ESR254" s="9"/>
      <c r="ESS254" s="9"/>
      <c r="EST254" s="9"/>
      <c r="ESU254" s="9"/>
      <c r="ESV254" s="9"/>
      <c r="ESW254" s="9"/>
      <c r="ESX254" s="9"/>
      <c r="ESY254" s="9"/>
      <c r="ESZ254" s="9"/>
      <c r="ETA254" s="9"/>
      <c r="ETB254" s="9"/>
      <c r="ETC254" s="9"/>
      <c r="ETD254" s="9"/>
      <c r="ETE254" s="9"/>
      <c r="ETF254" s="9"/>
      <c r="ETG254" s="9"/>
      <c r="ETH254" s="9"/>
      <c r="ETI254" s="9"/>
      <c r="ETJ254" s="9"/>
      <c r="ETK254" s="9"/>
      <c r="ETL254" s="9"/>
      <c r="ETM254" s="9"/>
      <c r="ETN254" s="9"/>
      <c r="ETO254" s="9"/>
      <c r="ETP254" s="9"/>
      <c r="ETQ254" s="9"/>
      <c r="ETR254" s="9"/>
      <c r="ETS254" s="9"/>
      <c r="ETT254" s="9"/>
      <c r="ETU254" s="9"/>
      <c r="ETV254" s="9"/>
      <c r="ETW254" s="9"/>
      <c r="ETX254" s="9"/>
      <c r="ETY254" s="9"/>
      <c r="ETZ254" s="9"/>
      <c r="EUA254" s="9"/>
      <c r="EUB254" s="9"/>
      <c r="EUC254" s="9"/>
      <c r="EUD254" s="9"/>
      <c r="EUE254" s="9"/>
      <c r="EUF254" s="9"/>
      <c r="EUG254" s="9"/>
      <c r="EUH254" s="9"/>
      <c r="EUI254" s="9"/>
      <c r="EUJ254" s="9"/>
      <c r="EUK254" s="9"/>
      <c r="EUL254" s="9"/>
      <c r="EUM254" s="9"/>
      <c r="EUN254" s="9"/>
      <c r="EUO254" s="9"/>
      <c r="EUP254" s="9"/>
      <c r="EUQ254" s="9"/>
      <c r="EUR254" s="9"/>
      <c r="EUS254" s="9"/>
      <c r="EUT254" s="9"/>
      <c r="EUU254" s="9"/>
      <c r="EUV254" s="9"/>
      <c r="EUW254" s="9"/>
      <c r="EUX254" s="9"/>
      <c r="EUY254" s="9"/>
      <c r="EUZ254" s="9"/>
      <c r="EVA254" s="9"/>
      <c r="EVB254" s="9"/>
      <c r="EVC254" s="9"/>
      <c r="EVD254" s="9"/>
      <c r="EVE254" s="9"/>
      <c r="EVF254" s="9"/>
      <c r="EVG254" s="9"/>
      <c r="EVH254" s="9"/>
      <c r="EVI254" s="9"/>
      <c r="EVJ254" s="9"/>
      <c r="EVK254" s="9"/>
      <c r="EVL254" s="9"/>
      <c r="EVM254" s="9"/>
      <c r="EVN254" s="9"/>
      <c r="EVO254" s="9"/>
      <c r="EVP254" s="9"/>
      <c r="EVQ254" s="9"/>
      <c r="EVR254" s="9"/>
      <c r="EVS254" s="9"/>
      <c r="EVT254" s="9"/>
      <c r="EVU254" s="9"/>
      <c r="EVV254" s="9"/>
      <c r="EVW254" s="9"/>
      <c r="EVX254" s="9"/>
      <c r="EVY254" s="9"/>
      <c r="EVZ254" s="9"/>
      <c r="EWA254" s="9"/>
      <c r="EWB254" s="9"/>
      <c r="EWC254" s="9"/>
      <c r="EWD254" s="9"/>
      <c r="EWE254" s="9"/>
      <c r="EWF254" s="9"/>
      <c r="EWG254" s="9"/>
      <c r="EWH254" s="9"/>
      <c r="EWI254" s="9"/>
      <c r="EWJ254" s="9"/>
      <c r="EWK254" s="9"/>
      <c r="EWL254" s="9"/>
      <c r="EWM254" s="9"/>
      <c r="EWN254" s="9"/>
      <c r="EWO254" s="9"/>
      <c r="EWP254" s="9"/>
      <c r="EWQ254" s="9"/>
      <c r="EWR254" s="9"/>
      <c r="EWS254" s="9"/>
      <c r="EWT254" s="9"/>
      <c r="EWU254" s="9"/>
      <c r="EWV254" s="9"/>
      <c r="EWW254" s="9"/>
      <c r="EWX254" s="9"/>
      <c r="EWY254" s="9"/>
      <c r="EWZ254" s="9"/>
      <c r="EXA254" s="9"/>
      <c r="EXB254" s="9"/>
      <c r="EXC254" s="9"/>
      <c r="EXD254" s="9"/>
      <c r="EXE254" s="9"/>
      <c r="EXF254" s="9"/>
      <c r="EXG254" s="9"/>
      <c r="EXH254" s="9"/>
      <c r="EXI254" s="9"/>
      <c r="EXJ254" s="9"/>
      <c r="EXK254" s="9"/>
      <c r="EXL254" s="9"/>
      <c r="EXM254" s="9"/>
      <c r="EXN254" s="9"/>
      <c r="EXO254" s="9"/>
      <c r="EXP254" s="9"/>
      <c r="EXQ254" s="9"/>
      <c r="EXR254" s="9"/>
      <c r="EXS254" s="9"/>
      <c r="EXT254" s="9"/>
      <c r="EXU254" s="9"/>
      <c r="EXV254" s="9"/>
      <c r="EXW254" s="9"/>
      <c r="EXX254" s="9"/>
      <c r="EXY254" s="9"/>
      <c r="EXZ254" s="9"/>
      <c r="EYA254" s="9"/>
      <c r="EYB254" s="9"/>
      <c r="EYC254" s="9"/>
      <c r="EYD254" s="9"/>
      <c r="EYE254" s="9"/>
      <c r="EYF254" s="9"/>
      <c r="EYG254" s="9"/>
      <c r="EYH254" s="9"/>
      <c r="EYI254" s="9"/>
      <c r="EYJ254" s="9"/>
      <c r="EYK254" s="9"/>
      <c r="EYL254" s="9"/>
      <c r="EYM254" s="9"/>
      <c r="EYN254" s="9"/>
      <c r="EYO254" s="9"/>
      <c r="EYP254" s="9"/>
      <c r="EYQ254" s="9"/>
      <c r="EYR254" s="9"/>
      <c r="EYS254" s="9"/>
      <c r="EYT254" s="9"/>
      <c r="EYU254" s="9"/>
      <c r="EYV254" s="9"/>
      <c r="EYW254" s="9"/>
      <c r="EYX254" s="9"/>
      <c r="EYY254" s="9"/>
      <c r="EYZ254" s="9"/>
      <c r="EZA254" s="9"/>
      <c r="EZB254" s="9"/>
      <c r="EZC254" s="9"/>
      <c r="EZD254" s="9"/>
      <c r="EZE254" s="9"/>
      <c r="EZF254" s="9"/>
      <c r="EZG254" s="9"/>
      <c r="EZH254" s="9"/>
      <c r="EZI254" s="9"/>
      <c r="EZJ254" s="9"/>
      <c r="EZK254" s="9"/>
      <c r="EZL254" s="9"/>
      <c r="EZM254" s="9"/>
      <c r="EZN254" s="9"/>
      <c r="EZO254" s="9"/>
      <c r="EZP254" s="9"/>
      <c r="EZQ254" s="9"/>
      <c r="EZR254" s="9"/>
      <c r="EZS254" s="9"/>
      <c r="EZT254" s="9"/>
      <c r="EZU254" s="9"/>
      <c r="EZV254" s="9"/>
      <c r="EZW254" s="9"/>
      <c r="EZX254" s="9"/>
      <c r="EZY254" s="9"/>
      <c r="EZZ254" s="9"/>
      <c r="FAA254" s="9"/>
      <c r="FAB254" s="9"/>
      <c r="FAC254" s="9"/>
      <c r="FAD254" s="9"/>
      <c r="FAE254" s="9"/>
      <c r="FAF254" s="9"/>
      <c r="FAG254" s="9"/>
      <c r="FAH254" s="9"/>
      <c r="FAI254" s="9"/>
      <c r="FAJ254" s="9"/>
      <c r="FAK254" s="9"/>
      <c r="FAL254" s="9"/>
      <c r="FAM254" s="9"/>
      <c r="FAN254" s="9"/>
      <c r="FAO254" s="9"/>
      <c r="FAP254" s="9"/>
      <c r="FAQ254" s="9"/>
      <c r="FAR254" s="9"/>
      <c r="FAS254" s="9"/>
      <c r="FAT254" s="9"/>
      <c r="FAU254" s="9"/>
      <c r="FAV254" s="9"/>
      <c r="FAW254" s="9"/>
      <c r="FAX254" s="9"/>
      <c r="FAY254" s="9"/>
      <c r="FAZ254" s="9"/>
      <c r="FBA254" s="9"/>
      <c r="FBB254" s="9"/>
      <c r="FBC254" s="9"/>
      <c r="FBD254" s="9"/>
      <c r="FBE254" s="9"/>
      <c r="FBF254" s="9"/>
      <c r="FBG254" s="9"/>
      <c r="FBH254" s="9"/>
      <c r="FBI254" s="9"/>
      <c r="FBJ254" s="9"/>
      <c r="FBK254" s="9"/>
      <c r="FBL254" s="9"/>
      <c r="FBM254" s="9"/>
      <c r="FBN254" s="9"/>
      <c r="FBO254" s="9"/>
      <c r="FBP254" s="9"/>
      <c r="FBQ254" s="9"/>
      <c r="FBR254" s="9"/>
      <c r="FBS254" s="9"/>
      <c r="FBT254" s="9"/>
      <c r="FBU254" s="9"/>
      <c r="FBV254" s="9"/>
      <c r="FBW254" s="9"/>
      <c r="FBX254" s="9"/>
      <c r="FBY254" s="9"/>
      <c r="FBZ254" s="9"/>
      <c r="FCA254" s="9"/>
      <c r="FCB254" s="9"/>
      <c r="FCC254" s="9"/>
      <c r="FCD254" s="9"/>
      <c r="FCE254" s="9"/>
      <c r="FCF254" s="9"/>
      <c r="FCG254" s="9"/>
      <c r="FCH254" s="9"/>
      <c r="FCI254" s="9"/>
      <c r="FCJ254" s="9"/>
      <c r="FCK254" s="9"/>
      <c r="FCL254" s="9"/>
      <c r="FCM254" s="9"/>
      <c r="FCN254" s="9"/>
      <c r="FCO254" s="9"/>
      <c r="FCP254" s="9"/>
      <c r="FCQ254" s="9"/>
      <c r="FCR254" s="9"/>
      <c r="FCS254" s="9"/>
      <c r="FCT254" s="9"/>
      <c r="FCU254" s="9"/>
      <c r="FCV254" s="9"/>
      <c r="FCW254" s="9"/>
      <c r="FCX254" s="9"/>
      <c r="FCY254" s="9"/>
      <c r="FCZ254" s="9"/>
      <c r="FDA254" s="9"/>
      <c r="FDB254" s="9"/>
      <c r="FDC254" s="9"/>
      <c r="FDD254" s="9"/>
      <c r="FDE254" s="9"/>
      <c r="FDF254" s="9"/>
      <c r="FDG254" s="9"/>
      <c r="FDH254" s="9"/>
      <c r="FDI254" s="9"/>
      <c r="FDJ254" s="9"/>
      <c r="FDK254" s="9"/>
      <c r="FDL254" s="9"/>
      <c r="FDM254" s="9"/>
      <c r="FDN254" s="9"/>
      <c r="FDO254" s="9"/>
      <c r="FDP254" s="9"/>
      <c r="FDQ254" s="9"/>
      <c r="FDR254" s="9"/>
      <c r="FDS254" s="9"/>
      <c r="FDT254" s="9"/>
      <c r="FDU254" s="9"/>
      <c r="FDV254" s="9"/>
      <c r="FDW254" s="9"/>
      <c r="FDX254" s="9"/>
      <c r="FDY254" s="9"/>
      <c r="FDZ254" s="9"/>
      <c r="FEA254" s="9"/>
      <c r="FEB254" s="9"/>
      <c r="FEC254" s="9"/>
      <c r="FED254" s="9"/>
      <c r="FEE254" s="9"/>
      <c r="FEF254" s="9"/>
      <c r="FEG254" s="9"/>
      <c r="FEH254" s="9"/>
      <c r="FEI254" s="9"/>
      <c r="FEJ254" s="9"/>
      <c r="FEK254" s="9"/>
      <c r="FEL254" s="9"/>
      <c r="FEM254" s="9"/>
      <c r="FEN254" s="9"/>
      <c r="FEO254" s="9"/>
      <c r="FEP254" s="9"/>
      <c r="FEQ254" s="9"/>
      <c r="FER254" s="9"/>
      <c r="FES254" s="9"/>
      <c r="FET254" s="9"/>
      <c r="FEU254" s="9"/>
      <c r="FEV254" s="9"/>
      <c r="FEW254" s="9"/>
      <c r="FEX254" s="9"/>
      <c r="FEY254" s="9"/>
      <c r="FEZ254" s="9"/>
      <c r="FFA254" s="9"/>
      <c r="FFB254" s="9"/>
      <c r="FFC254" s="9"/>
      <c r="FFD254" s="9"/>
      <c r="FFE254" s="9"/>
      <c r="FFF254" s="9"/>
      <c r="FFG254" s="9"/>
      <c r="FFH254" s="9"/>
      <c r="FFI254" s="9"/>
      <c r="FFJ254" s="9"/>
      <c r="FFK254" s="9"/>
      <c r="FFL254" s="9"/>
      <c r="FFM254" s="9"/>
      <c r="FFN254" s="9"/>
      <c r="FFO254" s="9"/>
      <c r="FFP254" s="9"/>
      <c r="FFQ254" s="9"/>
      <c r="FFR254" s="9"/>
      <c r="FFS254" s="9"/>
      <c r="FFT254" s="9"/>
      <c r="FFU254" s="9"/>
      <c r="FFV254" s="9"/>
      <c r="FFW254" s="9"/>
      <c r="FFX254" s="9"/>
      <c r="FFY254" s="9"/>
      <c r="FFZ254" s="9"/>
      <c r="FGA254" s="9"/>
      <c r="FGB254" s="9"/>
      <c r="FGC254" s="9"/>
      <c r="FGD254" s="9"/>
      <c r="FGE254" s="9"/>
      <c r="FGF254" s="9"/>
      <c r="FGG254" s="9"/>
      <c r="FGH254" s="9"/>
      <c r="FGI254" s="9"/>
      <c r="FGJ254" s="9"/>
      <c r="FGK254" s="9"/>
      <c r="FGL254" s="9"/>
      <c r="FGM254" s="9"/>
      <c r="FGN254" s="9"/>
      <c r="FGO254" s="9"/>
      <c r="FGP254" s="9"/>
      <c r="FGQ254" s="9"/>
      <c r="FGR254" s="9"/>
      <c r="FGS254" s="9"/>
      <c r="FGT254" s="9"/>
      <c r="FGU254" s="9"/>
      <c r="FGV254" s="9"/>
      <c r="FGW254" s="9"/>
      <c r="FGX254" s="9"/>
      <c r="FGY254" s="9"/>
      <c r="FGZ254" s="9"/>
      <c r="FHA254" s="9"/>
      <c r="FHB254" s="9"/>
      <c r="FHC254" s="9"/>
      <c r="FHD254" s="9"/>
      <c r="FHE254" s="9"/>
      <c r="FHF254" s="9"/>
      <c r="FHG254" s="9"/>
      <c r="FHH254" s="9"/>
      <c r="FHI254" s="9"/>
      <c r="FHJ254" s="9"/>
      <c r="FHK254" s="9"/>
      <c r="FHL254" s="9"/>
      <c r="FHM254" s="9"/>
      <c r="FHN254" s="9"/>
      <c r="FHO254" s="9"/>
      <c r="FHP254" s="9"/>
      <c r="FHQ254" s="9"/>
      <c r="FHR254" s="9"/>
      <c r="FHS254" s="9"/>
      <c r="FHT254" s="9"/>
      <c r="FHU254" s="9"/>
      <c r="FHV254" s="9"/>
      <c r="FHW254" s="9"/>
      <c r="FHX254" s="9"/>
      <c r="FHY254" s="9"/>
      <c r="FHZ254" s="9"/>
      <c r="FIA254" s="9"/>
      <c r="FIB254" s="9"/>
      <c r="FIC254" s="9"/>
      <c r="FID254" s="9"/>
      <c r="FIE254" s="9"/>
      <c r="FIF254" s="9"/>
      <c r="FIG254" s="9"/>
      <c r="FIH254" s="9"/>
      <c r="FII254" s="9"/>
      <c r="FIJ254" s="9"/>
      <c r="FIK254" s="9"/>
      <c r="FIL254" s="9"/>
      <c r="FIM254" s="9"/>
      <c r="FIN254" s="9"/>
      <c r="FIO254" s="9"/>
      <c r="FIP254" s="9"/>
      <c r="FIQ254" s="9"/>
      <c r="FIR254" s="9"/>
      <c r="FIS254" s="9"/>
      <c r="FIT254" s="9"/>
      <c r="FIU254" s="9"/>
      <c r="FIV254" s="9"/>
      <c r="FIW254" s="9"/>
      <c r="FIX254" s="9"/>
      <c r="FIY254" s="9"/>
      <c r="FIZ254" s="9"/>
      <c r="FJA254" s="9"/>
      <c r="FJB254" s="9"/>
      <c r="FJC254" s="9"/>
      <c r="FJD254" s="9"/>
      <c r="FJE254" s="9"/>
      <c r="FJF254" s="9"/>
      <c r="FJG254" s="9"/>
      <c r="FJH254" s="9"/>
      <c r="FJI254" s="9"/>
      <c r="FJJ254" s="9"/>
      <c r="FJK254" s="9"/>
      <c r="FJL254" s="9"/>
      <c r="FJM254" s="9"/>
      <c r="FJN254" s="9"/>
      <c r="FJO254" s="9"/>
      <c r="FJP254" s="9"/>
      <c r="FJQ254" s="9"/>
      <c r="FJR254" s="9"/>
      <c r="FJS254" s="9"/>
      <c r="FJT254" s="9"/>
      <c r="FJU254" s="9"/>
      <c r="FJV254" s="9"/>
      <c r="FJW254" s="9"/>
      <c r="FJX254" s="9"/>
      <c r="FJY254" s="9"/>
      <c r="FJZ254" s="9"/>
      <c r="FKA254" s="9"/>
      <c r="FKB254" s="9"/>
      <c r="FKC254" s="9"/>
      <c r="FKD254" s="9"/>
      <c r="FKE254" s="9"/>
      <c r="FKF254" s="9"/>
      <c r="FKG254" s="9"/>
      <c r="FKH254" s="9"/>
      <c r="FKI254" s="9"/>
      <c r="FKJ254" s="9"/>
      <c r="FKK254" s="9"/>
      <c r="FKL254" s="9"/>
      <c r="FKM254" s="9"/>
      <c r="FKN254" s="9"/>
      <c r="FKO254" s="9"/>
      <c r="FKP254" s="9"/>
      <c r="FKQ254" s="9"/>
      <c r="FKR254" s="9"/>
      <c r="FKS254" s="9"/>
      <c r="FKT254" s="9"/>
      <c r="FKU254" s="9"/>
      <c r="FKV254" s="9"/>
      <c r="FKW254" s="9"/>
      <c r="FKX254" s="9"/>
      <c r="FKY254" s="9"/>
      <c r="FKZ254" s="9"/>
      <c r="FLA254" s="9"/>
      <c r="FLB254" s="9"/>
      <c r="FLC254" s="9"/>
      <c r="FLD254" s="9"/>
      <c r="FLE254" s="9"/>
      <c r="FLF254" s="9"/>
      <c r="FLG254" s="9"/>
      <c r="FLH254" s="9"/>
      <c r="FLI254" s="9"/>
      <c r="FLJ254" s="9"/>
      <c r="FLK254" s="9"/>
      <c r="FLL254" s="9"/>
      <c r="FLM254" s="9"/>
      <c r="FLN254" s="9"/>
      <c r="FLO254" s="9"/>
      <c r="FLP254" s="9"/>
      <c r="FLQ254" s="9"/>
      <c r="FLR254" s="9"/>
      <c r="FLS254" s="9"/>
      <c r="FLT254" s="9"/>
      <c r="FLU254" s="9"/>
      <c r="FLV254" s="9"/>
      <c r="FLW254" s="9"/>
      <c r="FLX254" s="9"/>
      <c r="FLY254" s="9"/>
      <c r="FLZ254" s="9"/>
      <c r="FMA254" s="9"/>
      <c r="FMB254" s="9"/>
      <c r="FMC254" s="9"/>
      <c r="FMD254" s="9"/>
      <c r="FME254" s="9"/>
      <c r="FMF254" s="9"/>
      <c r="FMG254" s="9"/>
      <c r="FMH254" s="9"/>
      <c r="FMI254" s="9"/>
      <c r="FMJ254" s="9"/>
      <c r="FMK254" s="9"/>
      <c r="FML254" s="9"/>
      <c r="FMM254" s="9"/>
      <c r="FMN254" s="9"/>
      <c r="FMO254" s="9"/>
      <c r="FMP254" s="9"/>
      <c r="FMQ254" s="9"/>
      <c r="FMR254" s="9"/>
      <c r="FMS254" s="9"/>
      <c r="FMT254" s="9"/>
      <c r="FMU254" s="9"/>
      <c r="FMV254" s="9"/>
      <c r="FMW254" s="9"/>
      <c r="FMX254" s="9"/>
      <c r="FMY254" s="9"/>
      <c r="FMZ254" s="9"/>
      <c r="FNA254" s="9"/>
      <c r="FNB254" s="9"/>
      <c r="FNC254" s="9"/>
      <c r="FND254" s="9"/>
      <c r="FNE254" s="9"/>
      <c r="FNF254" s="9"/>
      <c r="FNG254" s="9"/>
      <c r="FNH254" s="9"/>
      <c r="FNI254" s="9"/>
      <c r="FNJ254" s="9"/>
      <c r="FNK254" s="9"/>
      <c r="FNL254" s="9"/>
      <c r="FNM254" s="9"/>
      <c r="FNN254" s="9"/>
      <c r="FNO254" s="9"/>
      <c r="FNP254" s="9"/>
      <c r="FNQ254" s="9"/>
      <c r="FNR254" s="9"/>
      <c r="FNS254" s="9"/>
      <c r="FNT254" s="9"/>
      <c r="FNU254" s="9"/>
      <c r="FNV254" s="9"/>
      <c r="FNW254" s="9"/>
      <c r="FNX254" s="9"/>
      <c r="FNY254" s="9"/>
      <c r="FNZ254" s="9"/>
      <c r="FOA254" s="9"/>
      <c r="FOB254" s="9"/>
      <c r="FOC254" s="9"/>
      <c r="FOD254" s="9"/>
      <c r="FOE254" s="9"/>
      <c r="FOF254" s="9"/>
      <c r="FOG254" s="9"/>
      <c r="FOH254" s="9"/>
      <c r="FOI254" s="9"/>
      <c r="FOJ254" s="9"/>
      <c r="FOK254" s="9"/>
      <c r="FOL254" s="9"/>
      <c r="FOM254" s="9"/>
      <c r="FON254" s="9"/>
      <c r="FOO254" s="9"/>
      <c r="FOP254" s="9"/>
      <c r="FOQ254" s="9"/>
      <c r="FOR254" s="9"/>
      <c r="FOS254" s="9"/>
      <c r="FOT254" s="9"/>
      <c r="FOU254" s="9"/>
      <c r="FOV254" s="9"/>
      <c r="FOW254" s="9"/>
      <c r="FOX254" s="9"/>
      <c r="FOY254" s="9"/>
      <c r="FOZ254" s="9"/>
      <c r="FPA254" s="9"/>
      <c r="FPB254" s="9"/>
      <c r="FPC254" s="9"/>
      <c r="FPD254" s="9"/>
      <c r="FPE254" s="9"/>
      <c r="FPF254" s="9"/>
      <c r="FPG254" s="9"/>
      <c r="FPH254" s="9"/>
      <c r="FPI254" s="9"/>
      <c r="FPJ254" s="9"/>
      <c r="FPK254" s="9"/>
      <c r="FPL254" s="9"/>
      <c r="FPM254" s="9"/>
      <c r="FPN254" s="9"/>
      <c r="FPO254" s="9"/>
      <c r="FPP254" s="9"/>
      <c r="FPQ254" s="9"/>
      <c r="FPR254" s="9"/>
      <c r="FPS254" s="9"/>
      <c r="FPT254" s="9"/>
      <c r="FPU254" s="9"/>
      <c r="FPV254" s="9"/>
      <c r="FPW254" s="9"/>
      <c r="FPX254" s="9"/>
      <c r="FPY254" s="9"/>
      <c r="FPZ254" s="9"/>
      <c r="FQA254" s="9"/>
      <c r="FQB254" s="9"/>
      <c r="FQC254" s="9"/>
      <c r="FQD254" s="9"/>
      <c r="FQE254" s="9"/>
      <c r="FQF254" s="9"/>
      <c r="FQG254" s="9"/>
      <c r="FQH254" s="9"/>
      <c r="FQI254" s="9"/>
      <c r="FQJ254" s="9"/>
      <c r="FQK254" s="9"/>
      <c r="FQL254" s="9"/>
      <c r="FQM254" s="9"/>
      <c r="FQN254" s="9"/>
      <c r="FQO254" s="9"/>
      <c r="FQP254" s="9"/>
      <c r="FQQ254" s="9"/>
      <c r="FQR254" s="9"/>
      <c r="FQS254" s="9"/>
      <c r="FQT254" s="9"/>
      <c r="FQU254" s="9"/>
      <c r="FQV254" s="9"/>
      <c r="FQW254" s="9"/>
      <c r="FQX254" s="9"/>
      <c r="FQY254" s="9"/>
      <c r="FQZ254" s="9"/>
      <c r="FRA254" s="9"/>
      <c r="FRB254" s="9"/>
      <c r="FRC254" s="9"/>
      <c r="FRD254" s="9"/>
      <c r="FRE254" s="9"/>
      <c r="FRF254" s="9"/>
      <c r="FRG254" s="9"/>
      <c r="FRH254" s="9"/>
      <c r="FRI254" s="9"/>
      <c r="FRJ254" s="9"/>
      <c r="FRK254" s="9"/>
      <c r="FRL254" s="9"/>
      <c r="FRM254" s="9"/>
      <c r="FRN254" s="9"/>
      <c r="FRO254" s="9"/>
      <c r="FRP254" s="9"/>
      <c r="FRQ254" s="9"/>
      <c r="FRR254" s="9"/>
      <c r="FRS254" s="9"/>
      <c r="FRT254" s="9"/>
      <c r="FRU254" s="9"/>
      <c r="FRV254" s="9"/>
      <c r="FRW254" s="9"/>
      <c r="FRX254" s="9"/>
      <c r="FRY254" s="9"/>
      <c r="FRZ254" s="9"/>
      <c r="FSA254" s="9"/>
      <c r="FSB254" s="9"/>
      <c r="FSC254" s="9"/>
      <c r="FSD254" s="9"/>
      <c r="FSE254" s="9"/>
      <c r="FSF254" s="9"/>
      <c r="FSG254" s="9"/>
      <c r="FSH254" s="9"/>
      <c r="FSI254" s="9"/>
      <c r="FSJ254" s="9"/>
      <c r="FSK254" s="9"/>
      <c r="FSL254" s="9"/>
      <c r="FSM254" s="9"/>
      <c r="FSN254" s="9"/>
      <c r="FSO254" s="9"/>
      <c r="FSP254" s="9"/>
      <c r="FSQ254" s="9"/>
      <c r="FSR254" s="9"/>
      <c r="FSS254" s="9"/>
      <c r="FST254" s="9"/>
      <c r="FSU254" s="9"/>
      <c r="FSV254" s="9"/>
      <c r="FSW254" s="9"/>
      <c r="FSX254" s="9"/>
      <c r="FSY254" s="9"/>
      <c r="FSZ254" s="9"/>
      <c r="FTA254" s="9"/>
      <c r="FTB254" s="9"/>
      <c r="FTC254" s="9"/>
      <c r="FTD254" s="9"/>
      <c r="FTE254" s="9"/>
      <c r="FTF254" s="9"/>
      <c r="FTG254" s="9"/>
      <c r="FTH254" s="9"/>
      <c r="FTI254" s="9"/>
      <c r="FTJ254" s="9"/>
      <c r="FTK254" s="9"/>
      <c r="FTL254" s="9"/>
      <c r="FTM254" s="9"/>
      <c r="FTN254" s="9"/>
      <c r="FTO254" s="9"/>
      <c r="FTP254" s="9"/>
      <c r="FTQ254" s="9"/>
      <c r="FTR254" s="9"/>
      <c r="FTS254" s="9"/>
      <c r="FTT254" s="9"/>
      <c r="FTU254" s="9"/>
      <c r="FTV254" s="9"/>
      <c r="FTW254" s="9"/>
      <c r="FTX254" s="9"/>
      <c r="FTY254" s="9"/>
      <c r="FTZ254" s="9"/>
      <c r="FUA254" s="9"/>
      <c r="FUB254" s="9"/>
      <c r="FUC254" s="9"/>
      <c r="FUD254" s="9"/>
      <c r="FUE254" s="9"/>
      <c r="FUF254" s="9"/>
      <c r="FUG254" s="9"/>
      <c r="FUH254" s="9"/>
      <c r="FUI254" s="9"/>
      <c r="FUJ254" s="9"/>
      <c r="FUK254" s="9"/>
      <c r="FUL254" s="9"/>
      <c r="FUM254" s="9"/>
      <c r="FUN254" s="9"/>
      <c r="FUO254" s="9"/>
      <c r="FUP254" s="9"/>
      <c r="FUQ254" s="9"/>
      <c r="FUR254" s="9"/>
      <c r="FUS254" s="9"/>
      <c r="FUT254" s="9"/>
      <c r="FUU254" s="9"/>
      <c r="FUV254" s="9"/>
      <c r="FUW254" s="9"/>
      <c r="FUX254" s="9"/>
      <c r="FUY254" s="9"/>
      <c r="FUZ254" s="9"/>
      <c r="FVA254" s="9"/>
      <c r="FVB254" s="9"/>
      <c r="FVC254" s="9"/>
      <c r="FVD254" s="9"/>
      <c r="FVE254" s="9"/>
      <c r="FVF254" s="9"/>
      <c r="FVG254" s="9"/>
      <c r="FVH254" s="9"/>
      <c r="FVI254" s="9"/>
      <c r="FVJ254" s="9"/>
      <c r="FVK254" s="9"/>
      <c r="FVL254" s="9"/>
      <c r="FVM254" s="9"/>
      <c r="FVN254" s="9"/>
      <c r="FVO254" s="9"/>
      <c r="FVP254" s="9"/>
      <c r="FVQ254" s="9"/>
      <c r="FVR254" s="9"/>
      <c r="FVS254" s="9"/>
      <c r="FVT254" s="9"/>
      <c r="FVU254" s="9"/>
      <c r="FVV254" s="9"/>
      <c r="FVW254" s="9"/>
      <c r="FVX254" s="9"/>
      <c r="FVY254" s="9"/>
      <c r="FVZ254" s="9"/>
      <c r="FWA254" s="9"/>
      <c r="FWB254" s="9"/>
      <c r="FWC254" s="9"/>
      <c r="FWD254" s="9"/>
      <c r="FWE254" s="9"/>
      <c r="FWF254" s="9"/>
      <c r="FWG254" s="9"/>
      <c r="FWH254" s="9"/>
      <c r="FWI254" s="9"/>
      <c r="FWJ254" s="9"/>
      <c r="FWK254" s="9"/>
      <c r="FWL254" s="9"/>
      <c r="FWM254" s="9"/>
      <c r="FWN254" s="9"/>
      <c r="FWO254" s="9"/>
      <c r="FWP254" s="9"/>
      <c r="FWQ254" s="9"/>
      <c r="FWR254" s="9"/>
      <c r="FWS254" s="9"/>
      <c r="FWT254" s="9"/>
      <c r="FWU254" s="9"/>
      <c r="FWV254" s="9"/>
      <c r="FWW254" s="9"/>
      <c r="FWX254" s="9"/>
      <c r="FWY254" s="9"/>
      <c r="FWZ254" s="9"/>
      <c r="FXA254" s="9"/>
      <c r="FXB254" s="9"/>
      <c r="FXC254" s="9"/>
      <c r="FXD254" s="9"/>
      <c r="FXE254" s="9"/>
      <c r="FXF254" s="9"/>
      <c r="FXG254" s="9"/>
      <c r="FXH254" s="9"/>
      <c r="FXI254" s="9"/>
      <c r="FXJ254" s="9"/>
      <c r="FXK254" s="9"/>
      <c r="FXL254" s="9"/>
      <c r="FXM254" s="9"/>
      <c r="FXN254" s="9"/>
      <c r="FXO254" s="9"/>
      <c r="FXP254" s="9"/>
      <c r="FXQ254" s="9"/>
      <c r="FXR254" s="9"/>
      <c r="FXS254" s="9"/>
      <c r="FXT254" s="9"/>
      <c r="FXU254" s="9"/>
      <c r="FXV254" s="9"/>
      <c r="FXW254" s="9"/>
      <c r="FXX254" s="9"/>
      <c r="FXY254" s="9"/>
      <c r="FXZ254" s="9"/>
      <c r="FYA254" s="9"/>
      <c r="FYB254" s="9"/>
      <c r="FYC254" s="9"/>
      <c r="FYD254" s="9"/>
      <c r="FYE254" s="9"/>
      <c r="FYF254" s="9"/>
      <c r="FYG254" s="9"/>
      <c r="FYH254" s="9"/>
      <c r="FYI254" s="9"/>
      <c r="FYJ254" s="9"/>
      <c r="FYK254" s="9"/>
      <c r="FYL254" s="9"/>
      <c r="FYM254" s="9"/>
      <c r="FYN254" s="9"/>
      <c r="FYO254" s="9"/>
      <c r="FYP254" s="9"/>
      <c r="FYQ254" s="9"/>
      <c r="FYR254" s="9"/>
      <c r="FYS254" s="9"/>
      <c r="FYT254" s="9"/>
      <c r="FYU254" s="9"/>
      <c r="FYV254" s="9"/>
      <c r="FYW254" s="9"/>
      <c r="FYX254" s="9"/>
      <c r="FYY254" s="9"/>
      <c r="FYZ254" s="9"/>
      <c r="FZA254" s="9"/>
      <c r="FZB254" s="9"/>
      <c r="FZC254" s="9"/>
      <c r="FZD254" s="9"/>
      <c r="FZE254" s="9"/>
      <c r="FZF254" s="9"/>
      <c r="FZG254" s="9"/>
      <c r="FZH254" s="9"/>
      <c r="FZI254" s="9"/>
      <c r="FZJ254" s="9"/>
      <c r="FZK254" s="9"/>
      <c r="FZL254" s="9"/>
      <c r="FZM254" s="9"/>
      <c r="FZN254" s="9"/>
      <c r="FZO254" s="9"/>
      <c r="FZP254" s="9"/>
      <c r="FZQ254" s="9"/>
      <c r="FZR254" s="9"/>
      <c r="FZS254" s="9"/>
      <c r="FZT254" s="9"/>
      <c r="FZU254" s="9"/>
      <c r="FZV254" s="9"/>
      <c r="FZW254" s="9"/>
      <c r="FZX254" s="9"/>
      <c r="FZY254" s="9"/>
      <c r="FZZ254" s="9"/>
      <c r="GAA254" s="9"/>
      <c r="GAB254" s="9"/>
      <c r="GAC254" s="9"/>
      <c r="GAD254" s="9"/>
      <c r="GAE254" s="9"/>
      <c r="GAF254" s="9"/>
      <c r="GAG254" s="9"/>
      <c r="GAH254" s="9"/>
      <c r="GAI254" s="9"/>
      <c r="GAJ254" s="9"/>
      <c r="GAK254" s="9"/>
      <c r="GAL254" s="9"/>
      <c r="GAM254" s="9"/>
      <c r="GAN254" s="9"/>
      <c r="GAO254" s="9"/>
      <c r="GAP254" s="9"/>
      <c r="GAQ254" s="9"/>
      <c r="GAR254" s="9"/>
      <c r="GAS254" s="9"/>
      <c r="GAT254" s="9"/>
      <c r="GAU254" s="9"/>
      <c r="GAV254" s="9"/>
      <c r="GAW254" s="9"/>
      <c r="GAX254" s="9"/>
      <c r="GAY254" s="9"/>
      <c r="GAZ254" s="9"/>
      <c r="GBA254" s="9"/>
      <c r="GBB254" s="9"/>
      <c r="GBC254" s="9"/>
      <c r="GBD254" s="9"/>
      <c r="GBE254" s="9"/>
      <c r="GBF254" s="9"/>
      <c r="GBG254" s="9"/>
      <c r="GBH254" s="9"/>
      <c r="GBI254" s="9"/>
      <c r="GBJ254" s="9"/>
      <c r="GBK254" s="9"/>
      <c r="GBL254" s="9"/>
      <c r="GBM254" s="9"/>
      <c r="GBN254" s="9"/>
      <c r="GBO254" s="9"/>
      <c r="GBP254" s="9"/>
      <c r="GBQ254" s="9"/>
      <c r="GBR254" s="9"/>
      <c r="GBS254" s="9"/>
      <c r="GBT254" s="9"/>
      <c r="GBU254" s="9"/>
      <c r="GBV254" s="9"/>
      <c r="GBW254" s="9"/>
      <c r="GBX254" s="9"/>
      <c r="GBY254" s="9"/>
      <c r="GBZ254" s="9"/>
      <c r="GCA254" s="9"/>
      <c r="GCB254" s="9"/>
      <c r="GCC254" s="9"/>
      <c r="GCD254" s="9"/>
      <c r="GCE254" s="9"/>
      <c r="GCF254" s="9"/>
      <c r="GCG254" s="9"/>
      <c r="GCH254" s="9"/>
      <c r="GCI254" s="9"/>
      <c r="GCJ254" s="9"/>
      <c r="GCK254" s="9"/>
      <c r="GCL254" s="9"/>
      <c r="GCM254" s="9"/>
      <c r="GCN254" s="9"/>
      <c r="GCO254" s="9"/>
      <c r="GCP254" s="9"/>
      <c r="GCQ254" s="9"/>
      <c r="GCR254" s="9"/>
      <c r="GCS254" s="9"/>
      <c r="GCT254" s="9"/>
      <c r="GCU254" s="9"/>
      <c r="GCV254" s="9"/>
      <c r="GCW254" s="9"/>
      <c r="GCX254" s="9"/>
      <c r="GCY254" s="9"/>
      <c r="GCZ254" s="9"/>
      <c r="GDA254" s="9"/>
      <c r="GDB254" s="9"/>
      <c r="GDC254" s="9"/>
      <c r="GDD254" s="9"/>
      <c r="GDE254" s="9"/>
      <c r="GDF254" s="9"/>
      <c r="GDG254" s="9"/>
      <c r="GDH254" s="9"/>
      <c r="GDI254" s="9"/>
      <c r="GDJ254" s="9"/>
      <c r="GDK254" s="9"/>
      <c r="GDL254" s="9"/>
      <c r="GDM254" s="9"/>
      <c r="GDN254" s="9"/>
      <c r="GDO254" s="9"/>
      <c r="GDP254" s="9"/>
      <c r="GDQ254" s="9"/>
      <c r="GDR254" s="9"/>
      <c r="GDS254" s="9"/>
      <c r="GDT254" s="9"/>
      <c r="GDU254" s="9"/>
      <c r="GDV254" s="9"/>
      <c r="GDW254" s="9"/>
      <c r="GDX254" s="9"/>
      <c r="GDY254" s="9"/>
      <c r="GDZ254" s="9"/>
      <c r="GEA254" s="9"/>
      <c r="GEB254" s="9"/>
      <c r="GEC254" s="9"/>
      <c r="GED254" s="9"/>
      <c r="GEE254" s="9"/>
      <c r="GEF254" s="9"/>
      <c r="GEG254" s="9"/>
      <c r="GEH254" s="9"/>
      <c r="GEI254" s="9"/>
      <c r="GEJ254" s="9"/>
      <c r="GEK254" s="9"/>
      <c r="GEL254" s="9"/>
      <c r="GEM254" s="9"/>
      <c r="GEN254" s="9"/>
      <c r="GEO254" s="9"/>
      <c r="GEP254" s="9"/>
      <c r="GEQ254" s="9"/>
      <c r="GER254" s="9"/>
      <c r="GES254" s="9"/>
      <c r="GET254" s="9"/>
      <c r="GEU254" s="9"/>
      <c r="GEV254" s="9"/>
      <c r="GEW254" s="9"/>
      <c r="GEX254" s="9"/>
      <c r="GEY254" s="9"/>
      <c r="GEZ254" s="9"/>
      <c r="GFA254" s="9"/>
      <c r="GFB254" s="9"/>
      <c r="GFC254" s="9"/>
      <c r="GFD254" s="9"/>
      <c r="GFE254" s="9"/>
      <c r="GFF254" s="9"/>
      <c r="GFG254" s="9"/>
      <c r="GFH254" s="9"/>
      <c r="GFI254" s="9"/>
      <c r="GFJ254" s="9"/>
      <c r="GFK254" s="9"/>
      <c r="GFL254" s="9"/>
      <c r="GFM254" s="9"/>
      <c r="GFN254" s="9"/>
      <c r="GFO254" s="9"/>
      <c r="GFP254" s="9"/>
      <c r="GFQ254" s="9"/>
      <c r="GFR254" s="9"/>
      <c r="GFS254" s="9"/>
      <c r="GFT254" s="9"/>
      <c r="GFU254" s="9"/>
      <c r="GFV254" s="9"/>
      <c r="GFW254" s="9"/>
      <c r="GFX254" s="9"/>
      <c r="GFY254" s="9"/>
      <c r="GFZ254" s="9"/>
      <c r="GGA254" s="9"/>
      <c r="GGB254" s="9"/>
      <c r="GGC254" s="9"/>
      <c r="GGD254" s="9"/>
      <c r="GGE254" s="9"/>
      <c r="GGF254" s="9"/>
      <c r="GGG254" s="9"/>
      <c r="GGH254" s="9"/>
      <c r="GGI254" s="9"/>
      <c r="GGJ254" s="9"/>
      <c r="GGK254" s="9"/>
      <c r="GGL254" s="9"/>
      <c r="GGM254" s="9"/>
      <c r="GGN254" s="9"/>
      <c r="GGO254" s="9"/>
      <c r="GGP254" s="9"/>
      <c r="GGQ254" s="9"/>
      <c r="GGR254" s="9"/>
      <c r="GGS254" s="9"/>
      <c r="GGT254" s="9"/>
      <c r="GGU254" s="9"/>
      <c r="GGV254" s="9"/>
      <c r="GGW254" s="9"/>
      <c r="GGX254" s="9"/>
      <c r="GGY254" s="9"/>
      <c r="GGZ254" s="9"/>
      <c r="GHA254" s="9"/>
      <c r="GHB254" s="9"/>
      <c r="GHC254" s="9"/>
      <c r="GHD254" s="9"/>
      <c r="GHE254" s="9"/>
      <c r="GHF254" s="9"/>
      <c r="GHG254" s="9"/>
      <c r="GHH254" s="9"/>
      <c r="GHI254" s="9"/>
      <c r="GHJ254" s="9"/>
      <c r="GHK254" s="9"/>
      <c r="GHL254" s="9"/>
      <c r="GHM254" s="9"/>
      <c r="GHN254" s="9"/>
      <c r="GHO254" s="9"/>
      <c r="GHP254" s="9"/>
      <c r="GHQ254" s="9"/>
      <c r="GHR254" s="9"/>
      <c r="GHS254" s="9"/>
      <c r="GHT254" s="9"/>
      <c r="GHU254" s="9"/>
      <c r="GHV254" s="9"/>
      <c r="GHW254" s="9"/>
      <c r="GHX254" s="9"/>
      <c r="GHY254" s="9"/>
      <c r="GHZ254" s="9"/>
      <c r="GIA254" s="9"/>
      <c r="GIB254" s="9"/>
      <c r="GIC254" s="9"/>
      <c r="GID254" s="9"/>
      <c r="GIE254" s="9"/>
      <c r="GIF254" s="9"/>
      <c r="GIG254" s="9"/>
      <c r="GIH254" s="9"/>
      <c r="GII254" s="9"/>
      <c r="GIJ254" s="9"/>
      <c r="GIK254" s="9"/>
      <c r="GIL254" s="9"/>
      <c r="GIM254" s="9"/>
      <c r="GIN254" s="9"/>
      <c r="GIO254" s="9"/>
      <c r="GIP254" s="9"/>
      <c r="GIQ254" s="9"/>
      <c r="GIR254" s="9"/>
      <c r="GIS254" s="9"/>
      <c r="GIT254" s="9"/>
      <c r="GIU254" s="9"/>
      <c r="GIV254" s="9"/>
      <c r="GIW254" s="9"/>
      <c r="GIX254" s="9"/>
      <c r="GIY254" s="9"/>
      <c r="GIZ254" s="9"/>
      <c r="GJA254" s="9"/>
      <c r="GJB254" s="9"/>
      <c r="GJC254" s="9"/>
      <c r="GJD254" s="9"/>
      <c r="GJE254" s="9"/>
      <c r="GJF254" s="9"/>
      <c r="GJG254" s="9"/>
      <c r="GJH254" s="9"/>
      <c r="GJI254" s="9"/>
      <c r="GJJ254" s="9"/>
      <c r="GJK254" s="9"/>
      <c r="GJL254" s="9"/>
      <c r="GJM254" s="9"/>
      <c r="GJN254" s="9"/>
      <c r="GJO254" s="9"/>
      <c r="GJP254" s="9"/>
      <c r="GJQ254" s="9"/>
      <c r="GJR254" s="9"/>
      <c r="GJS254" s="9"/>
      <c r="GJT254" s="9"/>
      <c r="GJU254" s="9"/>
      <c r="GJV254" s="9"/>
      <c r="GJW254" s="9"/>
      <c r="GJX254" s="9"/>
      <c r="GJY254" s="9"/>
      <c r="GJZ254" s="9"/>
      <c r="GKA254" s="9"/>
      <c r="GKB254" s="9"/>
      <c r="GKC254" s="9"/>
      <c r="GKD254" s="9"/>
      <c r="GKE254" s="9"/>
      <c r="GKF254" s="9"/>
      <c r="GKG254" s="9"/>
      <c r="GKH254" s="9"/>
      <c r="GKI254" s="9"/>
      <c r="GKJ254" s="9"/>
      <c r="GKK254" s="9"/>
      <c r="GKL254" s="9"/>
      <c r="GKM254" s="9"/>
      <c r="GKN254" s="9"/>
      <c r="GKO254" s="9"/>
      <c r="GKP254" s="9"/>
      <c r="GKQ254" s="9"/>
      <c r="GKR254" s="9"/>
      <c r="GKS254" s="9"/>
      <c r="GKT254" s="9"/>
      <c r="GKU254" s="9"/>
      <c r="GKV254" s="9"/>
      <c r="GKW254" s="9"/>
      <c r="GKX254" s="9"/>
      <c r="GKY254" s="9"/>
      <c r="GKZ254" s="9"/>
      <c r="GLA254" s="9"/>
      <c r="GLB254" s="9"/>
      <c r="GLC254" s="9"/>
      <c r="GLD254" s="9"/>
      <c r="GLE254" s="9"/>
      <c r="GLF254" s="9"/>
      <c r="GLG254" s="9"/>
      <c r="GLH254" s="9"/>
      <c r="GLI254" s="9"/>
      <c r="GLJ254" s="9"/>
      <c r="GLK254" s="9"/>
      <c r="GLL254" s="9"/>
      <c r="GLM254" s="9"/>
      <c r="GLN254" s="9"/>
      <c r="GLO254" s="9"/>
      <c r="GLP254" s="9"/>
      <c r="GLQ254" s="9"/>
      <c r="GLR254" s="9"/>
      <c r="GLS254" s="9"/>
      <c r="GLT254" s="9"/>
      <c r="GLU254" s="9"/>
      <c r="GLV254" s="9"/>
      <c r="GLW254" s="9"/>
      <c r="GLX254" s="9"/>
      <c r="GLY254" s="9"/>
      <c r="GLZ254" s="9"/>
      <c r="GMA254" s="9"/>
      <c r="GMB254" s="9"/>
      <c r="GMC254" s="9"/>
      <c r="GMD254" s="9"/>
      <c r="GME254" s="9"/>
      <c r="GMF254" s="9"/>
      <c r="GMG254" s="9"/>
      <c r="GMH254" s="9"/>
      <c r="GMI254" s="9"/>
      <c r="GMJ254" s="9"/>
      <c r="GMK254" s="9"/>
      <c r="GML254" s="9"/>
      <c r="GMM254" s="9"/>
      <c r="GMN254" s="9"/>
      <c r="GMO254" s="9"/>
      <c r="GMP254" s="9"/>
      <c r="GMQ254" s="9"/>
      <c r="GMR254" s="9"/>
      <c r="GMS254" s="9"/>
      <c r="GMT254" s="9"/>
      <c r="GMU254" s="9"/>
      <c r="GMV254" s="9"/>
      <c r="GMW254" s="9"/>
      <c r="GMX254" s="9"/>
      <c r="GMY254" s="9"/>
      <c r="GMZ254" s="9"/>
      <c r="GNA254" s="9"/>
      <c r="GNB254" s="9"/>
      <c r="GNC254" s="9"/>
      <c r="GND254" s="9"/>
      <c r="GNE254" s="9"/>
      <c r="GNF254" s="9"/>
      <c r="GNG254" s="9"/>
      <c r="GNH254" s="9"/>
      <c r="GNI254" s="9"/>
      <c r="GNJ254" s="9"/>
      <c r="GNK254" s="9"/>
      <c r="GNL254" s="9"/>
      <c r="GNM254" s="9"/>
      <c r="GNN254" s="9"/>
      <c r="GNO254" s="9"/>
      <c r="GNP254" s="9"/>
      <c r="GNQ254" s="9"/>
      <c r="GNR254" s="9"/>
      <c r="GNS254" s="9"/>
      <c r="GNT254" s="9"/>
      <c r="GNU254" s="9"/>
      <c r="GNV254" s="9"/>
      <c r="GNW254" s="9"/>
      <c r="GNX254" s="9"/>
      <c r="GNY254" s="9"/>
      <c r="GNZ254" s="9"/>
      <c r="GOA254" s="9"/>
      <c r="GOB254" s="9"/>
      <c r="GOC254" s="9"/>
      <c r="GOD254" s="9"/>
      <c r="GOE254" s="9"/>
      <c r="GOF254" s="9"/>
      <c r="GOG254" s="9"/>
      <c r="GOH254" s="9"/>
      <c r="GOI254" s="9"/>
      <c r="GOJ254" s="9"/>
      <c r="GOK254" s="9"/>
      <c r="GOL254" s="9"/>
      <c r="GOM254" s="9"/>
      <c r="GON254" s="9"/>
      <c r="GOO254" s="9"/>
      <c r="GOP254" s="9"/>
      <c r="GOQ254" s="9"/>
      <c r="GOR254" s="9"/>
      <c r="GOS254" s="9"/>
      <c r="GOT254" s="9"/>
      <c r="GOU254" s="9"/>
      <c r="GOV254" s="9"/>
      <c r="GOW254" s="9"/>
      <c r="GOX254" s="9"/>
      <c r="GOY254" s="9"/>
      <c r="GOZ254" s="9"/>
      <c r="GPA254" s="9"/>
      <c r="GPB254" s="9"/>
      <c r="GPC254" s="9"/>
      <c r="GPD254" s="9"/>
      <c r="GPE254" s="9"/>
      <c r="GPF254" s="9"/>
      <c r="GPG254" s="9"/>
      <c r="GPH254" s="9"/>
      <c r="GPI254" s="9"/>
      <c r="GPJ254" s="9"/>
      <c r="GPK254" s="9"/>
      <c r="GPL254" s="9"/>
      <c r="GPM254" s="9"/>
      <c r="GPN254" s="9"/>
      <c r="GPO254" s="9"/>
      <c r="GPP254" s="9"/>
      <c r="GPQ254" s="9"/>
      <c r="GPR254" s="9"/>
      <c r="GPS254" s="9"/>
      <c r="GPT254" s="9"/>
      <c r="GPU254" s="9"/>
      <c r="GPV254" s="9"/>
      <c r="GPW254" s="9"/>
      <c r="GPX254" s="9"/>
      <c r="GPY254" s="9"/>
      <c r="GPZ254" s="9"/>
      <c r="GQA254" s="9"/>
      <c r="GQB254" s="9"/>
      <c r="GQC254" s="9"/>
      <c r="GQD254" s="9"/>
      <c r="GQE254" s="9"/>
      <c r="GQF254" s="9"/>
      <c r="GQG254" s="9"/>
      <c r="GQH254" s="9"/>
      <c r="GQI254" s="9"/>
      <c r="GQJ254" s="9"/>
      <c r="GQK254" s="9"/>
      <c r="GQL254" s="9"/>
      <c r="GQM254" s="9"/>
      <c r="GQN254" s="9"/>
      <c r="GQO254" s="9"/>
      <c r="GQP254" s="9"/>
      <c r="GQQ254" s="9"/>
      <c r="GQR254" s="9"/>
      <c r="GQS254" s="9"/>
      <c r="GQT254" s="9"/>
      <c r="GQU254" s="9"/>
      <c r="GQV254" s="9"/>
      <c r="GQW254" s="9"/>
      <c r="GQX254" s="9"/>
      <c r="GQY254" s="9"/>
      <c r="GQZ254" s="9"/>
      <c r="GRA254" s="9"/>
      <c r="GRB254" s="9"/>
      <c r="GRC254" s="9"/>
      <c r="GRD254" s="9"/>
      <c r="GRE254" s="9"/>
      <c r="GRF254" s="9"/>
      <c r="GRG254" s="9"/>
      <c r="GRH254" s="9"/>
      <c r="GRI254" s="9"/>
      <c r="GRJ254" s="9"/>
      <c r="GRK254" s="9"/>
      <c r="GRL254" s="9"/>
      <c r="GRM254" s="9"/>
      <c r="GRN254" s="9"/>
      <c r="GRO254" s="9"/>
      <c r="GRP254" s="9"/>
      <c r="GRQ254" s="9"/>
      <c r="GRR254" s="9"/>
      <c r="GRS254" s="9"/>
      <c r="GRT254" s="9"/>
      <c r="GRU254" s="9"/>
      <c r="GRV254" s="9"/>
      <c r="GRW254" s="9"/>
      <c r="GRX254" s="9"/>
      <c r="GRY254" s="9"/>
      <c r="GRZ254" s="9"/>
      <c r="GSA254" s="9"/>
      <c r="GSB254" s="9"/>
      <c r="GSC254" s="9"/>
      <c r="GSD254" s="9"/>
      <c r="GSE254" s="9"/>
      <c r="GSF254" s="9"/>
      <c r="GSG254" s="9"/>
      <c r="GSH254" s="9"/>
      <c r="GSI254" s="9"/>
      <c r="GSJ254" s="9"/>
      <c r="GSK254" s="9"/>
      <c r="GSL254" s="9"/>
      <c r="GSM254" s="9"/>
      <c r="GSN254" s="9"/>
      <c r="GSO254" s="9"/>
      <c r="GSP254" s="9"/>
      <c r="GSQ254" s="9"/>
      <c r="GSR254" s="9"/>
      <c r="GSS254" s="9"/>
      <c r="GST254" s="9"/>
      <c r="GSU254" s="9"/>
      <c r="GSV254" s="9"/>
      <c r="GSW254" s="9"/>
      <c r="GSX254" s="9"/>
      <c r="GSY254" s="9"/>
      <c r="GSZ254" s="9"/>
      <c r="GTA254" s="9"/>
      <c r="GTB254" s="9"/>
      <c r="GTC254" s="9"/>
      <c r="GTD254" s="9"/>
      <c r="GTE254" s="9"/>
      <c r="GTF254" s="9"/>
      <c r="GTG254" s="9"/>
      <c r="GTH254" s="9"/>
      <c r="GTI254" s="9"/>
      <c r="GTJ254" s="9"/>
      <c r="GTK254" s="9"/>
      <c r="GTL254" s="9"/>
      <c r="GTM254" s="9"/>
      <c r="GTN254" s="9"/>
      <c r="GTO254" s="9"/>
      <c r="GTP254" s="9"/>
      <c r="GTQ254" s="9"/>
      <c r="GTR254" s="9"/>
      <c r="GTS254" s="9"/>
      <c r="GTT254" s="9"/>
      <c r="GTU254" s="9"/>
      <c r="GTV254" s="9"/>
      <c r="GTW254" s="9"/>
      <c r="GTX254" s="9"/>
      <c r="GTY254" s="9"/>
      <c r="GTZ254" s="9"/>
      <c r="GUA254" s="9"/>
      <c r="GUB254" s="9"/>
      <c r="GUC254" s="9"/>
      <c r="GUD254" s="9"/>
      <c r="GUE254" s="9"/>
      <c r="GUF254" s="9"/>
      <c r="GUG254" s="9"/>
      <c r="GUH254" s="9"/>
      <c r="GUI254" s="9"/>
      <c r="GUJ254" s="9"/>
      <c r="GUK254" s="9"/>
      <c r="GUL254" s="9"/>
      <c r="GUM254" s="9"/>
      <c r="GUN254" s="9"/>
      <c r="GUO254" s="9"/>
      <c r="GUP254" s="9"/>
      <c r="GUQ254" s="9"/>
      <c r="GUR254" s="9"/>
      <c r="GUS254" s="9"/>
      <c r="GUT254" s="9"/>
      <c r="GUU254" s="9"/>
      <c r="GUV254" s="9"/>
      <c r="GUW254" s="9"/>
      <c r="GUX254" s="9"/>
      <c r="GUY254" s="9"/>
      <c r="GUZ254" s="9"/>
      <c r="GVA254" s="9"/>
      <c r="GVB254" s="9"/>
      <c r="GVC254" s="9"/>
      <c r="GVD254" s="9"/>
      <c r="GVE254" s="9"/>
      <c r="GVF254" s="9"/>
      <c r="GVG254" s="9"/>
      <c r="GVH254" s="9"/>
      <c r="GVI254" s="9"/>
      <c r="GVJ254" s="9"/>
      <c r="GVK254" s="9"/>
      <c r="GVL254" s="9"/>
      <c r="GVM254" s="9"/>
      <c r="GVN254" s="9"/>
      <c r="GVO254" s="9"/>
      <c r="GVP254" s="9"/>
      <c r="GVQ254" s="9"/>
      <c r="GVR254" s="9"/>
      <c r="GVS254" s="9"/>
      <c r="GVT254" s="9"/>
      <c r="GVU254" s="9"/>
      <c r="GVV254" s="9"/>
      <c r="GVW254" s="9"/>
      <c r="GVX254" s="9"/>
      <c r="GVY254" s="9"/>
      <c r="GVZ254" s="9"/>
      <c r="GWA254" s="9"/>
      <c r="GWB254" s="9"/>
      <c r="GWC254" s="9"/>
      <c r="GWD254" s="9"/>
      <c r="GWE254" s="9"/>
      <c r="GWF254" s="9"/>
      <c r="GWG254" s="9"/>
      <c r="GWH254" s="9"/>
      <c r="GWI254" s="9"/>
      <c r="GWJ254" s="9"/>
      <c r="GWK254" s="9"/>
      <c r="GWL254" s="9"/>
      <c r="GWM254" s="9"/>
      <c r="GWN254" s="9"/>
      <c r="GWO254" s="9"/>
      <c r="GWP254" s="9"/>
      <c r="GWQ254" s="9"/>
      <c r="GWR254" s="9"/>
      <c r="GWS254" s="9"/>
      <c r="GWT254" s="9"/>
      <c r="GWU254" s="9"/>
      <c r="GWV254" s="9"/>
      <c r="GWW254" s="9"/>
      <c r="GWX254" s="9"/>
      <c r="GWY254" s="9"/>
      <c r="GWZ254" s="9"/>
      <c r="GXA254" s="9"/>
      <c r="GXB254" s="9"/>
      <c r="GXC254" s="9"/>
      <c r="GXD254" s="9"/>
      <c r="GXE254" s="9"/>
      <c r="GXF254" s="9"/>
      <c r="GXG254" s="9"/>
      <c r="GXH254" s="9"/>
      <c r="GXI254" s="9"/>
      <c r="GXJ254" s="9"/>
      <c r="GXK254" s="9"/>
      <c r="GXL254" s="9"/>
      <c r="GXM254" s="9"/>
      <c r="GXN254" s="9"/>
      <c r="GXO254" s="9"/>
      <c r="GXP254" s="9"/>
      <c r="GXQ254" s="9"/>
      <c r="GXR254" s="9"/>
      <c r="GXS254" s="9"/>
      <c r="GXT254" s="9"/>
      <c r="GXU254" s="9"/>
      <c r="GXV254" s="9"/>
      <c r="GXW254" s="9"/>
      <c r="GXX254" s="9"/>
      <c r="GXY254" s="9"/>
      <c r="GXZ254" s="9"/>
      <c r="GYA254" s="9"/>
      <c r="GYB254" s="9"/>
      <c r="GYC254" s="9"/>
      <c r="GYD254" s="9"/>
      <c r="GYE254" s="9"/>
      <c r="GYF254" s="9"/>
      <c r="GYG254" s="9"/>
      <c r="GYH254" s="9"/>
      <c r="GYI254" s="9"/>
      <c r="GYJ254" s="9"/>
      <c r="GYK254" s="9"/>
      <c r="GYL254" s="9"/>
      <c r="GYM254" s="9"/>
      <c r="GYN254" s="9"/>
      <c r="GYO254" s="9"/>
      <c r="GYP254" s="9"/>
      <c r="GYQ254" s="9"/>
      <c r="GYR254" s="9"/>
      <c r="GYS254" s="9"/>
      <c r="GYT254" s="9"/>
      <c r="GYU254" s="9"/>
      <c r="GYV254" s="9"/>
      <c r="GYW254" s="9"/>
      <c r="GYX254" s="9"/>
      <c r="GYY254" s="9"/>
      <c r="GYZ254" s="9"/>
      <c r="GZA254" s="9"/>
      <c r="GZB254" s="9"/>
      <c r="GZC254" s="9"/>
      <c r="GZD254" s="9"/>
      <c r="GZE254" s="9"/>
      <c r="GZF254" s="9"/>
      <c r="GZG254" s="9"/>
      <c r="GZH254" s="9"/>
      <c r="GZI254" s="9"/>
      <c r="GZJ254" s="9"/>
      <c r="GZK254" s="9"/>
      <c r="GZL254" s="9"/>
      <c r="GZM254" s="9"/>
      <c r="GZN254" s="9"/>
      <c r="GZO254" s="9"/>
      <c r="GZP254" s="9"/>
      <c r="GZQ254" s="9"/>
      <c r="GZR254" s="9"/>
      <c r="GZS254" s="9"/>
      <c r="GZT254" s="9"/>
      <c r="GZU254" s="9"/>
      <c r="GZV254" s="9"/>
      <c r="GZW254" s="9"/>
      <c r="GZX254" s="9"/>
      <c r="GZY254" s="9"/>
      <c r="GZZ254" s="9"/>
      <c r="HAA254" s="9"/>
      <c r="HAB254" s="9"/>
      <c r="HAC254" s="9"/>
      <c r="HAD254" s="9"/>
      <c r="HAE254" s="9"/>
      <c r="HAF254" s="9"/>
      <c r="HAG254" s="9"/>
      <c r="HAH254" s="9"/>
      <c r="HAI254" s="9"/>
      <c r="HAJ254" s="9"/>
      <c r="HAK254" s="9"/>
      <c r="HAL254" s="9"/>
      <c r="HAM254" s="9"/>
      <c r="HAN254" s="9"/>
      <c r="HAO254" s="9"/>
      <c r="HAP254" s="9"/>
      <c r="HAQ254" s="9"/>
      <c r="HAR254" s="9"/>
      <c r="HAS254" s="9"/>
      <c r="HAT254" s="9"/>
      <c r="HAU254" s="9"/>
      <c r="HAV254" s="9"/>
      <c r="HAW254" s="9"/>
      <c r="HAX254" s="9"/>
      <c r="HAY254" s="9"/>
      <c r="HAZ254" s="9"/>
      <c r="HBA254" s="9"/>
      <c r="HBB254" s="9"/>
      <c r="HBC254" s="9"/>
      <c r="HBD254" s="9"/>
      <c r="HBE254" s="9"/>
      <c r="HBF254" s="9"/>
      <c r="HBG254" s="9"/>
      <c r="HBH254" s="9"/>
      <c r="HBI254" s="9"/>
      <c r="HBJ254" s="9"/>
      <c r="HBK254" s="9"/>
      <c r="HBL254" s="9"/>
      <c r="HBM254" s="9"/>
      <c r="HBN254" s="9"/>
      <c r="HBO254" s="9"/>
      <c r="HBP254" s="9"/>
      <c r="HBQ254" s="9"/>
      <c r="HBR254" s="9"/>
      <c r="HBS254" s="9"/>
      <c r="HBT254" s="9"/>
      <c r="HBU254" s="9"/>
      <c r="HBV254" s="9"/>
      <c r="HBW254" s="9"/>
      <c r="HBX254" s="9"/>
      <c r="HBY254" s="9"/>
      <c r="HBZ254" s="9"/>
      <c r="HCA254" s="9"/>
      <c r="HCB254" s="9"/>
      <c r="HCC254" s="9"/>
      <c r="HCD254" s="9"/>
      <c r="HCE254" s="9"/>
      <c r="HCF254" s="9"/>
      <c r="HCG254" s="9"/>
      <c r="HCH254" s="9"/>
      <c r="HCI254" s="9"/>
      <c r="HCJ254" s="9"/>
      <c r="HCK254" s="9"/>
      <c r="HCL254" s="9"/>
      <c r="HCM254" s="9"/>
      <c r="HCN254" s="9"/>
      <c r="HCO254" s="9"/>
      <c r="HCP254" s="9"/>
      <c r="HCQ254" s="9"/>
      <c r="HCR254" s="9"/>
      <c r="HCS254" s="9"/>
      <c r="HCT254" s="9"/>
      <c r="HCU254" s="9"/>
      <c r="HCV254" s="9"/>
      <c r="HCW254" s="9"/>
      <c r="HCX254" s="9"/>
      <c r="HCY254" s="9"/>
      <c r="HCZ254" s="9"/>
      <c r="HDA254" s="9"/>
      <c r="HDB254" s="9"/>
      <c r="HDC254" s="9"/>
      <c r="HDD254" s="9"/>
      <c r="HDE254" s="9"/>
      <c r="HDF254" s="9"/>
      <c r="HDG254" s="9"/>
      <c r="HDH254" s="9"/>
      <c r="HDI254" s="9"/>
      <c r="HDJ254" s="9"/>
      <c r="HDK254" s="9"/>
      <c r="HDL254" s="9"/>
      <c r="HDM254" s="9"/>
      <c r="HDN254" s="9"/>
      <c r="HDO254" s="9"/>
      <c r="HDP254" s="9"/>
      <c r="HDQ254" s="9"/>
      <c r="HDR254" s="9"/>
      <c r="HDS254" s="9"/>
      <c r="HDT254" s="9"/>
      <c r="HDU254" s="9"/>
      <c r="HDV254" s="9"/>
      <c r="HDW254" s="9"/>
      <c r="HDX254" s="9"/>
      <c r="HDY254" s="9"/>
      <c r="HDZ254" s="9"/>
      <c r="HEA254" s="9"/>
      <c r="HEB254" s="9"/>
      <c r="HEC254" s="9"/>
      <c r="HED254" s="9"/>
      <c r="HEE254" s="9"/>
      <c r="HEF254" s="9"/>
      <c r="HEG254" s="9"/>
      <c r="HEH254" s="9"/>
      <c r="HEI254" s="9"/>
      <c r="HEJ254" s="9"/>
      <c r="HEK254" s="9"/>
      <c r="HEL254" s="9"/>
      <c r="HEM254" s="9"/>
      <c r="HEN254" s="9"/>
      <c r="HEO254" s="9"/>
      <c r="HEP254" s="9"/>
      <c r="HEQ254" s="9"/>
      <c r="HER254" s="9"/>
      <c r="HES254" s="9"/>
      <c r="HET254" s="9"/>
      <c r="HEU254" s="9"/>
      <c r="HEV254" s="9"/>
      <c r="HEW254" s="9"/>
      <c r="HEX254" s="9"/>
      <c r="HEY254" s="9"/>
      <c r="HEZ254" s="9"/>
      <c r="HFA254" s="9"/>
      <c r="HFB254" s="9"/>
      <c r="HFC254" s="9"/>
      <c r="HFD254" s="9"/>
      <c r="HFE254" s="9"/>
      <c r="HFF254" s="9"/>
      <c r="HFG254" s="9"/>
      <c r="HFH254" s="9"/>
      <c r="HFI254" s="9"/>
      <c r="HFJ254" s="9"/>
      <c r="HFK254" s="9"/>
      <c r="HFL254" s="9"/>
      <c r="HFM254" s="9"/>
      <c r="HFN254" s="9"/>
      <c r="HFO254" s="9"/>
      <c r="HFP254" s="9"/>
      <c r="HFQ254" s="9"/>
      <c r="HFR254" s="9"/>
      <c r="HFS254" s="9"/>
      <c r="HFT254" s="9"/>
      <c r="HFU254" s="9"/>
      <c r="HFV254" s="9"/>
      <c r="HFW254" s="9"/>
      <c r="HFX254" s="9"/>
      <c r="HFY254" s="9"/>
      <c r="HFZ254" s="9"/>
      <c r="HGA254" s="9"/>
      <c r="HGB254" s="9"/>
      <c r="HGC254" s="9"/>
      <c r="HGD254" s="9"/>
      <c r="HGE254" s="9"/>
      <c r="HGF254" s="9"/>
      <c r="HGG254" s="9"/>
      <c r="HGH254" s="9"/>
      <c r="HGI254" s="9"/>
      <c r="HGJ254" s="9"/>
      <c r="HGK254" s="9"/>
      <c r="HGL254" s="9"/>
      <c r="HGM254" s="9"/>
      <c r="HGN254" s="9"/>
      <c r="HGO254" s="9"/>
      <c r="HGP254" s="9"/>
      <c r="HGQ254" s="9"/>
      <c r="HGR254" s="9"/>
      <c r="HGS254" s="9"/>
      <c r="HGT254" s="9"/>
      <c r="HGU254" s="9"/>
      <c r="HGV254" s="9"/>
      <c r="HGW254" s="9"/>
      <c r="HGX254" s="9"/>
      <c r="HGY254" s="9"/>
      <c r="HGZ254" s="9"/>
      <c r="HHA254" s="9"/>
      <c r="HHB254" s="9"/>
      <c r="HHC254" s="9"/>
      <c r="HHD254" s="9"/>
      <c r="HHE254" s="9"/>
      <c r="HHF254" s="9"/>
      <c r="HHG254" s="9"/>
      <c r="HHH254" s="9"/>
      <c r="HHI254" s="9"/>
      <c r="HHJ254" s="9"/>
      <c r="HHK254" s="9"/>
      <c r="HHL254" s="9"/>
      <c r="HHM254" s="9"/>
      <c r="HHN254" s="9"/>
      <c r="HHO254" s="9"/>
      <c r="HHP254" s="9"/>
      <c r="HHQ254" s="9"/>
      <c r="HHR254" s="9"/>
      <c r="HHS254" s="9"/>
      <c r="HHT254" s="9"/>
      <c r="HHU254" s="9"/>
      <c r="HHV254" s="9"/>
      <c r="HHW254" s="9"/>
      <c r="HHX254" s="9"/>
      <c r="HHY254" s="9"/>
      <c r="HHZ254" s="9"/>
      <c r="HIA254" s="9"/>
      <c r="HIB254" s="9"/>
      <c r="HIC254" s="9"/>
      <c r="HID254" s="9"/>
      <c r="HIE254" s="9"/>
      <c r="HIF254" s="9"/>
      <c r="HIG254" s="9"/>
      <c r="HIH254" s="9"/>
      <c r="HII254" s="9"/>
      <c r="HIJ254" s="9"/>
      <c r="HIK254" s="9"/>
      <c r="HIL254" s="9"/>
      <c r="HIM254" s="9"/>
      <c r="HIN254" s="9"/>
      <c r="HIO254" s="9"/>
      <c r="HIP254" s="9"/>
      <c r="HIQ254" s="9"/>
      <c r="HIR254" s="9"/>
      <c r="HIS254" s="9"/>
      <c r="HIT254" s="9"/>
      <c r="HIU254" s="9"/>
      <c r="HIV254" s="9"/>
      <c r="HIW254" s="9"/>
      <c r="HIX254" s="9"/>
      <c r="HIY254" s="9"/>
      <c r="HIZ254" s="9"/>
      <c r="HJA254" s="9"/>
      <c r="HJB254" s="9"/>
      <c r="HJC254" s="9"/>
      <c r="HJD254" s="9"/>
      <c r="HJE254" s="9"/>
      <c r="HJF254" s="9"/>
      <c r="HJG254" s="9"/>
      <c r="HJH254" s="9"/>
      <c r="HJI254" s="9"/>
      <c r="HJJ254" s="9"/>
      <c r="HJK254" s="9"/>
      <c r="HJL254" s="9"/>
      <c r="HJM254" s="9"/>
      <c r="HJN254" s="9"/>
      <c r="HJO254" s="9"/>
      <c r="HJP254" s="9"/>
      <c r="HJQ254" s="9"/>
      <c r="HJR254" s="9"/>
      <c r="HJS254" s="9"/>
      <c r="HJT254" s="9"/>
      <c r="HJU254" s="9"/>
      <c r="HJV254" s="9"/>
      <c r="HJW254" s="9"/>
      <c r="HJX254" s="9"/>
      <c r="HJY254" s="9"/>
      <c r="HJZ254" s="9"/>
      <c r="HKA254" s="9"/>
      <c r="HKB254" s="9"/>
      <c r="HKC254" s="9"/>
      <c r="HKD254" s="9"/>
      <c r="HKE254" s="9"/>
      <c r="HKF254" s="9"/>
      <c r="HKG254" s="9"/>
      <c r="HKH254" s="9"/>
      <c r="HKI254" s="9"/>
      <c r="HKJ254" s="9"/>
      <c r="HKK254" s="9"/>
      <c r="HKL254" s="9"/>
      <c r="HKM254" s="9"/>
      <c r="HKN254" s="9"/>
      <c r="HKO254" s="9"/>
      <c r="HKP254" s="9"/>
      <c r="HKQ254" s="9"/>
      <c r="HKR254" s="9"/>
      <c r="HKS254" s="9"/>
      <c r="HKT254" s="9"/>
      <c r="HKU254" s="9"/>
      <c r="HKV254" s="9"/>
      <c r="HKW254" s="9"/>
      <c r="HKX254" s="9"/>
      <c r="HKY254" s="9"/>
      <c r="HKZ254" s="9"/>
      <c r="HLA254" s="9"/>
      <c r="HLB254" s="9"/>
      <c r="HLC254" s="9"/>
      <c r="HLD254" s="9"/>
      <c r="HLE254" s="9"/>
      <c r="HLF254" s="9"/>
      <c r="HLG254" s="9"/>
      <c r="HLH254" s="9"/>
      <c r="HLI254" s="9"/>
      <c r="HLJ254" s="9"/>
      <c r="HLK254" s="9"/>
      <c r="HLL254" s="9"/>
      <c r="HLM254" s="9"/>
      <c r="HLN254" s="9"/>
      <c r="HLO254" s="9"/>
      <c r="HLP254" s="9"/>
      <c r="HLQ254" s="9"/>
      <c r="HLR254" s="9"/>
      <c r="HLS254" s="9"/>
      <c r="HLT254" s="9"/>
      <c r="HLU254" s="9"/>
      <c r="HLV254" s="9"/>
      <c r="HLW254" s="9"/>
      <c r="HLX254" s="9"/>
      <c r="HLY254" s="9"/>
      <c r="HLZ254" s="9"/>
      <c r="HMA254" s="9"/>
      <c r="HMB254" s="9"/>
      <c r="HMC254" s="9"/>
      <c r="HMD254" s="9"/>
      <c r="HME254" s="9"/>
      <c r="HMF254" s="9"/>
      <c r="HMG254" s="9"/>
      <c r="HMH254" s="9"/>
      <c r="HMI254" s="9"/>
      <c r="HMJ254" s="9"/>
      <c r="HMK254" s="9"/>
      <c r="HML254" s="9"/>
      <c r="HMM254" s="9"/>
      <c r="HMN254" s="9"/>
      <c r="HMO254" s="9"/>
      <c r="HMP254" s="9"/>
      <c r="HMQ254" s="9"/>
      <c r="HMR254" s="9"/>
      <c r="HMS254" s="9"/>
      <c r="HMT254" s="9"/>
      <c r="HMU254" s="9"/>
      <c r="HMV254" s="9"/>
      <c r="HMW254" s="9"/>
      <c r="HMX254" s="9"/>
      <c r="HMY254" s="9"/>
      <c r="HMZ254" s="9"/>
      <c r="HNA254" s="9"/>
      <c r="HNB254" s="9"/>
      <c r="HNC254" s="9"/>
      <c r="HND254" s="9"/>
      <c r="HNE254" s="9"/>
      <c r="HNF254" s="9"/>
      <c r="HNG254" s="9"/>
      <c r="HNH254" s="9"/>
      <c r="HNI254" s="9"/>
      <c r="HNJ254" s="9"/>
      <c r="HNK254" s="9"/>
      <c r="HNL254" s="9"/>
      <c r="HNM254" s="9"/>
      <c r="HNN254" s="9"/>
      <c r="HNO254" s="9"/>
      <c r="HNP254" s="9"/>
      <c r="HNQ254" s="9"/>
      <c r="HNR254" s="9"/>
      <c r="HNS254" s="9"/>
      <c r="HNT254" s="9"/>
      <c r="HNU254" s="9"/>
      <c r="HNV254" s="9"/>
      <c r="HNW254" s="9"/>
      <c r="HNX254" s="9"/>
      <c r="HNY254" s="9"/>
      <c r="HNZ254" s="9"/>
      <c r="HOA254" s="9"/>
      <c r="HOB254" s="9"/>
      <c r="HOC254" s="9"/>
      <c r="HOD254" s="9"/>
      <c r="HOE254" s="9"/>
      <c r="HOF254" s="9"/>
      <c r="HOG254" s="9"/>
      <c r="HOH254" s="9"/>
      <c r="HOI254" s="9"/>
      <c r="HOJ254" s="9"/>
      <c r="HOK254" s="9"/>
      <c r="HOL254" s="9"/>
      <c r="HOM254" s="9"/>
      <c r="HON254" s="9"/>
      <c r="HOO254" s="9"/>
      <c r="HOP254" s="9"/>
      <c r="HOQ254" s="9"/>
      <c r="HOR254" s="9"/>
      <c r="HOS254" s="9"/>
      <c r="HOT254" s="9"/>
      <c r="HOU254" s="9"/>
      <c r="HOV254" s="9"/>
      <c r="HOW254" s="9"/>
      <c r="HOX254" s="9"/>
      <c r="HOY254" s="9"/>
      <c r="HOZ254" s="9"/>
      <c r="HPA254" s="9"/>
      <c r="HPB254" s="9"/>
      <c r="HPC254" s="9"/>
      <c r="HPD254" s="9"/>
      <c r="HPE254" s="9"/>
      <c r="HPF254" s="9"/>
      <c r="HPG254" s="9"/>
      <c r="HPH254" s="9"/>
      <c r="HPI254" s="9"/>
      <c r="HPJ254" s="9"/>
      <c r="HPK254" s="9"/>
      <c r="HPL254" s="9"/>
      <c r="HPM254" s="9"/>
      <c r="HPN254" s="9"/>
      <c r="HPO254" s="9"/>
      <c r="HPP254" s="9"/>
      <c r="HPQ254" s="9"/>
      <c r="HPR254" s="9"/>
      <c r="HPS254" s="9"/>
      <c r="HPT254" s="9"/>
      <c r="HPU254" s="9"/>
      <c r="HPV254" s="9"/>
      <c r="HPW254" s="9"/>
      <c r="HPX254" s="9"/>
      <c r="HPY254" s="9"/>
      <c r="HPZ254" s="9"/>
      <c r="HQA254" s="9"/>
      <c r="HQB254" s="9"/>
      <c r="HQC254" s="9"/>
      <c r="HQD254" s="9"/>
      <c r="HQE254" s="9"/>
      <c r="HQF254" s="9"/>
      <c r="HQG254" s="9"/>
      <c r="HQH254" s="9"/>
      <c r="HQI254" s="9"/>
      <c r="HQJ254" s="9"/>
      <c r="HQK254" s="9"/>
      <c r="HQL254" s="9"/>
      <c r="HQM254" s="9"/>
      <c r="HQN254" s="9"/>
      <c r="HQO254" s="9"/>
      <c r="HQP254" s="9"/>
      <c r="HQQ254" s="9"/>
      <c r="HQR254" s="9"/>
      <c r="HQS254" s="9"/>
      <c r="HQT254" s="9"/>
      <c r="HQU254" s="9"/>
      <c r="HQV254" s="9"/>
      <c r="HQW254" s="9"/>
      <c r="HQX254" s="9"/>
      <c r="HQY254" s="9"/>
      <c r="HQZ254" s="9"/>
      <c r="HRA254" s="9"/>
      <c r="HRB254" s="9"/>
      <c r="HRC254" s="9"/>
      <c r="HRD254" s="9"/>
      <c r="HRE254" s="9"/>
      <c r="HRF254" s="9"/>
      <c r="HRG254" s="9"/>
      <c r="HRH254" s="9"/>
      <c r="HRI254" s="9"/>
      <c r="HRJ254" s="9"/>
      <c r="HRK254" s="9"/>
      <c r="HRL254" s="9"/>
      <c r="HRM254" s="9"/>
      <c r="HRN254" s="9"/>
      <c r="HRO254" s="9"/>
      <c r="HRP254" s="9"/>
      <c r="HRQ254" s="9"/>
      <c r="HRR254" s="9"/>
      <c r="HRS254" s="9"/>
      <c r="HRT254" s="9"/>
      <c r="HRU254" s="9"/>
      <c r="HRV254" s="9"/>
      <c r="HRW254" s="9"/>
      <c r="HRX254" s="9"/>
      <c r="HRY254" s="9"/>
      <c r="HRZ254" s="9"/>
      <c r="HSA254" s="9"/>
      <c r="HSB254" s="9"/>
      <c r="HSC254" s="9"/>
      <c r="HSD254" s="9"/>
      <c r="HSE254" s="9"/>
      <c r="HSF254" s="9"/>
      <c r="HSG254" s="9"/>
      <c r="HSH254" s="9"/>
      <c r="HSI254" s="9"/>
      <c r="HSJ254" s="9"/>
      <c r="HSK254" s="9"/>
      <c r="HSL254" s="9"/>
      <c r="HSM254" s="9"/>
      <c r="HSN254" s="9"/>
      <c r="HSO254" s="9"/>
      <c r="HSP254" s="9"/>
      <c r="HSQ254" s="9"/>
      <c r="HSR254" s="9"/>
      <c r="HSS254" s="9"/>
      <c r="HST254" s="9"/>
      <c r="HSU254" s="9"/>
      <c r="HSV254" s="9"/>
      <c r="HSW254" s="9"/>
      <c r="HSX254" s="9"/>
      <c r="HSY254" s="9"/>
      <c r="HSZ254" s="9"/>
      <c r="HTA254" s="9"/>
      <c r="HTB254" s="9"/>
      <c r="HTC254" s="9"/>
      <c r="HTD254" s="9"/>
      <c r="HTE254" s="9"/>
      <c r="HTF254" s="9"/>
      <c r="HTG254" s="9"/>
      <c r="HTH254" s="9"/>
      <c r="HTI254" s="9"/>
      <c r="HTJ254" s="9"/>
      <c r="HTK254" s="9"/>
      <c r="HTL254" s="9"/>
      <c r="HTM254" s="9"/>
      <c r="HTN254" s="9"/>
      <c r="HTO254" s="9"/>
      <c r="HTP254" s="9"/>
      <c r="HTQ254" s="9"/>
      <c r="HTR254" s="9"/>
      <c r="HTS254" s="9"/>
      <c r="HTT254" s="9"/>
      <c r="HTU254" s="9"/>
      <c r="HTV254" s="9"/>
      <c r="HTW254" s="9"/>
      <c r="HTX254" s="9"/>
      <c r="HTY254" s="9"/>
      <c r="HTZ254" s="9"/>
      <c r="HUA254" s="9"/>
      <c r="HUB254" s="9"/>
      <c r="HUC254" s="9"/>
      <c r="HUD254" s="9"/>
      <c r="HUE254" s="9"/>
      <c r="HUF254" s="9"/>
      <c r="HUG254" s="9"/>
      <c r="HUH254" s="9"/>
      <c r="HUI254" s="9"/>
      <c r="HUJ254" s="9"/>
      <c r="HUK254" s="9"/>
      <c r="HUL254" s="9"/>
      <c r="HUM254" s="9"/>
      <c r="HUN254" s="9"/>
      <c r="HUO254" s="9"/>
      <c r="HUP254" s="9"/>
      <c r="HUQ254" s="9"/>
      <c r="HUR254" s="9"/>
      <c r="HUS254" s="9"/>
      <c r="HUT254" s="9"/>
      <c r="HUU254" s="9"/>
      <c r="HUV254" s="9"/>
      <c r="HUW254" s="9"/>
      <c r="HUX254" s="9"/>
      <c r="HUY254" s="9"/>
      <c r="HUZ254" s="9"/>
      <c r="HVA254" s="9"/>
      <c r="HVB254" s="9"/>
      <c r="HVC254" s="9"/>
      <c r="HVD254" s="9"/>
      <c r="HVE254" s="9"/>
      <c r="HVF254" s="9"/>
      <c r="HVG254" s="9"/>
      <c r="HVH254" s="9"/>
      <c r="HVI254" s="9"/>
      <c r="HVJ254" s="9"/>
      <c r="HVK254" s="9"/>
      <c r="HVL254" s="9"/>
      <c r="HVM254" s="9"/>
      <c r="HVN254" s="9"/>
      <c r="HVO254" s="9"/>
      <c r="HVP254" s="9"/>
      <c r="HVQ254" s="9"/>
      <c r="HVR254" s="9"/>
      <c r="HVS254" s="9"/>
      <c r="HVT254" s="9"/>
      <c r="HVU254" s="9"/>
      <c r="HVV254" s="9"/>
      <c r="HVW254" s="9"/>
      <c r="HVX254" s="9"/>
      <c r="HVY254" s="9"/>
      <c r="HVZ254" s="9"/>
      <c r="HWA254" s="9"/>
      <c r="HWB254" s="9"/>
      <c r="HWC254" s="9"/>
      <c r="HWD254" s="9"/>
      <c r="HWE254" s="9"/>
      <c r="HWF254" s="9"/>
      <c r="HWG254" s="9"/>
      <c r="HWH254" s="9"/>
      <c r="HWI254" s="9"/>
      <c r="HWJ254" s="9"/>
      <c r="HWK254" s="9"/>
      <c r="HWL254" s="9"/>
      <c r="HWM254" s="9"/>
      <c r="HWN254" s="9"/>
      <c r="HWO254" s="9"/>
      <c r="HWP254" s="9"/>
      <c r="HWQ254" s="9"/>
      <c r="HWR254" s="9"/>
      <c r="HWS254" s="9"/>
      <c r="HWT254" s="9"/>
      <c r="HWU254" s="9"/>
      <c r="HWV254" s="9"/>
      <c r="HWW254" s="9"/>
      <c r="HWX254" s="9"/>
      <c r="HWY254" s="9"/>
      <c r="HWZ254" s="9"/>
      <c r="HXA254" s="9"/>
      <c r="HXB254" s="9"/>
      <c r="HXC254" s="9"/>
      <c r="HXD254" s="9"/>
      <c r="HXE254" s="9"/>
      <c r="HXF254" s="9"/>
      <c r="HXG254" s="9"/>
      <c r="HXH254" s="9"/>
      <c r="HXI254" s="9"/>
      <c r="HXJ254" s="9"/>
      <c r="HXK254" s="9"/>
      <c r="HXL254" s="9"/>
      <c r="HXM254" s="9"/>
      <c r="HXN254" s="9"/>
      <c r="HXO254" s="9"/>
      <c r="HXP254" s="9"/>
      <c r="HXQ254" s="9"/>
      <c r="HXR254" s="9"/>
      <c r="HXS254" s="9"/>
      <c r="HXT254" s="9"/>
      <c r="HXU254" s="9"/>
      <c r="HXV254" s="9"/>
      <c r="HXW254" s="9"/>
      <c r="HXX254" s="9"/>
      <c r="HXY254" s="9"/>
      <c r="HXZ254" s="9"/>
      <c r="HYA254" s="9"/>
      <c r="HYB254" s="9"/>
      <c r="HYC254" s="9"/>
      <c r="HYD254" s="9"/>
      <c r="HYE254" s="9"/>
      <c r="HYF254" s="9"/>
      <c r="HYG254" s="9"/>
      <c r="HYH254" s="9"/>
      <c r="HYI254" s="9"/>
      <c r="HYJ254" s="9"/>
      <c r="HYK254" s="9"/>
      <c r="HYL254" s="9"/>
      <c r="HYM254" s="9"/>
      <c r="HYN254" s="9"/>
      <c r="HYO254" s="9"/>
      <c r="HYP254" s="9"/>
      <c r="HYQ254" s="9"/>
      <c r="HYR254" s="9"/>
      <c r="HYS254" s="9"/>
      <c r="HYT254" s="9"/>
      <c r="HYU254" s="9"/>
      <c r="HYV254" s="9"/>
      <c r="HYW254" s="9"/>
      <c r="HYX254" s="9"/>
      <c r="HYY254" s="9"/>
      <c r="HYZ254" s="9"/>
      <c r="HZA254" s="9"/>
      <c r="HZB254" s="9"/>
      <c r="HZC254" s="9"/>
      <c r="HZD254" s="9"/>
      <c r="HZE254" s="9"/>
      <c r="HZF254" s="9"/>
      <c r="HZG254" s="9"/>
      <c r="HZH254" s="9"/>
      <c r="HZI254" s="9"/>
      <c r="HZJ254" s="9"/>
      <c r="HZK254" s="9"/>
      <c r="HZL254" s="9"/>
      <c r="HZM254" s="9"/>
      <c r="HZN254" s="9"/>
      <c r="HZO254" s="9"/>
      <c r="HZP254" s="9"/>
      <c r="HZQ254" s="9"/>
      <c r="HZR254" s="9"/>
      <c r="HZS254" s="9"/>
      <c r="HZT254" s="9"/>
      <c r="HZU254" s="9"/>
      <c r="HZV254" s="9"/>
      <c r="HZW254" s="9"/>
      <c r="HZX254" s="9"/>
      <c r="HZY254" s="9"/>
      <c r="HZZ254" s="9"/>
      <c r="IAA254" s="9"/>
      <c r="IAB254" s="9"/>
      <c r="IAC254" s="9"/>
      <c r="IAD254" s="9"/>
      <c r="IAE254" s="9"/>
      <c r="IAF254" s="9"/>
      <c r="IAG254" s="9"/>
      <c r="IAH254" s="9"/>
      <c r="IAI254" s="9"/>
      <c r="IAJ254" s="9"/>
      <c r="IAK254" s="9"/>
      <c r="IAL254" s="9"/>
      <c r="IAM254" s="9"/>
      <c r="IAN254" s="9"/>
      <c r="IAO254" s="9"/>
      <c r="IAP254" s="9"/>
      <c r="IAQ254" s="9"/>
      <c r="IAR254" s="9"/>
      <c r="IAS254" s="9"/>
      <c r="IAT254" s="9"/>
      <c r="IAU254" s="9"/>
      <c r="IAV254" s="9"/>
      <c r="IAW254" s="9"/>
      <c r="IAX254" s="9"/>
      <c r="IAY254" s="9"/>
      <c r="IAZ254" s="9"/>
      <c r="IBA254" s="9"/>
      <c r="IBB254" s="9"/>
      <c r="IBC254" s="9"/>
      <c r="IBD254" s="9"/>
      <c r="IBE254" s="9"/>
      <c r="IBF254" s="9"/>
      <c r="IBG254" s="9"/>
      <c r="IBH254" s="9"/>
      <c r="IBI254" s="9"/>
      <c r="IBJ254" s="9"/>
      <c r="IBK254" s="9"/>
      <c r="IBL254" s="9"/>
      <c r="IBM254" s="9"/>
      <c r="IBN254" s="9"/>
      <c r="IBO254" s="9"/>
      <c r="IBP254" s="9"/>
      <c r="IBQ254" s="9"/>
      <c r="IBR254" s="9"/>
      <c r="IBS254" s="9"/>
      <c r="IBT254" s="9"/>
      <c r="IBU254" s="9"/>
      <c r="IBV254" s="9"/>
      <c r="IBW254" s="9"/>
      <c r="IBX254" s="9"/>
      <c r="IBY254" s="9"/>
      <c r="IBZ254" s="9"/>
      <c r="ICA254" s="9"/>
      <c r="ICB254" s="9"/>
      <c r="ICC254" s="9"/>
      <c r="ICD254" s="9"/>
      <c r="ICE254" s="9"/>
      <c r="ICF254" s="9"/>
      <c r="ICG254" s="9"/>
      <c r="ICH254" s="9"/>
      <c r="ICI254" s="9"/>
      <c r="ICJ254" s="9"/>
      <c r="ICK254" s="9"/>
      <c r="ICL254" s="9"/>
      <c r="ICM254" s="9"/>
      <c r="ICN254" s="9"/>
      <c r="ICO254" s="9"/>
      <c r="ICP254" s="9"/>
      <c r="ICQ254" s="9"/>
      <c r="ICR254" s="9"/>
      <c r="ICS254" s="9"/>
      <c r="ICT254" s="9"/>
      <c r="ICU254" s="9"/>
      <c r="ICV254" s="9"/>
      <c r="ICW254" s="9"/>
      <c r="ICX254" s="9"/>
      <c r="ICY254" s="9"/>
      <c r="ICZ254" s="9"/>
      <c r="IDA254" s="9"/>
      <c r="IDB254" s="9"/>
      <c r="IDC254" s="9"/>
      <c r="IDD254" s="9"/>
      <c r="IDE254" s="9"/>
      <c r="IDF254" s="9"/>
      <c r="IDG254" s="9"/>
      <c r="IDH254" s="9"/>
      <c r="IDI254" s="9"/>
      <c r="IDJ254" s="9"/>
      <c r="IDK254" s="9"/>
      <c r="IDL254" s="9"/>
      <c r="IDM254" s="9"/>
      <c r="IDN254" s="9"/>
      <c r="IDO254" s="9"/>
      <c r="IDP254" s="9"/>
      <c r="IDQ254" s="9"/>
      <c r="IDR254" s="9"/>
      <c r="IDS254" s="9"/>
      <c r="IDT254" s="9"/>
      <c r="IDU254" s="9"/>
      <c r="IDV254" s="9"/>
      <c r="IDW254" s="9"/>
      <c r="IDX254" s="9"/>
      <c r="IDY254" s="9"/>
      <c r="IDZ254" s="9"/>
      <c r="IEA254" s="9"/>
      <c r="IEB254" s="9"/>
      <c r="IEC254" s="9"/>
      <c r="IED254" s="9"/>
      <c r="IEE254" s="9"/>
      <c r="IEF254" s="9"/>
      <c r="IEG254" s="9"/>
      <c r="IEH254" s="9"/>
      <c r="IEI254" s="9"/>
      <c r="IEJ254" s="9"/>
      <c r="IEK254" s="9"/>
      <c r="IEL254" s="9"/>
      <c r="IEM254" s="9"/>
      <c r="IEN254" s="9"/>
      <c r="IEO254" s="9"/>
      <c r="IEP254" s="9"/>
      <c r="IEQ254" s="9"/>
      <c r="IER254" s="9"/>
      <c r="IES254" s="9"/>
      <c r="IET254" s="9"/>
      <c r="IEU254" s="9"/>
      <c r="IEV254" s="9"/>
      <c r="IEW254" s="9"/>
      <c r="IEX254" s="9"/>
      <c r="IEY254" s="9"/>
      <c r="IEZ254" s="9"/>
      <c r="IFA254" s="9"/>
      <c r="IFB254" s="9"/>
      <c r="IFC254" s="9"/>
      <c r="IFD254" s="9"/>
      <c r="IFE254" s="9"/>
      <c r="IFF254" s="9"/>
      <c r="IFG254" s="9"/>
      <c r="IFH254" s="9"/>
      <c r="IFI254" s="9"/>
      <c r="IFJ254" s="9"/>
      <c r="IFK254" s="9"/>
      <c r="IFL254" s="9"/>
      <c r="IFM254" s="9"/>
      <c r="IFN254" s="9"/>
      <c r="IFO254" s="9"/>
      <c r="IFP254" s="9"/>
      <c r="IFQ254" s="9"/>
      <c r="IFR254" s="9"/>
      <c r="IFS254" s="9"/>
      <c r="IFT254" s="9"/>
      <c r="IFU254" s="9"/>
      <c r="IFV254" s="9"/>
      <c r="IFW254" s="9"/>
      <c r="IFX254" s="9"/>
      <c r="IFY254" s="9"/>
      <c r="IFZ254" s="9"/>
      <c r="IGA254" s="9"/>
      <c r="IGB254" s="9"/>
      <c r="IGC254" s="9"/>
      <c r="IGD254" s="9"/>
      <c r="IGE254" s="9"/>
      <c r="IGF254" s="9"/>
      <c r="IGG254" s="9"/>
      <c r="IGH254" s="9"/>
      <c r="IGI254" s="9"/>
      <c r="IGJ254" s="9"/>
      <c r="IGK254" s="9"/>
      <c r="IGL254" s="9"/>
      <c r="IGM254" s="9"/>
      <c r="IGN254" s="9"/>
      <c r="IGO254" s="9"/>
      <c r="IGP254" s="9"/>
      <c r="IGQ254" s="9"/>
      <c r="IGR254" s="9"/>
      <c r="IGS254" s="9"/>
      <c r="IGT254" s="9"/>
      <c r="IGU254" s="9"/>
      <c r="IGV254" s="9"/>
      <c r="IGW254" s="9"/>
      <c r="IGX254" s="9"/>
      <c r="IGY254" s="9"/>
      <c r="IGZ254" s="9"/>
      <c r="IHA254" s="9"/>
      <c r="IHB254" s="9"/>
      <c r="IHC254" s="9"/>
      <c r="IHD254" s="9"/>
      <c r="IHE254" s="9"/>
      <c r="IHF254" s="9"/>
      <c r="IHG254" s="9"/>
      <c r="IHH254" s="9"/>
      <c r="IHI254" s="9"/>
      <c r="IHJ254" s="9"/>
      <c r="IHK254" s="9"/>
      <c r="IHL254" s="9"/>
      <c r="IHM254" s="9"/>
      <c r="IHN254" s="9"/>
      <c r="IHO254" s="9"/>
      <c r="IHP254" s="9"/>
      <c r="IHQ254" s="9"/>
      <c r="IHR254" s="9"/>
      <c r="IHS254" s="9"/>
      <c r="IHT254" s="9"/>
      <c r="IHU254" s="9"/>
      <c r="IHV254" s="9"/>
      <c r="IHW254" s="9"/>
      <c r="IHX254" s="9"/>
      <c r="IHY254" s="9"/>
      <c r="IHZ254" s="9"/>
      <c r="IIA254" s="9"/>
      <c r="IIB254" s="9"/>
      <c r="IIC254" s="9"/>
      <c r="IID254" s="9"/>
      <c r="IIE254" s="9"/>
      <c r="IIF254" s="9"/>
      <c r="IIG254" s="9"/>
      <c r="IIH254" s="9"/>
      <c r="III254" s="9"/>
      <c r="IIJ254" s="9"/>
      <c r="IIK254" s="9"/>
      <c r="IIL254" s="9"/>
      <c r="IIM254" s="9"/>
      <c r="IIN254" s="9"/>
      <c r="IIO254" s="9"/>
      <c r="IIP254" s="9"/>
      <c r="IIQ254" s="9"/>
      <c r="IIR254" s="9"/>
      <c r="IIS254" s="9"/>
      <c r="IIT254" s="9"/>
      <c r="IIU254" s="9"/>
      <c r="IIV254" s="9"/>
      <c r="IIW254" s="9"/>
      <c r="IIX254" s="9"/>
      <c r="IIY254" s="9"/>
      <c r="IIZ254" s="9"/>
      <c r="IJA254" s="9"/>
      <c r="IJB254" s="9"/>
      <c r="IJC254" s="9"/>
      <c r="IJD254" s="9"/>
      <c r="IJE254" s="9"/>
      <c r="IJF254" s="9"/>
      <c r="IJG254" s="9"/>
      <c r="IJH254" s="9"/>
      <c r="IJI254" s="9"/>
      <c r="IJJ254" s="9"/>
      <c r="IJK254" s="9"/>
      <c r="IJL254" s="9"/>
      <c r="IJM254" s="9"/>
      <c r="IJN254" s="9"/>
      <c r="IJO254" s="9"/>
      <c r="IJP254" s="9"/>
      <c r="IJQ254" s="9"/>
      <c r="IJR254" s="9"/>
      <c r="IJS254" s="9"/>
      <c r="IJT254" s="9"/>
      <c r="IJU254" s="9"/>
      <c r="IJV254" s="9"/>
      <c r="IJW254" s="9"/>
      <c r="IJX254" s="9"/>
      <c r="IJY254" s="9"/>
      <c r="IJZ254" s="9"/>
      <c r="IKA254" s="9"/>
      <c r="IKB254" s="9"/>
      <c r="IKC254" s="9"/>
      <c r="IKD254" s="9"/>
      <c r="IKE254" s="9"/>
      <c r="IKF254" s="9"/>
      <c r="IKG254" s="9"/>
      <c r="IKH254" s="9"/>
      <c r="IKI254" s="9"/>
      <c r="IKJ254" s="9"/>
      <c r="IKK254" s="9"/>
      <c r="IKL254" s="9"/>
      <c r="IKM254" s="9"/>
      <c r="IKN254" s="9"/>
      <c r="IKO254" s="9"/>
      <c r="IKP254" s="9"/>
      <c r="IKQ254" s="9"/>
      <c r="IKR254" s="9"/>
      <c r="IKS254" s="9"/>
      <c r="IKT254" s="9"/>
      <c r="IKU254" s="9"/>
      <c r="IKV254" s="9"/>
      <c r="IKW254" s="9"/>
      <c r="IKX254" s="9"/>
      <c r="IKY254" s="9"/>
      <c r="IKZ254" s="9"/>
      <c r="ILA254" s="9"/>
      <c r="ILB254" s="9"/>
      <c r="ILC254" s="9"/>
      <c r="ILD254" s="9"/>
      <c r="ILE254" s="9"/>
      <c r="ILF254" s="9"/>
      <c r="ILG254" s="9"/>
      <c r="ILH254" s="9"/>
      <c r="ILI254" s="9"/>
      <c r="ILJ254" s="9"/>
      <c r="ILK254" s="9"/>
      <c r="ILL254" s="9"/>
      <c r="ILM254" s="9"/>
      <c r="ILN254" s="9"/>
      <c r="ILO254" s="9"/>
      <c r="ILP254" s="9"/>
      <c r="ILQ254" s="9"/>
      <c r="ILR254" s="9"/>
      <c r="ILS254" s="9"/>
      <c r="ILT254" s="9"/>
      <c r="ILU254" s="9"/>
      <c r="ILV254" s="9"/>
      <c r="ILW254" s="9"/>
      <c r="ILX254" s="9"/>
      <c r="ILY254" s="9"/>
      <c r="ILZ254" s="9"/>
      <c r="IMA254" s="9"/>
      <c r="IMB254" s="9"/>
      <c r="IMC254" s="9"/>
      <c r="IMD254" s="9"/>
      <c r="IME254" s="9"/>
      <c r="IMF254" s="9"/>
      <c r="IMG254" s="9"/>
      <c r="IMH254" s="9"/>
      <c r="IMI254" s="9"/>
      <c r="IMJ254" s="9"/>
      <c r="IMK254" s="9"/>
      <c r="IML254" s="9"/>
      <c r="IMM254" s="9"/>
      <c r="IMN254" s="9"/>
      <c r="IMO254" s="9"/>
      <c r="IMP254" s="9"/>
      <c r="IMQ254" s="9"/>
      <c r="IMR254" s="9"/>
      <c r="IMS254" s="9"/>
      <c r="IMT254" s="9"/>
      <c r="IMU254" s="9"/>
      <c r="IMV254" s="9"/>
      <c r="IMW254" s="9"/>
      <c r="IMX254" s="9"/>
      <c r="IMY254" s="9"/>
      <c r="IMZ254" s="9"/>
      <c r="INA254" s="9"/>
      <c r="INB254" s="9"/>
      <c r="INC254" s="9"/>
      <c r="IND254" s="9"/>
      <c r="INE254" s="9"/>
      <c r="INF254" s="9"/>
      <c r="ING254" s="9"/>
      <c r="INH254" s="9"/>
      <c r="INI254" s="9"/>
      <c r="INJ254" s="9"/>
      <c r="INK254" s="9"/>
      <c r="INL254" s="9"/>
      <c r="INM254" s="9"/>
      <c r="INN254" s="9"/>
      <c r="INO254" s="9"/>
      <c r="INP254" s="9"/>
      <c r="INQ254" s="9"/>
      <c r="INR254" s="9"/>
      <c r="INS254" s="9"/>
      <c r="INT254" s="9"/>
      <c r="INU254" s="9"/>
      <c r="INV254" s="9"/>
      <c r="INW254" s="9"/>
      <c r="INX254" s="9"/>
      <c r="INY254" s="9"/>
      <c r="INZ254" s="9"/>
      <c r="IOA254" s="9"/>
      <c r="IOB254" s="9"/>
      <c r="IOC254" s="9"/>
      <c r="IOD254" s="9"/>
      <c r="IOE254" s="9"/>
      <c r="IOF254" s="9"/>
      <c r="IOG254" s="9"/>
      <c r="IOH254" s="9"/>
      <c r="IOI254" s="9"/>
      <c r="IOJ254" s="9"/>
      <c r="IOK254" s="9"/>
      <c r="IOL254" s="9"/>
      <c r="IOM254" s="9"/>
      <c r="ION254" s="9"/>
      <c r="IOO254" s="9"/>
      <c r="IOP254" s="9"/>
      <c r="IOQ254" s="9"/>
      <c r="IOR254" s="9"/>
      <c r="IOS254" s="9"/>
      <c r="IOT254" s="9"/>
      <c r="IOU254" s="9"/>
      <c r="IOV254" s="9"/>
      <c r="IOW254" s="9"/>
      <c r="IOX254" s="9"/>
      <c r="IOY254" s="9"/>
      <c r="IOZ254" s="9"/>
      <c r="IPA254" s="9"/>
      <c r="IPB254" s="9"/>
      <c r="IPC254" s="9"/>
      <c r="IPD254" s="9"/>
      <c r="IPE254" s="9"/>
      <c r="IPF254" s="9"/>
      <c r="IPG254" s="9"/>
      <c r="IPH254" s="9"/>
      <c r="IPI254" s="9"/>
      <c r="IPJ254" s="9"/>
      <c r="IPK254" s="9"/>
      <c r="IPL254" s="9"/>
      <c r="IPM254" s="9"/>
      <c r="IPN254" s="9"/>
      <c r="IPO254" s="9"/>
      <c r="IPP254" s="9"/>
      <c r="IPQ254" s="9"/>
      <c r="IPR254" s="9"/>
      <c r="IPS254" s="9"/>
      <c r="IPT254" s="9"/>
      <c r="IPU254" s="9"/>
      <c r="IPV254" s="9"/>
      <c r="IPW254" s="9"/>
      <c r="IPX254" s="9"/>
      <c r="IPY254" s="9"/>
      <c r="IPZ254" s="9"/>
      <c r="IQA254" s="9"/>
      <c r="IQB254" s="9"/>
      <c r="IQC254" s="9"/>
      <c r="IQD254" s="9"/>
      <c r="IQE254" s="9"/>
      <c r="IQF254" s="9"/>
      <c r="IQG254" s="9"/>
      <c r="IQH254" s="9"/>
      <c r="IQI254" s="9"/>
      <c r="IQJ254" s="9"/>
      <c r="IQK254" s="9"/>
      <c r="IQL254" s="9"/>
      <c r="IQM254" s="9"/>
      <c r="IQN254" s="9"/>
      <c r="IQO254" s="9"/>
      <c r="IQP254" s="9"/>
      <c r="IQQ254" s="9"/>
      <c r="IQR254" s="9"/>
      <c r="IQS254" s="9"/>
      <c r="IQT254" s="9"/>
      <c r="IQU254" s="9"/>
      <c r="IQV254" s="9"/>
      <c r="IQW254" s="9"/>
      <c r="IQX254" s="9"/>
      <c r="IQY254" s="9"/>
      <c r="IQZ254" s="9"/>
      <c r="IRA254" s="9"/>
      <c r="IRB254" s="9"/>
      <c r="IRC254" s="9"/>
      <c r="IRD254" s="9"/>
      <c r="IRE254" s="9"/>
      <c r="IRF254" s="9"/>
      <c r="IRG254" s="9"/>
      <c r="IRH254" s="9"/>
      <c r="IRI254" s="9"/>
      <c r="IRJ254" s="9"/>
      <c r="IRK254" s="9"/>
      <c r="IRL254" s="9"/>
      <c r="IRM254" s="9"/>
      <c r="IRN254" s="9"/>
      <c r="IRO254" s="9"/>
      <c r="IRP254" s="9"/>
      <c r="IRQ254" s="9"/>
      <c r="IRR254" s="9"/>
      <c r="IRS254" s="9"/>
      <c r="IRT254" s="9"/>
      <c r="IRU254" s="9"/>
      <c r="IRV254" s="9"/>
      <c r="IRW254" s="9"/>
      <c r="IRX254" s="9"/>
      <c r="IRY254" s="9"/>
      <c r="IRZ254" s="9"/>
      <c r="ISA254" s="9"/>
      <c r="ISB254" s="9"/>
      <c r="ISC254" s="9"/>
      <c r="ISD254" s="9"/>
      <c r="ISE254" s="9"/>
      <c r="ISF254" s="9"/>
      <c r="ISG254" s="9"/>
      <c r="ISH254" s="9"/>
      <c r="ISI254" s="9"/>
      <c r="ISJ254" s="9"/>
      <c r="ISK254" s="9"/>
      <c r="ISL254" s="9"/>
      <c r="ISM254" s="9"/>
      <c r="ISN254" s="9"/>
      <c r="ISO254" s="9"/>
      <c r="ISP254" s="9"/>
      <c r="ISQ254" s="9"/>
      <c r="ISR254" s="9"/>
      <c r="ISS254" s="9"/>
      <c r="IST254" s="9"/>
      <c r="ISU254" s="9"/>
      <c r="ISV254" s="9"/>
      <c r="ISW254" s="9"/>
      <c r="ISX254" s="9"/>
      <c r="ISY254" s="9"/>
      <c r="ISZ254" s="9"/>
      <c r="ITA254" s="9"/>
      <c r="ITB254" s="9"/>
      <c r="ITC254" s="9"/>
      <c r="ITD254" s="9"/>
      <c r="ITE254" s="9"/>
      <c r="ITF254" s="9"/>
      <c r="ITG254" s="9"/>
      <c r="ITH254" s="9"/>
      <c r="ITI254" s="9"/>
      <c r="ITJ254" s="9"/>
      <c r="ITK254" s="9"/>
      <c r="ITL254" s="9"/>
      <c r="ITM254" s="9"/>
      <c r="ITN254" s="9"/>
      <c r="ITO254" s="9"/>
      <c r="ITP254" s="9"/>
      <c r="ITQ254" s="9"/>
      <c r="ITR254" s="9"/>
      <c r="ITS254" s="9"/>
      <c r="ITT254" s="9"/>
      <c r="ITU254" s="9"/>
      <c r="ITV254" s="9"/>
      <c r="ITW254" s="9"/>
      <c r="ITX254" s="9"/>
      <c r="ITY254" s="9"/>
      <c r="ITZ254" s="9"/>
      <c r="IUA254" s="9"/>
      <c r="IUB254" s="9"/>
      <c r="IUC254" s="9"/>
      <c r="IUD254" s="9"/>
      <c r="IUE254" s="9"/>
      <c r="IUF254" s="9"/>
      <c r="IUG254" s="9"/>
      <c r="IUH254" s="9"/>
      <c r="IUI254" s="9"/>
      <c r="IUJ254" s="9"/>
      <c r="IUK254" s="9"/>
      <c r="IUL254" s="9"/>
      <c r="IUM254" s="9"/>
      <c r="IUN254" s="9"/>
      <c r="IUO254" s="9"/>
      <c r="IUP254" s="9"/>
      <c r="IUQ254" s="9"/>
      <c r="IUR254" s="9"/>
      <c r="IUS254" s="9"/>
      <c r="IUT254" s="9"/>
      <c r="IUU254" s="9"/>
      <c r="IUV254" s="9"/>
      <c r="IUW254" s="9"/>
      <c r="IUX254" s="9"/>
      <c r="IUY254" s="9"/>
      <c r="IUZ254" s="9"/>
      <c r="IVA254" s="9"/>
      <c r="IVB254" s="9"/>
      <c r="IVC254" s="9"/>
      <c r="IVD254" s="9"/>
      <c r="IVE254" s="9"/>
      <c r="IVF254" s="9"/>
      <c r="IVG254" s="9"/>
      <c r="IVH254" s="9"/>
      <c r="IVI254" s="9"/>
      <c r="IVJ254" s="9"/>
      <c r="IVK254" s="9"/>
      <c r="IVL254" s="9"/>
      <c r="IVM254" s="9"/>
      <c r="IVN254" s="9"/>
      <c r="IVO254" s="9"/>
      <c r="IVP254" s="9"/>
      <c r="IVQ254" s="9"/>
      <c r="IVR254" s="9"/>
      <c r="IVS254" s="9"/>
      <c r="IVT254" s="9"/>
      <c r="IVU254" s="9"/>
      <c r="IVV254" s="9"/>
      <c r="IVW254" s="9"/>
      <c r="IVX254" s="9"/>
      <c r="IVY254" s="9"/>
      <c r="IVZ254" s="9"/>
      <c r="IWA254" s="9"/>
      <c r="IWB254" s="9"/>
      <c r="IWC254" s="9"/>
      <c r="IWD254" s="9"/>
      <c r="IWE254" s="9"/>
      <c r="IWF254" s="9"/>
      <c r="IWG254" s="9"/>
      <c r="IWH254" s="9"/>
      <c r="IWI254" s="9"/>
      <c r="IWJ254" s="9"/>
      <c r="IWK254" s="9"/>
      <c r="IWL254" s="9"/>
      <c r="IWM254" s="9"/>
      <c r="IWN254" s="9"/>
      <c r="IWO254" s="9"/>
      <c r="IWP254" s="9"/>
      <c r="IWQ254" s="9"/>
      <c r="IWR254" s="9"/>
      <c r="IWS254" s="9"/>
      <c r="IWT254" s="9"/>
      <c r="IWU254" s="9"/>
      <c r="IWV254" s="9"/>
      <c r="IWW254" s="9"/>
      <c r="IWX254" s="9"/>
      <c r="IWY254" s="9"/>
      <c r="IWZ254" s="9"/>
      <c r="IXA254" s="9"/>
      <c r="IXB254" s="9"/>
      <c r="IXC254" s="9"/>
      <c r="IXD254" s="9"/>
      <c r="IXE254" s="9"/>
      <c r="IXF254" s="9"/>
      <c r="IXG254" s="9"/>
      <c r="IXH254" s="9"/>
      <c r="IXI254" s="9"/>
      <c r="IXJ254" s="9"/>
      <c r="IXK254" s="9"/>
      <c r="IXL254" s="9"/>
      <c r="IXM254" s="9"/>
      <c r="IXN254" s="9"/>
      <c r="IXO254" s="9"/>
      <c r="IXP254" s="9"/>
      <c r="IXQ254" s="9"/>
      <c r="IXR254" s="9"/>
      <c r="IXS254" s="9"/>
      <c r="IXT254" s="9"/>
      <c r="IXU254" s="9"/>
      <c r="IXV254" s="9"/>
      <c r="IXW254" s="9"/>
      <c r="IXX254" s="9"/>
      <c r="IXY254" s="9"/>
      <c r="IXZ254" s="9"/>
      <c r="IYA254" s="9"/>
      <c r="IYB254" s="9"/>
      <c r="IYC254" s="9"/>
      <c r="IYD254" s="9"/>
      <c r="IYE254" s="9"/>
      <c r="IYF254" s="9"/>
      <c r="IYG254" s="9"/>
      <c r="IYH254" s="9"/>
      <c r="IYI254" s="9"/>
      <c r="IYJ254" s="9"/>
      <c r="IYK254" s="9"/>
      <c r="IYL254" s="9"/>
      <c r="IYM254" s="9"/>
      <c r="IYN254" s="9"/>
      <c r="IYO254" s="9"/>
      <c r="IYP254" s="9"/>
      <c r="IYQ254" s="9"/>
      <c r="IYR254" s="9"/>
      <c r="IYS254" s="9"/>
      <c r="IYT254" s="9"/>
      <c r="IYU254" s="9"/>
      <c r="IYV254" s="9"/>
      <c r="IYW254" s="9"/>
      <c r="IYX254" s="9"/>
      <c r="IYY254" s="9"/>
      <c r="IYZ254" s="9"/>
      <c r="IZA254" s="9"/>
      <c r="IZB254" s="9"/>
      <c r="IZC254" s="9"/>
      <c r="IZD254" s="9"/>
      <c r="IZE254" s="9"/>
      <c r="IZF254" s="9"/>
      <c r="IZG254" s="9"/>
      <c r="IZH254" s="9"/>
      <c r="IZI254" s="9"/>
      <c r="IZJ254" s="9"/>
      <c r="IZK254" s="9"/>
      <c r="IZL254" s="9"/>
      <c r="IZM254" s="9"/>
      <c r="IZN254" s="9"/>
      <c r="IZO254" s="9"/>
      <c r="IZP254" s="9"/>
      <c r="IZQ254" s="9"/>
      <c r="IZR254" s="9"/>
      <c r="IZS254" s="9"/>
      <c r="IZT254" s="9"/>
      <c r="IZU254" s="9"/>
      <c r="IZV254" s="9"/>
      <c r="IZW254" s="9"/>
      <c r="IZX254" s="9"/>
      <c r="IZY254" s="9"/>
      <c r="IZZ254" s="9"/>
      <c r="JAA254" s="9"/>
      <c r="JAB254" s="9"/>
      <c r="JAC254" s="9"/>
      <c r="JAD254" s="9"/>
      <c r="JAE254" s="9"/>
      <c r="JAF254" s="9"/>
      <c r="JAG254" s="9"/>
      <c r="JAH254" s="9"/>
      <c r="JAI254" s="9"/>
      <c r="JAJ254" s="9"/>
      <c r="JAK254" s="9"/>
      <c r="JAL254" s="9"/>
      <c r="JAM254" s="9"/>
      <c r="JAN254" s="9"/>
      <c r="JAO254" s="9"/>
      <c r="JAP254" s="9"/>
      <c r="JAQ254" s="9"/>
      <c r="JAR254" s="9"/>
      <c r="JAS254" s="9"/>
      <c r="JAT254" s="9"/>
      <c r="JAU254" s="9"/>
      <c r="JAV254" s="9"/>
      <c r="JAW254" s="9"/>
      <c r="JAX254" s="9"/>
      <c r="JAY254" s="9"/>
      <c r="JAZ254" s="9"/>
      <c r="JBA254" s="9"/>
      <c r="JBB254" s="9"/>
      <c r="JBC254" s="9"/>
      <c r="JBD254" s="9"/>
      <c r="JBE254" s="9"/>
      <c r="JBF254" s="9"/>
      <c r="JBG254" s="9"/>
      <c r="JBH254" s="9"/>
      <c r="JBI254" s="9"/>
      <c r="JBJ254" s="9"/>
      <c r="JBK254" s="9"/>
      <c r="JBL254" s="9"/>
      <c r="JBM254" s="9"/>
      <c r="JBN254" s="9"/>
      <c r="JBO254" s="9"/>
      <c r="JBP254" s="9"/>
      <c r="JBQ254" s="9"/>
      <c r="JBR254" s="9"/>
      <c r="JBS254" s="9"/>
      <c r="JBT254" s="9"/>
      <c r="JBU254" s="9"/>
      <c r="JBV254" s="9"/>
      <c r="JBW254" s="9"/>
      <c r="JBX254" s="9"/>
      <c r="JBY254" s="9"/>
      <c r="JBZ254" s="9"/>
      <c r="JCA254" s="9"/>
      <c r="JCB254" s="9"/>
      <c r="JCC254" s="9"/>
      <c r="JCD254" s="9"/>
      <c r="JCE254" s="9"/>
      <c r="JCF254" s="9"/>
      <c r="JCG254" s="9"/>
      <c r="JCH254" s="9"/>
      <c r="JCI254" s="9"/>
      <c r="JCJ254" s="9"/>
      <c r="JCK254" s="9"/>
      <c r="JCL254" s="9"/>
      <c r="JCM254" s="9"/>
      <c r="JCN254" s="9"/>
      <c r="JCO254" s="9"/>
      <c r="JCP254" s="9"/>
      <c r="JCQ254" s="9"/>
      <c r="JCR254" s="9"/>
      <c r="JCS254" s="9"/>
      <c r="JCT254" s="9"/>
      <c r="JCU254" s="9"/>
      <c r="JCV254" s="9"/>
      <c r="JCW254" s="9"/>
      <c r="JCX254" s="9"/>
      <c r="JCY254" s="9"/>
      <c r="JCZ254" s="9"/>
      <c r="JDA254" s="9"/>
      <c r="JDB254" s="9"/>
      <c r="JDC254" s="9"/>
      <c r="JDD254" s="9"/>
      <c r="JDE254" s="9"/>
      <c r="JDF254" s="9"/>
      <c r="JDG254" s="9"/>
      <c r="JDH254" s="9"/>
      <c r="JDI254" s="9"/>
      <c r="JDJ254" s="9"/>
      <c r="JDK254" s="9"/>
      <c r="JDL254" s="9"/>
      <c r="JDM254" s="9"/>
      <c r="JDN254" s="9"/>
      <c r="JDO254" s="9"/>
      <c r="JDP254" s="9"/>
      <c r="JDQ254" s="9"/>
      <c r="JDR254" s="9"/>
      <c r="JDS254" s="9"/>
      <c r="JDT254" s="9"/>
      <c r="JDU254" s="9"/>
      <c r="JDV254" s="9"/>
      <c r="JDW254" s="9"/>
      <c r="JDX254" s="9"/>
      <c r="JDY254" s="9"/>
      <c r="JDZ254" s="9"/>
      <c r="JEA254" s="9"/>
      <c r="JEB254" s="9"/>
      <c r="JEC254" s="9"/>
      <c r="JED254" s="9"/>
      <c r="JEE254" s="9"/>
      <c r="JEF254" s="9"/>
      <c r="JEG254" s="9"/>
      <c r="JEH254" s="9"/>
      <c r="JEI254" s="9"/>
      <c r="JEJ254" s="9"/>
      <c r="JEK254" s="9"/>
      <c r="JEL254" s="9"/>
      <c r="JEM254" s="9"/>
      <c r="JEN254" s="9"/>
      <c r="JEO254" s="9"/>
      <c r="JEP254" s="9"/>
      <c r="JEQ254" s="9"/>
      <c r="JER254" s="9"/>
      <c r="JES254" s="9"/>
      <c r="JET254" s="9"/>
      <c r="JEU254" s="9"/>
      <c r="JEV254" s="9"/>
      <c r="JEW254" s="9"/>
      <c r="JEX254" s="9"/>
      <c r="JEY254" s="9"/>
      <c r="JEZ254" s="9"/>
      <c r="JFA254" s="9"/>
      <c r="JFB254" s="9"/>
      <c r="JFC254" s="9"/>
      <c r="JFD254" s="9"/>
      <c r="JFE254" s="9"/>
      <c r="JFF254" s="9"/>
      <c r="JFG254" s="9"/>
      <c r="JFH254" s="9"/>
      <c r="JFI254" s="9"/>
      <c r="JFJ254" s="9"/>
      <c r="JFK254" s="9"/>
      <c r="JFL254" s="9"/>
      <c r="JFM254" s="9"/>
      <c r="JFN254" s="9"/>
      <c r="JFO254" s="9"/>
      <c r="JFP254" s="9"/>
      <c r="JFQ254" s="9"/>
      <c r="JFR254" s="9"/>
      <c r="JFS254" s="9"/>
      <c r="JFT254" s="9"/>
      <c r="JFU254" s="9"/>
      <c r="JFV254" s="9"/>
      <c r="JFW254" s="9"/>
      <c r="JFX254" s="9"/>
      <c r="JFY254" s="9"/>
      <c r="JFZ254" s="9"/>
      <c r="JGA254" s="9"/>
      <c r="JGB254" s="9"/>
      <c r="JGC254" s="9"/>
      <c r="JGD254" s="9"/>
      <c r="JGE254" s="9"/>
      <c r="JGF254" s="9"/>
      <c r="JGG254" s="9"/>
      <c r="JGH254" s="9"/>
      <c r="JGI254" s="9"/>
      <c r="JGJ254" s="9"/>
      <c r="JGK254" s="9"/>
      <c r="JGL254" s="9"/>
      <c r="JGM254" s="9"/>
      <c r="JGN254" s="9"/>
      <c r="JGO254" s="9"/>
      <c r="JGP254" s="9"/>
      <c r="JGQ254" s="9"/>
      <c r="JGR254" s="9"/>
      <c r="JGS254" s="9"/>
      <c r="JGT254" s="9"/>
      <c r="JGU254" s="9"/>
      <c r="JGV254" s="9"/>
      <c r="JGW254" s="9"/>
      <c r="JGX254" s="9"/>
      <c r="JGY254" s="9"/>
      <c r="JGZ254" s="9"/>
      <c r="JHA254" s="9"/>
      <c r="JHB254" s="9"/>
      <c r="JHC254" s="9"/>
      <c r="JHD254" s="9"/>
      <c r="JHE254" s="9"/>
      <c r="JHF254" s="9"/>
      <c r="JHG254" s="9"/>
      <c r="JHH254" s="9"/>
      <c r="JHI254" s="9"/>
      <c r="JHJ254" s="9"/>
      <c r="JHK254" s="9"/>
      <c r="JHL254" s="9"/>
      <c r="JHM254" s="9"/>
      <c r="JHN254" s="9"/>
      <c r="JHO254" s="9"/>
      <c r="JHP254" s="9"/>
      <c r="JHQ254" s="9"/>
      <c r="JHR254" s="9"/>
      <c r="JHS254" s="9"/>
      <c r="JHT254" s="9"/>
      <c r="JHU254" s="9"/>
      <c r="JHV254" s="9"/>
      <c r="JHW254" s="9"/>
      <c r="JHX254" s="9"/>
      <c r="JHY254" s="9"/>
      <c r="JHZ254" s="9"/>
      <c r="JIA254" s="9"/>
      <c r="JIB254" s="9"/>
      <c r="JIC254" s="9"/>
      <c r="JID254" s="9"/>
      <c r="JIE254" s="9"/>
      <c r="JIF254" s="9"/>
      <c r="JIG254" s="9"/>
      <c r="JIH254" s="9"/>
      <c r="JII254" s="9"/>
      <c r="JIJ254" s="9"/>
      <c r="JIK254" s="9"/>
      <c r="JIL254" s="9"/>
      <c r="JIM254" s="9"/>
      <c r="JIN254" s="9"/>
      <c r="JIO254" s="9"/>
      <c r="JIP254" s="9"/>
      <c r="JIQ254" s="9"/>
      <c r="JIR254" s="9"/>
      <c r="JIS254" s="9"/>
      <c r="JIT254" s="9"/>
      <c r="JIU254" s="9"/>
      <c r="JIV254" s="9"/>
      <c r="JIW254" s="9"/>
      <c r="JIX254" s="9"/>
      <c r="JIY254" s="9"/>
      <c r="JIZ254" s="9"/>
      <c r="JJA254" s="9"/>
      <c r="JJB254" s="9"/>
      <c r="JJC254" s="9"/>
      <c r="JJD254" s="9"/>
      <c r="JJE254" s="9"/>
      <c r="JJF254" s="9"/>
      <c r="JJG254" s="9"/>
      <c r="JJH254" s="9"/>
      <c r="JJI254" s="9"/>
      <c r="JJJ254" s="9"/>
      <c r="JJK254" s="9"/>
      <c r="JJL254" s="9"/>
      <c r="JJM254" s="9"/>
      <c r="JJN254" s="9"/>
      <c r="JJO254" s="9"/>
      <c r="JJP254" s="9"/>
      <c r="JJQ254" s="9"/>
      <c r="JJR254" s="9"/>
      <c r="JJS254" s="9"/>
      <c r="JJT254" s="9"/>
      <c r="JJU254" s="9"/>
      <c r="JJV254" s="9"/>
      <c r="JJW254" s="9"/>
      <c r="JJX254" s="9"/>
      <c r="JJY254" s="9"/>
      <c r="JJZ254" s="9"/>
      <c r="JKA254" s="9"/>
      <c r="JKB254" s="9"/>
      <c r="JKC254" s="9"/>
      <c r="JKD254" s="9"/>
      <c r="JKE254" s="9"/>
      <c r="JKF254" s="9"/>
      <c r="JKG254" s="9"/>
      <c r="JKH254" s="9"/>
      <c r="JKI254" s="9"/>
      <c r="JKJ254" s="9"/>
      <c r="JKK254" s="9"/>
      <c r="JKL254" s="9"/>
      <c r="JKM254" s="9"/>
      <c r="JKN254" s="9"/>
      <c r="JKO254" s="9"/>
      <c r="JKP254" s="9"/>
      <c r="JKQ254" s="9"/>
      <c r="JKR254" s="9"/>
      <c r="JKS254" s="9"/>
      <c r="JKT254" s="9"/>
      <c r="JKU254" s="9"/>
      <c r="JKV254" s="9"/>
      <c r="JKW254" s="9"/>
      <c r="JKX254" s="9"/>
      <c r="JKY254" s="9"/>
      <c r="JKZ254" s="9"/>
      <c r="JLA254" s="9"/>
      <c r="JLB254" s="9"/>
      <c r="JLC254" s="9"/>
      <c r="JLD254" s="9"/>
      <c r="JLE254" s="9"/>
      <c r="JLF254" s="9"/>
      <c r="JLG254" s="9"/>
      <c r="JLH254" s="9"/>
      <c r="JLI254" s="9"/>
      <c r="JLJ254" s="9"/>
      <c r="JLK254" s="9"/>
      <c r="JLL254" s="9"/>
      <c r="JLM254" s="9"/>
      <c r="JLN254" s="9"/>
      <c r="JLO254" s="9"/>
      <c r="JLP254" s="9"/>
      <c r="JLQ254" s="9"/>
      <c r="JLR254" s="9"/>
      <c r="JLS254" s="9"/>
      <c r="JLT254" s="9"/>
      <c r="JLU254" s="9"/>
      <c r="JLV254" s="9"/>
      <c r="JLW254" s="9"/>
      <c r="JLX254" s="9"/>
      <c r="JLY254" s="9"/>
      <c r="JLZ254" s="9"/>
      <c r="JMA254" s="9"/>
      <c r="JMB254" s="9"/>
      <c r="JMC254" s="9"/>
      <c r="JMD254" s="9"/>
      <c r="JME254" s="9"/>
      <c r="JMF254" s="9"/>
      <c r="JMG254" s="9"/>
      <c r="JMH254" s="9"/>
      <c r="JMI254" s="9"/>
      <c r="JMJ254" s="9"/>
      <c r="JMK254" s="9"/>
      <c r="JML254" s="9"/>
      <c r="JMM254" s="9"/>
      <c r="JMN254" s="9"/>
      <c r="JMO254" s="9"/>
      <c r="JMP254" s="9"/>
      <c r="JMQ254" s="9"/>
      <c r="JMR254" s="9"/>
      <c r="JMS254" s="9"/>
      <c r="JMT254" s="9"/>
      <c r="JMU254" s="9"/>
      <c r="JMV254" s="9"/>
      <c r="JMW254" s="9"/>
      <c r="JMX254" s="9"/>
      <c r="JMY254" s="9"/>
      <c r="JMZ254" s="9"/>
      <c r="JNA254" s="9"/>
      <c r="JNB254" s="9"/>
      <c r="JNC254" s="9"/>
      <c r="JND254" s="9"/>
      <c r="JNE254" s="9"/>
      <c r="JNF254" s="9"/>
      <c r="JNG254" s="9"/>
      <c r="JNH254" s="9"/>
      <c r="JNI254" s="9"/>
      <c r="JNJ254" s="9"/>
      <c r="JNK254" s="9"/>
      <c r="JNL254" s="9"/>
      <c r="JNM254" s="9"/>
      <c r="JNN254" s="9"/>
      <c r="JNO254" s="9"/>
      <c r="JNP254" s="9"/>
      <c r="JNQ254" s="9"/>
      <c r="JNR254" s="9"/>
      <c r="JNS254" s="9"/>
      <c r="JNT254" s="9"/>
      <c r="JNU254" s="9"/>
      <c r="JNV254" s="9"/>
      <c r="JNW254" s="9"/>
      <c r="JNX254" s="9"/>
      <c r="JNY254" s="9"/>
      <c r="JNZ254" s="9"/>
      <c r="JOA254" s="9"/>
      <c r="JOB254" s="9"/>
      <c r="JOC254" s="9"/>
      <c r="JOD254" s="9"/>
      <c r="JOE254" s="9"/>
      <c r="JOF254" s="9"/>
      <c r="JOG254" s="9"/>
      <c r="JOH254" s="9"/>
      <c r="JOI254" s="9"/>
      <c r="JOJ254" s="9"/>
      <c r="JOK254" s="9"/>
      <c r="JOL254" s="9"/>
      <c r="JOM254" s="9"/>
      <c r="JON254" s="9"/>
      <c r="JOO254" s="9"/>
      <c r="JOP254" s="9"/>
      <c r="JOQ254" s="9"/>
      <c r="JOR254" s="9"/>
      <c r="JOS254" s="9"/>
      <c r="JOT254" s="9"/>
      <c r="JOU254" s="9"/>
      <c r="JOV254" s="9"/>
      <c r="JOW254" s="9"/>
      <c r="JOX254" s="9"/>
      <c r="JOY254" s="9"/>
      <c r="JOZ254" s="9"/>
      <c r="JPA254" s="9"/>
      <c r="JPB254" s="9"/>
      <c r="JPC254" s="9"/>
      <c r="JPD254" s="9"/>
      <c r="JPE254" s="9"/>
      <c r="JPF254" s="9"/>
      <c r="JPG254" s="9"/>
      <c r="JPH254" s="9"/>
      <c r="JPI254" s="9"/>
      <c r="JPJ254" s="9"/>
      <c r="JPK254" s="9"/>
      <c r="JPL254" s="9"/>
      <c r="JPM254" s="9"/>
      <c r="JPN254" s="9"/>
      <c r="JPO254" s="9"/>
      <c r="JPP254" s="9"/>
      <c r="JPQ254" s="9"/>
      <c r="JPR254" s="9"/>
      <c r="JPS254" s="9"/>
      <c r="JPT254" s="9"/>
      <c r="JPU254" s="9"/>
      <c r="JPV254" s="9"/>
      <c r="JPW254" s="9"/>
      <c r="JPX254" s="9"/>
      <c r="JPY254" s="9"/>
      <c r="JPZ254" s="9"/>
      <c r="JQA254" s="9"/>
      <c r="JQB254" s="9"/>
      <c r="JQC254" s="9"/>
      <c r="JQD254" s="9"/>
      <c r="JQE254" s="9"/>
      <c r="JQF254" s="9"/>
      <c r="JQG254" s="9"/>
      <c r="JQH254" s="9"/>
      <c r="JQI254" s="9"/>
      <c r="JQJ254" s="9"/>
      <c r="JQK254" s="9"/>
      <c r="JQL254" s="9"/>
      <c r="JQM254" s="9"/>
      <c r="JQN254" s="9"/>
      <c r="JQO254" s="9"/>
      <c r="JQP254" s="9"/>
      <c r="JQQ254" s="9"/>
      <c r="JQR254" s="9"/>
      <c r="JQS254" s="9"/>
      <c r="JQT254" s="9"/>
      <c r="JQU254" s="9"/>
      <c r="JQV254" s="9"/>
      <c r="JQW254" s="9"/>
      <c r="JQX254" s="9"/>
      <c r="JQY254" s="9"/>
      <c r="JQZ254" s="9"/>
      <c r="JRA254" s="9"/>
      <c r="JRB254" s="9"/>
      <c r="JRC254" s="9"/>
      <c r="JRD254" s="9"/>
      <c r="JRE254" s="9"/>
      <c r="JRF254" s="9"/>
      <c r="JRG254" s="9"/>
      <c r="JRH254" s="9"/>
      <c r="JRI254" s="9"/>
      <c r="JRJ254" s="9"/>
      <c r="JRK254" s="9"/>
      <c r="JRL254" s="9"/>
      <c r="JRM254" s="9"/>
      <c r="JRN254" s="9"/>
      <c r="JRO254" s="9"/>
      <c r="JRP254" s="9"/>
      <c r="JRQ254" s="9"/>
      <c r="JRR254" s="9"/>
      <c r="JRS254" s="9"/>
      <c r="JRT254" s="9"/>
      <c r="JRU254" s="9"/>
      <c r="JRV254" s="9"/>
      <c r="JRW254" s="9"/>
      <c r="JRX254" s="9"/>
      <c r="JRY254" s="9"/>
      <c r="JRZ254" s="9"/>
      <c r="JSA254" s="9"/>
      <c r="JSB254" s="9"/>
      <c r="JSC254" s="9"/>
      <c r="JSD254" s="9"/>
      <c r="JSE254" s="9"/>
      <c r="JSF254" s="9"/>
      <c r="JSG254" s="9"/>
      <c r="JSH254" s="9"/>
      <c r="JSI254" s="9"/>
      <c r="JSJ254" s="9"/>
      <c r="JSK254" s="9"/>
      <c r="JSL254" s="9"/>
      <c r="JSM254" s="9"/>
      <c r="JSN254" s="9"/>
      <c r="JSO254" s="9"/>
      <c r="JSP254" s="9"/>
      <c r="JSQ254" s="9"/>
      <c r="JSR254" s="9"/>
      <c r="JSS254" s="9"/>
      <c r="JST254" s="9"/>
      <c r="JSU254" s="9"/>
      <c r="JSV254" s="9"/>
      <c r="JSW254" s="9"/>
      <c r="JSX254" s="9"/>
      <c r="JSY254" s="9"/>
      <c r="JSZ254" s="9"/>
      <c r="JTA254" s="9"/>
      <c r="JTB254" s="9"/>
      <c r="JTC254" s="9"/>
      <c r="JTD254" s="9"/>
      <c r="JTE254" s="9"/>
      <c r="JTF254" s="9"/>
      <c r="JTG254" s="9"/>
      <c r="JTH254" s="9"/>
      <c r="JTI254" s="9"/>
      <c r="JTJ254" s="9"/>
      <c r="JTK254" s="9"/>
      <c r="JTL254" s="9"/>
      <c r="JTM254" s="9"/>
      <c r="JTN254" s="9"/>
      <c r="JTO254" s="9"/>
      <c r="JTP254" s="9"/>
      <c r="JTQ254" s="9"/>
      <c r="JTR254" s="9"/>
      <c r="JTS254" s="9"/>
      <c r="JTT254" s="9"/>
      <c r="JTU254" s="9"/>
      <c r="JTV254" s="9"/>
      <c r="JTW254" s="9"/>
      <c r="JTX254" s="9"/>
      <c r="JTY254" s="9"/>
      <c r="JTZ254" s="9"/>
      <c r="JUA254" s="9"/>
      <c r="JUB254" s="9"/>
      <c r="JUC254" s="9"/>
      <c r="JUD254" s="9"/>
      <c r="JUE254" s="9"/>
      <c r="JUF254" s="9"/>
      <c r="JUG254" s="9"/>
      <c r="JUH254" s="9"/>
      <c r="JUI254" s="9"/>
      <c r="JUJ254" s="9"/>
      <c r="JUK254" s="9"/>
      <c r="JUL254" s="9"/>
      <c r="JUM254" s="9"/>
      <c r="JUN254" s="9"/>
      <c r="JUO254" s="9"/>
      <c r="JUP254" s="9"/>
      <c r="JUQ254" s="9"/>
      <c r="JUR254" s="9"/>
      <c r="JUS254" s="9"/>
      <c r="JUT254" s="9"/>
      <c r="JUU254" s="9"/>
      <c r="JUV254" s="9"/>
      <c r="JUW254" s="9"/>
      <c r="JUX254" s="9"/>
      <c r="JUY254" s="9"/>
      <c r="JUZ254" s="9"/>
      <c r="JVA254" s="9"/>
      <c r="JVB254" s="9"/>
      <c r="JVC254" s="9"/>
      <c r="JVD254" s="9"/>
      <c r="JVE254" s="9"/>
      <c r="JVF254" s="9"/>
      <c r="JVG254" s="9"/>
      <c r="JVH254" s="9"/>
      <c r="JVI254" s="9"/>
      <c r="JVJ254" s="9"/>
      <c r="JVK254" s="9"/>
      <c r="JVL254" s="9"/>
      <c r="JVM254" s="9"/>
      <c r="JVN254" s="9"/>
      <c r="JVO254" s="9"/>
      <c r="JVP254" s="9"/>
      <c r="JVQ254" s="9"/>
      <c r="JVR254" s="9"/>
      <c r="JVS254" s="9"/>
      <c r="JVT254" s="9"/>
      <c r="JVU254" s="9"/>
      <c r="JVV254" s="9"/>
      <c r="JVW254" s="9"/>
      <c r="JVX254" s="9"/>
      <c r="JVY254" s="9"/>
      <c r="JVZ254" s="9"/>
      <c r="JWA254" s="9"/>
      <c r="JWB254" s="9"/>
      <c r="JWC254" s="9"/>
      <c r="JWD254" s="9"/>
      <c r="JWE254" s="9"/>
      <c r="JWF254" s="9"/>
      <c r="JWG254" s="9"/>
      <c r="JWH254" s="9"/>
      <c r="JWI254" s="9"/>
      <c r="JWJ254" s="9"/>
      <c r="JWK254" s="9"/>
      <c r="JWL254" s="9"/>
      <c r="JWM254" s="9"/>
      <c r="JWN254" s="9"/>
      <c r="JWO254" s="9"/>
      <c r="JWP254" s="9"/>
      <c r="JWQ254" s="9"/>
      <c r="JWR254" s="9"/>
      <c r="JWS254" s="9"/>
      <c r="JWT254" s="9"/>
      <c r="JWU254" s="9"/>
      <c r="JWV254" s="9"/>
      <c r="JWW254" s="9"/>
      <c r="JWX254" s="9"/>
      <c r="JWY254" s="9"/>
      <c r="JWZ254" s="9"/>
      <c r="JXA254" s="9"/>
      <c r="JXB254" s="9"/>
      <c r="JXC254" s="9"/>
      <c r="JXD254" s="9"/>
      <c r="JXE254" s="9"/>
      <c r="JXF254" s="9"/>
      <c r="JXG254" s="9"/>
      <c r="JXH254" s="9"/>
      <c r="JXI254" s="9"/>
      <c r="JXJ254" s="9"/>
      <c r="JXK254" s="9"/>
      <c r="JXL254" s="9"/>
      <c r="JXM254" s="9"/>
      <c r="JXN254" s="9"/>
      <c r="JXO254" s="9"/>
      <c r="JXP254" s="9"/>
      <c r="JXQ254" s="9"/>
      <c r="JXR254" s="9"/>
      <c r="JXS254" s="9"/>
      <c r="JXT254" s="9"/>
      <c r="JXU254" s="9"/>
      <c r="JXV254" s="9"/>
      <c r="JXW254" s="9"/>
      <c r="JXX254" s="9"/>
      <c r="JXY254" s="9"/>
      <c r="JXZ254" s="9"/>
      <c r="JYA254" s="9"/>
      <c r="JYB254" s="9"/>
      <c r="JYC254" s="9"/>
      <c r="JYD254" s="9"/>
      <c r="JYE254" s="9"/>
      <c r="JYF254" s="9"/>
      <c r="JYG254" s="9"/>
      <c r="JYH254" s="9"/>
      <c r="JYI254" s="9"/>
      <c r="JYJ254" s="9"/>
      <c r="JYK254" s="9"/>
      <c r="JYL254" s="9"/>
      <c r="JYM254" s="9"/>
      <c r="JYN254" s="9"/>
      <c r="JYO254" s="9"/>
      <c r="JYP254" s="9"/>
      <c r="JYQ254" s="9"/>
      <c r="JYR254" s="9"/>
      <c r="JYS254" s="9"/>
      <c r="JYT254" s="9"/>
      <c r="JYU254" s="9"/>
      <c r="JYV254" s="9"/>
      <c r="JYW254" s="9"/>
      <c r="JYX254" s="9"/>
      <c r="JYY254" s="9"/>
      <c r="JYZ254" s="9"/>
      <c r="JZA254" s="9"/>
      <c r="JZB254" s="9"/>
      <c r="JZC254" s="9"/>
      <c r="JZD254" s="9"/>
      <c r="JZE254" s="9"/>
      <c r="JZF254" s="9"/>
      <c r="JZG254" s="9"/>
      <c r="JZH254" s="9"/>
      <c r="JZI254" s="9"/>
      <c r="JZJ254" s="9"/>
      <c r="JZK254" s="9"/>
      <c r="JZL254" s="9"/>
      <c r="JZM254" s="9"/>
      <c r="JZN254" s="9"/>
      <c r="JZO254" s="9"/>
      <c r="JZP254" s="9"/>
      <c r="JZQ254" s="9"/>
      <c r="JZR254" s="9"/>
      <c r="JZS254" s="9"/>
      <c r="JZT254" s="9"/>
      <c r="JZU254" s="9"/>
      <c r="JZV254" s="9"/>
      <c r="JZW254" s="9"/>
      <c r="JZX254" s="9"/>
      <c r="JZY254" s="9"/>
      <c r="JZZ254" s="9"/>
      <c r="KAA254" s="9"/>
      <c r="KAB254" s="9"/>
      <c r="KAC254" s="9"/>
      <c r="KAD254" s="9"/>
      <c r="KAE254" s="9"/>
      <c r="KAF254" s="9"/>
      <c r="KAG254" s="9"/>
      <c r="KAH254" s="9"/>
      <c r="KAI254" s="9"/>
      <c r="KAJ254" s="9"/>
      <c r="KAK254" s="9"/>
      <c r="KAL254" s="9"/>
      <c r="KAM254" s="9"/>
      <c r="KAN254" s="9"/>
      <c r="KAO254" s="9"/>
      <c r="KAP254" s="9"/>
      <c r="KAQ254" s="9"/>
      <c r="KAR254" s="9"/>
      <c r="KAS254" s="9"/>
      <c r="KAT254" s="9"/>
      <c r="KAU254" s="9"/>
      <c r="KAV254" s="9"/>
      <c r="KAW254" s="9"/>
      <c r="KAX254" s="9"/>
      <c r="KAY254" s="9"/>
      <c r="KAZ254" s="9"/>
      <c r="KBA254" s="9"/>
      <c r="KBB254" s="9"/>
      <c r="KBC254" s="9"/>
      <c r="KBD254" s="9"/>
      <c r="KBE254" s="9"/>
      <c r="KBF254" s="9"/>
      <c r="KBG254" s="9"/>
      <c r="KBH254" s="9"/>
      <c r="KBI254" s="9"/>
      <c r="KBJ254" s="9"/>
      <c r="KBK254" s="9"/>
      <c r="KBL254" s="9"/>
      <c r="KBM254" s="9"/>
      <c r="KBN254" s="9"/>
      <c r="KBO254" s="9"/>
      <c r="KBP254" s="9"/>
      <c r="KBQ254" s="9"/>
      <c r="KBR254" s="9"/>
      <c r="KBS254" s="9"/>
      <c r="KBT254" s="9"/>
      <c r="KBU254" s="9"/>
      <c r="KBV254" s="9"/>
      <c r="KBW254" s="9"/>
      <c r="KBX254" s="9"/>
      <c r="KBY254" s="9"/>
      <c r="KBZ254" s="9"/>
      <c r="KCA254" s="9"/>
      <c r="KCB254" s="9"/>
      <c r="KCC254" s="9"/>
      <c r="KCD254" s="9"/>
      <c r="KCE254" s="9"/>
      <c r="KCF254" s="9"/>
      <c r="KCG254" s="9"/>
      <c r="KCH254" s="9"/>
      <c r="KCI254" s="9"/>
      <c r="KCJ254" s="9"/>
      <c r="KCK254" s="9"/>
      <c r="KCL254" s="9"/>
      <c r="KCM254" s="9"/>
      <c r="KCN254" s="9"/>
      <c r="KCO254" s="9"/>
      <c r="KCP254" s="9"/>
      <c r="KCQ254" s="9"/>
      <c r="KCR254" s="9"/>
      <c r="KCS254" s="9"/>
      <c r="KCT254" s="9"/>
      <c r="KCU254" s="9"/>
      <c r="KCV254" s="9"/>
      <c r="KCW254" s="9"/>
      <c r="KCX254" s="9"/>
      <c r="KCY254" s="9"/>
      <c r="KCZ254" s="9"/>
      <c r="KDA254" s="9"/>
      <c r="KDB254" s="9"/>
      <c r="KDC254" s="9"/>
      <c r="KDD254" s="9"/>
      <c r="KDE254" s="9"/>
      <c r="KDF254" s="9"/>
      <c r="KDG254" s="9"/>
      <c r="KDH254" s="9"/>
      <c r="KDI254" s="9"/>
      <c r="KDJ254" s="9"/>
      <c r="KDK254" s="9"/>
      <c r="KDL254" s="9"/>
      <c r="KDM254" s="9"/>
      <c r="KDN254" s="9"/>
      <c r="KDO254" s="9"/>
      <c r="KDP254" s="9"/>
      <c r="KDQ254" s="9"/>
      <c r="KDR254" s="9"/>
      <c r="KDS254" s="9"/>
      <c r="KDT254" s="9"/>
      <c r="KDU254" s="9"/>
      <c r="KDV254" s="9"/>
      <c r="KDW254" s="9"/>
      <c r="KDX254" s="9"/>
      <c r="KDY254" s="9"/>
      <c r="KDZ254" s="9"/>
      <c r="KEA254" s="9"/>
      <c r="KEB254" s="9"/>
      <c r="KEC254" s="9"/>
      <c r="KED254" s="9"/>
      <c r="KEE254" s="9"/>
      <c r="KEF254" s="9"/>
      <c r="KEG254" s="9"/>
      <c r="KEH254" s="9"/>
      <c r="KEI254" s="9"/>
      <c r="KEJ254" s="9"/>
      <c r="KEK254" s="9"/>
      <c r="KEL254" s="9"/>
      <c r="KEM254" s="9"/>
      <c r="KEN254" s="9"/>
      <c r="KEO254" s="9"/>
      <c r="KEP254" s="9"/>
      <c r="KEQ254" s="9"/>
      <c r="KER254" s="9"/>
      <c r="KES254" s="9"/>
      <c r="KET254" s="9"/>
      <c r="KEU254" s="9"/>
      <c r="KEV254" s="9"/>
      <c r="KEW254" s="9"/>
      <c r="KEX254" s="9"/>
      <c r="KEY254" s="9"/>
      <c r="KEZ254" s="9"/>
      <c r="KFA254" s="9"/>
      <c r="KFB254" s="9"/>
      <c r="KFC254" s="9"/>
      <c r="KFD254" s="9"/>
      <c r="KFE254" s="9"/>
      <c r="KFF254" s="9"/>
      <c r="KFG254" s="9"/>
      <c r="KFH254" s="9"/>
      <c r="KFI254" s="9"/>
      <c r="KFJ254" s="9"/>
      <c r="KFK254" s="9"/>
      <c r="KFL254" s="9"/>
      <c r="KFM254" s="9"/>
      <c r="KFN254" s="9"/>
      <c r="KFO254" s="9"/>
      <c r="KFP254" s="9"/>
      <c r="KFQ254" s="9"/>
      <c r="KFR254" s="9"/>
      <c r="KFS254" s="9"/>
      <c r="KFT254" s="9"/>
      <c r="KFU254" s="9"/>
      <c r="KFV254" s="9"/>
      <c r="KFW254" s="9"/>
      <c r="KFX254" s="9"/>
      <c r="KFY254" s="9"/>
      <c r="KFZ254" s="9"/>
      <c r="KGA254" s="9"/>
      <c r="KGB254" s="9"/>
      <c r="KGC254" s="9"/>
      <c r="KGD254" s="9"/>
      <c r="KGE254" s="9"/>
      <c r="KGF254" s="9"/>
      <c r="KGG254" s="9"/>
      <c r="KGH254" s="9"/>
      <c r="KGI254" s="9"/>
      <c r="KGJ254" s="9"/>
      <c r="KGK254" s="9"/>
      <c r="KGL254" s="9"/>
      <c r="KGM254" s="9"/>
      <c r="KGN254" s="9"/>
      <c r="KGO254" s="9"/>
      <c r="KGP254" s="9"/>
      <c r="KGQ254" s="9"/>
      <c r="KGR254" s="9"/>
      <c r="KGS254" s="9"/>
      <c r="KGT254" s="9"/>
      <c r="KGU254" s="9"/>
      <c r="KGV254" s="9"/>
      <c r="KGW254" s="9"/>
      <c r="KGX254" s="9"/>
      <c r="KGY254" s="9"/>
      <c r="KGZ254" s="9"/>
      <c r="KHA254" s="9"/>
      <c r="KHB254" s="9"/>
      <c r="KHC254" s="9"/>
      <c r="KHD254" s="9"/>
      <c r="KHE254" s="9"/>
      <c r="KHF254" s="9"/>
      <c r="KHG254" s="9"/>
      <c r="KHH254" s="9"/>
      <c r="KHI254" s="9"/>
      <c r="KHJ254" s="9"/>
      <c r="KHK254" s="9"/>
      <c r="KHL254" s="9"/>
      <c r="KHM254" s="9"/>
      <c r="KHN254" s="9"/>
      <c r="KHO254" s="9"/>
      <c r="KHP254" s="9"/>
      <c r="KHQ254" s="9"/>
      <c r="KHR254" s="9"/>
      <c r="KHS254" s="9"/>
      <c r="KHT254" s="9"/>
      <c r="KHU254" s="9"/>
      <c r="KHV254" s="9"/>
      <c r="KHW254" s="9"/>
      <c r="KHX254" s="9"/>
      <c r="KHY254" s="9"/>
      <c r="KHZ254" s="9"/>
      <c r="KIA254" s="9"/>
      <c r="KIB254" s="9"/>
      <c r="KIC254" s="9"/>
      <c r="KID254" s="9"/>
      <c r="KIE254" s="9"/>
      <c r="KIF254" s="9"/>
      <c r="KIG254" s="9"/>
      <c r="KIH254" s="9"/>
      <c r="KII254" s="9"/>
      <c r="KIJ254" s="9"/>
      <c r="KIK254" s="9"/>
      <c r="KIL254" s="9"/>
      <c r="KIM254" s="9"/>
      <c r="KIN254" s="9"/>
      <c r="KIO254" s="9"/>
      <c r="KIP254" s="9"/>
      <c r="KIQ254" s="9"/>
      <c r="KIR254" s="9"/>
      <c r="KIS254" s="9"/>
      <c r="KIT254" s="9"/>
      <c r="KIU254" s="9"/>
      <c r="KIV254" s="9"/>
      <c r="KIW254" s="9"/>
      <c r="KIX254" s="9"/>
      <c r="KIY254" s="9"/>
      <c r="KIZ254" s="9"/>
      <c r="KJA254" s="9"/>
      <c r="KJB254" s="9"/>
      <c r="KJC254" s="9"/>
      <c r="KJD254" s="9"/>
      <c r="KJE254" s="9"/>
      <c r="KJF254" s="9"/>
      <c r="KJG254" s="9"/>
      <c r="KJH254" s="9"/>
      <c r="KJI254" s="9"/>
      <c r="KJJ254" s="9"/>
      <c r="KJK254" s="9"/>
      <c r="KJL254" s="9"/>
      <c r="KJM254" s="9"/>
      <c r="KJN254" s="9"/>
      <c r="KJO254" s="9"/>
      <c r="KJP254" s="9"/>
      <c r="KJQ254" s="9"/>
      <c r="KJR254" s="9"/>
      <c r="KJS254" s="9"/>
      <c r="KJT254" s="9"/>
      <c r="KJU254" s="9"/>
      <c r="KJV254" s="9"/>
      <c r="KJW254" s="9"/>
      <c r="KJX254" s="9"/>
      <c r="KJY254" s="9"/>
      <c r="KJZ254" s="9"/>
      <c r="KKA254" s="9"/>
      <c r="KKB254" s="9"/>
      <c r="KKC254" s="9"/>
      <c r="KKD254" s="9"/>
      <c r="KKE254" s="9"/>
      <c r="KKF254" s="9"/>
      <c r="KKG254" s="9"/>
      <c r="KKH254" s="9"/>
      <c r="KKI254" s="9"/>
      <c r="KKJ254" s="9"/>
      <c r="KKK254" s="9"/>
      <c r="KKL254" s="9"/>
      <c r="KKM254" s="9"/>
      <c r="KKN254" s="9"/>
      <c r="KKO254" s="9"/>
      <c r="KKP254" s="9"/>
      <c r="KKQ254" s="9"/>
      <c r="KKR254" s="9"/>
      <c r="KKS254" s="9"/>
      <c r="KKT254" s="9"/>
      <c r="KKU254" s="9"/>
      <c r="KKV254" s="9"/>
      <c r="KKW254" s="9"/>
      <c r="KKX254" s="9"/>
      <c r="KKY254" s="9"/>
      <c r="KKZ254" s="9"/>
      <c r="KLA254" s="9"/>
      <c r="KLB254" s="9"/>
      <c r="KLC254" s="9"/>
      <c r="KLD254" s="9"/>
      <c r="KLE254" s="9"/>
      <c r="KLF254" s="9"/>
      <c r="KLG254" s="9"/>
      <c r="KLH254" s="9"/>
      <c r="KLI254" s="9"/>
      <c r="KLJ254" s="9"/>
      <c r="KLK254" s="9"/>
      <c r="KLL254" s="9"/>
      <c r="KLM254" s="9"/>
      <c r="KLN254" s="9"/>
      <c r="KLO254" s="9"/>
      <c r="KLP254" s="9"/>
      <c r="KLQ254" s="9"/>
      <c r="KLR254" s="9"/>
      <c r="KLS254" s="9"/>
      <c r="KLT254" s="9"/>
      <c r="KLU254" s="9"/>
      <c r="KLV254" s="9"/>
      <c r="KLW254" s="9"/>
      <c r="KLX254" s="9"/>
      <c r="KLY254" s="9"/>
      <c r="KLZ254" s="9"/>
      <c r="KMA254" s="9"/>
      <c r="KMB254" s="9"/>
      <c r="KMC254" s="9"/>
      <c r="KMD254" s="9"/>
      <c r="KME254" s="9"/>
      <c r="KMF254" s="9"/>
      <c r="KMG254" s="9"/>
      <c r="KMH254" s="9"/>
      <c r="KMI254" s="9"/>
      <c r="KMJ254" s="9"/>
      <c r="KMK254" s="9"/>
      <c r="KML254" s="9"/>
      <c r="KMM254" s="9"/>
      <c r="KMN254" s="9"/>
      <c r="KMO254" s="9"/>
      <c r="KMP254" s="9"/>
      <c r="KMQ254" s="9"/>
      <c r="KMR254" s="9"/>
      <c r="KMS254" s="9"/>
      <c r="KMT254" s="9"/>
      <c r="KMU254" s="9"/>
      <c r="KMV254" s="9"/>
      <c r="KMW254" s="9"/>
      <c r="KMX254" s="9"/>
      <c r="KMY254" s="9"/>
      <c r="KMZ254" s="9"/>
      <c r="KNA254" s="9"/>
      <c r="KNB254" s="9"/>
      <c r="KNC254" s="9"/>
      <c r="KND254" s="9"/>
      <c r="KNE254" s="9"/>
      <c r="KNF254" s="9"/>
      <c r="KNG254" s="9"/>
      <c r="KNH254" s="9"/>
      <c r="KNI254" s="9"/>
      <c r="KNJ254" s="9"/>
      <c r="KNK254" s="9"/>
      <c r="KNL254" s="9"/>
      <c r="KNM254" s="9"/>
      <c r="KNN254" s="9"/>
      <c r="KNO254" s="9"/>
      <c r="KNP254" s="9"/>
      <c r="KNQ254" s="9"/>
      <c r="KNR254" s="9"/>
      <c r="KNS254" s="9"/>
      <c r="KNT254" s="9"/>
      <c r="KNU254" s="9"/>
      <c r="KNV254" s="9"/>
      <c r="KNW254" s="9"/>
      <c r="KNX254" s="9"/>
      <c r="KNY254" s="9"/>
      <c r="KNZ254" s="9"/>
      <c r="KOA254" s="9"/>
      <c r="KOB254" s="9"/>
      <c r="KOC254" s="9"/>
      <c r="KOD254" s="9"/>
      <c r="KOE254" s="9"/>
      <c r="KOF254" s="9"/>
      <c r="KOG254" s="9"/>
      <c r="KOH254" s="9"/>
      <c r="KOI254" s="9"/>
      <c r="KOJ254" s="9"/>
      <c r="KOK254" s="9"/>
      <c r="KOL254" s="9"/>
      <c r="KOM254" s="9"/>
      <c r="KON254" s="9"/>
      <c r="KOO254" s="9"/>
      <c r="KOP254" s="9"/>
      <c r="KOQ254" s="9"/>
      <c r="KOR254" s="9"/>
      <c r="KOS254" s="9"/>
      <c r="KOT254" s="9"/>
      <c r="KOU254" s="9"/>
      <c r="KOV254" s="9"/>
      <c r="KOW254" s="9"/>
      <c r="KOX254" s="9"/>
      <c r="KOY254" s="9"/>
      <c r="KOZ254" s="9"/>
      <c r="KPA254" s="9"/>
      <c r="KPB254" s="9"/>
      <c r="KPC254" s="9"/>
      <c r="KPD254" s="9"/>
      <c r="KPE254" s="9"/>
      <c r="KPF254" s="9"/>
      <c r="KPG254" s="9"/>
      <c r="KPH254" s="9"/>
      <c r="KPI254" s="9"/>
      <c r="KPJ254" s="9"/>
      <c r="KPK254" s="9"/>
      <c r="KPL254" s="9"/>
      <c r="KPM254" s="9"/>
      <c r="KPN254" s="9"/>
      <c r="KPO254" s="9"/>
      <c r="KPP254" s="9"/>
      <c r="KPQ254" s="9"/>
      <c r="KPR254" s="9"/>
      <c r="KPS254" s="9"/>
      <c r="KPT254" s="9"/>
      <c r="KPU254" s="9"/>
      <c r="KPV254" s="9"/>
      <c r="KPW254" s="9"/>
      <c r="KPX254" s="9"/>
      <c r="KPY254" s="9"/>
      <c r="KPZ254" s="9"/>
      <c r="KQA254" s="9"/>
      <c r="KQB254" s="9"/>
      <c r="KQC254" s="9"/>
      <c r="KQD254" s="9"/>
      <c r="KQE254" s="9"/>
      <c r="KQF254" s="9"/>
      <c r="KQG254" s="9"/>
      <c r="KQH254" s="9"/>
      <c r="KQI254" s="9"/>
      <c r="KQJ254" s="9"/>
      <c r="KQK254" s="9"/>
      <c r="KQL254" s="9"/>
      <c r="KQM254" s="9"/>
      <c r="KQN254" s="9"/>
      <c r="KQO254" s="9"/>
      <c r="KQP254" s="9"/>
      <c r="KQQ254" s="9"/>
      <c r="KQR254" s="9"/>
      <c r="KQS254" s="9"/>
      <c r="KQT254" s="9"/>
      <c r="KQU254" s="9"/>
      <c r="KQV254" s="9"/>
      <c r="KQW254" s="9"/>
      <c r="KQX254" s="9"/>
      <c r="KQY254" s="9"/>
      <c r="KQZ254" s="9"/>
      <c r="KRA254" s="9"/>
      <c r="KRB254" s="9"/>
      <c r="KRC254" s="9"/>
      <c r="KRD254" s="9"/>
      <c r="KRE254" s="9"/>
      <c r="KRF254" s="9"/>
      <c r="KRG254" s="9"/>
      <c r="KRH254" s="9"/>
      <c r="KRI254" s="9"/>
      <c r="KRJ254" s="9"/>
      <c r="KRK254" s="9"/>
      <c r="KRL254" s="9"/>
      <c r="KRM254" s="9"/>
      <c r="KRN254" s="9"/>
      <c r="KRO254" s="9"/>
      <c r="KRP254" s="9"/>
      <c r="KRQ254" s="9"/>
      <c r="KRR254" s="9"/>
      <c r="KRS254" s="9"/>
      <c r="KRT254" s="9"/>
      <c r="KRU254" s="9"/>
      <c r="KRV254" s="9"/>
      <c r="KRW254" s="9"/>
      <c r="KRX254" s="9"/>
      <c r="KRY254" s="9"/>
      <c r="KRZ254" s="9"/>
      <c r="KSA254" s="9"/>
      <c r="KSB254" s="9"/>
      <c r="KSC254" s="9"/>
      <c r="KSD254" s="9"/>
      <c r="KSE254" s="9"/>
      <c r="KSF254" s="9"/>
      <c r="KSG254" s="9"/>
      <c r="KSH254" s="9"/>
      <c r="KSI254" s="9"/>
      <c r="KSJ254" s="9"/>
      <c r="KSK254" s="9"/>
      <c r="KSL254" s="9"/>
      <c r="KSM254" s="9"/>
      <c r="KSN254" s="9"/>
      <c r="KSO254" s="9"/>
      <c r="KSP254" s="9"/>
      <c r="KSQ254" s="9"/>
      <c r="KSR254" s="9"/>
      <c r="KSS254" s="9"/>
      <c r="KST254" s="9"/>
      <c r="KSU254" s="9"/>
      <c r="KSV254" s="9"/>
      <c r="KSW254" s="9"/>
      <c r="KSX254" s="9"/>
      <c r="KSY254" s="9"/>
      <c r="KSZ254" s="9"/>
      <c r="KTA254" s="9"/>
      <c r="KTB254" s="9"/>
      <c r="KTC254" s="9"/>
      <c r="KTD254" s="9"/>
      <c r="KTE254" s="9"/>
      <c r="KTF254" s="9"/>
      <c r="KTG254" s="9"/>
      <c r="KTH254" s="9"/>
      <c r="KTI254" s="9"/>
      <c r="KTJ254" s="9"/>
      <c r="KTK254" s="9"/>
      <c r="KTL254" s="9"/>
      <c r="KTM254" s="9"/>
      <c r="KTN254" s="9"/>
      <c r="KTO254" s="9"/>
      <c r="KTP254" s="9"/>
      <c r="KTQ254" s="9"/>
      <c r="KTR254" s="9"/>
      <c r="KTS254" s="9"/>
      <c r="KTT254" s="9"/>
      <c r="KTU254" s="9"/>
      <c r="KTV254" s="9"/>
      <c r="KTW254" s="9"/>
      <c r="KTX254" s="9"/>
      <c r="KTY254" s="9"/>
      <c r="KTZ254" s="9"/>
      <c r="KUA254" s="9"/>
      <c r="KUB254" s="9"/>
      <c r="KUC254" s="9"/>
      <c r="KUD254" s="9"/>
      <c r="KUE254" s="9"/>
      <c r="KUF254" s="9"/>
      <c r="KUG254" s="9"/>
      <c r="KUH254" s="9"/>
      <c r="KUI254" s="9"/>
      <c r="KUJ254" s="9"/>
      <c r="KUK254" s="9"/>
      <c r="KUL254" s="9"/>
      <c r="KUM254" s="9"/>
      <c r="KUN254" s="9"/>
      <c r="KUO254" s="9"/>
      <c r="KUP254" s="9"/>
      <c r="KUQ254" s="9"/>
      <c r="KUR254" s="9"/>
      <c r="KUS254" s="9"/>
      <c r="KUT254" s="9"/>
      <c r="KUU254" s="9"/>
      <c r="KUV254" s="9"/>
      <c r="KUW254" s="9"/>
      <c r="KUX254" s="9"/>
      <c r="KUY254" s="9"/>
      <c r="KUZ254" s="9"/>
      <c r="KVA254" s="9"/>
      <c r="KVB254" s="9"/>
      <c r="KVC254" s="9"/>
      <c r="KVD254" s="9"/>
      <c r="KVE254" s="9"/>
      <c r="KVF254" s="9"/>
      <c r="KVG254" s="9"/>
      <c r="KVH254" s="9"/>
      <c r="KVI254" s="9"/>
      <c r="KVJ254" s="9"/>
      <c r="KVK254" s="9"/>
      <c r="KVL254" s="9"/>
      <c r="KVM254" s="9"/>
      <c r="KVN254" s="9"/>
      <c r="KVO254" s="9"/>
      <c r="KVP254" s="9"/>
      <c r="KVQ254" s="9"/>
      <c r="KVR254" s="9"/>
      <c r="KVS254" s="9"/>
      <c r="KVT254" s="9"/>
      <c r="KVU254" s="9"/>
      <c r="KVV254" s="9"/>
      <c r="KVW254" s="9"/>
      <c r="KVX254" s="9"/>
      <c r="KVY254" s="9"/>
      <c r="KVZ254" s="9"/>
      <c r="KWA254" s="9"/>
      <c r="KWB254" s="9"/>
      <c r="KWC254" s="9"/>
      <c r="KWD254" s="9"/>
      <c r="KWE254" s="9"/>
      <c r="KWF254" s="9"/>
      <c r="KWG254" s="9"/>
      <c r="KWH254" s="9"/>
      <c r="KWI254" s="9"/>
      <c r="KWJ254" s="9"/>
      <c r="KWK254" s="9"/>
      <c r="KWL254" s="9"/>
      <c r="KWM254" s="9"/>
      <c r="KWN254" s="9"/>
      <c r="KWO254" s="9"/>
      <c r="KWP254" s="9"/>
      <c r="KWQ254" s="9"/>
      <c r="KWR254" s="9"/>
      <c r="KWS254" s="9"/>
      <c r="KWT254" s="9"/>
      <c r="KWU254" s="9"/>
      <c r="KWV254" s="9"/>
      <c r="KWW254" s="9"/>
      <c r="KWX254" s="9"/>
      <c r="KWY254" s="9"/>
      <c r="KWZ254" s="9"/>
      <c r="KXA254" s="9"/>
      <c r="KXB254" s="9"/>
      <c r="KXC254" s="9"/>
      <c r="KXD254" s="9"/>
      <c r="KXE254" s="9"/>
      <c r="KXF254" s="9"/>
      <c r="KXG254" s="9"/>
      <c r="KXH254" s="9"/>
      <c r="KXI254" s="9"/>
      <c r="KXJ254" s="9"/>
      <c r="KXK254" s="9"/>
      <c r="KXL254" s="9"/>
      <c r="KXM254" s="9"/>
      <c r="KXN254" s="9"/>
      <c r="KXO254" s="9"/>
      <c r="KXP254" s="9"/>
      <c r="KXQ254" s="9"/>
      <c r="KXR254" s="9"/>
      <c r="KXS254" s="9"/>
      <c r="KXT254" s="9"/>
      <c r="KXU254" s="9"/>
      <c r="KXV254" s="9"/>
      <c r="KXW254" s="9"/>
      <c r="KXX254" s="9"/>
      <c r="KXY254" s="9"/>
      <c r="KXZ254" s="9"/>
      <c r="KYA254" s="9"/>
      <c r="KYB254" s="9"/>
      <c r="KYC254" s="9"/>
      <c r="KYD254" s="9"/>
      <c r="KYE254" s="9"/>
      <c r="KYF254" s="9"/>
      <c r="KYG254" s="9"/>
      <c r="KYH254" s="9"/>
      <c r="KYI254" s="9"/>
      <c r="KYJ254" s="9"/>
      <c r="KYK254" s="9"/>
      <c r="KYL254" s="9"/>
      <c r="KYM254" s="9"/>
      <c r="KYN254" s="9"/>
      <c r="KYO254" s="9"/>
      <c r="KYP254" s="9"/>
      <c r="KYQ254" s="9"/>
      <c r="KYR254" s="9"/>
      <c r="KYS254" s="9"/>
      <c r="KYT254" s="9"/>
      <c r="KYU254" s="9"/>
      <c r="KYV254" s="9"/>
      <c r="KYW254" s="9"/>
      <c r="KYX254" s="9"/>
      <c r="KYY254" s="9"/>
      <c r="KYZ254" s="9"/>
      <c r="KZA254" s="9"/>
      <c r="KZB254" s="9"/>
      <c r="KZC254" s="9"/>
      <c r="KZD254" s="9"/>
      <c r="KZE254" s="9"/>
      <c r="KZF254" s="9"/>
      <c r="KZG254" s="9"/>
      <c r="KZH254" s="9"/>
      <c r="KZI254" s="9"/>
      <c r="KZJ254" s="9"/>
      <c r="KZK254" s="9"/>
      <c r="KZL254" s="9"/>
      <c r="KZM254" s="9"/>
      <c r="KZN254" s="9"/>
      <c r="KZO254" s="9"/>
      <c r="KZP254" s="9"/>
      <c r="KZQ254" s="9"/>
      <c r="KZR254" s="9"/>
      <c r="KZS254" s="9"/>
      <c r="KZT254" s="9"/>
      <c r="KZU254" s="9"/>
      <c r="KZV254" s="9"/>
      <c r="KZW254" s="9"/>
      <c r="KZX254" s="9"/>
      <c r="KZY254" s="9"/>
      <c r="KZZ254" s="9"/>
      <c r="LAA254" s="9"/>
      <c r="LAB254" s="9"/>
      <c r="LAC254" s="9"/>
      <c r="LAD254" s="9"/>
      <c r="LAE254" s="9"/>
      <c r="LAF254" s="9"/>
      <c r="LAG254" s="9"/>
      <c r="LAH254" s="9"/>
      <c r="LAI254" s="9"/>
      <c r="LAJ254" s="9"/>
      <c r="LAK254" s="9"/>
      <c r="LAL254" s="9"/>
      <c r="LAM254" s="9"/>
      <c r="LAN254" s="9"/>
      <c r="LAO254" s="9"/>
      <c r="LAP254" s="9"/>
      <c r="LAQ254" s="9"/>
      <c r="LAR254" s="9"/>
      <c r="LAS254" s="9"/>
      <c r="LAT254" s="9"/>
      <c r="LAU254" s="9"/>
      <c r="LAV254" s="9"/>
      <c r="LAW254" s="9"/>
      <c r="LAX254" s="9"/>
      <c r="LAY254" s="9"/>
      <c r="LAZ254" s="9"/>
      <c r="LBA254" s="9"/>
      <c r="LBB254" s="9"/>
      <c r="LBC254" s="9"/>
      <c r="LBD254" s="9"/>
      <c r="LBE254" s="9"/>
      <c r="LBF254" s="9"/>
      <c r="LBG254" s="9"/>
      <c r="LBH254" s="9"/>
      <c r="LBI254" s="9"/>
      <c r="LBJ254" s="9"/>
      <c r="LBK254" s="9"/>
      <c r="LBL254" s="9"/>
      <c r="LBM254" s="9"/>
      <c r="LBN254" s="9"/>
      <c r="LBO254" s="9"/>
      <c r="LBP254" s="9"/>
      <c r="LBQ254" s="9"/>
      <c r="LBR254" s="9"/>
      <c r="LBS254" s="9"/>
      <c r="LBT254" s="9"/>
      <c r="LBU254" s="9"/>
      <c r="LBV254" s="9"/>
      <c r="LBW254" s="9"/>
      <c r="LBX254" s="9"/>
      <c r="LBY254" s="9"/>
      <c r="LBZ254" s="9"/>
      <c r="LCA254" s="9"/>
      <c r="LCB254" s="9"/>
      <c r="LCC254" s="9"/>
      <c r="LCD254" s="9"/>
      <c r="LCE254" s="9"/>
      <c r="LCF254" s="9"/>
      <c r="LCG254" s="9"/>
      <c r="LCH254" s="9"/>
      <c r="LCI254" s="9"/>
      <c r="LCJ254" s="9"/>
      <c r="LCK254" s="9"/>
      <c r="LCL254" s="9"/>
      <c r="LCM254" s="9"/>
      <c r="LCN254" s="9"/>
      <c r="LCO254" s="9"/>
      <c r="LCP254" s="9"/>
      <c r="LCQ254" s="9"/>
      <c r="LCR254" s="9"/>
      <c r="LCS254" s="9"/>
      <c r="LCT254" s="9"/>
      <c r="LCU254" s="9"/>
      <c r="LCV254" s="9"/>
      <c r="LCW254" s="9"/>
      <c r="LCX254" s="9"/>
      <c r="LCY254" s="9"/>
      <c r="LCZ254" s="9"/>
      <c r="LDA254" s="9"/>
      <c r="LDB254" s="9"/>
      <c r="LDC254" s="9"/>
      <c r="LDD254" s="9"/>
      <c r="LDE254" s="9"/>
      <c r="LDF254" s="9"/>
      <c r="LDG254" s="9"/>
      <c r="LDH254" s="9"/>
      <c r="LDI254" s="9"/>
      <c r="LDJ254" s="9"/>
      <c r="LDK254" s="9"/>
      <c r="LDL254" s="9"/>
      <c r="LDM254" s="9"/>
      <c r="LDN254" s="9"/>
      <c r="LDO254" s="9"/>
      <c r="LDP254" s="9"/>
      <c r="LDQ254" s="9"/>
      <c r="LDR254" s="9"/>
      <c r="LDS254" s="9"/>
      <c r="LDT254" s="9"/>
      <c r="LDU254" s="9"/>
      <c r="LDV254" s="9"/>
      <c r="LDW254" s="9"/>
      <c r="LDX254" s="9"/>
      <c r="LDY254" s="9"/>
      <c r="LDZ254" s="9"/>
      <c r="LEA254" s="9"/>
      <c r="LEB254" s="9"/>
      <c r="LEC254" s="9"/>
      <c r="LED254" s="9"/>
      <c r="LEE254" s="9"/>
      <c r="LEF254" s="9"/>
      <c r="LEG254" s="9"/>
      <c r="LEH254" s="9"/>
      <c r="LEI254" s="9"/>
      <c r="LEJ254" s="9"/>
      <c r="LEK254" s="9"/>
      <c r="LEL254" s="9"/>
      <c r="LEM254" s="9"/>
      <c r="LEN254" s="9"/>
      <c r="LEO254" s="9"/>
      <c r="LEP254" s="9"/>
      <c r="LEQ254" s="9"/>
      <c r="LER254" s="9"/>
      <c r="LES254" s="9"/>
      <c r="LET254" s="9"/>
      <c r="LEU254" s="9"/>
      <c r="LEV254" s="9"/>
      <c r="LEW254" s="9"/>
      <c r="LEX254" s="9"/>
      <c r="LEY254" s="9"/>
      <c r="LEZ254" s="9"/>
      <c r="LFA254" s="9"/>
      <c r="LFB254" s="9"/>
      <c r="LFC254" s="9"/>
      <c r="LFD254" s="9"/>
      <c r="LFE254" s="9"/>
      <c r="LFF254" s="9"/>
      <c r="LFG254" s="9"/>
      <c r="LFH254" s="9"/>
      <c r="LFI254" s="9"/>
      <c r="LFJ254" s="9"/>
      <c r="LFK254" s="9"/>
      <c r="LFL254" s="9"/>
      <c r="LFM254" s="9"/>
      <c r="LFN254" s="9"/>
      <c r="LFO254" s="9"/>
      <c r="LFP254" s="9"/>
      <c r="LFQ254" s="9"/>
      <c r="LFR254" s="9"/>
      <c r="LFS254" s="9"/>
      <c r="LFT254" s="9"/>
      <c r="LFU254" s="9"/>
      <c r="LFV254" s="9"/>
      <c r="LFW254" s="9"/>
      <c r="LFX254" s="9"/>
      <c r="LFY254" s="9"/>
      <c r="LFZ254" s="9"/>
      <c r="LGA254" s="9"/>
      <c r="LGB254" s="9"/>
      <c r="LGC254" s="9"/>
      <c r="LGD254" s="9"/>
      <c r="LGE254" s="9"/>
      <c r="LGF254" s="9"/>
      <c r="LGG254" s="9"/>
      <c r="LGH254" s="9"/>
      <c r="LGI254" s="9"/>
      <c r="LGJ254" s="9"/>
      <c r="LGK254" s="9"/>
      <c r="LGL254" s="9"/>
      <c r="LGM254" s="9"/>
      <c r="LGN254" s="9"/>
      <c r="LGO254" s="9"/>
      <c r="LGP254" s="9"/>
      <c r="LGQ254" s="9"/>
      <c r="LGR254" s="9"/>
      <c r="LGS254" s="9"/>
      <c r="LGT254" s="9"/>
      <c r="LGU254" s="9"/>
      <c r="LGV254" s="9"/>
      <c r="LGW254" s="9"/>
      <c r="LGX254" s="9"/>
      <c r="LGY254" s="9"/>
      <c r="LGZ254" s="9"/>
      <c r="LHA254" s="9"/>
      <c r="LHB254" s="9"/>
      <c r="LHC254" s="9"/>
      <c r="LHD254" s="9"/>
      <c r="LHE254" s="9"/>
      <c r="LHF254" s="9"/>
      <c r="LHG254" s="9"/>
      <c r="LHH254" s="9"/>
      <c r="LHI254" s="9"/>
      <c r="LHJ254" s="9"/>
      <c r="LHK254" s="9"/>
      <c r="LHL254" s="9"/>
      <c r="LHM254" s="9"/>
      <c r="LHN254" s="9"/>
      <c r="LHO254" s="9"/>
      <c r="LHP254" s="9"/>
      <c r="LHQ254" s="9"/>
      <c r="LHR254" s="9"/>
      <c r="LHS254" s="9"/>
      <c r="LHT254" s="9"/>
      <c r="LHU254" s="9"/>
      <c r="LHV254" s="9"/>
      <c r="LHW254" s="9"/>
      <c r="LHX254" s="9"/>
      <c r="LHY254" s="9"/>
      <c r="LHZ254" s="9"/>
      <c r="LIA254" s="9"/>
      <c r="LIB254" s="9"/>
      <c r="LIC254" s="9"/>
      <c r="LID254" s="9"/>
      <c r="LIE254" s="9"/>
      <c r="LIF254" s="9"/>
      <c r="LIG254" s="9"/>
      <c r="LIH254" s="9"/>
      <c r="LII254" s="9"/>
      <c r="LIJ254" s="9"/>
      <c r="LIK254" s="9"/>
      <c r="LIL254" s="9"/>
      <c r="LIM254" s="9"/>
      <c r="LIN254" s="9"/>
      <c r="LIO254" s="9"/>
      <c r="LIP254" s="9"/>
      <c r="LIQ254" s="9"/>
      <c r="LIR254" s="9"/>
      <c r="LIS254" s="9"/>
      <c r="LIT254" s="9"/>
      <c r="LIU254" s="9"/>
      <c r="LIV254" s="9"/>
      <c r="LIW254" s="9"/>
      <c r="LIX254" s="9"/>
      <c r="LIY254" s="9"/>
      <c r="LIZ254" s="9"/>
      <c r="LJA254" s="9"/>
      <c r="LJB254" s="9"/>
      <c r="LJC254" s="9"/>
      <c r="LJD254" s="9"/>
      <c r="LJE254" s="9"/>
      <c r="LJF254" s="9"/>
      <c r="LJG254" s="9"/>
      <c r="LJH254" s="9"/>
      <c r="LJI254" s="9"/>
      <c r="LJJ254" s="9"/>
      <c r="LJK254" s="9"/>
      <c r="LJL254" s="9"/>
      <c r="LJM254" s="9"/>
      <c r="LJN254" s="9"/>
      <c r="LJO254" s="9"/>
      <c r="LJP254" s="9"/>
      <c r="LJQ254" s="9"/>
      <c r="LJR254" s="9"/>
      <c r="LJS254" s="9"/>
      <c r="LJT254" s="9"/>
      <c r="LJU254" s="9"/>
      <c r="LJV254" s="9"/>
      <c r="LJW254" s="9"/>
      <c r="LJX254" s="9"/>
      <c r="LJY254" s="9"/>
      <c r="LJZ254" s="9"/>
      <c r="LKA254" s="9"/>
      <c r="LKB254" s="9"/>
      <c r="LKC254" s="9"/>
      <c r="LKD254" s="9"/>
      <c r="LKE254" s="9"/>
      <c r="LKF254" s="9"/>
      <c r="LKG254" s="9"/>
      <c r="LKH254" s="9"/>
      <c r="LKI254" s="9"/>
      <c r="LKJ254" s="9"/>
      <c r="LKK254" s="9"/>
      <c r="LKL254" s="9"/>
      <c r="LKM254" s="9"/>
      <c r="LKN254" s="9"/>
      <c r="LKO254" s="9"/>
      <c r="LKP254" s="9"/>
      <c r="LKQ254" s="9"/>
      <c r="LKR254" s="9"/>
      <c r="LKS254" s="9"/>
      <c r="LKT254" s="9"/>
      <c r="LKU254" s="9"/>
      <c r="LKV254" s="9"/>
      <c r="LKW254" s="9"/>
      <c r="LKX254" s="9"/>
      <c r="LKY254" s="9"/>
      <c r="LKZ254" s="9"/>
      <c r="LLA254" s="9"/>
      <c r="LLB254" s="9"/>
      <c r="LLC254" s="9"/>
      <c r="LLD254" s="9"/>
      <c r="LLE254" s="9"/>
      <c r="LLF254" s="9"/>
      <c r="LLG254" s="9"/>
      <c r="LLH254" s="9"/>
      <c r="LLI254" s="9"/>
      <c r="LLJ254" s="9"/>
      <c r="LLK254" s="9"/>
      <c r="LLL254" s="9"/>
      <c r="LLM254" s="9"/>
      <c r="LLN254" s="9"/>
      <c r="LLO254" s="9"/>
      <c r="LLP254" s="9"/>
      <c r="LLQ254" s="9"/>
      <c r="LLR254" s="9"/>
      <c r="LLS254" s="9"/>
      <c r="LLT254" s="9"/>
      <c r="LLU254" s="9"/>
      <c r="LLV254" s="9"/>
      <c r="LLW254" s="9"/>
      <c r="LLX254" s="9"/>
      <c r="LLY254" s="9"/>
      <c r="LLZ254" s="9"/>
      <c r="LMA254" s="9"/>
      <c r="LMB254" s="9"/>
      <c r="LMC254" s="9"/>
      <c r="LMD254" s="9"/>
      <c r="LME254" s="9"/>
      <c r="LMF254" s="9"/>
      <c r="LMG254" s="9"/>
      <c r="LMH254" s="9"/>
      <c r="LMI254" s="9"/>
      <c r="LMJ254" s="9"/>
      <c r="LMK254" s="9"/>
      <c r="LML254" s="9"/>
      <c r="LMM254" s="9"/>
      <c r="LMN254" s="9"/>
      <c r="LMO254" s="9"/>
      <c r="LMP254" s="9"/>
      <c r="LMQ254" s="9"/>
      <c r="LMR254" s="9"/>
      <c r="LMS254" s="9"/>
      <c r="LMT254" s="9"/>
      <c r="LMU254" s="9"/>
      <c r="LMV254" s="9"/>
      <c r="LMW254" s="9"/>
      <c r="LMX254" s="9"/>
      <c r="LMY254" s="9"/>
      <c r="LMZ254" s="9"/>
      <c r="LNA254" s="9"/>
      <c r="LNB254" s="9"/>
      <c r="LNC254" s="9"/>
      <c r="LND254" s="9"/>
      <c r="LNE254" s="9"/>
      <c r="LNF254" s="9"/>
      <c r="LNG254" s="9"/>
      <c r="LNH254" s="9"/>
      <c r="LNI254" s="9"/>
      <c r="LNJ254" s="9"/>
      <c r="LNK254" s="9"/>
      <c r="LNL254" s="9"/>
      <c r="LNM254" s="9"/>
      <c r="LNN254" s="9"/>
      <c r="LNO254" s="9"/>
      <c r="LNP254" s="9"/>
      <c r="LNQ254" s="9"/>
      <c r="LNR254" s="9"/>
      <c r="LNS254" s="9"/>
      <c r="LNT254" s="9"/>
      <c r="LNU254" s="9"/>
      <c r="LNV254" s="9"/>
      <c r="LNW254" s="9"/>
      <c r="LNX254" s="9"/>
      <c r="LNY254" s="9"/>
      <c r="LNZ254" s="9"/>
      <c r="LOA254" s="9"/>
      <c r="LOB254" s="9"/>
      <c r="LOC254" s="9"/>
      <c r="LOD254" s="9"/>
      <c r="LOE254" s="9"/>
      <c r="LOF254" s="9"/>
      <c r="LOG254" s="9"/>
      <c r="LOH254" s="9"/>
      <c r="LOI254" s="9"/>
      <c r="LOJ254" s="9"/>
      <c r="LOK254" s="9"/>
      <c r="LOL254" s="9"/>
      <c r="LOM254" s="9"/>
      <c r="LON254" s="9"/>
      <c r="LOO254" s="9"/>
      <c r="LOP254" s="9"/>
      <c r="LOQ254" s="9"/>
      <c r="LOR254" s="9"/>
      <c r="LOS254" s="9"/>
      <c r="LOT254" s="9"/>
      <c r="LOU254" s="9"/>
      <c r="LOV254" s="9"/>
      <c r="LOW254" s="9"/>
      <c r="LOX254" s="9"/>
      <c r="LOY254" s="9"/>
      <c r="LOZ254" s="9"/>
      <c r="LPA254" s="9"/>
      <c r="LPB254" s="9"/>
      <c r="LPC254" s="9"/>
      <c r="LPD254" s="9"/>
      <c r="LPE254" s="9"/>
      <c r="LPF254" s="9"/>
      <c r="LPG254" s="9"/>
      <c r="LPH254" s="9"/>
      <c r="LPI254" s="9"/>
      <c r="LPJ254" s="9"/>
      <c r="LPK254" s="9"/>
      <c r="LPL254" s="9"/>
      <c r="LPM254" s="9"/>
      <c r="LPN254" s="9"/>
      <c r="LPO254" s="9"/>
      <c r="LPP254" s="9"/>
      <c r="LPQ254" s="9"/>
      <c r="LPR254" s="9"/>
      <c r="LPS254" s="9"/>
      <c r="LPT254" s="9"/>
      <c r="LPU254" s="9"/>
      <c r="LPV254" s="9"/>
      <c r="LPW254" s="9"/>
      <c r="LPX254" s="9"/>
      <c r="LPY254" s="9"/>
      <c r="LPZ254" s="9"/>
      <c r="LQA254" s="9"/>
      <c r="LQB254" s="9"/>
      <c r="LQC254" s="9"/>
      <c r="LQD254" s="9"/>
      <c r="LQE254" s="9"/>
      <c r="LQF254" s="9"/>
      <c r="LQG254" s="9"/>
      <c r="LQH254" s="9"/>
      <c r="LQI254" s="9"/>
      <c r="LQJ254" s="9"/>
      <c r="LQK254" s="9"/>
      <c r="LQL254" s="9"/>
      <c r="LQM254" s="9"/>
      <c r="LQN254" s="9"/>
      <c r="LQO254" s="9"/>
      <c r="LQP254" s="9"/>
      <c r="LQQ254" s="9"/>
      <c r="LQR254" s="9"/>
      <c r="LQS254" s="9"/>
      <c r="LQT254" s="9"/>
      <c r="LQU254" s="9"/>
      <c r="LQV254" s="9"/>
      <c r="LQW254" s="9"/>
      <c r="LQX254" s="9"/>
      <c r="LQY254" s="9"/>
      <c r="LQZ254" s="9"/>
      <c r="LRA254" s="9"/>
      <c r="LRB254" s="9"/>
      <c r="LRC254" s="9"/>
      <c r="LRD254" s="9"/>
      <c r="LRE254" s="9"/>
      <c r="LRF254" s="9"/>
      <c r="LRG254" s="9"/>
      <c r="LRH254" s="9"/>
      <c r="LRI254" s="9"/>
      <c r="LRJ254" s="9"/>
      <c r="LRK254" s="9"/>
      <c r="LRL254" s="9"/>
      <c r="LRM254" s="9"/>
      <c r="LRN254" s="9"/>
      <c r="LRO254" s="9"/>
      <c r="LRP254" s="9"/>
      <c r="LRQ254" s="9"/>
      <c r="LRR254" s="9"/>
      <c r="LRS254" s="9"/>
      <c r="LRT254" s="9"/>
      <c r="LRU254" s="9"/>
      <c r="LRV254" s="9"/>
      <c r="LRW254" s="9"/>
      <c r="LRX254" s="9"/>
      <c r="LRY254" s="9"/>
      <c r="LRZ254" s="9"/>
      <c r="LSA254" s="9"/>
      <c r="LSB254" s="9"/>
      <c r="LSC254" s="9"/>
      <c r="LSD254" s="9"/>
      <c r="LSE254" s="9"/>
      <c r="LSF254" s="9"/>
      <c r="LSG254" s="9"/>
      <c r="LSH254" s="9"/>
      <c r="LSI254" s="9"/>
      <c r="LSJ254" s="9"/>
      <c r="LSK254" s="9"/>
      <c r="LSL254" s="9"/>
      <c r="LSM254" s="9"/>
      <c r="LSN254" s="9"/>
      <c r="LSO254" s="9"/>
      <c r="LSP254" s="9"/>
      <c r="LSQ254" s="9"/>
      <c r="LSR254" s="9"/>
      <c r="LSS254" s="9"/>
      <c r="LST254" s="9"/>
      <c r="LSU254" s="9"/>
      <c r="LSV254" s="9"/>
      <c r="LSW254" s="9"/>
      <c r="LSX254" s="9"/>
      <c r="LSY254" s="9"/>
      <c r="LSZ254" s="9"/>
      <c r="LTA254" s="9"/>
      <c r="LTB254" s="9"/>
      <c r="LTC254" s="9"/>
      <c r="LTD254" s="9"/>
      <c r="LTE254" s="9"/>
      <c r="LTF254" s="9"/>
      <c r="LTG254" s="9"/>
      <c r="LTH254" s="9"/>
      <c r="LTI254" s="9"/>
      <c r="LTJ254" s="9"/>
      <c r="LTK254" s="9"/>
      <c r="LTL254" s="9"/>
      <c r="LTM254" s="9"/>
      <c r="LTN254" s="9"/>
      <c r="LTO254" s="9"/>
      <c r="LTP254" s="9"/>
      <c r="LTQ254" s="9"/>
      <c r="LTR254" s="9"/>
      <c r="LTS254" s="9"/>
      <c r="LTT254" s="9"/>
      <c r="LTU254" s="9"/>
      <c r="LTV254" s="9"/>
      <c r="LTW254" s="9"/>
      <c r="LTX254" s="9"/>
      <c r="LTY254" s="9"/>
      <c r="LTZ254" s="9"/>
      <c r="LUA254" s="9"/>
      <c r="LUB254" s="9"/>
      <c r="LUC254" s="9"/>
      <c r="LUD254" s="9"/>
      <c r="LUE254" s="9"/>
      <c r="LUF254" s="9"/>
      <c r="LUG254" s="9"/>
      <c r="LUH254" s="9"/>
      <c r="LUI254" s="9"/>
      <c r="LUJ254" s="9"/>
      <c r="LUK254" s="9"/>
      <c r="LUL254" s="9"/>
      <c r="LUM254" s="9"/>
      <c r="LUN254" s="9"/>
      <c r="LUO254" s="9"/>
      <c r="LUP254" s="9"/>
      <c r="LUQ254" s="9"/>
      <c r="LUR254" s="9"/>
      <c r="LUS254" s="9"/>
      <c r="LUT254" s="9"/>
      <c r="LUU254" s="9"/>
      <c r="LUV254" s="9"/>
      <c r="LUW254" s="9"/>
      <c r="LUX254" s="9"/>
      <c r="LUY254" s="9"/>
      <c r="LUZ254" s="9"/>
      <c r="LVA254" s="9"/>
      <c r="LVB254" s="9"/>
      <c r="LVC254" s="9"/>
      <c r="LVD254" s="9"/>
      <c r="LVE254" s="9"/>
      <c r="LVF254" s="9"/>
      <c r="LVG254" s="9"/>
      <c r="LVH254" s="9"/>
      <c r="LVI254" s="9"/>
      <c r="LVJ254" s="9"/>
      <c r="LVK254" s="9"/>
      <c r="LVL254" s="9"/>
      <c r="LVM254" s="9"/>
      <c r="LVN254" s="9"/>
      <c r="LVO254" s="9"/>
      <c r="LVP254" s="9"/>
      <c r="LVQ254" s="9"/>
      <c r="LVR254" s="9"/>
      <c r="LVS254" s="9"/>
      <c r="LVT254" s="9"/>
      <c r="LVU254" s="9"/>
      <c r="LVV254" s="9"/>
      <c r="LVW254" s="9"/>
      <c r="LVX254" s="9"/>
      <c r="LVY254" s="9"/>
      <c r="LVZ254" s="9"/>
      <c r="LWA254" s="9"/>
      <c r="LWB254" s="9"/>
      <c r="LWC254" s="9"/>
      <c r="LWD254" s="9"/>
      <c r="LWE254" s="9"/>
      <c r="LWF254" s="9"/>
      <c r="LWG254" s="9"/>
      <c r="LWH254" s="9"/>
      <c r="LWI254" s="9"/>
      <c r="LWJ254" s="9"/>
      <c r="LWK254" s="9"/>
      <c r="LWL254" s="9"/>
      <c r="LWM254" s="9"/>
      <c r="LWN254" s="9"/>
      <c r="LWO254" s="9"/>
      <c r="LWP254" s="9"/>
      <c r="LWQ254" s="9"/>
      <c r="LWR254" s="9"/>
      <c r="LWS254" s="9"/>
      <c r="LWT254" s="9"/>
      <c r="LWU254" s="9"/>
      <c r="LWV254" s="9"/>
      <c r="LWW254" s="9"/>
      <c r="LWX254" s="9"/>
      <c r="LWY254" s="9"/>
      <c r="LWZ254" s="9"/>
      <c r="LXA254" s="9"/>
      <c r="LXB254" s="9"/>
      <c r="LXC254" s="9"/>
      <c r="LXD254" s="9"/>
      <c r="LXE254" s="9"/>
      <c r="LXF254" s="9"/>
      <c r="LXG254" s="9"/>
      <c r="LXH254" s="9"/>
      <c r="LXI254" s="9"/>
      <c r="LXJ254" s="9"/>
      <c r="LXK254" s="9"/>
      <c r="LXL254" s="9"/>
      <c r="LXM254" s="9"/>
      <c r="LXN254" s="9"/>
      <c r="LXO254" s="9"/>
      <c r="LXP254" s="9"/>
      <c r="LXQ254" s="9"/>
      <c r="LXR254" s="9"/>
      <c r="LXS254" s="9"/>
      <c r="LXT254" s="9"/>
      <c r="LXU254" s="9"/>
      <c r="LXV254" s="9"/>
      <c r="LXW254" s="9"/>
      <c r="LXX254" s="9"/>
      <c r="LXY254" s="9"/>
      <c r="LXZ254" s="9"/>
      <c r="LYA254" s="9"/>
      <c r="LYB254" s="9"/>
      <c r="LYC254" s="9"/>
      <c r="LYD254" s="9"/>
      <c r="LYE254" s="9"/>
      <c r="LYF254" s="9"/>
      <c r="LYG254" s="9"/>
      <c r="LYH254" s="9"/>
      <c r="LYI254" s="9"/>
      <c r="LYJ254" s="9"/>
      <c r="LYK254" s="9"/>
      <c r="LYL254" s="9"/>
      <c r="LYM254" s="9"/>
      <c r="LYN254" s="9"/>
      <c r="LYO254" s="9"/>
      <c r="LYP254" s="9"/>
      <c r="LYQ254" s="9"/>
      <c r="LYR254" s="9"/>
      <c r="LYS254" s="9"/>
      <c r="LYT254" s="9"/>
      <c r="LYU254" s="9"/>
      <c r="LYV254" s="9"/>
      <c r="LYW254" s="9"/>
      <c r="LYX254" s="9"/>
      <c r="LYY254" s="9"/>
      <c r="LYZ254" s="9"/>
      <c r="LZA254" s="9"/>
      <c r="LZB254" s="9"/>
      <c r="LZC254" s="9"/>
      <c r="LZD254" s="9"/>
      <c r="LZE254" s="9"/>
      <c r="LZF254" s="9"/>
      <c r="LZG254" s="9"/>
      <c r="LZH254" s="9"/>
      <c r="LZI254" s="9"/>
      <c r="LZJ254" s="9"/>
      <c r="LZK254" s="9"/>
      <c r="LZL254" s="9"/>
      <c r="LZM254" s="9"/>
      <c r="LZN254" s="9"/>
      <c r="LZO254" s="9"/>
      <c r="LZP254" s="9"/>
      <c r="LZQ254" s="9"/>
      <c r="LZR254" s="9"/>
      <c r="LZS254" s="9"/>
      <c r="LZT254" s="9"/>
      <c r="LZU254" s="9"/>
      <c r="LZV254" s="9"/>
      <c r="LZW254" s="9"/>
      <c r="LZX254" s="9"/>
      <c r="LZY254" s="9"/>
      <c r="LZZ254" s="9"/>
      <c r="MAA254" s="9"/>
      <c r="MAB254" s="9"/>
      <c r="MAC254" s="9"/>
      <c r="MAD254" s="9"/>
      <c r="MAE254" s="9"/>
      <c r="MAF254" s="9"/>
      <c r="MAG254" s="9"/>
      <c r="MAH254" s="9"/>
      <c r="MAI254" s="9"/>
      <c r="MAJ254" s="9"/>
      <c r="MAK254" s="9"/>
      <c r="MAL254" s="9"/>
      <c r="MAM254" s="9"/>
      <c r="MAN254" s="9"/>
      <c r="MAO254" s="9"/>
      <c r="MAP254" s="9"/>
      <c r="MAQ254" s="9"/>
      <c r="MAR254" s="9"/>
      <c r="MAS254" s="9"/>
      <c r="MAT254" s="9"/>
      <c r="MAU254" s="9"/>
      <c r="MAV254" s="9"/>
      <c r="MAW254" s="9"/>
      <c r="MAX254" s="9"/>
      <c r="MAY254" s="9"/>
      <c r="MAZ254" s="9"/>
      <c r="MBA254" s="9"/>
      <c r="MBB254" s="9"/>
      <c r="MBC254" s="9"/>
      <c r="MBD254" s="9"/>
      <c r="MBE254" s="9"/>
      <c r="MBF254" s="9"/>
      <c r="MBG254" s="9"/>
      <c r="MBH254" s="9"/>
      <c r="MBI254" s="9"/>
      <c r="MBJ254" s="9"/>
      <c r="MBK254" s="9"/>
      <c r="MBL254" s="9"/>
      <c r="MBM254" s="9"/>
      <c r="MBN254" s="9"/>
      <c r="MBO254" s="9"/>
      <c r="MBP254" s="9"/>
      <c r="MBQ254" s="9"/>
      <c r="MBR254" s="9"/>
      <c r="MBS254" s="9"/>
      <c r="MBT254" s="9"/>
      <c r="MBU254" s="9"/>
      <c r="MBV254" s="9"/>
      <c r="MBW254" s="9"/>
      <c r="MBX254" s="9"/>
      <c r="MBY254" s="9"/>
      <c r="MBZ254" s="9"/>
      <c r="MCA254" s="9"/>
      <c r="MCB254" s="9"/>
      <c r="MCC254" s="9"/>
      <c r="MCD254" s="9"/>
      <c r="MCE254" s="9"/>
      <c r="MCF254" s="9"/>
      <c r="MCG254" s="9"/>
      <c r="MCH254" s="9"/>
      <c r="MCI254" s="9"/>
      <c r="MCJ254" s="9"/>
      <c r="MCK254" s="9"/>
      <c r="MCL254" s="9"/>
      <c r="MCM254" s="9"/>
      <c r="MCN254" s="9"/>
      <c r="MCO254" s="9"/>
      <c r="MCP254" s="9"/>
      <c r="MCQ254" s="9"/>
      <c r="MCR254" s="9"/>
      <c r="MCS254" s="9"/>
      <c r="MCT254" s="9"/>
      <c r="MCU254" s="9"/>
      <c r="MCV254" s="9"/>
      <c r="MCW254" s="9"/>
      <c r="MCX254" s="9"/>
      <c r="MCY254" s="9"/>
      <c r="MCZ254" s="9"/>
      <c r="MDA254" s="9"/>
      <c r="MDB254" s="9"/>
      <c r="MDC254" s="9"/>
      <c r="MDD254" s="9"/>
      <c r="MDE254" s="9"/>
      <c r="MDF254" s="9"/>
      <c r="MDG254" s="9"/>
      <c r="MDH254" s="9"/>
      <c r="MDI254" s="9"/>
      <c r="MDJ254" s="9"/>
      <c r="MDK254" s="9"/>
      <c r="MDL254" s="9"/>
      <c r="MDM254" s="9"/>
      <c r="MDN254" s="9"/>
      <c r="MDO254" s="9"/>
      <c r="MDP254" s="9"/>
      <c r="MDQ254" s="9"/>
      <c r="MDR254" s="9"/>
      <c r="MDS254" s="9"/>
      <c r="MDT254" s="9"/>
      <c r="MDU254" s="9"/>
      <c r="MDV254" s="9"/>
      <c r="MDW254" s="9"/>
      <c r="MDX254" s="9"/>
      <c r="MDY254" s="9"/>
      <c r="MDZ254" s="9"/>
      <c r="MEA254" s="9"/>
      <c r="MEB254" s="9"/>
      <c r="MEC254" s="9"/>
      <c r="MED254" s="9"/>
      <c r="MEE254" s="9"/>
      <c r="MEF254" s="9"/>
      <c r="MEG254" s="9"/>
      <c r="MEH254" s="9"/>
      <c r="MEI254" s="9"/>
      <c r="MEJ254" s="9"/>
      <c r="MEK254" s="9"/>
      <c r="MEL254" s="9"/>
      <c r="MEM254" s="9"/>
      <c r="MEN254" s="9"/>
      <c r="MEO254" s="9"/>
      <c r="MEP254" s="9"/>
      <c r="MEQ254" s="9"/>
      <c r="MER254" s="9"/>
      <c r="MES254" s="9"/>
      <c r="MET254" s="9"/>
      <c r="MEU254" s="9"/>
      <c r="MEV254" s="9"/>
      <c r="MEW254" s="9"/>
      <c r="MEX254" s="9"/>
      <c r="MEY254" s="9"/>
      <c r="MEZ254" s="9"/>
      <c r="MFA254" s="9"/>
      <c r="MFB254" s="9"/>
      <c r="MFC254" s="9"/>
      <c r="MFD254" s="9"/>
      <c r="MFE254" s="9"/>
      <c r="MFF254" s="9"/>
      <c r="MFG254" s="9"/>
      <c r="MFH254" s="9"/>
      <c r="MFI254" s="9"/>
      <c r="MFJ254" s="9"/>
      <c r="MFK254" s="9"/>
      <c r="MFL254" s="9"/>
      <c r="MFM254" s="9"/>
      <c r="MFN254" s="9"/>
      <c r="MFO254" s="9"/>
      <c r="MFP254" s="9"/>
      <c r="MFQ254" s="9"/>
      <c r="MFR254" s="9"/>
      <c r="MFS254" s="9"/>
      <c r="MFT254" s="9"/>
      <c r="MFU254" s="9"/>
      <c r="MFV254" s="9"/>
      <c r="MFW254" s="9"/>
      <c r="MFX254" s="9"/>
      <c r="MFY254" s="9"/>
      <c r="MFZ254" s="9"/>
      <c r="MGA254" s="9"/>
      <c r="MGB254" s="9"/>
      <c r="MGC254" s="9"/>
      <c r="MGD254" s="9"/>
      <c r="MGE254" s="9"/>
      <c r="MGF254" s="9"/>
      <c r="MGG254" s="9"/>
      <c r="MGH254" s="9"/>
      <c r="MGI254" s="9"/>
      <c r="MGJ254" s="9"/>
      <c r="MGK254" s="9"/>
      <c r="MGL254" s="9"/>
      <c r="MGM254" s="9"/>
      <c r="MGN254" s="9"/>
      <c r="MGO254" s="9"/>
      <c r="MGP254" s="9"/>
      <c r="MGQ254" s="9"/>
      <c r="MGR254" s="9"/>
      <c r="MGS254" s="9"/>
      <c r="MGT254" s="9"/>
      <c r="MGU254" s="9"/>
      <c r="MGV254" s="9"/>
      <c r="MGW254" s="9"/>
      <c r="MGX254" s="9"/>
      <c r="MGY254" s="9"/>
      <c r="MGZ254" s="9"/>
      <c r="MHA254" s="9"/>
      <c r="MHB254" s="9"/>
      <c r="MHC254" s="9"/>
      <c r="MHD254" s="9"/>
      <c r="MHE254" s="9"/>
      <c r="MHF254" s="9"/>
      <c r="MHG254" s="9"/>
      <c r="MHH254" s="9"/>
      <c r="MHI254" s="9"/>
      <c r="MHJ254" s="9"/>
      <c r="MHK254" s="9"/>
      <c r="MHL254" s="9"/>
      <c r="MHM254" s="9"/>
      <c r="MHN254" s="9"/>
      <c r="MHO254" s="9"/>
      <c r="MHP254" s="9"/>
      <c r="MHQ254" s="9"/>
      <c r="MHR254" s="9"/>
      <c r="MHS254" s="9"/>
      <c r="MHT254" s="9"/>
      <c r="MHU254" s="9"/>
      <c r="MHV254" s="9"/>
      <c r="MHW254" s="9"/>
      <c r="MHX254" s="9"/>
      <c r="MHY254" s="9"/>
      <c r="MHZ254" s="9"/>
      <c r="MIA254" s="9"/>
      <c r="MIB254" s="9"/>
      <c r="MIC254" s="9"/>
      <c r="MID254" s="9"/>
      <c r="MIE254" s="9"/>
      <c r="MIF254" s="9"/>
      <c r="MIG254" s="9"/>
      <c r="MIH254" s="9"/>
      <c r="MII254" s="9"/>
      <c r="MIJ254" s="9"/>
      <c r="MIK254" s="9"/>
      <c r="MIL254" s="9"/>
      <c r="MIM254" s="9"/>
      <c r="MIN254" s="9"/>
      <c r="MIO254" s="9"/>
      <c r="MIP254" s="9"/>
      <c r="MIQ254" s="9"/>
      <c r="MIR254" s="9"/>
      <c r="MIS254" s="9"/>
      <c r="MIT254" s="9"/>
      <c r="MIU254" s="9"/>
      <c r="MIV254" s="9"/>
      <c r="MIW254" s="9"/>
      <c r="MIX254" s="9"/>
      <c r="MIY254" s="9"/>
      <c r="MIZ254" s="9"/>
      <c r="MJA254" s="9"/>
      <c r="MJB254" s="9"/>
      <c r="MJC254" s="9"/>
      <c r="MJD254" s="9"/>
      <c r="MJE254" s="9"/>
      <c r="MJF254" s="9"/>
      <c r="MJG254" s="9"/>
      <c r="MJH254" s="9"/>
      <c r="MJI254" s="9"/>
      <c r="MJJ254" s="9"/>
      <c r="MJK254" s="9"/>
      <c r="MJL254" s="9"/>
      <c r="MJM254" s="9"/>
      <c r="MJN254" s="9"/>
      <c r="MJO254" s="9"/>
      <c r="MJP254" s="9"/>
      <c r="MJQ254" s="9"/>
      <c r="MJR254" s="9"/>
      <c r="MJS254" s="9"/>
      <c r="MJT254" s="9"/>
      <c r="MJU254" s="9"/>
      <c r="MJV254" s="9"/>
      <c r="MJW254" s="9"/>
      <c r="MJX254" s="9"/>
      <c r="MJY254" s="9"/>
      <c r="MJZ254" s="9"/>
      <c r="MKA254" s="9"/>
      <c r="MKB254" s="9"/>
      <c r="MKC254" s="9"/>
      <c r="MKD254" s="9"/>
      <c r="MKE254" s="9"/>
      <c r="MKF254" s="9"/>
      <c r="MKG254" s="9"/>
      <c r="MKH254" s="9"/>
      <c r="MKI254" s="9"/>
      <c r="MKJ254" s="9"/>
      <c r="MKK254" s="9"/>
      <c r="MKL254" s="9"/>
      <c r="MKM254" s="9"/>
      <c r="MKN254" s="9"/>
      <c r="MKO254" s="9"/>
      <c r="MKP254" s="9"/>
      <c r="MKQ254" s="9"/>
      <c r="MKR254" s="9"/>
      <c r="MKS254" s="9"/>
      <c r="MKT254" s="9"/>
      <c r="MKU254" s="9"/>
      <c r="MKV254" s="9"/>
      <c r="MKW254" s="9"/>
      <c r="MKX254" s="9"/>
      <c r="MKY254" s="9"/>
      <c r="MKZ254" s="9"/>
      <c r="MLA254" s="9"/>
      <c r="MLB254" s="9"/>
      <c r="MLC254" s="9"/>
      <c r="MLD254" s="9"/>
      <c r="MLE254" s="9"/>
      <c r="MLF254" s="9"/>
      <c r="MLG254" s="9"/>
      <c r="MLH254" s="9"/>
      <c r="MLI254" s="9"/>
      <c r="MLJ254" s="9"/>
      <c r="MLK254" s="9"/>
      <c r="MLL254" s="9"/>
      <c r="MLM254" s="9"/>
      <c r="MLN254" s="9"/>
      <c r="MLO254" s="9"/>
      <c r="MLP254" s="9"/>
      <c r="MLQ254" s="9"/>
      <c r="MLR254" s="9"/>
      <c r="MLS254" s="9"/>
      <c r="MLT254" s="9"/>
      <c r="MLU254" s="9"/>
      <c r="MLV254" s="9"/>
      <c r="MLW254" s="9"/>
      <c r="MLX254" s="9"/>
      <c r="MLY254" s="9"/>
      <c r="MLZ254" s="9"/>
      <c r="MMA254" s="9"/>
      <c r="MMB254" s="9"/>
      <c r="MMC254" s="9"/>
      <c r="MMD254" s="9"/>
      <c r="MME254" s="9"/>
      <c r="MMF254" s="9"/>
      <c r="MMG254" s="9"/>
      <c r="MMH254" s="9"/>
      <c r="MMI254" s="9"/>
      <c r="MMJ254" s="9"/>
      <c r="MMK254" s="9"/>
      <c r="MML254" s="9"/>
      <c r="MMM254" s="9"/>
      <c r="MMN254" s="9"/>
      <c r="MMO254" s="9"/>
      <c r="MMP254" s="9"/>
      <c r="MMQ254" s="9"/>
      <c r="MMR254" s="9"/>
      <c r="MMS254" s="9"/>
      <c r="MMT254" s="9"/>
      <c r="MMU254" s="9"/>
      <c r="MMV254" s="9"/>
      <c r="MMW254" s="9"/>
      <c r="MMX254" s="9"/>
      <c r="MMY254" s="9"/>
      <c r="MMZ254" s="9"/>
      <c r="MNA254" s="9"/>
      <c r="MNB254" s="9"/>
      <c r="MNC254" s="9"/>
      <c r="MND254" s="9"/>
      <c r="MNE254" s="9"/>
      <c r="MNF254" s="9"/>
      <c r="MNG254" s="9"/>
      <c r="MNH254" s="9"/>
      <c r="MNI254" s="9"/>
      <c r="MNJ254" s="9"/>
      <c r="MNK254" s="9"/>
      <c r="MNL254" s="9"/>
      <c r="MNM254" s="9"/>
      <c r="MNN254" s="9"/>
      <c r="MNO254" s="9"/>
      <c r="MNP254" s="9"/>
      <c r="MNQ254" s="9"/>
      <c r="MNR254" s="9"/>
      <c r="MNS254" s="9"/>
      <c r="MNT254" s="9"/>
      <c r="MNU254" s="9"/>
      <c r="MNV254" s="9"/>
      <c r="MNW254" s="9"/>
      <c r="MNX254" s="9"/>
      <c r="MNY254" s="9"/>
      <c r="MNZ254" s="9"/>
      <c r="MOA254" s="9"/>
      <c r="MOB254" s="9"/>
      <c r="MOC254" s="9"/>
      <c r="MOD254" s="9"/>
      <c r="MOE254" s="9"/>
      <c r="MOF254" s="9"/>
      <c r="MOG254" s="9"/>
      <c r="MOH254" s="9"/>
      <c r="MOI254" s="9"/>
      <c r="MOJ254" s="9"/>
      <c r="MOK254" s="9"/>
      <c r="MOL254" s="9"/>
      <c r="MOM254" s="9"/>
      <c r="MON254" s="9"/>
      <c r="MOO254" s="9"/>
      <c r="MOP254" s="9"/>
      <c r="MOQ254" s="9"/>
      <c r="MOR254" s="9"/>
      <c r="MOS254" s="9"/>
      <c r="MOT254" s="9"/>
      <c r="MOU254" s="9"/>
      <c r="MOV254" s="9"/>
      <c r="MOW254" s="9"/>
      <c r="MOX254" s="9"/>
      <c r="MOY254" s="9"/>
      <c r="MOZ254" s="9"/>
      <c r="MPA254" s="9"/>
      <c r="MPB254" s="9"/>
      <c r="MPC254" s="9"/>
      <c r="MPD254" s="9"/>
      <c r="MPE254" s="9"/>
      <c r="MPF254" s="9"/>
      <c r="MPG254" s="9"/>
      <c r="MPH254" s="9"/>
      <c r="MPI254" s="9"/>
      <c r="MPJ254" s="9"/>
      <c r="MPK254" s="9"/>
      <c r="MPL254" s="9"/>
      <c r="MPM254" s="9"/>
      <c r="MPN254" s="9"/>
      <c r="MPO254" s="9"/>
      <c r="MPP254" s="9"/>
      <c r="MPQ254" s="9"/>
      <c r="MPR254" s="9"/>
      <c r="MPS254" s="9"/>
      <c r="MPT254" s="9"/>
      <c r="MPU254" s="9"/>
      <c r="MPV254" s="9"/>
      <c r="MPW254" s="9"/>
      <c r="MPX254" s="9"/>
      <c r="MPY254" s="9"/>
      <c r="MPZ254" s="9"/>
      <c r="MQA254" s="9"/>
      <c r="MQB254" s="9"/>
      <c r="MQC254" s="9"/>
      <c r="MQD254" s="9"/>
      <c r="MQE254" s="9"/>
      <c r="MQF254" s="9"/>
      <c r="MQG254" s="9"/>
      <c r="MQH254" s="9"/>
      <c r="MQI254" s="9"/>
      <c r="MQJ254" s="9"/>
      <c r="MQK254" s="9"/>
      <c r="MQL254" s="9"/>
      <c r="MQM254" s="9"/>
      <c r="MQN254" s="9"/>
      <c r="MQO254" s="9"/>
      <c r="MQP254" s="9"/>
      <c r="MQQ254" s="9"/>
      <c r="MQR254" s="9"/>
      <c r="MQS254" s="9"/>
      <c r="MQT254" s="9"/>
      <c r="MQU254" s="9"/>
      <c r="MQV254" s="9"/>
      <c r="MQW254" s="9"/>
      <c r="MQX254" s="9"/>
      <c r="MQY254" s="9"/>
      <c r="MQZ254" s="9"/>
      <c r="MRA254" s="9"/>
      <c r="MRB254" s="9"/>
      <c r="MRC254" s="9"/>
      <c r="MRD254" s="9"/>
      <c r="MRE254" s="9"/>
      <c r="MRF254" s="9"/>
      <c r="MRG254" s="9"/>
      <c r="MRH254" s="9"/>
      <c r="MRI254" s="9"/>
      <c r="MRJ254" s="9"/>
      <c r="MRK254" s="9"/>
      <c r="MRL254" s="9"/>
      <c r="MRM254" s="9"/>
      <c r="MRN254" s="9"/>
      <c r="MRO254" s="9"/>
      <c r="MRP254" s="9"/>
      <c r="MRQ254" s="9"/>
      <c r="MRR254" s="9"/>
      <c r="MRS254" s="9"/>
      <c r="MRT254" s="9"/>
      <c r="MRU254" s="9"/>
      <c r="MRV254" s="9"/>
      <c r="MRW254" s="9"/>
      <c r="MRX254" s="9"/>
      <c r="MRY254" s="9"/>
      <c r="MRZ254" s="9"/>
      <c r="MSA254" s="9"/>
      <c r="MSB254" s="9"/>
      <c r="MSC254" s="9"/>
      <c r="MSD254" s="9"/>
      <c r="MSE254" s="9"/>
      <c r="MSF254" s="9"/>
      <c r="MSG254" s="9"/>
      <c r="MSH254" s="9"/>
      <c r="MSI254" s="9"/>
      <c r="MSJ254" s="9"/>
      <c r="MSK254" s="9"/>
      <c r="MSL254" s="9"/>
      <c r="MSM254" s="9"/>
      <c r="MSN254" s="9"/>
      <c r="MSO254" s="9"/>
      <c r="MSP254" s="9"/>
      <c r="MSQ254" s="9"/>
      <c r="MSR254" s="9"/>
      <c r="MSS254" s="9"/>
      <c r="MST254" s="9"/>
      <c r="MSU254" s="9"/>
      <c r="MSV254" s="9"/>
      <c r="MSW254" s="9"/>
      <c r="MSX254" s="9"/>
      <c r="MSY254" s="9"/>
      <c r="MSZ254" s="9"/>
      <c r="MTA254" s="9"/>
      <c r="MTB254" s="9"/>
      <c r="MTC254" s="9"/>
      <c r="MTD254" s="9"/>
      <c r="MTE254" s="9"/>
      <c r="MTF254" s="9"/>
      <c r="MTG254" s="9"/>
      <c r="MTH254" s="9"/>
      <c r="MTI254" s="9"/>
      <c r="MTJ254" s="9"/>
      <c r="MTK254" s="9"/>
      <c r="MTL254" s="9"/>
      <c r="MTM254" s="9"/>
      <c r="MTN254" s="9"/>
      <c r="MTO254" s="9"/>
      <c r="MTP254" s="9"/>
      <c r="MTQ254" s="9"/>
      <c r="MTR254" s="9"/>
      <c r="MTS254" s="9"/>
      <c r="MTT254" s="9"/>
      <c r="MTU254" s="9"/>
      <c r="MTV254" s="9"/>
      <c r="MTW254" s="9"/>
      <c r="MTX254" s="9"/>
      <c r="MTY254" s="9"/>
      <c r="MTZ254" s="9"/>
      <c r="MUA254" s="9"/>
      <c r="MUB254" s="9"/>
      <c r="MUC254" s="9"/>
      <c r="MUD254" s="9"/>
      <c r="MUE254" s="9"/>
      <c r="MUF254" s="9"/>
      <c r="MUG254" s="9"/>
      <c r="MUH254" s="9"/>
      <c r="MUI254" s="9"/>
      <c r="MUJ254" s="9"/>
      <c r="MUK254" s="9"/>
      <c r="MUL254" s="9"/>
      <c r="MUM254" s="9"/>
      <c r="MUN254" s="9"/>
      <c r="MUO254" s="9"/>
      <c r="MUP254" s="9"/>
      <c r="MUQ254" s="9"/>
      <c r="MUR254" s="9"/>
      <c r="MUS254" s="9"/>
      <c r="MUT254" s="9"/>
      <c r="MUU254" s="9"/>
      <c r="MUV254" s="9"/>
      <c r="MUW254" s="9"/>
      <c r="MUX254" s="9"/>
      <c r="MUY254" s="9"/>
      <c r="MUZ254" s="9"/>
      <c r="MVA254" s="9"/>
      <c r="MVB254" s="9"/>
      <c r="MVC254" s="9"/>
      <c r="MVD254" s="9"/>
      <c r="MVE254" s="9"/>
      <c r="MVF254" s="9"/>
      <c r="MVG254" s="9"/>
      <c r="MVH254" s="9"/>
      <c r="MVI254" s="9"/>
      <c r="MVJ254" s="9"/>
      <c r="MVK254" s="9"/>
      <c r="MVL254" s="9"/>
      <c r="MVM254" s="9"/>
      <c r="MVN254" s="9"/>
      <c r="MVO254" s="9"/>
      <c r="MVP254" s="9"/>
      <c r="MVQ254" s="9"/>
      <c r="MVR254" s="9"/>
      <c r="MVS254" s="9"/>
      <c r="MVT254" s="9"/>
      <c r="MVU254" s="9"/>
      <c r="MVV254" s="9"/>
      <c r="MVW254" s="9"/>
      <c r="MVX254" s="9"/>
      <c r="MVY254" s="9"/>
      <c r="MVZ254" s="9"/>
      <c r="MWA254" s="9"/>
      <c r="MWB254" s="9"/>
      <c r="MWC254" s="9"/>
      <c r="MWD254" s="9"/>
      <c r="MWE254" s="9"/>
      <c r="MWF254" s="9"/>
      <c r="MWG254" s="9"/>
      <c r="MWH254" s="9"/>
      <c r="MWI254" s="9"/>
      <c r="MWJ254" s="9"/>
      <c r="MWK254" s="9"/>
      <c r="MWL254" s="9"/>
      <c r="MWM254" s="9"/>
      <c r="MWN254" s="9"/>
      <c r="MWO254" s="9"/>
      <c r="MWP254" s="9"/>
      <c r="MWQ254" s="9"/>
      <c r="MWR254" s="9"/>
      <c r="MWS254" s="9"/>
      <c r="MWT254" s="9"/>
      <c r="MWU254" s="9"/>
      <c r="MWV254" s="9"/>
      <c r="MWW254" s="9"/>
      <c r="MWX254" s="9"/>
      <c r="MWY254" s="9"/>
      <c r="MWZ254" s="9"/>
      <c r="MXA254" s="9"/>
      <c r="MXB254" s="9"/>
      <c r="MXC254" s="9"/>
      <c r="MXD254" s="9"/>
      <c r="MXE254" s="9"/>
      <c r="MXF254" s="9"/>
      <c r="MXG254" s="9"/>
      <c r="MXH254" s="9"/>
      <c r="MXI254" s="9"/>
      <c r="MXJ254" s="9"/>
      <c r="MXK254" s="9"/>
      <c r="MXL254" s="9"/>
      <c r="MXM254" s="9"/>
      <c r="MXN254" s="9"/>
      <c r="MXO254" s="9"/>
      <c r="MXP254" s="9"/>
      <c r="MXQ254" s="9"/>
      <c r="MXR254" s="9"/>
      <c r="MXS254" s="9"/>
      <c r="MXT254" s="9"/>
      <c r="MXU254" s="9"/>
      <c r="MXV254" s="9"/>
      <c r="MXW254" s="9"/>
      <c r="MXX254" s="9"/>
      <c r="MXY254" s="9"/>
      <c r="MXZ254" s="9"/>
      <c r="MYA254" s="9"/>
      <c r="MYB254" s="9"/>
      <c r="MYC254" s="9"/>
      <c r="MYD254" s="9"/>
      <c r="MYE254" s="9"/>
      <c r="MYF254" s="9"/>
      <c r="MYG254" s="9"/>
      <c r="MYH254" s="9"/>
      <c r="MYI254" s="9"/>
      <c r="MYJ254" s="9"/>
      <c r="MYK254" s="9"/>
      <c r="MYL254" s="9"/>
      <c r="MYM254" s="9"/>
      <c r="MYN254" s="9"/>
      <c r="MYO254" s="9"/>
      <c r="MYP254" s="9"/>
      <c r="MYQ254" s="9"/>
      <c r="MYR254" s="9"/>
      <c r="MYS254" s="9"/>
      <c r="MYT254" s="9"/>
      <c r="MYU254" s="9"/>
      <c r="MYV254" s="9"/>
      <c r="MYW254" s="9"/>
      <c r="MYX254" s="9"/>
      <c r="MYY254" s="9"/>
      <c r="MYZ254" s="9"/>
      <c r="MZA254" s="9"/>
      <c r="MZB254" s="9"/>
      <c r="MZC254" s="9"/>
      <c r="MZD254" s="9"/>
      <c r="MZE254" s="9"/>
      <c r="MZF254" s="9"/>
      <c r="MZG254" s="9"/>
      <c r="MZH254" s="9"/>
      <c r="MZI254" s="9"/>
      <c r="MZJ254" s="9"/>
      <c r="MZK254" s="9"/>
      <c r="MZL254" s="9"/>
      <c r="MZM254" s="9"/>
      <c r="MZN254" s="9"/>
      <c r="MZO254" s="9"/>
      <c r="MZP254" s="9"/>
      <c r="MZQ254" s="9"/>
      <c r="MZR254" s="9"/>
      <c r="MZS254" s="9"/>
      <c r="MZT254" s="9"/>
      <c r="MZU254" s="9"/>
      <c r="MZV254" s="9"/>
      <c r="MZW254" s="9"/>
      <c r="MZX254" s="9"/>
      <c r="MZY254" s="9"/>
      <c r="MZZ254" s="9"/>
      <c r="NAA254" s="9"/>
      <c r="NAB254" s="9"/>
      <c r="NAC254" s="9"/>
      <c r="NAD254" s="9"/>
      <c r="NAE254" s="9"/>
      <c r="NAF254" s="9"/>
      <c r="NAG254" s="9"/>
      <c r="NAH254" s="9"/>
      <c r="NAI254" s="9"/>
      <c r="NAJ254" s="9"/>
      <c r="NAK254" s="9"/>
      <c r="NAL254" s="9"/>
      <c r="NAM254" s="9"/>
      <c r="NAN254" s="9"/>
      <c r="NAO254" s="9"/>
      <c r="NAP254" s="9"/>
      <c r="NAQ254" s="9"/>
      <c r="NAR254" s="9"/>
      <c r="NAS254" s="9"/>
      <c r="NAT254" s="9"/>
      <c r="NAU254" s="9"/>
      <c r="NAV254" s="9"/>
      <c r="NAW254" s="9"/>
      <c r="NAX254" s="9"/>
      <c r="NAY254" s="9"/>
      <c r="NAZ254" s="9"/>
      <c r="NBA254" s="9"/>
      <c r="NBB254" s="9"/>
      <c r="NBC254" s="9"/>
      <c r="NBD254" s="9"/>
      <c r="NBE254" s="9"/>
      <c r="NBF254" s="9"/>
      <c r="NBG254" s="9"/>
      <c r="NBH254" s="9"/>
      <c r="NBI254" s="9"/>
      <c r="NBJ254" s="9"/>
      <c r="NBK254" s="9"/>
      <c r="NBL254" s="9"/>
      <c r="NBM254" s="9"/>
      <c r="NBN254" s="9"/>
      <c r="NBO254" s="9"/>
      <c r="NBP254" s="9"/>
      <c r="NBQ254" s="9"/>
      <c r="NBR254" s="9"/>
      <c r="NBS254" s="9"/>
      <c r="NBT254" s="9"/>
      <c r="NBU254" s="9"/>
      <c r="NBV254" s="9"/>
      <c r="NBW254" s="9"/>
      <c r="NBX254" s="9"/>
      <c r="NBY254" s="9"/>
      <c r="NBZ254" s="9"/>
      <c r="NCA254" s="9"/>
      <c r="NCB254" s="9"/>
      <c r="NCC254" s="9"/>
      <c r="NCD254" s="9"/>
      <c r="NCE254" s="9"/>
      <c r="NCF254" s="9"/>
      <c r="NCG254" s="9"/>
      <c r="NCH254" s="9"/>
      <c r="NCI254" s="9"/>
      <c r="NCJ254" s="9"/>
      <c r="NCK254" s="9"/>
      <c r="NCL254" s="9"/>
      <c r="NCM254" s="9"/>
      <c r="NCN254" s="9"/>
      <c r="NCO254" s="9"/>
      <c r="NCP254" s="9"/>
      <c r="NCQ254" s="9"/>
      <c r="NCR254" s="9"/>
      <c r="NCS254" s="9"/>
      <c r="NCT254" s="9"/>
      <c r="NCU254" s="9"/>
      <c r="NCV254" s="9"/>
      <c r="NCW254" s="9"/>
      <c r="NCX254" s="9"/>
      <c r="NCY254" s="9"/>
      <c r="NCZ254" s="9"/>
      <c r="NDA254" s="9"/>
      <c r="NDB254" s="9"/>
      <c r="NDC254" s="9"/>
      <c r="NDD254" s="9"/>
      <c r="NDE254" s="9"/>
      <c r="NDF254" s="9"/>
      <c r="NDG254" s="9"/>
      <c r="NDH254" s="9"/>
      <c r="NDI254" s="9"/>
      <c r="NDJ254" s="9"/>
      <c r="NDK254" s="9"/>
      <c r="NDL254" s="9"/>
      <c r="NDM254" s="9"/>
      <c r="NDN254" s="9"/>
      <c r="NDO254" s="9"/>
      <c r="NDP254" s="9"/>
      <c r="NDQ254" s="9"/>
      <c r="NDR254" s="9"/>
      <c r="NDS254" s="9"/>
      <c r="NDT254" s="9"/>
      <c r="NDU254" s="9"/>
      <c r="NDV254" s="9"/>
      <c r="NDW254" s="9"/>
      <c r="NDX254" s="9"/>
      <c r="NDY254" s="9"/>
      <c r="NDZ254" s="9"/>
      <c r="NEA254" s="9"/>
      <c r="NEB254" s="9"/>
      <c r="NEC254" s="9"/>
      <c r="NED254" s="9"/>
      <c r="NEE254" s="9"/>
      <c r="NEF254" s="9"/>
      <c r="NEG254" s="9"/>
      <c r="NEH254" s="9"/>
      <c r="NEI254" s="9"/>
      <c r="NEJ254" s="9"/>
      <c r="NEK254" s="9"/>
      <c r="NEL254" s="9"/>
      <c r="NEM254" s="9"/>
      <c r="NEN254" s="9"/>
      <c r="NEO254" s="9"/>
      <c r="NEP254" s="9"/>
      <c r="NEQ254" s="9"/>
      <c r="NER254" s="9"/>
      <c r="NES254" s="9"/>
      <c r="NET254" s="9"/>
      <c r="NEU254" s="9"/>
      <c r="NEV254" s="9"/>
      <c r="NEW254" s="9"/>
      <c r="NEX254" s="9"/>
      <c r="NEY254" s="9"/>
      <c r="NEZ254" s="9"/>
      <c r="NFA254" s="9"/>
      <c r="NFB254" s="9"/>
      <c r="NFC254" s="9"/>
      <c r="NFD254" s="9"/>
      <c r="NFE254" s="9"/>
      <c r="NFF254" s="9"/>
      <c r="NFG254" s="9"/>
      <c r="NFH254" s="9"/>
      <c r="NFI254" s="9"/>
      <c r="NFJ254" s="9"/>
      <c r="NFK254" s="9"/>
      <c r="NFL254" s="9"/>
      <c r="NFM254" s="9"/>
      <c r="NFN254" s="9"/>
      <c r="NFO254" s="9"/>
      <c r="NFP254" s="9"/>
      <c r="NFQ254" s="9"/>
      <c r="NFR254" s="9"/>
      <c r="NFS254" s="9"/>
      <c r="NFT254" s="9"/>
      <c r="NFU254" s="9"/>
      <c r="NFV254" s="9"/>
      <c r="NFW254" s="9"/>
      <c r="NFX254" s="9"/>
      <c r="NFY254" s="9"/>
      <c r="NFZ254" s="9"/>
      <c r="NGA254" s="9"/>
      <c r="NGB254" s="9"/>
      <c r="NGC254" s="9"/>
      <c r="NGD254" s="9"/>
      <c r="NGE254" s="9"/>
      <c r="NGF254" s="9"/>
      <c r="NGG254" s="9"/>
      <c r="NGH254" s="9"/>
      <c r="NGI254" s="9"/>
      <c r="NGJ254" s="9"/>
      <c r="NGK254" s="9"/>
      <c r="NGL254" s="9"/>
      <c r="NGM254" s="9"/>
      <c r="NGN254" s="9"/>
      <c r="NGO254" s="9"/>
      <c r="NGP254" s="9"/>
      <c r="NGQ254" s="9"/>
      <c r="NGR254" s="9"/>
      <c r="NGS254" s="9"/>
      <c r="NGT254" s="9"/>
      <c r="NGU254" s="9"/>
      <c r="NGV254" s="9"/>
      <c r="NGW254" s="9"/>
      <c r="NGX254" s="9"/>
      <c r="NGY254" s="9"/>
      <c r="NGZ254" s="9"/>
      <c r="NHA254" s="9"/>
      <c r="NHB254" s="9"/>
      <c r="NHC254" s="9"/>
      <c r="NHD254" s="9"/>
      <c r="NHE254" s="9"/>
      <c r="NHF254" s="9"/>
      <c r="NHG254" s="9"/>
      <c r="NHH254" s="9"/>
      <c r="NHI254" s="9"/>
      <c r="NHJ254" s="9"/>
      <c r="NHK254" s="9"/>
      <c r="NHL254" s="9"/>
      <c r="NHM254" s="9"/>
      <c r="NHN254" s="9"/>
      <c r="NHO254" s="9"/>
      <c r="NHP254" s="9"/>
      <c r="NHQ254" s="9"/>
      <c r="NHR254" s="9"/>
      <c r="NHS254" s="9"/>
      <c r="NHT254" s="9"/>
      <c r="NHU254" s="9"/>
      <c r="NHV254" s="9"/>
      <c r="NHW254" s="9"/>
      <c r="NHX254" s="9"/>
      <c r="NHY254" s="9"/>
      <c r="NHZ254" s="9"/>
      <c r="NIA254" s="9"/>
      <c r="NIB254" s="9"/>
      <c r="NIC254" s="9"/>
      <c r="NID254" s="9"/>
      <c r="NIE254" s="9"/>
      <c r="NIF254" s="9"/>
      <c r="NIG254" s="9"/>
      <c r="NIH254" s="9"/>
      <c r="NII254" s="9"/>
      <c r="NIJ254" s="9"/>
      <c r="NIK254" s="9"/>
      <c r="NIL254" s="9"/>
      <c r="NIM254" s="9"/>
      <c r="NIN254" s="9"/>
      <c r="NIO254" s="9"/>
      <c r="NIP254" s="9"/>
      <c r="NIQ254" s="9"/>
      <c r="NIR254" s="9"/>
      <c r="NIS254" s="9"/>
      <c r="NIT254" s="9"/>
      <c r="NIU254" s="9"/>
      <c r="NIV254" s="9"/>
      <c r="NIW254" s="9"/>
      <c r="NIX254" s="9"/>
      <c r="NIY254" s="9"/>
      <c r="NIZ254" s="9"/>
      <c r="NJA254" s="9"/>
      <c r="NJB254" s="9"/>
      <c r="NJC254" s="9"/>
      <c r="NJD254" s="9"/>
      <c r="NJE254" s="9"/>
      <c r="NJF254" s="9"/>
      <c r="NJG254" s="9"/>
      <c r="NJH254" s="9"/>
      <c r="NJI254" s="9"/>
      <c r="NJJ254" s="9"/>
      <c r="NJK254" s="9"/>
      <c r="NJL254" s="9"/>
      <c r="NJM254" s="9"/>
      <c r="NJN254" s="9"/>
      <c r="NJO254" s="9"/>
      <c r="NJP254" s="9"/>
      <c r="NJQ254" s="9"/>
      <c r="NJR254" s="9"/>
      <c r="NJS254" s="9"/>
      <c r="NJT254" s="9"/>
      <c r="NJU254" s="9"/>
      <c r="NJV254" s="9"/>
      <c r="NJW254" s="9"/>
      <c r="NJX254" s="9"/>
      <c r="NJY254" s="9"/>
      <c r="NJZ254" s="9"/>
      <c r="NKA254" s="9"/>
      <c r="NKB254" s="9"/>
      <c r="NKC254" s="9"/>
      <c r="NKD254" s="9"/>
      <c r="NKE254" s="9"/>
      <c r="NKF254" s="9"/>
      <c r="NKG254" s="9"/>
      <c r="NKH254" s="9"/>
      <c r="NKI254" s="9"/>
      <c r="NKJ254" s="9"/>
      <c r="NKK254" s="9"/>
      <c r="NKL254" s="9"/>
      <c r="NKM254" s="9"/>
      <c r="NKN254" s="9"/>
      <c r="NKO254" s="9"/>
      <c r="NKP254" s="9"/>
      <c r="NKQ254" s="9"/>
      <c r="NKR254" s="9"/>
      <c r="NKS254" s="9"/>
      <c r="NKT254" s="9"/>
      <c r="NKU254" s="9"/>
      <c r="NKV254" s="9"/>
      <c r="NKW254" s="9"/>
      <c r="NKX254" s="9"/>
      <c r="NKY254" s="9"/>
      <c r="NKZ254" s="9"/>
      <c r="NLA254" s="9"/>
      <c r="NLB254" s="9"/>
      <c r="NLC254" s="9"/>
      <c r="NLD254" s="9"/>
      <c r="NLE254" s="9"/>
      <c r="NLF254" s="9"/>
      <c r="NLG254" s="9"/>
      <c r="NLH254" s="9"/>
      <c r="NLI254" s="9"/>
      <c r="NLJ254" s="9"/>
      <c r="NLK254" s="9"/>
      <c r="NLL254" s="9"/>
      <c r="NLM254" s="9"/>
      <c r="NLN254" s="9"/>
      <c r="NLO254" s="9"/>
      <c r="NLP254" s="9"/>
      <c r="NLQ254" s="9"/>
      <c r="NLR254" s="9"/>
      <c r="NLS254" s="9"/>
      <c r="NLT254" s="9"/>
      <c r="NLU254" s="9"/>
      <c r="NLV254" s="9"/>
      <c r="NLW254" s="9"/>
      <c r="NLX254" s="9"/>
      <c r="NLY254" s="9"/>
      <c r="NLZ254" s="9"/>
      <c r="NMA254" s="9"/>
      <c r="NMB254" s="9"/>
      <c r="NMC254" s="9"/>
      <c r="NMD254" s="9"/>
      <c r="NME254" s="9"/>
      <c r="NMF254" s="9"/>
      <c r="NMG254" s="9"/>
      <c r="NMH254" s="9"/>
      <c r="NMI254" s="9"/>
      <c r="NMJ254" s="9"/>
      <c r="NMK254" s="9"/>
      <c r="NML254" s="9"/>
      <c r="NMM254" s="9"/>
      <c r="NMN254" s="9"/>
      <c r="NMO254" s="9"/>
      <c r="NMP254" s="9"/>
      <c r="NMQ254" s="9"/>
      <c r="NMR254" s="9"/>
      <c r="NMS254" s="9"/>
      <c r="NMT254" s="9"/>
      <c r="NMU254" s="9"/>
      <c r="NMV254" s="9"/>
      <c r="NMW254" s="9"/>
      <c r="NMX254" s="9"/>
      <c r="NMY254" s="9"/>
      <c r="NMZ254" s="9"/>
      <c r="NNA254" s="9"/>
      <c r="NNB254" s="9"/>
      <c r="NNC254" s="9"/>
      <c r="NND254" s="9"/>
      <c r="NNE254" s="9"/>
      <c r="NNF254" s="9"/>
      <c r="NNG254" s="9"/>
      <c r="NNH254" s="9"/>
      <c r="NNI254" s="9"/>
      <c r="NNJ254" s="9"/>
      <c r="NNK254" s="9"/>
      <c r="NNL254" s="9"/>
      <c r="NNM254" s="9"/>
      <c r="NNN254" s="9"/>
      <c r="NNO254" s="9"/>
      <c r="NNP254" s="9"/>
      <c r="NNQ254" s="9"/>
      <c r="NNR254" s="9"/>
      <c r="NNS254" s="9"/>
      <c r="NNT254" s="9"/>
      <c r="NNU254" s="9"/>
      <c r="NNV254" s="9"/>
      <c r="NNW254" s="9"/>
      <c r="NNX254" s="9"/>
      <c r="NNY254" s="9"/>
      <c r="NNZ254" s="9"/>
      <c r="NOA254" s="9"/>
      <c r="NOB254" s="9"/>
      <c r="NOC254" s="9"/>
      <c r="NOD254" s="9"/>
      <c r="NOE254" s="9"/>
      <c r="NOF254" s="9"/>
      <c r="NOG254" s="9"/>
      <c r="NOH254" s="9"/>
      <c r="NOI254" s="9"/>
      <c r="NOJ254" s="9"/>
      <c r="NOK254" s="9"/>
      <c r="NOL254" s="9"/>
      <c r="NOM254" s="9"/>
      <c r="NON254" s="9"/>
      <c r="NOO254" s="9"/>
      <c r="NOP254" s="9"/>
      <c r="NOQ254" s="9"/>
      <c r="NOR254" s="9"/>
      <c r="NOS254" s="9"/>
      <c r="NOT254" s="9"/>
      <c r="NOU254" s="9"/>
      <c r="NOV254" s="9"/>
      <c r="NOW254" s="9"/>
      <c r="NOX254" s="9"/>
      <c r="NOY254" s="9"/>
      <c r="NOZ254" s="9"/>
      <c r="NPA254" s="9"/>
      <c r="NPB254" s="9"/>
      <c r="NPC254" s="9"/>
      <c r="NPD254" s="9"/>
      <c r="NPE254" s="9"/>
      <c r="NPF254" s="9"/>
      <c r="NPG254" s="9"/>
      <c r="NPH254" s="9"/>
      <c r="NPI254" s="9"/>
      <c r="NPJ254" s="9"/>
      <c r="NPK254" s="9"/>
      <c r="NPL254" s="9"/>
      <c r="NPM254" s="9"/>
      <c r="NPN254" s="9"/>
      <c r="NPO254" s="9"/>
      <c r="NPP254" s="9"/>
      <c r="NPQ254" s="9"/>
      <c r="NPR254" s="9"/>
      <c r="NPS254" s="9"/>
      <c r="NPT254" s="9"/>
      <c r="NPU254" s="9"/>
      <c r="NPV254" s="9"/>
      <c r="NPW254" s="9"/>
      <c r="NPX254" s="9"/>
      <c r="NPY254" s="9"/>
      <c r="NPZ254" s="9"/>
      <c r="NQA254" s="9"/>
      <c r="NQB254" s="9"/>
      <c r="NQC254" s="9"/>
      <c r="NQD254" s="9"/>
      <c r="NQE254" s="9"/>
      <c r="NQF254" s="9"/>
      <c r="NQG254" s="9"/>
      <c r="NQH254" s="9"/>
      <c r="NQI254" s="9"/>
      <c r="NQJ254" s="9"/>
      <c r="NQK254" s="9"/>
      <c r="NQL254" s="9"/>
      <c r="NQM254" s="9"/>
      <c r="NQN254" s="9"/>
      <c r="NQO254" s="9"/>
      <c r="NQP254" s="9"/>
      <c r="NQQ254" s="9"/>
      <c r="NQR254" s="9"/>
      <c r="NQS254" s="9"/>
      <c r="NQT254" s="9"/>
      <c r="NQU254" s="9"/>
      <c r="NQV254" s="9"/>
      <c r="NQW254" s="9"/>
      <c r="NQX254" s="9"/>
      <c r="NQY254" s="9"/>
      <c r="NQZ254" s="9"/>
      <c r="NRA254" s="9"/>
      <c r="NRB254" s="9"/>
      <c r="NRC254" s="9"/>
      <c r="NRD254" s="9"/>
      <c r="NRE254" s="9"/>
      <c r="NRF254" s="9"/>
      <c r="NRG254" s="9"/>
      <c r="NRH254" s="9"/>
      <c r="NRI254" s="9"/>
      <c r="NRJ254" s="9"/>
      <c r="NRK254" s="9"/>
      <c r="NRL254" s="9"/>
      <c r="NRM254" s="9"/>
      <c r="NRN254" s="9"/>
      <c r="NRO254" s="9"/>
      <c r="NRP254" s="9"/>
      <c r="NRQ254" s="9"/>
      <c r="NRR254" s="9"/>
      <c r="NRS254" s="9"/>
      <c r="NRT254" s="9"/>
      <c r="NRU254" s="9"/>
      <c r="NRV254" s="9"/>
      <c r="NRW254" s="9"/>
      <c r="NRX254" s="9"/>
      <c r="NRY254" s="9"/>
      <c r="NRZ254" s="9"/>
      <c r="NSA254" s="9"/>
      <c r="NSB254" s="9"/>
      <c r="NSC254" s="9"/>
      <c r="NSD254" s="9"/>
      <c r="NSE254" s="9"/>
      <c r="NSF254" s="9"/>
      <c r="NSG254" s="9"/>
      <c r="NSH254" s="9"/>
      <c r="NSI254" s="9"/>
      <c r="NSJ254" s="9"/>
      <c r="NSK254" s="9"/>
      <c r="NSL254" s="9"/>
      <c r="NSM254" s="9"/>
      <c r="NSN254" s="9"/>
      <c r="NSO254" s="9"/>
      <c r="NSP254" s="9"/>
      <c r="NSQ254" s="9"/>
      <c r="NSR254" s="9"/>
      <c r="NSS254" s="9"/>
      <c r="NST254" s="9"/>
      <c r="NSU254" s="9"/>
      <c r="NSV254" s="9"/>
      <c r="NSW254" s="9"/>
      <c r="NSX254" s="9"/>
      <c r="NSY254" s="9"/>
      <c r="NSZ254" s="9"/>
      <c r="NTA254" s="9"/>
      <c r="NTB254" s="9"/>
      <c r="NTC254" s="9"/>
      <c r="NTD254" s="9"/>
      <c r="NTE254" s="9"/>
      <c r="NTF254" s="9"/>
      <c r="NTG254" s="9"/>
      <c r="NTH254" s="9"/>
      <c r="NTI254" s="9"/>
      <c r="NTJ254" s="9"/>
      <c r="NTK254" s="9"/>
      <c r="NTL254" s="9"/>
      <c r="NTM254" s="9"/>
      <c r="NTN254" s="9"/>
      <c r="NTO254" s="9"/>
      <c r="NTP254" s="9"/>
      <c r="NTQ254" s="9"/>
      <c r="NTR254" s="9"/>
      <c r="NTS254" s="9"/>
      <c r="NTT254" s="9"/>
      <c r="NTU254" s="9"/>
      <c r="NTV254" s="9"/>
      <c r="NTW254" s="9"/>
      <c r="NTX254" s="9"/>
      <c r="NTY254" s="9"/>
      <c r="NTZ254" s="9"/>
      <c r="NUA254" s="9"/>
      <c r="NUB254" s="9"/>
      <c r="NUC254" s="9"/>
      <c r="NUD254" s="9"/>
      <c r="NUE254" s="9"/>
      <c r="NUF254" s="9"/>
      <c r="NUG254" s="9"/>
      <c r="NUH254" s="9"/>
      <c r="NUI254" s="9"/>
      <c r="NUJ254" s="9"/>
      <c r="NUK254" s="9"/>
      <c r="NUL254" s="9"/>
      <c r="NUM254" s="9"/>
      <c r="NUN254" s="9"/>
      <c r="NUO254" s="9"/>
      <c r="NUP254" s="9"/>
      <c r="NUQ254" s="9"/>
      <c r="NUR254" s="9"/>
      <c r="NUS254" s="9"/>
      <c r="NUT254" s="9"/>
      <c r="NUU254" s="9"/>
      <c r="NUV254" s="9"/>
      <c r="NUW254" s="9"/>
      <c r="NUX254" s="9"/>
      <c r="NUY254" s="9"/>
      <c r="NUZ254" s="9"/>
      <c r="NVA254" s="9"/>
      <c r="NVB254" s="9"/>
      <c r="NVC254" s="9"/>
      <c r="NVD254" s="9"/>
      <c r="NVE254" s="9"/>
      <c r="NVF254" s="9"/>
      <c r="NVG254" s="9"/>
      <c r="NVH254" s="9"/>
      <c r="NVI254" s="9"/>
      <c r="NVJ254" s="9"/>
      <c r="NVK254" s="9"/>
      <c r="NVL254" s="9"/>
      <c r="NVM254" s="9"/>
      <c r="NVN254" s="9"/>
      <c r="NVO254" s="9"/>
      <c r="NVP254" s="9"/>
      <c r="NVQ254" s="9"/>
      <c r="NVR254" s="9"/>
      <c r="NVS254" s="9"/>
      <c r="NVT254" s="9"/>
      <c r="NVU254" s="9"/>
      <c r="NVV254" s="9"/>
      <c r="NVW254" s="9"/>
      <c r="NVX254" s="9"/>
      <c r="NVY254" s="9"/>
      <c r="NVZ254" s="9"/>
      <c r="NWA254" s="9"/>
      <c r="NWB254" s="9"/>
      <c r="NWC254" s="9"/>
      <c r="NWD254" s="9"/>
      <c r="NWE254" s="9"/>
      <c r="NWF254" s="9"/>
      <c r="NWG254" s="9"/>
      <c r="NWH254" s="9"/>
      <c r="NWI254" s="9"/>
      <c r="NWJ254" s="9"/>
      <c r="NWK254" s="9"/>
      <c r="NWL254" s="9"/>
      <c r="NWM254" s="9"/>
      <c r="NWN254" s="9"/>
      <c r="NWO254" s="9"/>
      <c r="NWP254" s="9"/>
      <c r="NWQ254" s="9"/>
      <c r="NWR254" s="9"/>
      <c r="NWS254" s="9"/>
      <c r="NWT254" s="9"/>
      <c r="NWU254" s="9"/>
      <c r="NWV254" s="9"/>
      <c r="NWW254" s="9"/>
      <c r="NWX254" s="9"/>
      <c r="NWY254" s="9"/>
      <c r="NWZ254" s="9"/>
      <c r="NXA254" s="9"/>
      <c r="NXB254" s="9"/>
      <c r="NXC254" s="9"/>
      <c r="NXD254" s="9"/>
      <c r="NXE254" s="9"/>
      <c r="NXF254" s="9"/>
      <c r="NXG254" s="9"/>
      <c r="NXH254" s="9"/>
      <c r="NXI254" s="9"/>
      <c r="NXJ254" s="9"/>
      <c r="NXK254" s="9"/>
      <c r="NXL254" s="9"/>
      <c r="NXM254" s="9"/>
      <c r="NXN254" s="9"/>
      <c r="NXO254" s="9"/>
      <c r="NXP254" s="9"/>
      <c r="NXQ254" s="9"/>
      <c r="NXR254" s="9"/>
      <c r="NXS254" s="9"/>
      <c r="NXT254" s="9"/>
      <c r="NXU254" s="9"/>
      <c r="NXV254" s="9"/>
      <c r="NXW254" s="9"/>
      <c r="NXX254" s="9"/>
      <c r="NXY254" s="9"/>
      <c r="NXZ254" s="9"/>
      <c r="NYA254" s="9"/>
      <c r="NYB254" s="9"/>
      <c r="NYC254" s="9"/>
      <c r="NYD254" s="9"/>
      <c r="NYE254" s="9"/>
      <c r="NYF254" s="9"/>
      <c r="NYG254" s="9"/>
      <c r="NYH254" s="9"/>
      <c r="NYI254" s="9"/>
      <c r="NYJ254" s="9"/>
      <c r="NYK254" s="9"/>
      <c r="NYL254" s="9"/>
      <c r="NYM254" s="9"/>
      <c r="NYN254" s="9"/>
      <c r="NYO254" s="9"/>
      <c r="NYP254" s="9"/>
      <c r="NYQ254" s="9"/>
      <c r="NYR254" s="9"/>
      <c r="NYS254" s="9"/>
      <c r="NYT254" s="9"/>
      <c r="NYU254" s="9"/>
      <c r="NYV254" s="9"/>
      <c r="NYW254" s="9"/>
      <c r="NYX254" s="9"/>
      <c r="NYY254" s="9"/>
      <c r="NYZ254" s="9"/>
      <c r="NZA254" s="9"/>
      <c r="NZB254" s="9"/>
      <c r="NZC254" s="9"/>
      <c r="NZD254" s="9"/>
      <c r="NZE254" s="9"/>
      <c r="NZF254" s="9"/>
      <c r="NZG254" s="9"/>
      <c r="NZH254" s="9"/>
      <c r="NZI254" s="9"/>
      <c r="NZJ254" s="9"/>
      <c r="NZK254" s="9"/>
      <c r="NZL254" s="9"/>
      <c r="NZM254" s="9"/>
      <c r="NZN254" s="9"/>
      <c r="NZO254" s="9"/>
      <c r="NZP254" s="9"/>
      <c r="NZQ254" s="9"/>
      <c r="NZR254" s="9"/>
      <c r="NZS254" s="9"/>
      <c r="NZT254" s="9"/>
      <c r="NZU254" s="9"/>
      <c r="NZV254" s="9"/>
      <c r="NZW254" s="9"/>
      <c r="NZX254" s="9"/>
      <c r="NZY254" s="9"/>
      <c r="NZZ254" s="9"/>
      <c r="OAA254" s="9"/>
      <c r="OAB254" s="9"/>
      <c r="OAC254" s="9"/>
      <c r="OAD254" s="9"/>
      <c r="OAE254" s="9"/>
      <c r="OAF254" s="9"/>
      <c r="OAG254" s="9"/>
      <c r="OAH254" s="9"/>
      <c r="OAI254" s="9"/>
      <c r="OAJ254" s="9"/>
      <c r="OAK254" s="9"/>
      <c r="OAL254" s="9"/>
      <c r="OAM254" s="9"/>
      <c r="OAN254" s="9"/>
      <c r="OAO254" s="9"/>
      <c r="OAP254" s="9"/>
      <c r="OAQ254" s="9"/>
      <c r="OAR254" s="9"/>
      <c r="OAS254" s="9"/>
      <c r="OAT254" s="9"/>
      <c r="OAU254" s="9"/>
      <c r="OAV254" s="9"/>
      <c r="OAW254" s="9"/>
      <c r="OAX254" s="9"/>
      <c r="OAY254" s="9"/>
      <c r="OAZ254" s="9"/>
      <c r="OBA254" s="9"/>
      <c r="OBB254" s="9"/>
      <c r="OBC254" s="9"/>
      <c r="OBD254" s="9"/>
      <c r="OBE254" s="9"/>
      <c r="OBF254" s="9"/>
      <c r="OBG254" s="9"/>
      <c r="OBH254" s="9"/>
      <c r="OBI254" s="9"/>
      <c r="OBJ254" s="9"/>
      <c r="OBK254" s="9"/>
      <c r="OBL254" s="9"/>
      <c r="OBM254" s="9"/>
      <c r="OBN254" s="9"/>
      <c r="OBO254" s="9"/>
      <c r="OBP254" s="9"/>
      <c r="OBQ254" s="9"/>
      <c r="OBR254" s="9"/>
      <c r="OBS254" s="9"/>
      <c r="OBT254" s="9"/>
      <c r="OBU254" s="9"/>
      <c r="OBV254" s="9"/>
      <c r="OBW254" s="9"/>
      <c r="OBX254" s="9"/>
      <c r="OBY254" s="9"/>
      <c r="OBZ254" s="9"/>
      <c r="OCA254" s="9"/>
      <c r="OCB254" s="9"/>
      <c r="OCC254" s="9"/>
      <c r="OCD254" s="9"/>
      <c r="OCE254" s="9"/>
      <c r="OCF254" s="9"/>
      <c r="OCG254" s="9"/>
      <c r="OCH254" s="9"/>
      <c r="OCI254" s="9"/>
      <c r="OCJ254" s="9"/>
      <c r="OCK254" s="9"/>
      <c r="OCL254" s="9"/>
      <c r="OCM254" s="9"/>
      <c r="OCN254" s="9"/>
      <c r="OCO254" s="9"/>
      <c r="OCP254" s="9"/>
      <c r="OCQ254" s="9"/>
      <c r="OCR254" s="9"/>
      <c r="OCS254" s="9"/>
      <c r="OCT254" s="9"/>
      <c r="OCU254" s="9"/>
      <c r="OCV254" s="9"/>
      <c r="OCW254" s="9"/>
      <c r="OCX254" s="9"/>
      <c r="OCY254" s="9"/>
      <c r="OCZ254" s="9"/>
      <c r="ODA254" s="9"/>
      <c r="ODB254" s="9"/>
      <c r="ODC254" s="9"/>
      <c r="ODD254" s="9"/>
      <c r="ODE254" s="9"/>
      <c r="ODF254" s="9"/>
      <c r="ODG254" s="9"/>
      <c r="ODH254" s="9"/>
      <c r="ODI254" s="9"/>
      <c r="ODJ254" s="9"/>
      <c r="ODK254" s="9"/>
      <c r="ODL254" s="9"/>
      <c r="ODM254" s="9"/>
      <c r="ODN254" s="9"/>
      <c r="ODO254" s="9"/>
      <c r="ODP254" s="9"/>
      <c r="ODQ254" s="9"/>
      <c r="ODR254" s="9"/>
      <c r="ODS254" s="9"/>
      <c r="ODT254" s="9"/>
      <c r="ODU254" s="9"/>
      <c r="ODV254" s="9"/>
      <c r="ODW254" s="9"/>
      <c r="ODX254" s="9"/>
      <c r="ODY254" s="9"/>
      <c r="ODZ254" s="9"/>
      <c r="OEA254" s="9"/>
      <c r="OEB254" s="9"/>
      <c r="OEC254" s="9"/>
      <c r="OED254" s="9"/>
      <c r="OEE254" s="9"/>
      <c r="OEF254" s="9"/>
      <c r="OEG254" s="9"/>
      <c r="OEH254" s="9"/>
      <c r="OEI254" s="9"/>
      <c r="OEJ254" s="9"/>
      <c r="OEK254" s="9"/>
      <c r="OEL254" s="9"/>
      <c r="OEM254" s="9"/>
      <c r="OEN254" s="9"/>
      <c r="OEO254" s="9"/>
      <c r="OEP254" s="9"/>
      <c r="OEQ254" s="9"/>
      <c r="OER254" s="9"/>
      <c r="OES254" s="9"/>
      <c r="OET254" s="9"/>
      <c r="OEU254" s="9"/>
      <c r="OEV254" s="9"/>
      <c r="OEW254" s="9"/>
      <c r="OEX254" s="9"/>
      <c r="OEY254" s="9"/>
      <c r="OEZ254" s="9"/>
      <c r="OFA254" s="9"/>
      <c r="OFB254" s="9"/>
      <c r="OFC254" s="9"/>
      <c r="OFD254" s="9"/>
      <c r="OFE254" s="9"/>
      <c r="OFF254" s="9"/>
      <c r="OFG254" s="9"/>
      <c r="OFH254" s="9"/>
      <c r="OFI254" s="9"/>
      <c r="OFJ254" s="9"/>
      <c r="OFK254" s="9"/>
      <c r="OFL254" s="9"/>
      <c r="OFM254" s="9"/>
      <c r="OFN254" s="9"/>
      <c r="OFO254" s="9"/>
      <c r="OFP254" s="9"/>
      <c r="OFQ254" s="9"/>
      <c r="OFR254" s="9"/>
      <c r="OFS254" s="9"/>
      <c r="OFT254" s="9"/>
      <c r="OFU254" s="9"/>
      <c r="OFV254" s="9"/>
      <c r="OFW254" s="9"/>
      <c r="OFX254" s="9"/>
      <c r="OFY254" s="9"/>
      <c r="OFZ254" s="9"/>
      <c r="OGA254" s="9"/>
      <c r="OGB254" s="9"/>
      <c r="OGC254" s="9"/>
      <c r="OGD254" s="9"/>
      <c r="OGE254" s="9"/>
      <c r="OGF254" s="9"/>
      <c r="OGG254" s="9"/>
      <c r="OGH254" s="9"/>
      <c r="OGI254" s="9"/>
      <c r="OGJ254" s="9"/>
      <c r="OGK254" s="9"/>
      <c r="OGL254" s="9"/>
      <c r="OGM254" s="9"/>
      <c r="OGN254" s="9"/>
      <c r="OGO254" s="9"/>
      <c r="OGP254" s="9"/>
      <c r="OGQ254" s="9"/>
      <c r="OGR254" s="9"/>
      <c r="OGS254" s="9"/>
      <c r="OGT254" s="9"/>
      <c r="OGU254" s="9"/>
      <c r="OGV254" s="9"/>
      <c r="OGW254" s="9"/>
      <c r="OGX254" s="9"/>
      <c r="OGY254" s="9"/>
      <c r="OGZ254" s="9"/>
      <c r="OHA254" s="9"/>
      <c r="OHB254" s="9"/>
      <c r="OHC254" s="9"/>
      <c r="OHD254" s="9"/>
      <c r="OHE254" s="9"/>
      <c r="OHF254" s="9"/>
      <c r="OHG254" s="9"/>
      <c r="OHH254" s="9"/>
      <c r="OHI254" s="9"/>
      <c r="OHJ254" s="9"/>
      <c r="OHK254" s="9"/>
      <c r="OHL254" s="9"/>
      <c r="OHM254" s="9"/>
      <c r="OHN254" s="9"/>
      <c r="OHO254" s="9"/>
      <c r="OHP254" s="9"/>
      <c r="OHQ254" s="9"/>
      <c r="OHR254" s="9"/>
      <c r="OHS254" s="9"/>
      <c r="OHT254" s="9"/>
      <c r="OHU254" s="9"/>
      <c r="OHV254" s="9"/>
      <c r="OHW254" s="9"/>
      <c r="OHX254" s="9"/>
      <c r="OHY254" s="9"/>
      <c r="OHZ254" s="9"/>
      <c r="OIA254" s="9"/>
      <c r="OIB254" s="9"/>
      <c r="OIC254" s="9"/>
      <c r="OID254" s="9"/>
      <c r="OIE254" s="9"/>
      <c r="OIF254" s="9"/>
      <c r="OIG254" s="9"/>
      <c r="OIH254" s="9"/>
      <c r="OII254" s="9"/>
      <c r="OIJ254" s="9"/>
      <c r="OIK254" s="9"/>
      <c r="OIL254" s="9"/>
      <c r="OIM254" s="9"/>
      <c r="OIN254" s="9"/>
      <c r="OIO254" s="9"/>
      <c r="OIP254" s="9"/>
      <c r="OIQ254" s="9"/>
      <c r="OIR254" s="9"/>
      <c r="OIS254" s="9"/>
      <c r="OIT254" s="9"/>
      <c r="OIU254" s="9"/>
      <c r="OIV254" s="9"/>
      <c r="OIW254" s="9"/>
      <c r="OIX254" s="9"/>
      <c r="OIY254" s="9"/>
      <c r="OIZ254" s="9"/>
      <c r="OJA254" s="9"/>
      <c r="OJB254" s="9"/>
      <c r="OJC254" s="9"/>
      <c r="OJD254" s="9"/>
      <c r="OJE254" s="9"/>
      <c r="OJF254" s="9"/>
      <c r="OJG254" s="9"/>
      <c r="OJH254" s="9"/>
      <c r="OJI254" s="9"/>
      <c r="OJJ254" s="9"/>
      <c r="OJK254" s="9"/>
      <c r="OJL254" s="9"/>
      <c r="OJM254" s="9"/>
      <c r="OJN254" s="9"/>
      <c r="OJO254" s="9"/>
      <c r="OJP254" s="9"/>
      <c r="OJQ254" s="9"/>
      <c r="OJR254" s="9"/>
      <c r="OJS254" s="9"/>
      <c r="OJT254" s="9"/>
      <c r="OJU254" s="9"/>
      <c r="OJV254" s="9"/>
      <c r="OJW254" s="9"/>
      <c r="OJX254" s="9"/>
      <c r="OJY254" s="9"/>
      <c r="OJZ254" s="9"/>
      <c r="OKA254" s="9"/>
      <c r="OKB254" s="9"/>
      <c r="OKC254" s="9"/>
      <c r="OKD254" s="9"/>
      <c r="OKE254" s="9"/>
      <c r="OKF254" s="9"/>
      <c r="OKG254" s="9"/>
      <c r="OKH254" s="9"/>
      <c r="OKI254" s="9"/>
      <c r="OKJ254" s="9"/>
      <c r="OKK254" s="9"/>
      <c r="OKL254" s="9"/>
      <c r="OKM254" s="9"/>
      <c r="OKN254" s="9"/>
      <c r="OKO254" s="9"/>
      <c r="OKP254" s="9"/>
      <c r="OKQ254" s="9"/>
      <c r="OKR254" s="9"/>
      <c r="OKS254" s="9"/>
      <c r="OKT254" s="9"/>
      <c r="OKU254" s="9"/>
      <c r="OKV254" s="9"/>
      <c r="OKW254" s="9"/>
      <c r="OKX254" s="9"/>
      <c r="OKY254" s="9"/>
      <c r="OKZ254" s="9"/>
      <c r="OLA254" s="9"/>
      <c r="OLB254" s="9"/>
      <c r="OLC254" s="9"/>
      <c r="OLD254" s="9"/>
      <c r="OLE254" s="9"/>
      <c r="OLF254" s="9"/>
      <c r="OLG254" s="9"/>
      <c r="OLH254" s="9"/>
      <c r="OLI254" s="9"/>
      <c r="OLJ254" s="9"/>
      <c r="OLK254" s="9"/>
      <c r="OLL254" s="9"/>
      <c r="OLM254" s="9"/>
      <c r="OLN254" s="9"/>
      <c r="OLO254" s="9"/>
      <c r="OLP254" s="9"/>
      <c r="OLQ254" s="9"/>
      <c r="OLR254" s="9"/>
      <c r="OLS254" s="9"/>
      <c r="OLT254" s="9"/>
      <c r="OLU254" s="9"/>
      <c r="OLV254" s="9"/>
      <c r="OLW254" s="9"/>
      <c r="OLX254" s="9"/>
      <c r="OLY254" s="9"/>
      <c r="OLZ254" s="9"/>
      <c r="OMA254" s="9"/>
      <c r="OMB254" s="9"/>
      <c r="OMC254" s="9"/>
      <c r="OMD254" s="9"/>
      <c r="OME254" s="9"/>
      <c r="OMF254" s="9"/>
      <c r="OMG254" s="9"/>
      <c r="OMH254" s="9"/>
      <c r="OMI254" s="9"/>
      <c r="OMJ254" s="9"/>
      <c r="OMK254" s="9"/>
      <c r="OML254" s="9"/>
      <c r="OMM254" s="9"/>
      <c r="OMN254" s="9"/>
      <c r="OMO254" s="9"/>
      <c r="OMP254" s="9"/>
      <c r="OMQ254" s="9"/>
      <c r="OMR254" s="9"/>
      <c r="OMS254" s="9"/>
      <c r="OMT254" s="9"/>
      <c r="OMU254" s="9"/>
      <c r="OMV254" s="9"/>
      <c r="OMW254" s="9"/>
      <c r="OMX254" s="9"/>
      <c r="OMY254" s="9"/>
      <c r="OMZ254" s="9"/>
      <c r="ONA254" s="9"/>
      <c r="ONB254" s="9"/>
      <c r="ONC254" s="9"/>
      <c r="OND254" s="9"/>
      <c r="ONE254" s="9"/>
      <c r="ONF254" s="9"/>
      <c r="ONG254" s="9"/>
      <c r="ONH254" s="9"/>
      <c r="ONI254" s="9"/>
      <c r="ONJ254" s="9"/>
      <c r="ONK254" s="9"/>
      <c r="ONL254" s="9"/>
      <c r="ONM254" s="9"/>
      <c r="ONN254" s="9"/>
      <c r="ONO254" s="9"/>
      <c r="ONP254" s="9"/>
      <c r="ONQ254" s="9"/>
      <c r="ONR254" s="9"/>
      <c r="ONS254" s="9"/>
      <c r="ONT254" s="9"/>
      <c r="ONU254" s="9"/>
      <c r="ONV254" s="9"/>
      <c r="ONW254" s="9"/>
      <c r="ONX254" s="9"/>
      <c r="ONY254" s="9"/>
      <c r="ONZ254" s="9"/>
      <c r="OOA254" s="9"/>
      <c r="OOB254" s="9"/>
      <c r="OOC254" s="9"/>
      <c r="OOD254" s="9"/>
      <c r="OOE254" s="9"/>
      <c r="OOF254" s="9"/>
      <c r="OOG254" s="9"/>
      <c r="OOH254" s="9"/>
      <c r="OOI254" s="9"/>
      <c r="OOJ254" s="9"/>
      <c r="OOK254" s="9"/>
      <c r="OOL254" s="9"/>
      <c r="OOM254" s="9"/>
      <c r="OON254" s="9"/>
      <c r="OOO254" s="9"/>
      <c r="OOP254" s="9"/>
      <c r="OOQ254" s="9"/>
      <c r="OOR254" s="9"/>
      <c r="OOS254" s="9"/>
      <c r="OOT254" s="9"/>
      <c r="OOU254" s="9"/>
      <c r="OOV254" s="9"/>
      <c r="OOW254" s="9"/>
      <c r="OOX254" s="9"/>
      <c r="OOY254" s="9"/>
      <c r="OOZ254" s="9"/>
      <c r="OPA254" s="9"/>
      <c r="OPB254" s="9"/>
      <c r="OPC254" s="9"/>
      <c r="OPD254" s="9"/>
      <c r="OPE254" s="9"/>
      <c r="OPF254" s="9"/>
      <c r="OPG254" s="9"/>
      <c r="OPH254" s="9"/>
      <c r="OPI254" s="9"/>
      <c r="OPJ254" s="9"/>
      <c r="OPK254" s="9"/>
      <c r="OPL254" s="9"/>
      <c r="OPM254" s="9"/>
      <c r="OPN254" s="9"/>
      <c r="OPO254" s="9"/>
      <c r="OPP254" s="9"/>
      <c r="OPQ254" s="9"/>
      <c r="OPR254" s="9"/>
      <c r="OPS254" s="9"/>
      <c r="OPT254" s="9"/>
      <c r="OPU254" s="9"/>
      <c r="OPV254" s="9"/>
      <c r="OPW254" s="9"/>
      <c r="OPX254" s="9"/>
      <c r="OPY254" s="9"/>
      <c r="OPZ254" s="9"/>
      <c r="OQA254" s="9"/>
      <c r="OQB254" s="9"/>
      <c r="OQC254" s="9"/>
      <c r="OQD254" s="9"/>
      <c r="OQE254" s="9"/>
      <c r="OQF254" s="9"/>
      <c r="OQG254" s="9"/>
      <c r="OQH254" s="9"/>
      <c r="OQI254" s="9"/>
      <c r="OQJ254" s="9"/>
      <c r="OQK254" s="9"/>
      <c r="OQL254" s="9"/>
      <c r="OQM254" s="9"/>
      <c r="OQN254" s="9"/>
      <c r="OQO254" s="9"/>
      <c r="OQP254" s="9"/>
      <c r="OQQ254" s="9"/>
      <c r="OQR254" s="9"/>
      <c r="OQS254" s="9"/>
      <c r="OQT254" s="9"/>
      <c r="OQU254" s="9"/>
      <c r="OQV254" s="9"/>
      <c r="OQW254" s="9"/>
      <c r="OQX254" s="9"/>
      <c r="OQY254" s="9"/>
      <c r="OQZ254" s="9"/>
      <c r="ORA254" s="9"/>
      <c r="ORB254" s="9"/>
      <c r="ORC254" s="9"/>
      <c r="ORD254" s="9"/>
      <c r="ORE254" s="9"/>
      <c r="ORF254" s="9"/>
      <c r="ORG254" s="9"/>
      <c r="ORH254" s="9"/>
      <c r="ORI254" s="9"/>
      <c r="ORJ254" s="9"/>
      <c r="ORK254" s="9"/>
      <c r="ORL254" s="9"/>
      <c r="ORM254" s="9"/>
      <c r="ORN254" s="9"/>
      <c r="ORO254" s="9"/>
      <c r="ORP254" s="9"/>
      <c r="ORQ254" s="9"/>
      <c r="ORR254" s="9"/>
      <c r="ORS254" s="9"/>
      <c r="ORT254" s="9"/>
      <c r="ORU254" s="9"/>
      <c r="ORV254" s="9"/>
      <c r="ORW254" s="9"/>
      <c r="ORX254" s="9"/>
      <c r="ORY254" s="9"/>
      <c r="ORZ254" s="9"/>
      <c r="OSA254" s="9"/>
      <c r="OSB254" s="9"/>
      <c r="OSC254" s="9"/>
      <c r="OSD254" s="9"/>
      <c r="OSE254" s="9"/>
      <c r="OSF254" s="9"/>
      <c r="OSG254" s="9"/>
      <c r="OSH254" s="9"/>
      <c r="OSI254" s="9"/>
      <c r="OSJ254" s="9"/>
      <c r="OSK254" s="9"/>
      <c r="OSL254" s="9"/>
      <c r="OSM254" s="9"/>
      <c r="OSN254" s="9"/>
      <c r="OSO254" s="9"/>
      <c r="OSP254" s="9"/>
      <c r="OSQ254" s="9"/>
      <c r="OSR254" s="9"/>
      <c r="OSS254" s="9"/>
      <c r="OST254" s="9"/>
      <c r="OSU254" s="9"/>
      <c r="OSV254" s="9"/>
      <c r="OSW254" s="9"/>
      <c r="OSX254" s="9"/>
      <c r="OSY254" s="9"/>
      <c r="OSZ254" s="9"/>
      <c r="OTA254" s="9"/>
      <c r="OTB254" s="9"/>
      <c r="OTC254" s="9"/>
      <c r="OTD254" s="9"/>
      <c r="OTE254" s="9"/>
      <c r="OTF254" s="9"/>
      <c r="OTG254" s="9"/>
      <c r="OTH254" s="9"/>
      <c r="OTI254" s="9"/>
      <c r="OTJ254" s="9"/>
      <c r="OTK254" s="9"/>
      <c r="OTL254" s="9"/>
      <c r="OTM254" s="9"/>
      <c r="OTN254" s="9"/>
      <c r="OTO254" s="9"/>
      <c r="OTP254" s="9"/>
      <c r="OTQ254" s="9"/>
      <c r="OTR254" s="9"/>
      <c r="OTS254" s="9"/>
      <c r="OTT254" s="9"/>
      <c r="OTU254" s="9"/>
      <c r="OTV254" s="9"/>
      <c r="OTW254" s="9"/>
      <c r="OTX254" s="9"/>
      <c r="OTY254" s="9"/>
      <c r="OTZ254" s="9"/>
      <c r="OUA254" s="9"/>
      <c r="OUB254" s="9"/>
      <c r="OUC254" s="9"/>
      <c r="OUD254" s="9"/>
      <c r="OUE254" s="9"/>
      <c r="OUF254" s="9"/>
      <c r="OUG254" s="9"/>
      <c r="OUH254" s="9"/>
      <c r="OUI254" s="9"/>
      <c r="OUJ254" s="9"/>
      <c r="OUK254" s="9"/>
      <c r="OUL254" s="9"/>
      <c r="OUM254" s="9"/>
      <c r="OUN254" s="9"/>
      <c r="OUO254" s="9"/>
      <c r="OUP254" s="9"/>
      <c r="OUQ254" s="9"/>
      <c r="OUR254" s="9"/>
      <c r="OUS254" s="9"/>
      <c r="OUT254" s="9"/>
      <c r="OUU254" s="9"/>
      <c r="OUV254" s="9"/>
      <c r="OUW254" s="9"/>
      <c r="OUX254" s="9"/>
      <c r="OUY254" s="9"/>
      <c r="OUZ254" s="9"/>
      <c r="OVA254" s="9"/>
      <c r="OVB254" s="9"/>
      <c r="OVC254" s="9"/>
      <c r="OVD254" s="9"/>
      <c r="OVE254" s="9"/>
      <c r="OVF254" s="9"/>
      <c r="OVG254" s="9"/>
      <c r="OVH254" s="9"/>
      <c r="OVI254" s="9"/>
      <c r="OVJ254" s="9"/>
      <c r="OVK254" s="9"/>
      <c r="OVL254" s="9"/>
      <c r="OVM254" s="9"/>
      <c r="OVN254" s="9"/>
      <c r="OVO254" s="9"/>
      <c r="OVP254" s="9"/>
      <c r="OVQ254" s="9"/>
      <c r="OVR254" s="9"/>
      <c r="OVS254" s="9"/>
      <c r="OVT254" s="9"/>
      <c r="OVU254" s="9"/>
      <c r="OVV254" s="9"/>
      <c r="OVW254" s="9"/>
      <c r="OVX254" s="9"/>
      <c r="OVY254" s="9"/>
      <c r="OVZ254" s="9"/>
      <c r="OWA254" s="9"/>
      <c r="OWB254" s="9"/>
      <c r="OWC254" s="9"/>
      <c r="OWD254" s="9"/>
      <c r="OWE254" s="9"/>
      <c r="OWF254" s="9"/>
      <c r="OWG254" s="9"/>
      <c r="OWH254" s="9"/>
      <c r="OWI254" s="9"/>
      <c r="OWJ254" s="9"/>
      <c r="OWK254" s="9"/>
      <c r="OWL254" s="9"/>
      <c r="OWM254" s="9"/>
      <c r="OWN254" s="9"/>
      <c r="OWO254" s="9"/>
      <c r="OWP254" s="9"/>
      <c r="OWQ254" s="9"/>
      <c r="OWR254" s="9"/>
      <c r="OWS254" s="9"/>
      <c r="OWT254" s="9"/>
      <c r="OWU254" s="9"/>
      <c r="OWV254" s="9"/>
      <c r="OWW254" s="9"/>
      <c r="OWX254" s="9"/>
      <c r="OWY254" s="9"/>
      <c r="OWZ254" s="9"/>
      <c r="OXA254" s="9"/>
      <c r="OXB254" s="9"/>
      <c r="OXC254" s="9"/>
      <c r="OXD254" s="9"/>
      <c r="OXE254" s="9"/>
      <c r="OXF254" s="9"/>
      <c r="OXG254" s="9"/>
      <c r="OXH254" s="9"/>
      <c r="OXI254" s="9"/>
      <c r="OXJ254" s="9"/>
      <c r="OXK254" s="9"/>
      <c r="OXL254" s="9"/>
      <c r="OXM254" s="9"/>
      <c r="OXN254" s="9"/>
      <c r="OXO254" s="9"/>
      <c r="OXP254" s="9"/>
      <c r="OXQ254" s="9"/>
      <c r="OXR254" s="9"/>
      <c r="OXS254" s="9"/>
      <c r="OXT254" s="9"/>
      <c r="OXU254" s="9"/>
      <c r="OXV254" s="9"/>
      <c r="OXW254" s="9"/>
      <c r="OXX254" s="9"/>
      <c r="OXY254" s="9"/>
      <c r="OXZ254" s="9"/>
      <c r="OYA254" s="9"/>
      <c r="OYB254" s="9"/>
      <c r="OYC254" s="9"/>
      <c r="OYD254" s="9"/>
      <c r="OYE254" s="9"/>
      <c r="OYF254" s="9"/>
      <c r="OYG254" s="9"/>
      <c r="OYH254" s="9"/>
      <c r="OYI254" s="9"/>
      <c r="OYJ254" s="9"/>
      <c r="OYK254" s="9"/>
      <c r="OYL254" s="9"/>
      <c r="OYM254" s="9"/>
      <c r="OYN254" s="9"/>
      <c r="OYO254" s="9"/>
      <c r="OYP254" s="9"/>
      <c r="OYQ254" s="9"/>
      <c r="OYR254" s="9"/>
      <c r="OYS254" s="9"/>
      <c r="OYT254" s="9"/>
      <c r="OYU254" s="9"/>
      <c r="OYV254" s="9"/>
      <c r="OYW254" s="9"/>
      <c r="OYX254" s="9"/>
      <c r="OYY254" s="9"/>
      <c r="OYZ254" s="9"/>
      <c r="OZA254" s="9"/>
      <c r="OZB254" s="9"/>
      <c r="OZC254" s="9"/>
      <c r="OZD254" s="9"/>
      <c r="OZE254" s="9"/>
      <c r="OZF254" s="9"/>
      <c r="OZG254" s="9"/>
      <c r="OZH254" s="9"/>
      <c r="OZI254" s="9"/>
      <c r="OZJ254" s="9"/>
      <c r="OZK254" s="9"/>
      <c r="OZL254" s="9"/>
      <c r="OZM254" s="9"/>
      <c r="OZN254" s="9"/>
      <c r="OZO254" s="9"/>
      <c r="OZP254" s="9"/>
      <c r="OZQ254" s="9"/>
      <c r="OZR254" s="9"/>
      <c r="OZS254" s="9"/>
      <c r="OZT254" s="9"/>
      <c r="OZU254" s="9"/>
      <c r="OZV254" s="9"/>
      <c r="OZW254" s="9"/>
      <c r="OZX254" s="9"/>
      <c r="OZY254" s="9"/>
      <c r="OZZ254" s="9"/>
      <c r="PAA254" s="9"/>
      <c r="PAB254" s="9"/>
      <c r="PAC254" s="9"/>
      <c r="PAD254" s="9"/>
      <c r="PAE254" s="9"/>
      <c r="PAF254" s="9"/>
      <c r="PAG254" s="9"/>
      <c r="PAH254" s="9"/>
      <c r="PAI254" s="9"/>
      <c r="PAJ254" s="9"/>
      <c r="PAK254" s="9"/>
      <c r="PAL254" s="9"/>
      <c r="PAM254" s="9"/>
      <c r="PAN254" s="9"/>
      <c r="PAO254" s="9"/>
      <c r="PAP254" s="9"/>
      <c r="PAQ254" s="9"/>
      <c r="PAR254" s="9"/>
      <c r="PAS254" s="9"/>
      <c r="PAT254" s="9"/>
      <c r="PAU254" s="9"/>
      <c r="PAV254" s="9"/>
      <c r="PAW254" s="9"/>
      <c r="PAX254" s="9"/>
      <c r="PAY254" s="9"/>
      <c r="PAZ254" s="9"/>
      <c r="PBA254" s="9"/>
      <c r="PBB254" s="9"/>
      <c r="PBC254" s="9"/>
      <c r="PBD254" s="9"/>
      <c r="PBE254" s="9"/>
      <c r="PBF254" s="9"/>
      <c r="PBG254" s="9"/>
      <c r="PBH254" s="9"/>
      <c r="PBI254" s="9"/>
      <c r="PBJ254" s="9"/>
      <c r="PBK254" s="9"/>
      <c r="PBL254" s="9"/>
      <c r="PBM254" s="9"/>
      <c r="PBN254" s="9"/>
      <c r="PBO254" s="9"/>
      <c r="PBP254" s="9"/>
      <c r="PBQ254" s="9"/>
      <c r="PBR254" s="9"/>
      <c r="PBS254" s="9"/>
      <c r="PBT254" s="9"/>
      <c r="PBU254" s="9"/>
      <c r="PBV254" s="9"/>
      <c r="PBW254" s="9"/>
      <c r="PBX254" s="9"/>
      <c r="PBY254" s="9"/>
      <c r="PBZ254" s="9"/>
      <c r="PCA254" s="9"/>
      <c r="PCB254" s="9"/>
      <c r="PCC254" s="9"/>
      <c r="PCD254" s="9"/>
      <c r="PCE254" s="9"/>
      <c r="PCF254" s="9"/>
      <c r="PCG254" s="9"/>
      <c r="PCH254" s="9"/>
      <c r="PCI254" s="9"/>
      <c r="PCJ254" s="9"/>
      <c r="PCK254" s="9"/>
      <c r="PCL254" s="9"/>
      <c r="PCM254" s="9"/>
      <c r="PCN254" s="9"/>
      <c r="PCO254" s="9"/>
      <c r="PCP254" s="9"/>
      <c r="PCQ254" s="9"/>
      <c r="PCR254" s="9"/>
      <c r="PCS254" s="9"/>
      <c r="PCT254" s="9"/>
      <c r="PCU254" s="9"/>
      <c r="PCV254" s="9"/>
      <c r="PCW254" s="9"/>
      <c r="PCX254" s="9"/>
      <c r="PCY254" s="9"/>
      <c r="PCZ254" s="9"/>
      <c r="PDA254" s="9"/>
      <c r="PDB254" s="9"/>
      <c r="PDC254" s="9"/>
      <c r="PDD254" s="9"/>
      <c r="PDE254" s="9"/>
      <c r="PDF254" s="9"/>
      <c r="PDG254" s="9"/>
      <c r="PDH254" s="9"/>
      <c r="PDI254" s="9"/>
      <c r="PDJ254" s="9"/>
      <c r="PDK254" s="9"/>
      <c r="PDL254" s="9"/>
      <c r="PDM254" s="9"/>
      <c r="PDN254" s="9"/>
      <c r="PDO254" s="9"/>
      <c r="PDP254" s="9"/>
      <c r="PDQ254" s="9"/>
      <c r="PDR254" s="9"/>
      <c r="PDS254" s="9"/>
      <c r="PDT254" s="9"/>
      <c r="PDU254" s="9"/>
      <c r="PDV254" s="9"/>
      <c r="PDW254" s="9"/>
      <c r="PDX254" s="9"/>
      <c r="PDY254" s="9"/>
      <c r="PDZ254" s="9"/>
      <c r="PEA254" s="9"/>
      <c r="PEB254" s="9"/>
      <c r="PEC254" s="9"/>
      <c r="PED254" s="9"/>
      <c r="PEE254" s="9"/>
      <c r="PEF254" s="9"/>
      <c r="PEG254" s="9"/>
      <c r="PEH254" s="9"/>
      <c r="PEI254" s="9"/>
      <c r="PEJ254" s="9"/>
      <c r="PEK254" s="9"/>
      <c r="PEL254" s="9"/>
      <c r="PEM254" s="9"/>
      <c r="PEN254" s="9"/>
      <c r="PEO254" s="9"/>
      <c r="PEP254" s="9"/>
      <c r="PEQ254" s="9"/>
      <c r="PER254" s="9"/>
      <c r="PES254" s="9"/>
      <c r="PET254" s="9"/>
      <c r="PEU254" s="9"/>
      <c r="PEV254" s="9"/>
      <c r="PEW254" s="9"/>
      <c r="PEX254" s="9"/>
      <c r="PEY254" s="9"/>
      <c r="PEZ254" s="9"/>
      <c r="PFA254" s="9"/>
      <c r="PFB254" s="9"/>
      <c r="PFC254" s="9"/>
      <c r="PFD254" s="9"/>
      <c r="PFE254" s="9"/>
      <c r="PFF254" s="9"/>
      <c r="PFG254" s="9"/>
      <c r="PFH254" s="9"/>
      <c r="PFI254" s="9"/>
      <c r="PFJ254" s="9"/>
      <c r="PFK254" s="9"/>
      <c r="PFL254" s="9"/>
      <c r="PFM254" s="9"/>
      <c r="PFN254" s="9"/>
      <c r="PFO254" s="9"/>
      <c r="PFP254" s="9"/>
      <c r="PFQ254" s="9"/>
      <c r="PFR254" s="9"/>
      <c r="PFS254" s="9"/>
      <c r="PFT254" s="9"/>
      <c r="PFU254" s="9"/>
      <c r="PFV254" s="9"/>
      <c r="PFW254" s="9"/>
      <c r="PFX254" s="9"/>
      <c r="PFY254" s="9"/>
      <c r="PFZ254" s="9"/>
      <c r="PGA254" s="9"/>
      <c r="PGB254" s="9"/>
      <c r="PGC254" s="9"/>
      <c r="PGD254" s="9"/>
      <c r="PGE254" s="9"/>
      <c r="PGF254" s="9"/>
      <c r="PGG254" s="9"/>
      <c r="PGH254" s="9"/>
      <c r="PGI254" s="9"/>
      <c r="PGJ254" s="9"/>
      <c r="PGK254" s="9"/>
      <c r="PGL254" s="9"/>
      <c r="PGM254" s="9"/>
      <c r="PGN254" s="9"/>
      <c r="PGO254" s="9"/>
      <c r="PGP254" s="9"/>
      <c r="PGQ254" s="9"/>
      <c r="PGR254" s="9"/>
      <c r="PGS254" s="9"/>
      <c r="PGT254" s="9"/>
      <c r="PGU254" s="9"/>
      <c r="PGV254" s="9"/>
      <c r="PGW254" s="9"/>
      <c r="PGX254" s="9"/>
      <c r="PGY254" s="9"/>
      <c r="PGZ254" s="9"/>
      <c r="PHA254" s="9"/>
      <c r="PHB254" s="9"/>
      <c r="PHC254" s="9"/>
      <c r="PHD254" s="9"/>
      <c r="PHE254" s="9"/>
      <c r="PHF254" s="9"/>
      <c r="PHG254" s="9"/>
      <c r="PHH254" s="9"/>
      <c r="PHI254" s="9"/>
      <c r="PHJ254" s="9"/>
      <c r="PHK254" s="9"/>
      <c r="PHL254" s="9"/>
      <c r="PHM254" s="9"/>
      <c r="PHN254" s="9"/>
      <c r="PHO254" s="9"/>
      <c r="PHP254" s="9"/>
      <c r="PHQ254" s="9"/>
      <c r="PHR254" s="9"/>
      <c r="PHS254" s="9"/>
      <c r="PHT254" s="9"/>
      <c r="PHU254" s="9"/>
      <c r="PHV254" s="9"/>
      <c r="PHW254" s="9"/>
      <c r="PHX254" s="9"/>
      <c r="PHY254" s="9"/>
      <c r="PHZ254" s="9"/>
      <c r="PIA254" s="9"/>
      <c r="PIB254" s="9"/>
      <c r="PIC254" s="9"/>
      <c r="PID254" s="9"/>
      <c r="PIE254" s="9"/>
      <c r="PIF254" s="9"/>
      <c r="PIG254" s="9"/>
      <c r="PIH254" s="9"/>
      <c r="PII254" s="9"/>
      <c r="PIJ254" s="9"/>
      <c r="PIK254" s="9"/>
      <c r="PIL254" s="9"/>
      <c r="PIM254" s="9"/>
      <c r="PIN254" s="9"/>
      <c r="PIO254" s="9"/>
      <c r="PIP254" s="9"/>
      <c r="PIQ254" s="9"/>
      <c r="PIR254" s="9"/>
      <c r="PIS254" s="9"/>
      <c r="PIT254" s="9"/>
      <c r="PIU254" s="9"/>
      <c r="PIV254" s="9"/>
      <c r="PIW254" s="9"/>
      <c r="PIX254" s="9"/>
      <c r="PIY254" s="9"/>
      <c r="PIZ254" s="9"/>
      <c r="PJA254" s="9"/>
      <c r="PJB254" s="9"/>
      <c r="PJC254" s="9"/>
      <c r="PJD254" s="9"/>
      <c r="PJE254" s="9"/>
      <c r="PJF254" s="9"/>
      <c r="PJG254" s="9"/>
      <c r="PJH254" s="9"/>
      <c r="PJI254" s="9"/>
      <c r="PJJ254" s="9"/>
      <c r="PJK254" s="9"/>
      <c r="PJL254" s="9"/>
      <c r="PJM254" s="9"/>
      <c r="PJN254" s="9"/>
      <c r="PJO254" s="9"/>
      <c r="PJP254" s="9"/>
      <c r="PJQ254" s="9"/>
      <c r="PJR254" s="9"/>
      <c r="PJS254" s="9"/>
      <c r="PJT254" s="9"/>
      <c r="PJU254" s="9"/>
      <c r="PJV254" s="9"/>
      <c r="PJW254" s="9"/>
      <c r="PJX254" s="9"/>
      <c r="PJY254" s="9"/>
      <c r="PJZ254" s="9"/>
      <c r="PKA254" s="9"/>
      <c r="PKB254" s="9"/>
      <c r="PKC254" s="9"/>
      <c r="PKD254" s="9"/>
      <c r="PKE254" s="9"/>
      <c r="PKF254" s="9"/>
      <c r="PKG254" s="9"/>
      <c r="PKH254" s="9"/>
      <c r="PKI254" s="9"/>
      <c r="PKJ254" s="9"/>
      <c r="PKK254" s="9"/>
      <c r="PKL254" s="9"/>
      <c r="PKM254" s="9"/>
      <c r="PKN254" s="9"/>
      <c r="PKO254" s="9"/>
      <c r="PKP254" s="9"/>
      <c r="PKQ254" s="9"/>
      <c r="PKR254" s="9"/>
      <c r="PKS254" s="9"/>
      <c r="PKT254" s="9"/>
      <c r="PKU254" s="9"/>
      <c r="PKV254" s="9"/>
      <c r="PKW254" s="9"/>
      <c r="PKX254" s="9"/>
      <c r="PKY254" s="9"/>
      <c r="PKZ254" s="9"/>
      <c r="PLA254" s="9"/>
      <c r="PLB254" s="9"/>
      <c r="PLC254" s="9"/>
      <c r="PLD254" s="9"/>
      <c r="PLE254" s="9"/>
      <c r="PLF254" s="9"/>
      <c r="PLG254" s="9"/>
      <c r="PLH254" s="9"/>
      <c r="PLI254" s="9"/>
      <c r="PLJ254" s="9"/>
      <c r="PLK254" s="9"/>
      <c r="PLL254" s="9"/>
      <c r="PLM254" s="9"/>
      <c r="PLN254" s="9"/>
      <c r="PLO254" s="9"/>
      <c r="PLP254" s="9"/>
      <c r="PLQ254" s="9"/>
      <c r="PLR254" s="9"/>
      <c r="PLS254" s="9"/>
      <c r="PLT254" s="9"/>
      <c r="PLU254" s="9"/>
      <c r="PLV254" s="9"/>
      <c r="PLW254" s="9"/>
      <c r="PLX254" s="9"/>
      <c r="PLY254" s="9"/>
      <c r="PLZ254" s="9"/>
      <c r="PMA254" s="9"/>
      <c r="PMB254" s="9"/>
      <c r="PMC254" s="9"/>
      <c r="PMD254" s="9"/>
      <c r="PME254" s="9"/>
      <c r="PMF254" s="9"/>
      <c r="PMG254" s="9"/>
      <c r="PMH254" s="9"/>
      <c r="PMI254" s="9"/>
      <c r="PMJ254" s="9"/>
      <c r="PMK254" s="9"/>
      <c r="PML254" s="9"/>
      <c r="PMM254" s="9"/>
      <c r="PMN254" s="9"/>
      <c r="PMO254" s="9"/>
      <c r="PMP254" s="9"/>
      <c r="PMQ254" s="9"/>
      <c r="PMR254" s="9"/>
      <c r="PMS254" s="9"/>
      <c r="PMT254" s="9"/>
      <c r="PMU254" s="9"/>
      <c r="PMV254" s="9"/>
      <c r="PMW254" s="9"/>
      <c r="PMX254" s="9"/>
      <c r="PMY254" s="9"/>
      <c r="PMZ254" s="9"/>
      <c r="PNA254" s="9"/>
      <c r="PNB254" s="9"/>
      <c r="PNC254" s="9"/>
      <c r="PND254" s="9"/>
      <c r="PNE254" s="9"/>
      <c r="PNF254" s="9"/>
      <c r="PNG254" s="9"/>
      <c r="PNH254" s="9"/>
      <c r="PNI254" s="9"/>
      <c r="PNJ254" s="9"/>
      <c r="PNK254" s="9"/>
      <c r="PNL254" s="9"/>
      <c r="PNM254" s="9"/>
      <c r="PNN254" s="9"/>
      <c r="PNO254" s="9"/>
      <c r="PNP254" s="9"/>
      <c r="PNQ254" s="9"/>
      <c r="PNR254" s="9"/>
      <c r="PNS254" s="9"/>
      <c r="PNT254" s="9"/>
      <c r="PNU254" s="9"/>
      <c r="PNV254" s="9"/>
      <c r="PNW254" s="9"/>
      <c r="PNX254" s="9"/>
      <c r="PNY254" s="9"/>
      <c r="PNZ254" s="9"/>
      <c r="POA254" s="9"/>
      <c r="POB254" s="9"/>
      <c r="POC254" s="9"/>
      <c r="POD254" s="9"/>
      <c r="POE254" s="9"/>
      <c r="POF254" s="9"/>
      <c r="POG254" s="9"/>
      <c r="POH254" s="9"/>
      <c r="POI254" s="9"/>
      <c r="POJ254" s="9"/>
      <c r="POK254" s="9"/>
      <c r="POL254" s="9"/>
      <c r="POM254" s="9"/>
      <c r="PON254" s="9"/>
      <c r="POO254" s="9"/>
      <c r="POP254" s="9"/>
      <c r="POQ254" s="9"/>
      <c r="POR254" s="9"/>
      <c r="POS254" s="9"/>
      <c r="POT254" s="9"/>
      <c r="POU254" s="9"/>
      <c r="POV254" s="9"/>
      <c r="POW254" s="9"/>
      <c r="POX254" s="9"/>
      <c r="POY254" s="9"/>
      <c r="POZ254" s="9"/>
      <c r="PPA254" s="9"/>
      <c r="PPB254" s="9"/>
      <c r="PPC254" s="9"/>
      <c r="PPD254" s="9"/>
      <c r="PPE254" s="9"/>
      <c r="PPF254" s="9"/>
      <c r="PPG254" s="9"/>
      <c r="PPH254" s="9"/>
      <c r="PPI254" s="9"/>
      <c r="PPJ254" s="9"/>
      <c r="PPK254" s="9"/>
      <c r="PPL254" s="9"/>
      <c r="PPM254" s="9"/>
      <c r="PPN254" s="9"/>
      <c r="PPO254" s="9"/>
      <c r="PPP254" s="9"/>
      <c r="PPQ254" s="9"/>
      <c r="PPR254" s="9"/>
      <c r="PPS254" s="9"/>
      <c r="PPT254" s="9"/>
      <c r="PPU254" s="9"/>
      <c r="PPV254" s="9"/>
      <c r="PPW254" s="9"/>
      <c r="PPX254" s="9"/>
      <c r="PPY254" s="9"/>
      <c r="PPZ254" s="9"/>
      <c r="PQA254" s="9"/>
      <c r="PQB254" s="9"/>
      <c r="PQC254" s="9"/>
      <c r="PQD254" s="9"/>
      <c r="PQE254" s="9"/>
      <c r="PQF254" s="9"/>
      <c r="PQG254" s="9"/>
      <c r="PQH254" s="9"/>
      <c r="PQI254" s="9"/>
      <c r="PQJ254" s="9"/>
      <c r="PQK254" s="9"/>
      <c r="PQL254" s="9"/>
      <c r="PQM254" s="9"/>
      <c r="PQN254" s="9"/>
      <c r="PQO254" s="9"/>
      <c r="PQP254" s="9"/>
      <c r="PQQ254" s="9"/>
      <c r="PQR254" s="9"/>
      <c r="PQS254" s="9"/>
      <c r="PQT254" s="9"/>
      <c r="PQU254" s="9"/>
      <c r="PQV254" s="9"/>
      <c r="PQW254" s="9"/>
      <c r="PQX254" s="9"/>
      <c r="PQY254" s="9"/>
      <c r="PQZ254" s="9"/>
      <c r="PRA254" s="9"/>
      <c r="PRB254" s="9"/>
      <c r="PRC254" s="9"/>
      <c r="PRD254" s="9"/>
      <c r="PRE254" s="9"/>
      <c r="PRF254" s="9"/>
      <c r="PRG254" s="9"/>
      <c r="PRH254" s="9"/>
      <c r="PRI254" s="9"/>
      <c r="PRJ254" s="9"/>
      <c r="PRK254" s="9"/>
      <c r="PRL254" s="9"/>
      <c r="PRM254" s="9"/>
      <c r="PRN254" s="9"/>
      <c r="PRO254" s="9"/>
      <c r="PRP254" s="9"/>
      <c r="PRQ254" s="9"/>
      <c r="PRR254" s="9"/>
      <c r="PRS254" s="9"/>
      <c r="PRT254" s="9"/>
      <c r="PRU254" s="9"/>
      <c r="PRV254" s="9"/>
      <c r="PRW254" s="9"/>
      <c r="PRX254" s="9"/>
      <c r="PRY254" s="9"/>
      <c r="PRZ254" s="9"/>
      <c r="PSA254" s="9"/>
      <c r="PSB254" s="9"/>
      <c r="PSC254" s="9"/>
      <c r="PSD254" s="9"/>
      <c r="PSE254" s="9"/>
      <c r="PSF254" s="9"/>
      <c r="PSG254" s="9"/>
      <c r="PSH254" s="9"/>
      <c r="PSI254" s="9"/>
      <c r="PSJ254" s="9"/>
      <c r="PSK254" s="9"/>
      <c r="PSL254" s="9"/>
      <c r="PSM254" s="9"/>
      <c r="PSN254" s="9"/>
      <c r="PSO254" s="9"/>
      <c r="PSP254" s="9"/>
      <c r="PSQ254" s="9"/>
      <c r="PSR254" s="9"/>
      <c r="PSS254" s="9"/>
      <c r="PST254" s="9"/>
      <c r="PSU254" s="9"/>
      <c r="PSV254" s="9"/>
      <c r="PSW254" s="9"/>
      <c r="PSX254" s="9"/>
      <c r="PSY254" s="9"/>
      <c r="PSZ254" s="9"/>
      <c r="PTA254" s="9"/>
      <c r="PTB254" s="9"/>
      <c r="PTC254" s="9"/>
      <c r="PTD254" s="9"/>
      <c r="PTE254" s="9"/>
      <c r="PTF254" s="9"/>
      <c r="PTG254" s="9"/>
      <c r="PTH254" s="9"/>
      <c r="PTI254" s="9"/>
      <c r="PTJ254" s="9"/>
      <c r="PTK254" s="9"/>
      <c r="PTL254" s="9"/>
      <c r="PTM254" s="9"/>
      <c r="PTN254" s="9"/>
      <c r="PTO254" s="9"/>
      <c r="PTP254" s="9"/>
      <c r="PTQ254" s="9"/>
      <c r="PTR254" s="9"/>
      <c r="PTS254" s="9"/>
      <c r="PTT254" s="9"/>
      <c r="PTU254" s="9"/>
      <c r="PTV254" s="9"/>
      <c r="PTW254" s="9"/>
      <c r="PTX254" s="9"/>
      <c r="PTY254" s="9"/>
      <c r="PTZ254" s="9"/>
      <c r="PUA254" s="9"/>
      <c r="PUB254" s="9"/>
      <c r="PUC254" s="9"/>
      <c r="PUD254" s="9"/>
      <c r="PUE254" s="9"/>
      <c r="PUF254" s="9"/>
      <c r="PUG254" s="9"/>
      <c r="PUH254" s="9"/>
      <c r="PUI254" s="9"/>
      <c r="PUJ254" s="9"/>
      <c r="PUK254" s="9"/>
      <c r="PUL254" s="9"/>
      <c r="PUM254" s="9"/>
      <c r="PUN254" s="9"/>
      <c r="PUO254" s="9"/>
      <c r="PUP254" s="9"/>
      <c r="PUQ254" s="9"/>
      <c r="PUR254" s="9"/>
      <c r="PUS254" s="9"/>
      <c r="PUT254" s="9"/>
      <c r="PUU254" s="9"/>
      <c r="PUV254" s="9"/>
      <c r="PUW254" s="9"/>
      <c r="PUX254" s="9"/>
      <c r="PUY254" s="9"/>
      <c r="PUZ254" s="9"/>
      <c r="PVA254" s="9"/>
      <c r="PVB254" s="9"/>
      <c r="PVC254" s="9"/>
      <c r="PVD254" s="9"/>
      <c r="PVE254" s="9"/>
      <c r="PVF254" s="9"/>
      <c r="PVG254" s="9"/>
      <c r="PVH254" s="9"/>
      <c r="PVI254" s="9"/>
      <c r="PVJ254" s="9"/>
      <c r="PVK254" s="9"/>
      <c r="PVL254" s="9"/>
      <c r="PVM254" s="9"/>
      <c r="PVN254" s="9"/>
      <c r="PVO254" s="9"/>
      <c r="PVP254" s="9"/>
      <c r="PVQ254" s="9"/>
      <c r="PVR254" s="9"/>
      <c r="PVS254" s="9"/>
      <c r="PVT254" s="9"/>
      <c r="PVU254" s="9"/>
      <c r="PVV254" s="9"/>
      <c r="PVW254" s="9"/>
      <c r="PVX254" s="9"/>
      <c r="PVY254" s="9"/>
      <c r="PVZ254" s="9"/>
      <c r="PWA254" s="9"/>
      <c r="PWB254" s="9"/>
      <c r="PWC254" s="9"/>
      <c r="PWD254" s="9"/>
      <c r="PWE254" s="9"/>
      <c r="PWF254" s="9"/>
      <c r="PWG254" s="9"/>
      <c r="PWH254" s="9"/>
      <c r="PWI254" s="9"/>
      <c r="PWJ254" s="9"/>
      <c r="PWK254" s="9"/>
      <c r="PWL254" s="9"/>
      <c r="PWM254" s="9"/>
      <c r="PWN254" s="9"/>
      <c r="PWO254" s="9"/>
      <c r="PWP254" s="9"/>
      <c r="PWQ254" s="9"/>
      <c r="PWR254" s="9"/>
      <c r="PWS254" s="9"/>
      <c r="PWT254" s="9"/>
      <c r="PWU254" s="9"/>
      <c r="PWV254" s="9"/>
      <c r="PWW254" s="9"/>
      <c r="PWX254" s="9"/>
      <c r="PWY254" s="9"/>
      <c r="PWZ254" s="9"/>
      <c r="PXA254" s="9"/>
      <c r="PXB254" s="9"/>
      <c r="PXC254" s="9"/>
      <c r="PXD254" s="9"/>
      <c r="PXE254" s="9"/>
      <c r="PXF254" s="9"/>
      <c r="PXG254" s="9"/>
      <c r="PXH254" s="9"/>
      <c r="PXI254" s="9"/>
      <c r="PXJ254" s="9"/>
      <c r="PXK254" s="9"/>
      <c r="PXL254" s="9"/>
      <c r="PXM254" s="9"/>
      <c r="PXN254" s="9"/>
      <c r="PXO254" s="9"/>
      <c r="PXP254" s="9"/>
      <c r="PXQ254" s="9"/>
      <c r="PXR254" s="9"/>
      <c r="PXS254" s="9"/>
      <c r="PXT254" s="9"/>
      <c r="PXU254" s="9"/>
      <c r="PXV254" s="9"/>
      <c r="PXW254" s="9"/>
      <c r="PXX254" s="9"/>
      <c r="PXY254" s="9"/>
      <c r="PXZ254" s="9"/>
      <c r="PYA254" s="9"/>
      <c r="PYB254" s="9"/>
      <c r="PYC254" s="9"/>
      <c r="PYD254" s="9"/>
      <c r="PYE254" s="9"/>
      <c r="PYF254" s="9"/>
      <c r="PYG254" s="9"/>
      <c r="PYH254" s="9"/>
      <c r="PYI254" s="9"/>
      <c r="PYJ254" s="9"/>
      <c r="PYK254" s="9"/>
      <c r="PYL254" s="9"/>
      <c r="PYM254" s="9"/>
      <c r="PYN254" s="9"/>
      <c r="PYO254" s="9"/>
      <c r="PYP254" s="9"/>
      <c r="PYQ254" s="9"/>
      <c r="PYR254" s="9"/>
      <c r="PYS254" s="9"/>
      <c r="PYT254" s="9"/>
      <c r="PYU254" s="9"/>
      <c r="PYV254" s="9"/>
      <c r="PYW254" s="9"/>
      <c r="PYX254" s="9"/>
      <c r="PYY254" s="9"/>
      <c r="PYZ254" s="9"/>
      <c r="PZA254" s="9"/>
      <c r="PZB254" s="9"/>
      <c r="PZC254" s="9"/>
      <c r="PZD254" s="9"/>
      <c r="PZE254" s="9"/>
      <c r="PZF254" s="9"/>
      <c r="PZG254" s="9"/>
      <c r="PZH254" s="9"/>
      <c r="PZI254" s="9"/>
      <c r="PZJ254" s="9"/>
      <c r="PZK254" s="9"/>
      <c r="PZL254" s="9"/>
      <c r="PZM254" s="9"/>
      <c r="PZN254" s="9"/>
      <c r="PZO254" s="9"/>
      <c r="PZP254" s="9"/>
      <c r="PZQ254" s="9"/>
      <c r="PZR254" s="9"/>
      <c r="PZS254" s="9"/>
      <c r="PZT254" s="9"/>
      <c r="PZU254" s="9"/>
      <c r="PZV254" s="9"/>
      <c r="PZW254" s="9"/>
      <c r="PZX254" s="9"/>
      <c r="PZY254" s="9"/>
      <c r="PZZ254" s="9"/>
      <c r="QAA254" s="9"/>
      <c r="QAB254" s="9"/>
      <c r="QAC254" s="9"/>
      <c r="QAD254" s="9"/>
      <c r="QAE254" s="9"/>
      <c r="QAF254" s="9"/>
      <c r="QAG254" s="9"/>
      <c r="QAH254" s="9"/>
      <c r="QAI254" s="9"/>
      <c r="QAJ254" s="9"/>
      <c r="QAK254" s="9"/>
      <c r="QAL254" s="9"/>
      <c r="QAM254" s="9"/>
      <c r="QAN254" s="9"/>
      <c r="QAO254" s="9"/>
      <c r="QAP254" s="9"/>
      <c r="QAQ254" s="9"/>
      <c r="QAR254" s="9"/>
      <c r="QAS254" s="9"/>
      <c r="QAT254" s="9"/>
      <c r="QAU254" s="9"/>
      <c r="QAV254" s="9"/>
      <c r="QAW254" s="9"/>
      <c r="QAX254" s="9"/>
      <c r="QAY254" s="9"/>
      <c r="QAZ254" s="9"/>
      <c r="QBA254" s="9"/>
      <c r="QBB254" s="9"/>
      <c r="QBC254" s="9"/>
      <c r="QBD254" s="9"/>
      <c r="QBE254" s="9"/>
      <c r="QBF254" s="9"/>
      <c r="QBG254" s="9"/>
      <c r="QBH254" s="9"/>
      <c r="QBI254" s="9"/>
      <c r="QBJ254" s="9"/>
      <c r="QBK254" s="9"/>
      <c r="QBL254" s="9"/>
      <c r="QBM254" s="9"/>
      <c r="QBN254" s="9"/>
      <c r="QBO254" s="9"/>
      <c r="QBP254" s="9"/>
      <c r="QBQ254" s="9"/>
      <c r="QBR254" s="9"/>
      <c r="QBS254" s="9"/>
      <c r="QBT254" s="9"/>
      <c r="QBU254" s="9"/>
      <c r="QBV254" s="9"/>
      <c r="QBW254" s="9"/>
      <c r="QBX254" s="9"/>
      <c r="QBY254" s="9"/>
      <c r="QBZ254" s="9"/>
      <c r="QCA254" s="9"/>
      <c r="QCB254" s="9"/>
      <c r="QCC254" s="9"/>
      <c r="QCD254" s="9"/>
      <c r="QCE254" s="9"/>
      <c r="QCF254" s="9"/>
      <c r="QCG254" s="9"/>
      <c r="QCH254" s="9"/>
      <c r="QCI254" s="9"/>
      <c r="QCJ254" s="9"/>
      <c r="QCK254" s="9"/>
      <c r="QCL254" s="9"/>
      <c r="QCM254" s="9"/>
      <c r="QCN254" s="9"/>
      <c r="QCO254" s="9"/>
      <c r="QCP254" s="9"/>
      <c r="QCQ254" s="9"/>
      <c r="QCR254" s="9"/>
      <c r="QCS254" s="9"/>
      <c r="QCT254" s="9"/>
      <c r="QCU254" s="9"/>
      <c r="QCV254" s="9"/>
      <c r="QCW254" s="9"/>
      <c r="QCX254" s="9"/>
      <c r="QCY254" s="9"/>
      <c r="QCZ254" s="9"/>
      <c r="QDA254" s="9"/>
      <c r="QDB254" s="9"/>
      <c r="QDC254" s="9"/>
      <c r="QDD254" s="9"/>
      <c r="QDE254" s="9"/>
      <c r="QDF254" s="9"/>
      <c r="QDG254" s="9"/>
      <c r="QDH254" s="9"/>
      <c r="QDI254" s="9"/>
      <c r="QDJ254" s="9"/>
      <c r="QDK254" s="9"/>
      <c r="QDL254" s="9"/>
      <c r="QDM254" s="9"/>
      <c r="QDN254" s="9"/>
      <c r="QDO254" s="9"/>
      <c r="QDP254" s="9"/>
      <c r="QDQ254" s="9"/>
      <c r="QDR254" s="9"/>
      <c r="QDS254" s="9"/>
      <c r="QDT254" s="9"/>
      <c r="QDU254" s="9"/>
      <c r="QDV254" s="9"/>
      <c r="QDW254" s="9"/>
      <c r="QDX254" s="9"/>
      <c r="QDY254" s="9"/>
      <c r="QDZ254" s="9"/>
      <c r="QEA254" s="9"/>
      <c r="QEB254" s="9"/>
      <c r="QEC254" s="9"/>
      <c r="QED254" s="9"/>
      <c r="QEE254" s="9"/>
      <c r="QEF254" s="9"/>
      <c r="QEG254" s="9"/>
      <c r="QEH254" s="9"/>
      <c r="QEI254" s="9"/>
      <c r="QEJ254" s="9"/>
      <c r="QEK254" s="9"/>
      <c r="QEL254" s="9"/>
      <c r="QEM254" s="9"/>
      <c r="QEN254" s="9"/>
      <c r="QEO254" s="9"/>
      <c r="QEP254" s="9"/>
      <c r="QEQ254" s="9"/>
      <c r="QER254" s="9"/>
      <c r="QES254" s="9"/>
      <c r="QET254" s="9"/>
      <c r="QEU254" s="9"/>
      <c r="QEV254" s="9"/>
      <c r="QEW254" s="9"/>
      <c r="QEX254" s="9"/>
      <c r="QEY254" s="9"/>
      <c r="QEZ254" s="9"/>
      <c r="QFA254" s="9"/>
      <c r="QFB254" s="9"/>
      <c r="QFC254" s="9"/>
      <c r="QFD254" s="9"/>
      <c r="QFE254" s="9"/>
      <c r="QFF254" s="9"/>
      <c r="QFG254" s="9"/>
      <c r="QFH254" s="9"/>
      <c r="QFI254" s="9"/>
      <c r="QFJ254" s="9"/>
      <c r="QFK254" s="9"/>
      <c r="QFL254" s="9"/>
      <c r="QFM254" s="9"/>
      <c r="QFN254" s="9"/>
      <c r="QFO254" s="9"/>
      <c r="QFP254" s="9"/>
      <c r="QFQ254" s="9"/>
      <c r="QFR254" s="9"/>
      <c r="QFS254" s="9"/>
      <c r="QFT254" s="9"/>
      <c r="QFU254" s="9"/>
      <c r="QFV254" s="9"/>
      <c r="QFW254" s="9"/>
      <c r="QFX254" s="9"/>
      <c r="QFY254" s="9"/>
      <c r="QFZ254" s="9"/>
      <c r="QGA254" s="9"/>
      <c r="QGB254" s="9"/>
      <c r="QGC254" s="9"/>
      <c r="QGD254" s="9"/>
      <c r="QGE254" s="9"/>
      <c r="QGF254" s="9"/>
      <c r="QGG254" s="9"/>
      <c r="QGH254" s="9"/>
      <c r="QGI254" s="9"/>
      <c r="QGJ254" s="9"/>
      <c r="QGK254" s="9"/>
      <c r="QGL254" s="9"/>
      <c r="QGM254" s="9"/>
      <c r="QGN254" s="9"/>
      <c r="QGO254" s="9"/>
      <c r="QGP254" s="9"/>
      <c r="QGQ254" s="9"/>
      <c r="QGR254" s="9"/>
      <c r="QGS254" s="9"/>
      <c r="QGT254" s="9"/>
      <c r="QGU254" s="9"/>
      <c r="QGV254" s="9"/>
      <c r="QGW254" s="9"/>
      <c r="QGX254" s="9"/>
      <c r="QGY254" s="9"/>
      <c r="QGZ254" s="9"/>
      <c r="QHA254" s="9"/>
      <c r="QHB254" s="9"/>
      <c r="QHC254" s="9"/>
      <c r="QHD254" s="9"/>
      <c r="QHE254" s="9"/>
      <c r="QHF254" s="9"/>
      <c r="QHG254" s="9"/>
      <c r="QHH254" s="9"/>
      <c r="QHI254" s="9"/>
      <c r="QHJ254" s="9"/>
      <c r="QHK254" s="9"/>
      <c r="QHL254" s="9"/>
      <c r="QHM254" s="9"/>
      <c r="QHN254" s="9"/>
      <c r="QHO254" s="9"/>
      <c r="QHP254" s="9"/>
      <c r="QHQ254" s="9"/>
      <c r="QHR254" s="9"/>
      <c r="QHS254" s="9"/>
      <c r="QHT254" s="9"/>
      <c r="QHU254" s="9"/>
      <c r="QHV254" s="9"/>
      <c r="QHW254" s="9"/>
      <c r="QHX254" s="9"/>
      <c r="QHY254" s="9"/>
      <c r="QHZ254" s="9"/>
      <c r="QIA254" s="9"/>
      <c r="QIB254" s="9"/>
      <c r="QIC254" s="9"/>
      <c r="QID254" s="9"/>
      <c r="QIE254" s="9"/>
      <c r="QIF254" s="9"/>
      <c r="QIG254" s="9"/>
      <c r="QIH254" s="9"/>
      <c r="QII254" s="9"/>
      <c r="QIJ254" s="9"/>
      <c r="QIK254" s="9"/>
      <c r="QIL254" s="9"/>
      <c r="QIM254" s="9"/>
      <c r="QIN254" s="9"/>
      <c r="QIO254" s="9"/>
      <c r="QIP254" s="9"/>
      <c r="QIQ254" s="9"/>
      <c r="QIR254" s="9"/>
      <c r="QIS254" s="9"/>
      <c r="QIT254" s="9"/>
      <c r="QIU254" s="9"/>
      <c r="QIV254" s="9"/>
      <c r="QIW254" s="9"/>
      <c r="QIX254" s="9"/>
      <c r="QIY254" s="9"/>
      <c r="QIZ254" s="9"/>
      <c r="QJA254" s="9"/>
      <c r="QJB254" s="9"/>
      <c r="QJC254" s="9"/>
      <c r="QJD254" s="9"/>
      <c r="QJE254" s="9"/>
      <c r="QJF254" s="9"/>
      <c r="QJG254" s="9"/>
      <c r="QJH254" s="9"/>
      <c r="QJI254" s="9"/>
      <c r="QJJ254" s="9"/>
      <c r="QJK254" s="9"/>
      <c r="QJL254" s="9"/>
      <c r="QJM254" s="9"/>
      <c r="QJN254" s="9"/>
      <c r="QJO254" s="9"/>
      <c r="QJP254" s="9"/>
      <c r="QJQ254" s="9"/>
      <c r="QJR254" s="9"/>
      <c r="QJS254" s="9"/>
      <c r="QJT254" s="9"/>
      <c r="QJU254" s="9"/>
      <c r="QJV254" s="9"/>
      <c r="QJW254" s="9"/>
      <c r="QJX254" s="9"/>
      <c r="QJY254" s="9"/>
      <c r="QJZ254" s="9"/>
      <c r="QKA254" s="9"/>
      <c r="QKB254" s="9"/>
      <c r="QKC254" s="9"/>
      <c r="QKD254" s="9"/>
      <c r="QKE254" s="9"/>
      <c r="QKF254" s="9"/>
      <c r="QKG254" s="9"/>
      <c r="QKH254" s="9"/>
      <c r="QKI254" s="9"/>
      <c r="QKJ254" s="9"/>
      <c r="QKK254" s="9"/>
      <c r="QKL254" s="9"/>
      <c r="QKM254" s="9"/>
      <c r="QKN254" s="9"/>
      <c r="QKO254" s="9"/>
      <c r="QKP254" s="9"/>
      <c r="QKQ254" s="9"/>
      <c r="QKR254" s="9"/>
      <c r="QKS254" s="9"/>
      <c r="QKT254" s="9"/>
      <c r="QKU254" s="9"/>
      <c r="QKV254" s="9"/>
      <c r="QKW254" s="9"/>
      <c r="QKX254" s="9"/>
      <c r="QKY254" s="9"/>
      <c r="QKZ254" s="9"/>
      <c r="QLA254" s="9"/>
      <c r="QLB254" s="9"/>
      <c r="QLC254" s="9"/>
      <c r="QLD254" s="9"/>
      <c r="QLE254" s="9"/>
      <c r="QLF254" s="9"/>
      <c r="QLG254" s="9"/>
      <c r="QLH254" s="9"/>
      <c r="QLI254" s="9"/>
      <c r="QLJ254" s="9"/>
      <c r="QLK254" s="9"/>
      <c r="QLL254" s="9"/>
      <c r="QLM254" s="9"/>
      <c r="QLN254" s="9"/>
      <c r="QLO254" s="9"/>
      <c r="QLP254" s="9"/>
      <c r="QLQ254" s="9"/>
      <c r="QLR254" s="9"/>
      <c r="QLS254" s="9"/>
      <c r="QLT254" s="9"/>
      <c r="QLU254" s="9"/>
      <c r="QLV254" s="9"/>
      <c r="QLW254" s="9"/>
      <c r="QLX254" s="9"/>
      <c r="QLY254" s="9"/>
      <c r="QLZ254" s="9"/>
      <c r="QMA254" s="9"/>
      <c r="QMB254" s="9"/>
      <c r="QMC254" s="9"/>
      <c r="QMD254" s="9"/>
      <c r="QME254" s="9"/>
      <c r="QMF254" s="9"/>
      <c r="QMG254" s="9"/>
      <c r="QMH254" s="9"/>
      <c r="QMI254" s="9"/>
      <c r="QMJ254" s="9"/>
      <c r="QMK254" s="9"/>
      <c r="QML254" s="9"/>
      <c r="QMM254" s="9"/>
      <c r="QMN254" s="9"/>
      <c r="QMO254" s="9"/>
      <c r="QMP254" s="9"/>
      <c r="QMQ254" s="9"/>
      <c r="QMR254" s="9"/>
      <c r="QMS254" s="9"/>
      <c r="QMT254" s="9"/>
      <c r="QMU254" s="9"/>
      <c r="QMV254" s="9"/>
      <c r="QMW254" s="9"/>
      <c r="QMX254" s="9"/>
      <c r="QMY254" s="9"/>
      <c r="QMZ254" s="9"/>
      <c r="QNA254" s="9"/>
      <c r="QNB254" s="9"/>
      <c r="QNC254" s="9"/>
      <c r="QND254" s="9"/>
      <c r="QNE254" s="9"/>
      <c r="QNF254" s="9"/>
      <c r="QNG254" s="9"/>
      <c r="QNH254" s="9"/>
      <c r="QNI254" s="9"/>
      <c r="QNJ254" s="9"/>
      <c r="QNK254" s="9"/>
      <c r="QNL254" s="9"/>
      <c r="QNM254" s="9"/>
      <c r="QNN254" s="9"/>
      <c r="QNO254" s="9"/>
      <c r="QNP254" s="9"/>
      <c r="QNQ254" s="9"/>
      <c r="QNR254" s="9"/>
      <c r="QNS254" s="9"/>
      <c r="QNT254" s="9"/>
      <c r="QNU254" s="9"/>
      <c r="QNV254" s="9"/>
      <c r="QNW254" s="9"/>
      <c r="QNX254" s="9"/>
      <c r="QNY254" s="9"/>
      <c r="QNZ254" s="9"/>
      <c r="QOA254" s="9"/>
      <c r="QOB254" s="9"/>
      <c r="QOC254" s="9"/>
      <c r="QOD254" s="9"/>
      <c r="QOE254" s="9"/>
      <c r="QOF254" s="9"/>
      <c r="QOG254" s="9"/>
      <c r="QOH254" s="9"/>
      <c r="QOI254" s="9"/>
      <c r="QOJ254" s="9"/>
      <c r="QOK254" s="9"/>
      <c r="QOL254" s="9"/>
      <c r="QOM254" s="9"/>
      <c r="QON254" s="9"/>
      <c r="QOO254" s="9"/>
      <c r="QOP254" s="9"/>
      <c r="QOQ254" s="9"/>
      <c r="QOR254" s="9"/>
      <c r="QOS254" s="9"/>
      <c r="QOT254" s="9"/>
      <c r="QOU254" s="9"/>
      <c r="QOV254" s="9"/>
      <c r="QOW254" s="9"/>
      <c r="QOX254" s="9"/>
      <c r="QOY254" s="9"/>
      <c r="QOZ254" s="9"/>
      <c r="QPA254" s="9"/>
      <c r="QPB254" s="9"/>
      <c r="QPC254" s="9"/>
      <c r="QPD254" s="9"/>
      <c r="QPE254" s="9"/>
      <c r="QPF254" s="9"/>
      <c r="QPG254" s="9"/>
      <c r="QPH254" s="9"/>
      <c r="QPI254" s="9"/>
      <c r="QPJ254" s="9"/>
      <c r="QPK254" s="9"/>
      <c r="QPL254" s="9"/>
      <c r="QPM254" s="9"/>
      <c r="QPN254" s="9"/>
      <c r="QPO254" s="9"/>
      <c r="QPP254" s="9"/>
      <c r="QPQ254" s="9"/>
      <c r="QPR254" s="9"/>
      <c r="QPS254" s="9"/>
      <c r="QPT254" s="9"/>
      <c r="QPU254" s="9"/>
      <c r="QPV254" s="9"/>
      <c r="QPW254" s="9"/>
      <c r="QPX254" s="9"/>
      <c r="QPY254" s="9"/>
      <c r="QPZ254" s="9"/>
      <c r="QQA254" s="9"/>
      <c r="QQB254" s="9"/>
      <c r="QQC254" s="9"/>
      <c r="QQD254" s="9"/>
      <c r="QQE254" s="9"/>
      <c r="QQF254" s="9"/>
      <c r="QQG254" s="9"/>
      <c r="QQH254" s="9"/>
      <c r="QQI254" s="9"/>
      <c r="QQJ254" s="9"/>
      <c r="QQK254" s="9"/>
      <c r="QQL254" s="9"/>
      <c r="QQM254" s="9"/>
      <c r="QQN254" s="9"/>
      <c r="QQO254" s="9"/>
      <c r="QQP254" s="9"/>
      <c r="QQQ254" s="9"/>
      <c r="QQR254" s="9"/>
      <c r="QQS254" s="9"/>
      <c r="QQT254" s="9"/>
      <c r="QQU254" s="9"/>
      <c r="QQV254" s="9"/>
      <c r="QQW254" s="9"/>
      <c r="QQX254" s="9"/>
      <c r="QQY254" s="9"/>
      <c r="QQZ254" s="9"/>
      <c r="QRA254" s="9"/>
      <c r="QRB254" s="9"/>
      <c r="QRC254" s="9"/>
      <c r="QRD254" s="9"/>
      <c r="QRE254" s="9"/>
      <c r="QRF254" s="9"/>
      <c r="QRG254" s="9"/>
      <c r="QRH254" s="9"/>
      <c r="QRI254" s="9"/>
      <c r="QRJ254" s="9"/>
      <c r="QRK254" s="9"/>
      <c r="QRL254" s="9"/>
      <c r="QRM254" s="9"/>
      <c r="QRN254" s="9"/>
      <c r="QRO254" s="9"/>
      <c r="QRP254" s="9"/>
      <c r="QRQ254" s="9"/>
      <c r="QRR254" s="9"/>
      <c r="QRS254" s="9"/>
      <c r="QRT254" s="9"/>
      <c r="QRU254" s="9"/>
      <c r="QRV254" s="9"/>
      <c r="QRW254" s="9"/>
      <c r="QRX254" s="9"/>
      <c r="QRY254" s="9"/>
      <c r="QRZ254" s="9"/>
      <c r="QSA254" s="9"/>
      <c r="QSB254" s="9"/>
      <c r="QSC254" s="9"/>
      <c r="QSD254" s="9"/>
      <c r="QSE254" s="9"/>
      <c r="QSF254" s="9"/>
      <c r="QSG254" s="9"/>
      <c r="QSH254" s="9"/>
      <c r="QSI254" s="9"/>
      <c r="QSJ254" s="9"/>
      <c r="QSK254" s="9"/>
      <c r="QSL254" s="9"/>
      <c r="QSM254" s="9"/>
      <c r="QSN254" s="9"/>
      <c r="QSO254" s="9"/>
      <c r="QSP254" s="9"/>
      <c r="QSQ254" s="9"/>
      <c r="QSR254" s="9"/>
      <c r="QSS254" s="9"/>
      <c r="QST254" s="9"/>
      <c r="QSU254" s="9"/>
      <c r="QSV254" s="9"/>
      <c r="QSW254" s="9"/>
      <c r="QSX254" s="9"/>
      <c r="QSY254" s="9"/>
      <c r="QSZ254" s="9"/>
      <c r="QTA254" s="9"/>
      <c r="QTB254" s="9"/>
      <c r="QTC254" s="9"/>
      <c r="QTD254" s="9"/>
      <c r="QTE254" s="9"/>
      <c r="QTF254" s="9"/>
      <c r="QTG254" s="9"/>
      <c r="QTH254" s="9"/>
      <c r="QTI254" s="9"/>
      <c r="QTJ254" s="9"/>
      <c r="QTK254" s="9"/>
      <c r="QTL254" s="9"/>
      <c r="QTM254" s="9"/>
      <c r="QTN254" s="9"/>
      <c r="QTO254" s="9"/>
      <c r="QTP254" s="9"/>
      <c r="QTQ254" s="9"/>
      <c r="QTR254" s="9"/>
      <c r="QTS254" s="9"/>
      <c r="QTT254" s="9"/>
      <c r="QTU254" s="9"/>
      <c r="QTV254" s="9"/>
      <c r="QTW254" s="9"/>
      <c r="QTX254" s="9"/>
      <c r="QTY254" s="9"/>
      <c r="QTZ254" s="9"/>
      <c r="QUA254" s="9"/>
      <c r="QUB254" s="9"/>
      <c r="QUC254" s="9"/>
      <c r="QUD254" s="9"/>
      <c r="QUE254" s="9"/>
      <c r="QUF254" s="9"/>
      <c r="QUG254" s="9"/>
      <c r="QUH254" s="9"/>
      <c r="QUI254" s="9"/>
      <c r="QUJ254" s="9"/>
      <c r="QUK254" s="9"/>
      <c r="QUL254" s="9"/>
      <c r="QUM254" s="9"/>
      <c r="QUN254" s="9"/>
      <c r="QUO254" s="9"/>
      <c r="QUP254" s="9"/>
      <c r="QUQ254" s="9"/>
      <c r="QUR254" s="9"/>
      <c r="QUS254" s="9"/>
      <c r="QUT254" s="9"/>
      <c r="QUU254" s="9"/>
      <c r="QUV254" s="9"/>
      <c r="QUW254" s="9"/>
      <c r="QUX254" s="9"/>
      <c r="QUY254" s="9"/>
      <c r="QUZ254" s="9"/>
      <c r="QVA254" s="9"/>
      <c r="QVB254" s="9"/>
      <c r="QVC254" s="9"/>
      <c r="QVD254" s="9"/>
      <c r="QVE254" s="9"/>
      <c r="QVF254" s="9"/>
      <c r="QVG254" s="9"/>
      <c r="QVH254" s="9"/>
      <c r="QVI254" s="9"/>
      <c r="QVJ254" s="9"/>
      <c r="QVK254" s="9"/>
      <c r="QVL254" s="9"/>
      <c r="QVM254" s="9"/>
      <c r="QVN254" s="9"/>
      <c r="QVO254" s="9"/>
      <c r="QVP254" s="9"/>
      <c r="QVQ254" s="9"/>
      <c r="QVR254" s="9"/>
      <c r="QVS254" s="9"/>
      <c r="QVT254" s="9"/>
      <c r="QVU254" s="9"/>
      <c r="QVV254" s="9"/>
      <c r="QVW254" s="9"/>
      <c r="QVX254" s="9"/>
      <c r="QVY254" s="9"/>
      <c r="QVZ254" s="9"/>
      <c r="QWA254" s="9"/>
      <c r="QWB254" s="9"/>
      <c r="QWC254" s="9"/>
      <c r="QWD254" s="9"/>
      <c r="QWE254" s="9"/>
      <c r="QWF254" s="9"/>
      <c r="QWG254" s="9"/>
      <c r="QWH254" s="9"/>
      <c r="QWI254" s="9"/>
      <c r="QWJ254" s="9"/>
      <c r="QWK254" s="9"/>
      <c r="QWL254" s="9"/>
      <c r="QWM254" s="9"/>
      <c r="QWN254" s="9"/>
      <c r="QWO254" s="9"/>
      <c r="QWP254" s="9"/>
      <c r="QWQ254" s="9"/>
      <c r="QWR254" s="9"/>
      <c r="QWS254" s="9"/>
      <c r="QWT254" s="9"/>
      <c r="QWU254" s="9"/>
      <c r="QWV254" s="9"/>
      <c r="QWW254" s="9"/>
      <c r="QWX254" s="9"/>
      <c r="QWY254" s="9"/>
      <c r="QWZ254" s="9"/>
      <c r="QXA254" s="9"/>
      <c r="QXB254" s="9"/>
      <c r="QXC254" s="9"/>
      <c r="QXD254" s="9"/>
      <c r="QXE254" s="9"/>
      <c r="QXF254" s="9"/>
      <c r="QXG254" s="9"/>
      <c r="QXH254" s="9"/>
      <c r="QXI254" s="9"/>
      <c r="QXJ254" s="9"/>
      <c r="QXK254" s="9"/>
      <c r="QXL254" s="9"/>
      <c r="QXM254" s="9"/>
      <c r="QXN254" s="9"/>
      <c r="QXO254" s="9"/>
      <c r="QXP254" s="9"/>
      <c r="QXQ254" s="9"/>
      <c r="QXR254" s="9"/>
      <c r="QXS254" s="9"/>
      <c r="QXT254" s="9"/>
      <c r="QXU254" s="9"/>
      <c r="QXV254" s="9"/>
      <c r="QXW254" s="9"/>
      <c r="QXX254" s="9"/>
      <c r="QXY254" s="9"/>
      <c r="QXZ254" s="9"/>
      <c r="QYA254" s="9"/>
      <c r="QYB254" s="9"/>
      <c r="QYC254" s="9"/>
      <c r="QYD254" s="9"/>
      <c r="QYE254" s="9"/>
      <c r="QYF254" s="9"/>
      <c r="QYG254" s="9"/>
      <c r="QYH254" s="9"/>
      <c r="QYI254" s="9"/>
      <c r="QYJ254" s="9"/>
      <c r="QYK254" s="9"/>
      <c r="QYL254" s="9"/>
      <c r="QYM254" s="9"/>
      <c r="QYN254" s="9"/>
      <c r="QYO254" s="9"/>
      <c r="QYP254" s="9"/>
      <c r="QYQ254" s="9"/>
      <c r="QYR254" s="9"/>
      <c r="QYS254" s="9"/>
      <c r="QYT254" s="9"/>
      <c r="QYU254" s="9"/>
      <c r="QYV254" s="9"/>
      <c r="QYW254" s="9"/>
      <c r="QYX254" s="9"/>
      <c r="QYY254" s="9"/>
      <c r="QYZ254" s="9"/>
      <c r="QZA254" s="9"/>
      <c r="QZB254" s="9"/>
      <c r="QZC254" s="9"/>
      <c r="QZD254" s="9"/>
      <c r="QZE254" s="9"/>
      <c r="QZF254" s="9"/>
      <c r="QZG254" s="9"/>
      <c r="QZH254" s="9"/>
      <c r="QZI254" s="9"/>
      <c r="QZJ254" s="9"/>
      <c r="QZK254" s="9"/>
      <c r="QZL254" s="9"/>
      <c r="QZM254" s="9"/>
      <c r="QZN254" s="9"/>
      <c r="QZO254" s="9"/>
      <c r="QZP254" s="9"/>
      <c r="QZQ254" s="9"/>
      <c r="QZR254" s="9"/>
      <c r="QZS254" s="9"/>
      <c r="QZT254" s="9"/>
      <c r="QZU254" s="9"/>
      <c r="QZV254" s="9"/>
      <c r="QZW254" s="9"/>
      <c r="QZX254" s="9"/>
      <c r="QZY254" s="9"/>
      <c r="QZZ254" s="9"/>
      <c r="RAA254" s="9"/>
      <c r="RAB254" s="9"/>
      <c r="RAC254" s="9"/>
      <c r="RAD254" s="9"/>
      <c r="RAE254" s="9"/>
      <c r="RAF254" s="9"/>
      <c r="RAG254" s="9"/>
      <c r="RAH254" s="9"/>
      <c r="RAI254" s="9"/>
      <c r="RAJ254" s="9"/>
      <c r="RAK254" s="9"/>
      <c r="RAL254" s="9"/>
      <c r="RAM254" s="9"/>
      <c r="RAN254" s="9"/>
      <c r="RAO254" s="9"/>
      <c r="RAP254" s="9"/>
      <c r="RAQ254" s="9"/>
      <c r="RAR254" s="9"/>
      <c r="RAS254" s="9"/>
      <c r="RAT254" s="9"/>
      <c r="RAU254" s="9"/>
      <c r="RAV254" s="9"/>
      <c r="RAW254" s="9"/>
      <c r="RAX254" s="9"/>
      <c r="RAY254" s="9"/>
      <c r="RAZ254" s="9"/>
      <c r="RBA254" s="9"/>
      <c r="RBB254" s="9"/>
      <c r="RBC254" s="9"/>
      <c r="RBD254" s="9"/>
      <c r="RBE254" s="9"/>
      <c r="RBF254" s="9"/>
      <c r="RBG254" s="9"/>
      <c r="RBH254" s="9"/>
      <c r="RBI254" s="9"/>
      <c r="RBJ254" s="9"/>
      <c r="RBK254" s="9"/>
      <c r="RBL254" s="9"/>
      <c r="RBM254" s="9"/>
      <c r="RBN254" s="9"/>
      <c r="RBO254" s="9"/>
      <c r="RBP254" s="9"/>
      <c r="RBQ254" s="9"/>
      <c r="RBR254" s="9"/>
      <c r="RBS254" s="9"/>
      <c r="RBT254" s="9"/>
      <c r="RBU254" s="9"/>
      <c r="RBV254" s="9"/>
      <c r="RBW254" s="9"/>
      <c r="RBX254" s="9"/>
      <c r="RBY254" s="9"/>
      <c r="RBZ254" s="9"/>
      <c r="RCA254" s="9"/>
      <c r="RCB254" s="9"/>
      <c r="RCC254" s="9"/>
      <c r="RCD254" s="9"/>
      <c r="RCE254" s="9"/>
      <c r="RCF254" s="9"/>
      <c r="RCG254" s="9"/>
      <c r="RCH254" s="9"/>
      <c r="RCI254" s="9"/>
      <c r="RCJ254" s="9"/>
      <c r="RCK254" s="9"/>
      <c r="RCL254" s="9"/>
      <c r="RCM254" s="9"/>
      <c r="RCN254" s="9"/>
      <c r="RCO254" s="9"/>
      <c r="RCP254" s="9"/>
      <c r="RCQ254" s="9"/>
      <c r="RCR254" s="9"/>
      <c r="RCS254" s="9"/>
      <c r="RCT254" s="9"/>
      <c r="RCU254" s="9"/>
      <c r="RCV254" s="9"/>
      <c r="RCW254" s="9"/>
      <c r="RCX254" s="9"/>
      <c r="RCY254" s="9"/>
      <c r="RCZ254" s="9"/>
      <c r="RDA254" s="9"/>
      <c r="RDB254" s="9"/>
      <c r="RDC254" s="9"/>
      <c r="RDD254" s="9"/>
      <c r="RDE254" s="9"/>
      <c r="RDF254" s="9"/>
      <c r="RDG254" s="9"/>
      <c r="RDH254" s="9"/>
      <c r="RDI254" s="9"/>
      <c r="RDJ254" s="9"/>
      <c r="RDK254" s="9"/>
      <c r="RDL254" s="9"/>
      <c r="RDM254" s="9"/>
      <c r="RDN254" s="9"/>
      <c r="RDO254" s="9"/>
      <c r="RDP254" s="9"/>
      <c r="RDQ254" s="9"/>
      <c r="RDR254" s="9"/>
      <c r="RDS254" s="9"/>
      <c r="RDT254" s="9"/>
      <c r="RDU254" s="9"/>
      <c r="RDV254" s="9"/>
      <c r="RDW254" s="9"/>
      <c r="RDX254" s="9"/>
      <c r="RDY254" s="9"/>
      <c r="RDZ254" s="9"/>
      <c r="REA254" s="9"/>
      <c r="REB254" s="9"/>
      <c r="REC254" s="9"/>
      <c r="RED254" s="9"/>
      <c r="REE254" s="9"/>
      <c r="REF254" s="9"/>
      <c r="REG254" s="9"/>
      <c r="REH254" s="9"/>
      <c r="REI254" s="9"/>
      <c r="REJ254" s="9"/>
      <c r="REK254" s="9"/>
      <c r="REL254" s="9"/>
      <c r="REM254" s="9"/>
      <c r="REN254" s="9"/>
      <c r="REO254" s="9"/>
      <c r="REP254" s="9"/>
      <c r="REQ254" s="9"/>
      <c r="RER254" s="9"/>
      <c r="RES254" s="9"/>
      <c r="RET254" s="9"/>
      <c r="REU254" s="9"/>
      <c r="REV254" s="9"/>
      <c r="REW254" s="9"/>
      <c r="REX254" s="9"/>
      <c r="REY254" s="9"/>
      <c r="REZ254" s="9"/>
      <c r="RFA254" s="9"/>
      <c r="RFB254" s="9"/>
      <c r="RFC254" s="9"/>
      <c r="RFD254" s="9"/>
      <c r="RFE254" s="9"/>
      <c r="RFF254" s="9"/>
      <c r="RFG254" s="9"/>
      <c r="RFH254" s="9"/>
      <c r="RFI254" s="9"/>
      <c r="RFJ254" s="9"/>
      <c r="RFK254" s="9"/>
      <c r="RFL254" s="9"/>
      <c r="RFM254" s="9"/>
      <c r="RFN254" s="9"/>
      <c r="RFO254" s="9"/>
      <c r="RFP254" s="9"/>
      <c r="RFQ254" s="9"/>
      <c r="RFR254" s="9"/>
      <c r="RFS254" s="9"/>
      <c r="RFT254" s="9"/>
      <c r="RFU254" s="9"/>
      <c r="RFV254" s="9"/>
      <c r="RFW254" s="9"/>
      <c r="RFX254" s="9"/>
      <c r="RFY254" s="9"/>
      <c r="RFZ254" s="9"/>
      <c r="RGA254" s="9"/>
      <c r="RGB254" s="9"/>
      <c r="RGC254" s="9"/>
      <c r="RGD254" s="9"/>
      <c r="RGE254" s="9"/>
      <c r="RGF254" s="9"/>
      <c r="RGG254" s="9"/>
      <c r="RGH254" s="9"/>
      <c r="RGI254" s="9"/>
      <c r="RGJ254" s="9"/>
      <c r="RGK254" s="9"/>
      <c r="RGL254" s="9"/>
      <c r="RGM254" s="9"/>
      <c r="RGN254" s="9"/>
      <c r="RGO254" s="9"/>
      <c r="RGP254" s="9"/>
      <c r="RGQ254" s="9"/>
      <c r="RGR254" s="9"/>
      <c r="RGS254" s="9"/>
      <c r="RGT254" s="9"/>
      <c r="RGU254" s="9"/>
      <c r="RGV254" s="9"/>
      <c r="RGW254" s="9"/>
      <c r="RGX254" s="9"/>
      <c r="RGY254" s="9"/>
      <c r="RGZ254" s="9"/>
      <c r="RHA254" s="9"/>
      <c r="RHB254" s="9"/>
      <c r="RHC254" s="9"/>
      <c r="RHD254" s="9"/>
      <c r="RHE254" s="9"/>
      <c r="RHF254" s="9"/>
      <c r="RHG254" s="9"/>
      <c r="RHH254" s="9"/>
      <c r="RHI254" s="9"/>
      <c r="RHJ254" s="9"/>
      <c r="RHK254" s="9"/>
      <c r="RHL254" s="9"/>
      <c r="RHM254" s="9"/>
      <c r="RHN254" s="9"/>
      <c r="RHO254" s="9"/>
      <c r="RHP254" s="9"/>
      <c r="RHQ254" s="9"/>
      <c r="RHR254" s="9"/>
      <c r="RHS254" s="9"/>
      <c r="RHT254" s="9"/>
      <c r="RHU254" s="9"/>
      <c r="RHV254" s="9"/>
      <c r="RHW254" s="9"/>
      <c r="RHX254" s="9"/>
      <c r="RHY254" s="9"/>
      <c r="RHZ254" s="9"/>
      <c r="RIA254" s="9"/>
      <c r="RIB254" s="9"/>
      <c r="RIC254" s="9"/>
      <c r="RID254" s="9"/>
      <c r="RIE254" s="9"/>
      <c r="RIF254" s="9"/>
      <c r="RIG254" s="9"/>
      <c r="RIH254" s="9"/>
      <c r="RII254" s="9"/>
      <c r="RIJ254" s="9"/>
      <c r="RIK254" s="9"/>
      <c r="RIL254" s="9"/>
      <c r="RIM254" s="9"/>
      <c r="RIN254" s="9"/>
      <c r="RIO254" s="9"/>
      <c r="RIP254" s="9"/>
      <c r="RIQ254" s="9"/>
      <c r="RIR254" s="9"/>
      <c r="RIS254" s="9"/>
      <c r="RIT254" s="9"/>
      <c r="RIU254" s="9"/>
      <c r="RIV254" s="9"/>
      <c r="RIW254" s="9"/>
      <c r="RIX254" s="9"/>
      <c r="RIY254" s="9"/>
      <c r="RIZ254" s="9"/>
      <c r="RJA254" s="9"/>
      <c r="RJB254" s="9"/>
      <c r="RJC254" s="9"/>
      <c r="RJD254" s="9"/>
      <c r="RJE254" s="9"/>
      <c r="RJF254" s="9"/>
      <c r="RJG254" s="9"/>
      <c r="RJH254" s="9"/>
      <c r="RJI254" s="9"/>
      <c r="RJJ254" s="9"/>
      <c r="RJK254" s="9"/>
      <c r="RJL254" s="9"/>
      <c r="RJM254" s="9"/>
      <c r="RJN254" s="9"/>
      <c r="RJO254" s="9"/>
      <c r="RJP254" s="9"/>
      <c r="RJQ254" s="9"/>
      <c r="RJR254" s="9"/>
      <c r="RJS254" s="9"/>
      <c r="RJT254" s="9"/>
      <c r="RJU254" s="9"/>
      <c r="RJV254" s="9"/>
      <c r="RJW254" s="9"/>
      <c r="RJX254" s="9"/>
      <c r="RJY254" s="9"/>
      <c r="RJZ254" s="9"/>
      <c r="RKA254" s="9"/>
      <c r="RKB254" s="9"/>
      <c r="RKC254" s="9"/>
      <c r="RKD254" s="9"/>
      <c r="RKE254" s="9"/>
      <c r="RKF254" s="9"/>
      <c r="RKG254" s="9"/>
      <c r="RKH254" s="9"/>
      <c r="RKI254" s="9"/>
      <c r="RKJ254" s="9"/>
      <c r="RKK254" s="9"/>
      <c r="RKL254" s="9"/>
      <c r="RKM254" s="9"/>
      <c r="RKN254" s="9"/>
      <c r="RKO254" s="9"/>
      <c r="RKP254" s="9"/>
      <c r="RKQ254" s="9"/>
      <c r="RKR254" s="9"/>
      <c r="RKS254" s="9"/>
      <c r="RKT254" s="9"/>
      <c r="RKU254" s="9"/>
      <c r="RKV254" s="9"/>
      <c r="RKW254" s="9"/>
      <c r="RKX254" s="9"/>
      <c r="RKY254" s="9"/>
      <c r="RKZ254" s="9"/>
      <c r="RLA254" s="9"/>
      <c r="RLB254" s="9"/>
      <c r="RLC254" s="9"/>
      <c r="RLD254" s="9"/>
      <c r="RLE254" s="9"/>
      <c r="RLF254" s="9"/>
      <c r="RLG254" s="9"/>
      <c r="RLH254" s="9"/>
      <c r="RLI254" s="9"/>
      <c r="RLJ254" s="9"/>
      <c r="RLK254" s="9"/>
      <c r="RLL254" s="9"/>
      <c r="RLM254" s="9"/>
      <c r="RLN254" s="9"/>
      <c r="RLO254" s="9"/>
      <c r="RLP254" s="9"/>
      <c r="RLQ254" s="9"/>
      <c r="RLR254" s="9"/>
      <c r="RLS254" s="9"/>
      <c r="RLT254" s="9"/>
      <c r="RLU254" s="9"/>
      <c r="RLV254" s="9"/>
      <c r="RLW254" s="9"/>
      <c r="RLX254" s="9"/>
      <c r="RLY254" s="9"/>
      <c r="RLZ254" s="9"/>
      <c r="RMA254" s="9"/>
      <c r="RMB254" s="9"/>
      <c r="RMC254" s="9"/>
      <c r="RMD254" s="9"/>
      <c r="RME254" s="9"/>
      <c r="RMF254" s="9"/>
      <c r="RMG254" s="9"/>
      <c r="RMH254" s="9"/>
      <c r="RMI254" s="9"/>
      <c r="RMJ254" s="9"/>
      <c r="RMK254" s="9"/>
      <c r="RML254" s="9"/>
      <c r="RMM254" s="9"/>
      <c r="RMN254" s="9"/>
      <c r="RMO254" s="9"/>
      <c r="RMP254" s="9"/>
      <c r="RMQ254" s="9"/>
      <c r="RMR254" s="9"/>
      <c r="RMS254" s="9"/>
      <c r="RMT254" s="9"/>
      <c r="RMU254" s="9"/>
      <c r="RMV254" s="9"/>
      <c r="RMW254" s="9"/>
      <c r="RMX254" s="9"/>
      <c r="RMY254" s="9"/>
      <c r="RMZ254" s="9"/>
      <c r="RNA254" s="9"/>
      <c r="RNB254" s="9"/>
      <c r="RNC254" s="9"/>
      <c r="RND254" s="9"/>
      <c r="RNE254" s="9"/>
      <c r="RNF254" s="9"/>
      <c r="RNG254" s="9"/>
      <c r="RNH254" s="9"/>
      <c r="RNI254" s="9"/>
      <c r="RNJ254" s="9"/>
      <c r="RNK254" s="9"/>
      <c r="RNL254" s="9"/>
      <c r="RNM254" s="9"/>
      <c r="RNN254" s="9"/>
      <c r="RNO254" s="9"/>
      <c r="RNP254" s="9"/>
      <c r="RNQ254" s="9"/>
      <c r="RNR254" s="9"/>
      <c r="RNS254" s="9"/>
      <c r="RNT254" s="9"/>
      <c r="RNU254" s="9"/>
      <c r="RNV254" s="9"/>
      <c r="RNW254" s="9"/>
      <c r="RNX254" s="9"/>
      <c r="RNY254" s="9"/>
      <c r="RNZ254" s="9"/>
      <c r="ROA254" s="9"/>
      <c r="ROB254" s="9"/>
      <c r="ROC254" s="9"/>
      <c r="ROD254" s="9"/>
      <c r="ROE254" s="9"/>
      <c r="ROF254" s="9"/>
      <c r="ROG254" s="9"/>
      <c r="ROH254" s="9"/>
      <c r="ROI254" s="9"/>
      <c r="ROJ254" s="9"/>
      <c r="ROK254" s="9"/>
      <c r="ROL254" s="9"/>
      <c r="ROM254" s="9"/>
      <c r="RON254" s="9"/>
      <c r="ROO254" s="9"/>
      <c r="ROP254" s="9"/>
      <c r="ROQ254" s="9"/>
      <c r="ROR254" s="9"/>
      <c r="ROS254" s="9"/>
      <c r="ROT254" s="9"/>
      <c r="ROU254" s="9"/>
      <c r="ROV254" s="9"/>
      <c r="ROW254" s="9"/>
      <c r="ROX254" s="9"/>
      <c r="ROY254" s="9"/>
      <c r="ROZ254" s="9"/>
      <c r="RPA254" s="9"/>
      <c r="RPB254" s="9"/>
      <c r="RPC254" s="9"/>
      <c r="RPD254" s="9"/>
      <c r="RPE254" s="9"/>
      <c r="RPF254" s="9"/>
      <c r="RPG254" s="9"/>
      <c r="RPH254" s="9"/>
      <c r="RPI254" s="9"/>
      <c r="RPJ254" s="9"/>
      <c r="RPK254" s="9"/>
      <c r="RPL254" s="9"/>
      <c r="RPM254" s="9"/>
      <c r="RPN254" s="9"/>
      <c r="RPO254" s="9"/>
      <c r="RPP254" s="9"/>
      <c r="RPQ254" s="9"/>
      <c r="RPR254" s="9"/>
      <c r="RPS254" s="9"/>
      <c r="RPT254" s="9"/>
      <c r="RPU254" s="9"/>
      <c r="RPV254" s="9"/>
      <c r="RPW254" s="9"/>
      <c r="RPX254" s="9"/>
      <c r="RPY254" s="9"/>
      <c r="RPZ254" s="9"/>
      <c r="RQA254" s="9"/>
      <c r="RQB254" s="9"/>
      <c r="RQC254" s="9"/>
      <c r="RQD254" s="9"/>
      <c r="RQE254" s="9"/>
      <c r="RQF254" s="9"/>
      <c r="RQG254" s="9"/>
      <c r="RQH254" s="9"/>
      <c r="RQI254" s="9"/>
      <c r="RQJ254" s="9"/>
      <c r="RQK254" s="9"/>
      <c r="RQL254" s="9"/>
      <c r="RQM254" s="9"/>
      <c r="RQN254" s="9"/>
      <c r="RQO254" s="9"/>
      <c r="RQP254" s="9"/>
      <c r="RQQ254" s="9"/>
      <c r="RQR254" s="9"/>
      <c r="RQS254" s="9"/>
      <c r="RQT254" s="9"/>
      <c r="RQU254" s="9"/>
      <c r="RQV254" s="9"/>
      <c r="RQW254" s="9"/>
      <c r="RQX254" s="9"/>
      <c r="RQY254" s="9"/>
      <c r="RQZ254" s="9"/>
      <c r="RRA254" s="9"/>
      <c r="RRB254" s="9"/>
      <c r="RRC254" s="9"/>
      <c r="RRD254" s="9"/>
      <c r="RRE254" s="9"/>
      <c r="RRF254" s="9"/>
      <c r="RRG254" s="9"/>
      <c r="RRH254" s="9"/>
      <c r="RRI254" s="9"/>
      <c r="RRJ254" s="9"/>
      <c r="RRK254" s="9"/>
      <c r="RRL254" s="9"/>
      <c r="RRM254" s="9"/>
      <c r="RRN254" s="9"/>
      <c r="RRO254" s="9"/>
      <c r="RRP254" s="9"/>
      <c r="RRQ254" s="9"/>
      <c r="RRR254" s="9"/>
      <c r="RRS254" s="9"/>
      <c r="RRT254" s="9"/>
      <c r="RRU254" s="9"/>
      <c r="RRV254" s="9"/>
      <c r="RRW254" s="9"/>
      <c r="RRX254" s="9"/>
      <c r="RRY254" s="9"/>
      <c r="RRZ254" s="9"/>
      <c r="RSA254" s="9"/>
      <c r="RSB254" s="9"/>
      <c r="RSC254" s="9"/>
      <c r="RSD254" s="9"/>
      <c r="RSE254" s="9"/>
      <c r="RSF254" s="9"/>
      <c r="RSG254" s="9"/>
      <c r="RSH254" s="9"/>
      <c r="RSI254" s="9"/>
      <c r="RSJ254" s="9"/>
      <c r="RSK254" s="9"/>
      <c r="RSL254" s="9"/>
      <c r="RSM254" s="9"/>
      <c r="RSN254" s="9"/>
      <c r="RSO254" s="9"/>
      <c r="RSP254" s="9"/>
      <c r="RSQ254" s="9"/>
      <c r="RSR254" s="9"/>
      <c r="RSS254" s="9"/>
      <c r="RST254" s="9"/>
      <c r="RSU254" s="9"/>
      <c r="RSV254" s="9"/>
      <c r="RSW254" s="9"/>
      <c r="RSX254" s="9"/>
      <c r="RSY254" s="9"/>
      <c r="RSZ254" s="9"/>
      <c r="RTA254" s="9"/>
      <c r="RTB254" s="9"/>
      <c r="RTC254" s="9"/>
      <c r="RTD254" s="9"/>
      <c r="RTE254" s="9"/>
      <c r="RTF254" s="9"/>
      <c r="RTG254" s="9"/>
      <c r="RTH254" s="9"/>
      <c r="RTI254" s="9"/>
      <c r="RTJ254" s="9"/>
      <c r="RTK254" s="9"/>
      <c r="RTL254" s="9"/>
      <c r="RTM254" s="9"/>
      <c r="RTN254" s="9"/>
      <c r="RTO254" s="9"/>
      <c r="RTP254" s="9"/>
      <c r="RTQ254" s="9"/>
      <c r="RTR254" s="9"/>
      <c r="RTS254" s="9"/>
      <c r="RTT254" s="9"/>
      <c r="RTU254" s="9"/>
      <c r="RTV254" s="9"/>
      <c r="RTW254" s="9"/>
      <c r="RTX254" s="9"/>
      <c r="RTY254" s="9"/>
      <c r="RTZ254" s="9"/>
      <c r="RUA254" s="9"/>
      <c r="RUB254" s="9"/>
      <c r="RUC254" s="9"/>
      <c r="RUD254" s="9"/>
      <c r="RUE254" s="9"/>
      <c r="RUF254" s="9"/>
      <c r="RUG254" s="9"/>
      <c r="RUH254" s="9"/>
      <c r="RUI254" s="9"/>
      <c r="RUJ254" s="9"/>
      <c r="RUK254" s="9"/>
      <c r="RUL254" s="9"/>
      <c r="RUM254" s="9"/>
      <c r="RUN254" s="9"/>
      <c r="RUO254" s="9"/>
      <c r="RUP254" s="9"/>
      <c r="RUQ254" s="9"/>
      <c r="RUR254" s="9"/>
      <c r="RUS254" s="9"/>
      <c r="RUT254" s="9"/>
      <c r="RUU254" s="9"/>
      <c r="RUV254" s="9"/>
      <c r="RUW254" s="9"/>
      <c r="RUX254" s="9"/>
      <c r="RUY254" s="9"/>
      <c r="RUZ254" s="9"/>
      <c r="RVA254" s="9"/>
      <c r="RVB254" s="9"/>
      <c r="RVC254" s="9"/>
      <c r="RVD254" s="9"/>
      <c r="RVE254" s="9"/>
      <c r="RVF254" s="9"/>
      <c r="RVG254" s="9"/>
      <c r="RVH254" s="9"/>
      <c r="RVI254" s="9"/>
      <c r="RVJ254" s="9"/>
      <c r="RVK254" s="9"/>
      <c r="RVL254" s="9"/>
      <c r="RVM254" s="9"/>
      <c r="RVN254" s="9"/>
      <c r="RVO254" s="9"/>
      <c r="RVP254" s="9"/>
      <c r="RVQ254" s="9"/>
      <c r="RVR254" s="9"/>
      <c r="RVS254" s="9"/>
      <c r="RVT254" s="9"/>
      <c r="RVU254" s="9"/>
      <c r="RVV254" s="9"/>
      <c r="RVW254" s="9"/>
      <c r="RVX254" s="9"/>
      <c r="RVY254" s="9"/>
      <c r="RVZ254" s="9"/>
      <c r="RWA254" s="9"/>
      <c r="RWB254" s="9"/>
      <c r="RWC254" s="9"/>
      <c r="RWD254" s="9"/>
      <c r="RWE254" s="9"/>
      <c r="RWF254" s="9"/>
      <c r="RWG254" s="9"/>
      <c r="RWH254" s="9"/>
      <c r="RWI254" s="9"/>
      <c r="RWJ254" s="9"/>
      <c r="RWK254" s="9"/>
      <c r="RWL254" s="9"/>
      <c r="RWM254" s="9"/>
      <c r="RWN254" s="9"/>
      <c r="RWO254" s="9"/>
      <c r="RWP254" s="9"/>
      <c r="RWQ254" s="9"/>
      <c r="RWR254" s="9"/>
      <c r="RWS254" s="9"/>
      <c r="RWT254" s="9"/>
      <c r="RWU254" s="9"/>
      <c r="RWV254" s="9"/>
      <c r="RWW254" s="9"/>
      <c r="RWX254" s="9"/>
      <c r="RWY254" s="9"/>
      <c r="RWZ254" s="9"/>
      <c r="RXA254" s="9"/>
      <c r="RXB254" s="9"/>
      <c r="RXC254" s="9"/>
      <c r="RXD254" s="9"/>
      <c r="RXE254" s="9"/>
      <c r="RXF254" s="9"/>
      <c r="RXG254" s="9"/>
      <c r="RXH254" s="9"/>
      <c r="RXI254" s="9"/>
      <c r="RXJ254" s="9"/>
      <c r="RXK254" s="9"/>
      <c r="RXL254" s="9"/>
      <c r="RXM254" s="9"/>
      <c r="RXN254" s="9"/>
      <c r="RXO254" s="9"/>
      <c r="RXP254" s="9"/>
      <c r="RXQ254" s="9"/>
      <c r="RXR254" s="9"/>
      <c r="RXS254" s="9"/>
      <c r="RXT254" s="9"/>
      <c r="RXU254" s="9"/>
      <c r="RXV254" s="9"/>
      <c r="RXW254" s="9"/>
      <c r="RXX254" s="9"/>
      <c r="RXY254" s="9"/>
      <c r="RXZ254" s="9"/>
      <c r="RYA254" s="9"/>
      <c r="RYB254" s="9"/>
      <c r="RYC254" s="9"/>
      <c r="RYD254" s="9"/>
      <c r="RYE254" s="9"/>
      <c r="RYF254" s="9"/>
      <c r="RYG254" s="9"/>
      <c r="RYH254" s="9"/>
      <c r="RYI254" s="9"/>
      <c r="RYJ254" s="9"/>
      <c r="RYK254" s="9"/>
      <c r="RYL254" s="9"/>
      <c r="RYM254" s="9"/>
      <c r="RYN254" s="9"/>
      <c r="RYO254" s="9"/>
      <c r="RYP254" s="9"/>
      <c r="RYQ254" s="9"/>
      <c r="RYR254" s="9"/>
      <c r="RYS254" s="9"/>
      <c r="RYT254" s="9"/>
      <c r="RYU254" s="9"/>
      <c r="RYV254" s="9"/>
      <c r="RYW254" s="9"/>
      <c r="RYX254" s="9"/>
      <c r="RYY254" s="9"/>
      <c r="RYZ254" s="9"/>
      <c r="RZA254" s="9"/>
      <c r="RZB254" s="9"/>
      <c r="RZC254" s="9"/>
      <c r="RZD254" s="9"/>
      <c r="RZE254" s="9"/>
      <c r="RZF254" s="9"/>
      <c r="RZG254" s="9"/>
      <c r="RZH254" s="9"/>
      <c r="RZI254" s="9"/>
      <c r="RZJ254" s="9"/>
      <c r="RZK254" s="9"/>
      <c r="RZL254" s="9"/>
      <c r="RZM254" s="9"/>
      <c r="RZN254" s="9"/>
      <c r="RZO254" s="9"/>
      <c r="RZP254" s="9"/>
      <c r="RZQ254" s="9"/>
      <c r="RZR254" s="9"/>
      <c r="RZS254" s="9"/>
      <c r="RZT254" s="9"/>
      <c r="RZU254" s="9"/>
      <c r="RZV254" s="9"/>
      <c r="RZW254" s="9"/>
      <c r="RZX254" s="9"/>
      <c r="RZY254" s="9"/>
      <c r="RZZ254" s="9"/>
      <c r="SAA254" s="9"/>
      <c r="SAB254" s="9"/>
      <c r="SAC254" s="9"/>
      <c r="SAD254" s="9"/>
      <c r="SAE254" s="9"/>
      <c r="SAF254" s="9"/>
      <c r="SAG254" s="9"/>
      <c r="SAH254" s="9"/>
      <c r="SAI254" s="9"/>
      <c r="SAJ254" s="9"/>
      <c r="SAK254" s="9"/>
      <c r="SAL254" s="9"/>
      <c r="SAM254" s="9"/>
      <c r="SAN254" s="9"/>
      <c r="SAO254" s="9"/>
      <c r="SAP254" s="9"/>
      <c r="SAQ254" s="9"/>
      <c r="SAR254" s="9"/>
      <c r="SAS254" s="9"/>
      <c r="SAT254" s="9"/>
      <c r="SAU254" s="9"/>
      <c r="SAV254" s="9"/>
      <c r="SAW254" s="9"/>
      <c r="SAX254" s="9"/>
      <c r="SAY254" s="9"/>
      <c r="SAZ254" s="9"/>
      <c r="SBA254" s="9"/>
      <c r="SBB254" s="9"/>
      <c r="SBC254" s="9"/>
      <c r="SBD254" s="9"/>
      <c r="SBE254" s="9"/>
      <c r="SBF254" s="9"/>
      <c r="SBG254" s="9"/>
      <c r="SBH254" s="9"/>
      <c r="SBI254" s="9"/>
      <c r="SBJ254" s="9"/>
      <c r="SBK254" s="9"/>
      <c r="SBL254" s="9"/>
      <c r="SBM254" s="9"/>
      <c r="SBN254" s="9"/>
      <c r="SBO254" s="9"/>
      <c r="SBP254" s="9"/>
      <c r="SBQ254" s="9"/>
      <c r="SBR254" s="9"/>
      <c r="SBS254" s="9"/>
      <c r="SBT254" s="9"/>
      <c r="SBU254" s="9"/>
      <c r="SBV254" s="9"/>
      <c r="SBW254" s="9"/>
      <c r="SBX254" s="9"/>
      <c r="SBY254" s="9"/>
      <c r="SBZ254" s="9"/>
      <c r="SCA254" s="9"/>
      <c r="SCB254" s="9"/>
      <c r="SCC254" s="9"/>
      <c r="SCD254" s="9"/>
      <c r="SCE254" s="9"/>
      <c r="SCF254" s="9"/>
      <c r="SCG254" s="9"/>
      <c r="SCH254" s="9"/>
      <c r="SCI254" s="9"/>
      <c r="SCJ254" s="9"/>
      <c r="SCK254" s="9"/>
      <c r="SCL254" s="9"/>
      <c r="SCM254" s="9"/>
      <c r="SCN254" s="9"/>
      <c r="SCO254" s="9"/>
      <c r="SCP254" s="9"/>
      <c r="SCQ254" s="9"/>
      <c r="SCR254" s="9"/>
      <c r="SCS254" s="9"/>
      <c r="SCT254" s="9"/>
      <c r="SCU254" s="9"/>
      <c r="SCV254" s="9"/>
      <c r="SCW254" s="9"/>
      <c r="SCX254" s="9"/>
      <c r="SCY254" s="9"/>
      <c r="SCZ254" s="9"/>
      <c r="SDA254" s="9"/>
      <c r="SDB254" s="9"/>
      <c r="SDC254" s="9"/>
      <c r="SDD254" s="9"/>
      <c r="SDE254" s="9"/>
      <c r="SDF254" s="9"/>
      <c r="SDG254" s="9"/>
      <c r="SDH254" s="9"/>
      <c r="SDI254" s="9"/>
      <c r="SDJ254" s="9"/>
      <c r="SDK254" s="9"/>
      <c r="SDL254" s="9"/>
      <c r="SDM254" s="9"/>
      <c r="SDN254" s="9"/>
      <c r="SDO254" s="9"/>
      <c r="SDP254" s="9"/>
      <c r="SDQ254" s="9"/>
      <c r="SDR254" s="9"/>
      <c r="SDS254" s="9"/>
      <c r="SDT254" s="9"/>
      <c r="SDU254" s="9"/>
      <c r="SDV254" s="9"/>
      <c r="SDW254" s="9"/>
      <c r="SDX254" s="9"/>
      <c r="SDY254" s="9"/>
      <c r="SDZ254" s="9"/>
      <c r="SEA254" s="9"/>
      <c r="SEB254" s="9"/>
      <c r="SEC254" s="9"/>
      <c r="SED254" s="9"/>
      <c r="SEE254" s="9"/>
      <c r="SEF254" s="9"/>
      <c r="SEG254" s="9"/>
      <c r="SEH254" s="9"/>
      <c r="SEI254" s="9"/>
      <c r="SEJ254" s="9"/>
      <c r="SEK254" s="9"/>
      <c r="SEL254" s="9"/>
      <c r="SEM254" s="9"/>
      <c r="SEN254" s="9"/>
      <c r="SEO254" s="9"/>
      <c r="SEP254" s="9"/>
      <c r="SEQ254" s="9"/>
      <c r="SER254" s="9"/>
      <c r="SES254" s="9"/>
      <c r="SET254" s="9"/>
      <c r="SEU254" s="9"/>
      <c r="SEV254" s="9"/>
      <c r="SEW254" s="9"/>
      <c r="SEX254" s="9"/>
      <c r="SEY254" s="9"/>
      <c r="SEZ254" s="9"/>
      <c r="SFA254" s="9"/>
      <c r="SFB254" s="9"/>
      <c r="SFC254" s="9"/>
      <c r="SFD254" s="9"/>
      <c r="SFE254" s="9"/>
      <c r="SFF254" s="9"/>
      <c r="SFG254" s="9"/>
      <c r="SFH254" s="9"/>
      <c r="SFI254" s="9"/>
      <c r="SFJ254" s="9"/>
      <c r="SFK254" s="9"/>
      <c r="SFL254" s="9"/>
      <c r="SFM254" s="9"/>
      <c r="SFN254" s="9"/>
      <c r="SFO254" s="9"/>
      <c r="SFP254" s="9"/>
      <c r="SFQ254" s="9"/>
      <c r="SFR254" s="9"/>
      <c r="SFS254" s="9"/>
      <c r="SFT254" s="9"/>
      <c r="SFU254" s="9"/>
      <c r="SFV254" s="9"/>
      <c r="SFW254" s="9"/>
      <c r="SFX254" s="9"/>
      <c r="SFY254" s="9"/>
      <c r="SFZ254" s="9"/>
      <c r="SGA254" s="9"/>
      <c r="SGB254" s="9"/>
      <c r="SGC254" s="9"/>
      <c r="SGD254" s="9"/>
      <c r="SGE254" s="9"/>
      <c r="SGF254" s="9"/>
      <c r="SGG254" s="9"/>
      <c r="SGH254" s="9"/>
      <c r="SGI254" s="9"/>
      <c r="SGJ254" s="9"/>
      <c r="SGK254" s="9"/>
      <c r="SGL254" s="9"/>
      <c r="SGM254" s="9"/>
      <c r="SGN254" s="9"/>
      <c r="SGO254" s="9"/>
      <c r="SGP254" s="9"/>
      <c r="SGQ254" s="9"/>
      <c r="SGR254" s="9"/>
      <c r="SGS254" s="9"/>
      <c r="SGT254" s="9"/>
      <c r="SGU254" s="9"/>
      <c r="SGV254" s="9"/>
      <c r="SGW254" s="9"/>
      <c r="SGX254" s="9"/>
      <c r="SGY254" s="9"/>
      <c r="SGZ254" s="9"/>
      <c r="SHA254" s="9"/>
      <c r="SHB254" s="9"/>
      <c r="SHC254" s="9"/>
      <c r="SHD254" s="9"/>
      <c r="SHE254" s="9"/>
      <c r="SHF254" s="9"/>
      <c r="SHG254" s="9"/>
      <c r="SHH254" s="9"/>
      <c r="SHI254" s="9"/>
      <c r="SHJ254" s="9"/>
      <c r="SHK254" s="9"/>
      <c r="SHL254" s="9"/>
      <c r="SHM254" s="9"/>
      <c r="SHN254" s="9"/>
      <c r="SHO254" s="9"/>
      <c r="SHP254" s="9"/>
      <c r="SHQ254" s="9"/>
      <c r="SHR254" s="9"/>
      <c r="SHS254" s="9"/>
      <c r="SHT254" s="9"/>
      <c r="SHU254" s="9"/>
      <c r="SHV254" s="9"/>
      <c r="SHW254" s="9"/>
      <c r="SHX254" s="9"/>
      <c r="SHY254" s="9"/>
      <c r="SHZ254" s="9"/>
      <c r="SIA254" s="9"/>
      <c r="SIB254" s="9"/>
      <c r="SIC254" s="9"/>
      <c r="SID254" s="9"/>
      <c r="SIE254" s="9"/>
      <c r="SIF254" s="9"/>
      <c r="SIG254" s="9"/>
      <c r="SIH254" s="9"/>
      <c r="SII254" s="9"/>
      <c r="SIJ254" s="9"/>
      <c r="SIK254" s="9"/>
      <c r="SIL254" s="9"/>
      <c r="SIM254" s="9"/>
      <c r="SIN254" s="9"/>
      <c r="SIO254" s="9"/>
      <c r="SIP254" s="9"/>
      <c r="SIQ254" s="9"/>
      <c r="SIR254" s="9"/>
      <c r="SIS254" s="9"/>
      <c r="SIT254" s="9"/>
      <c r="SIU254" s="9"/>
      <c r="SIV254" s="9"/>
      <c r="SIW254" s="9"/>
      <c r="SIX254" s="9"/>
      <c r="SIY254" s="9"/>
      <c r="SIZ254" s="9"/>
      <c r="SJA254" s="9"/>
      <c r="SJB254" s="9"/>
      <c r="SJC254" s="9"/>
      <c r="SJD254" s="9"/>
      <c r="SJE254" s="9"/>
      <c r="SJF254" s="9"/>
      <c r="SJG254" s="9"/>
      <c r="SJH254" s="9"/>
      <c r="SJI254" s="9"/>
      <c r="SJJ254" s="9"/>
      <c r="SJK254" s="9"/>
      <c r="SJL254" s="9"/>
      <c r="SJM254" s="9"/>
      <c r="SJN254" s="9"/>
      <c r="SJO254" s="9"/>
      <c r="SJP254" s="9"/>
      <c r="SJQ254" s="9"/>
      <c r="SJR254" s="9"/>
      <c r="SJS254" s="9"/>
      <c r="SJT254" s="9"/>
      <c r="SJU254" s="9"/>
      <c r="SJV254" s="9"/>
      <c r="SJW254" s="9"/>
      <c r="SJX254" s="9"/>
      <c r="SJY254" s="9"/>
      <c r="SJZ254" s="9"/>
      <c r="SKA254" s="9"/>
      <c r="SKB254" s="9"/>
      <c r="SKC254" s="9"/>
      <c r="SKD254" s="9"/>
      <c r="SKE254" s="9"/>
      <c r="SKF254" s="9"/>
      <c r="SKG254" s="9"/>
      <c r="SKH254" s="9"/>
      <c r="SKI254" s="9"/>
      <c r="SKJ254" s="9"/>
      <c r="SKK254" s="9"/>
      <c r="SKL254" s="9"/>
      <c r="SKM254" s="9"/>
      <c r="SKN254" s="9"/>
      <c r="SKO254" s="9"/>
      <c r="SKP254" s="9"/>
      <c r="SKQ254" s="9"/>
      <c r="SKR254" s="9"/>
      <c r="SKS254" s="9"/>
      <c r="SKT254" s="9"/>
      <c r="SKU254" s="9"/>
      <c r="SKV254" s="9"/>
      <c r="SKW254" s="9"/>
      <c r="SKX254" s="9"/>
      <c r="SKY254" s="9"/>
      <c r="SKZ254" s="9"/>
      <c r="SLA254" s="9"/>
      <c r="SLB254" s="9"/>
      <c r="SLC254" s="9"/>
      <c r="SLD254" s="9"/>
      <c r="SLE254" s="9"/>
      <c r="SLF254" s="9"/>
      <c r="SLG254" s="9"/>
      <c r="SLH254" s="9"/>
      <c r="SLI254" s="9"/>
      <c r="SLJ254" s="9"/>
      <c r="SLK254" s="9"/>
      <c r="SLL254" s="9"/>
      <c r="SLM254" s="9"/>
      <c r="SLN254" s="9"/>
      <c r="SLO254" s="9"/>
      <c r="SLP254" s="9"/>
      <c r="SLQ254" s="9"/>
      <c r="SLR254" s="9"/>
      <c r="SLS254" s="9"/>
      <c r="SLT254" s="9"/>
      <c r="SLU254" s="9"/>
      <c r="SLV254" s="9"/>
      <c r="SLW254" s="9"/>
      <c r="SLX254" s="9"/>
      <c r="SLY254" s="9"/>
      <c r="SLZ254" s="9"/>
      <c r="SMA254" s="9"/>
      <c r="SMB254" s="9"/>
      <c r="SMC254" s="9"/>
      <c r="SMD254" s="9"/>
      <c r="SME254" s="9"/>
      <c r="SMF254" s="9"/>
      <c r="SMG254" s="9"/>
      <c r="SMH254" s="9"/>
      <c r="SMI254" s="9"/>
      <c r="SMJ254" s="9"/>
      <c r="SMK254" s="9"/>
      <c r="SML254" s="9"/>
      <c r="SMM254" s="9"/>
      <c r="SMN254" s="9"/>
      <c r="SMO254" s="9"/>
      <c r="SMP254" s="9"/>
      <c r="SMQ254" s="9"/>
      <c r="SMR254" s="9"/>
      <c r="SMS254" s="9"/>
      <c r="SMT254" s="9"/>
      <c r="SMU254" s="9"/>
      <c r="SMV254" s="9"/>
      <c r="SMW254" s="9"/>
      <c r="SMX254" s="9"/>
      <c r="SMY254" s="9"/>
      <c r="SMZ254" s="9"/>
      <c r="SNA254" s="9"/>
      <c r="SNB254" s="9"/>
      <c r="SNC254" s="9"/>
      <c r="SND254" s="9"/>
      <c r="SNE254" s="9"/>
      <c r="SNF254" s="9"/>
      <c r="SNG254" s="9"/>
      <c r="SNH254" s="9"/>
      <c r="SNI254" s="9"/>
      <c r="SNJ254" s="9"/>
      <c r="SNK254" s="9"/>
      <c r="SNL254" s="9"/>
      <c r="SNM254" s="9"/>
      <c r="SNN254" s="9"/>
      <c r="SNO254" s="9"/>
      <c r="SNP254" s="9"/>
      <c r="SNQ254" s="9"/>
      <c r="SNR254" s="9"/>
      <c r="SNS254" s="9"/>
      <c r="SNT254" s="9"/>
      <c r="SNU254" s="9"/>
      <c r="SNV254" s="9"/>
      <c r="SNW254" s="9"/>
      <c r="SNX254" s="9"/>
      <c r="SNY254" s="9"/>
      <c r="SNZ254" s="9"/>
      <c r="SOA254" s="9"/>
      <c r="SOB254" s="9"/>
      <c r="SOC254" s="9"/>
      <c r="SOD254" s="9"/>
      <c r="SOE254" s="9"/>
      <c r="SOF254" s="9"/>
      <c r="SOG254" s="9"/>
      <c r="SOH254" s="9"/>
      <c r="SOI254" s="9"/>
      <c r="SOJ254" s="9"/>
      <c r="SOK254" s="9"/>
      <c r="SOL254" s="9"/>
      <c r="SOM254" s="9"/>
      <c r="SON254" s="9"/>
      <c r="SOO254" s="9"/>
      <c r="SOP254" s="9"/>
      <c r="SOQ254" s="9"/>
      <c r="SOR254" s="9"/>
      <c r="SOS254" s="9"/>
      <c r="SOT254" s="9"/>
      <c r="SOU254" s="9"/>
      <c r="SOV254" s="9"/>
      <c r="SOW254" s="9"/>
      <c r="SOX254" s="9"/>
      <c r="SOY254" s="9"/>
      <c r="SOZ254" s="9"/>
      <c r="SPA254" s="9"/>
      <c r="SPB254" s="9"/>
      <c r="SPC254" s="9"/>
      <c r="SPD254" s="9"/>
      <c r="SPE254" s="9"/>
      <c r="SPF254" s="9"/>
      <c r="SPG254" s="9"/>
      <c r="SPH254" s="9"/>
      <c r="SPI254" s="9"/>
      <c r="SPJ254" s="9"/>
      <c r="SPK254" s="9"/>
      <c r="SPL254" s="9"/>
      <c r="SPM254" s="9"/>
      <c r="SPN254" s="9"/>
      <c r="SPO254" s="9"/>
      <c r="SPP254" s="9"/>
      <c r="SPQ254" s="9"/>
      <c r="SPR254" s="9"/>
      <c r="SPS254" s="9"/>
      <c r="SPT254" s="9"/>
      <c r="SPU254" s="9"/>
      <c r="SPV254" s="9"/>
      <c r="SPW254" s="9"/>
      <c r="SPX254" s="9"/>
      <c r="SPY254" s="9"/>
      <c r="SPZ254" s="9"/>
      <c r="SQA254" s="9"/>
      <c r="SQB254" s="9"/>
      <c r="SQC254" s="9"/>
      <c r="SQD254" s="9"/>
      <c r="SQE254" s="9"/>
      <c r="SQF254" s="9"/>
      <c r="SQG254" s="9"/>
      <c r="SQH254" s="9"/>
      <c r="SQI254" s="9"/>
      <c r="SQJ254" s="9"/>
      <c r="SQK254" s="9"/>
      <c r="SQL254" s="9"/>
      <c r="SQM254" s="9"/>
      <c r="SQN254" s="9"/>
      <c r="SQO254" s="9"/>
      <c r="SQP254" s="9"/>
      <c r="SQQ254" s="9"/>
      <c r="SQR254" s="9"/>
      <c r="SQS254" s="9"/>
      <c r="SQT254" s="9"/>
      <c r="SQU254" s="9"/>
      <c r="SQV254" s="9"/>
      <c r="SQW254" s="9"/>
      <c r="SQX254" s="9"/>
      <c r="SQY254" s="9"/>
      <c r="SQZ254" s="9"/>
      <c r="SRA254" s="9"/>
      <c r="SRB254" s="9"/>
      <c r="SRC254" s="9"/>
      <c r="SRD254" s="9"/>
      <c r="SRE254" s="9"/>
      <c r="SRF254" s="9"/>
      <c r="SRG254" s="9"/>
      <c r="SRH254" s="9"/>
      <c r="SRI254" s="9"/>
      <c r="SRJ254" s="9"/>
      <c r="SRK254" s="9"/>
      <c r="SRL254" s="9"/>
      <c r="SRM254" s="9"/>
      <c r="SRN254" s="9"/>
      <c r="SRO254" s="9"/>
      <c r="SRP254" s="9"/>
      <c r="SRQ254" s="9"/>
      <c r="SRR254" s="9"/>
      <c r="SRS254" s="9"/>
      <c r="SRT254" s="9"/>
      <c r="SRU254" s="9"/>
      <c r="SRV254" s="9"/>
      <c r="SRW254" s="9"/>
      <c r="SRX254" s="9"/>
      <c r="SRY254" s="9"/>
      <c r="SRZ254" s="9"/>
      <c r="SSA254" s="9"/>
      <c r="SSB254" s="9"/>
      <c r="SSC254" s="9"/>
      <c r="SSD254" s="9"/>
      <c r="SSE254" s="9"/>
      <c r="SSF254" s="9"/>
      <c r="SSG254" s="9"/>
      <c r="SSH254" s="9"/>
      <c r="SSI254" s="9"/>
      <c r="SSJ254" s="9"/>
      <c r="SSK254" s="9"/>
      <c r="SSL254" s="9"/>
      <c r="SSM254" s="9"/>
      <c r="SSN254" s="9"/>
      <c r="SSO254" s="9"/>
      <c r="SSP254" s="9"/>
      <c r="SSQ254" s="9"/>
      <c r="SSR254" s="9"/>
      <c r="SSS254" s="9"/>
      <c r="SST254" s="9"/>
      <c r="SSU254" s="9"/>
      <c r="SSV254" s="9"/>
      <c r="SSW254" s="9"/>
      <c r="SSX254" s="9"/>
      <c r="SSY254" s="9"/>
      <c r="SSZ254" s="9"/>
      <c r="STA254" s="9"/>
      <c r="STB254" s="9"/>
      <c r="STC254" s="9"/>
      <c r="STD254" s="9"/>
      <c r="STE254" s="9"/>
      <c r="STF254" s="9"/>
      <c r="STG254" s="9"/>
      <c r="STH254" s="9"/>
      <c r="STI254" s="9"/>
      <c r="STJ254" s="9"/>
      <c r="STK254" s="9"/>
      <c r="STL254" s="9"/>
      <c r="STM254" s="9"/>
      <c r="STN254" s="9"/>
      <c r="STO254" s="9"/>
      <c r="STP254" s="9"/>
      <c r="STQ254" s="9"/>
      <c r="STR254" s="9"/>
      <c r="STS254" s="9"/>
      <c r="STT254" s="9"/>
      <c r="STU254" s="9"/>
      <c r="STV254" s="9"/>
      <c r="STW254" s="9"/>
      <c r="STX254" s="9"/>
      <c r="STY254" s="9"/>
      <c r="STZ254" s="9"/>
      <c r="SUA254" s="9"/>
      <c r="SUB254" s="9"/>
      <c r="SUC254" s="9"/>
      <c r="SUD254" s="9"/>
      <c r="SUE254" s="9"/>
      <c r="SUF254" s="9"/>
      <c r="SUG254" s="9"/>
      <c r="SUH254" s="9"/>
      <c r="SUI254" s="9"/>
      <c r="SUJ254" s="9"/>
      <c r="SUK254" s="9"/>
      <c r="SUL254" s="9"/>
      <c r="SUM254" s="9"/>
      <c r="SUN254" s="9"/>
      <c r="SUO254" s="9"/>
      <c r="SUP254" s="9"/>
      <c r="SUQ254" s="9"/>
      <c r="SUR254" s="9"/>
      <c r="SUS254" s="9"/>
      <c r="SUT254" s="9"/>
      <c r="SUU254" s="9"/>
      <c r="SUV254" s="9"/>
      <c r="SUW254" s="9"/>
      <c r="SUX254" s="9"/>
      <c r="SUY254" s="9"/>
      <c r="SUZ254" s="9"/>
      <c r="SVA254" s="9"/>
      <c r="SVB254" s="9"/>
      <c r="SVC254" s="9"/>
      <c r="SVD254" s="9"/>
      <c r="SVE254" s="9"/>
      <c r="SVF254" s="9"/>
      <c r="SVG254" s="9"/>
      <c r="SVH254" s="9"/>
      <c r="SVI254" s="9"/>
      <c r="SVJ254" s="9"/>
      <c r="SVK254" s="9"/>
      <c r="SVL254" s="9"/>
      <c r="SVM254" s="9"/>
      <c r="SVN254" s="9"/>
      <c r="SVO254" s="9"/>
      <c r="SVP254" s="9"/>
      <c r="SVQ254" s="9"/>
      <c r="SVR254" s="9"/>
      <c r="SVS254" s="9"/>
      <c r="SVT254" s="9"/>
      <c r="SVU254" s="9"/>
      <c r="SVV254" s="9"/>
      <c r="SVW254" s="9"/>
      <c r="SVX254" s="9"/>
      <c r="SVY254" s="9"/>
      <c r="SVZ254" s="9"/>
      <c r="SWA254" s="9"/>
      <c r="SWB254" s="9"/>
      <c r="SWC254" s="9"/>
      <c r="SWD254" s="9"/>
      <c r="SWE254" s="9"/>
      <c r="SWF254" s="9"/>
      <c r="SWG254" s="9"/>
      <c r="SWH254" s="9"/>
      <c r="SWI254" s="9"/>
      <c r="SWJ254" s="9"/>
      <c r="SWK254" s="9"/>
      <c r="SWL254" s="9"/>
      <c r="SWM254" s="9"/>
      <c r="SWN254" s="9"/>
      <c r="SWO254" s="9"/>
      <c r="SWP254" s="9"/>
      <c r="SWQ254" s="9"/>
      <c r="SWR254" s="9"/>
      <c r="SWS254" s="9"/>
      <c r="SWT254" s="9"/>
      <c r="SWU254" s="9"/>
      <c r="SWV254" s="9"/>
      <c r="SWW254" s="9"/>
      <c r="SWX254" s="9"/>
      <c r="SWY254" s="9"/>
      <c r="SWZ254" s="9"/>
      <c r="SXA254" s="9"/>
      <c r="SXB254" s="9"/>
      <c r="SXC254" s="9"/>
      <c r="SXD254" s="9"/>
      <c r="SXE254" s="9"/>
      <c r="SXF254" s="9"/>
      <c r="SXG254" s="9"/>
      <c r="SXH254" s="9"/>
      <c r="SXI254" s="9"/>
      <c r="SXJ254" s="9"/>
      <c r="SXK254" s="9"/>
      <c r="SXL254" s="9"/>
      <c r="SXM254" s="9"/>
      <c r="SXN254" s="9"/>
      <c r="SXO254" s="9"/>
      <c r="SXP254" s="9"/>
      <c r="SXQ254" s="9"/>
      <c r="SXR254" s="9"/>
      <c r="SXS254" s="9"/>
      <c r="SXT254" s="9"/>
      <c r="SXU254" s="9"/>
      <c r="SXV254" s="9"/>
      <c r="SXW254" s="9"/>
      <c r="SXX254" s="9"/>
      <c r="SXY254" s="9"/>
      <c r="SXZ254" s="9"/>
      <c r="SYA254" s="9"/>
      <c r="SYB254" s="9"/>
      <c r="SYC254" s="9"/>
      <c r="SYD254" s="9"/>
      <c r="SYE254" s="9"/>
      <c r="SYF254" s="9"/>
      <c r="SYG254" s="9"/>
      <c r="SYH254" s="9"/>
      <c r="SYI254" s="9"/>
      <c r="SYJ254" s="9"/>
      <c r="SYK254" s="9"/>
      <c r="SYL254" s="9"/>
      <c r="SYM254" s="9"/>
      <c r="SYN254" s="9"/>
      <c r="SYO254" s="9"/>
      <c r="SYP254" s="9"/>
      <c r="SYQ254" s="9"/>
      <c r="SYR254" s="9"/>
      <c r="SYS254" s="9"/>
      <c r="SYT254" s="9"/>
      <c r="SYU254" s="9"/>
      <c r="SYV254" s="9"/>
      <c r="SYW254" s="9"/>
      <c r="SYX254" s="9"/>
      <c r="SYY254" s="9"/>
      <c r="SYZ254" s="9"/>
      <c r="SZA254" s="9"/>
      <c r="SZB254" s="9"/>
      <c r="SZC254" s="9"/>
      <c r="SZD254" s="9"/>
      <c r="SZE254" s="9"/>
      <c r="SZF254" s="9"/>
      <c r="SZG254" s="9"/>
      <c r="SZH254" s="9"/>
      <c r="SZI254" s="9"/>
      <c r="SZJ254" s="9"/>
      <c r="SZK254" s="9"/>
      <c r="SZL254" s="9"/>
      <c r="SZM254" s="9"/>
      <c r="SZN254" s="9"/>
      <c r="SZO254" s="9"/>
      <c r="SZP254" s="9"/>
      <c r="SZQ254" s="9"/>
      <c r="SZR254" s="9"/>
      <c r="SZS254" s="9"/>
      <c r="SZT254" s="9"/>
      <c r="SZU254" s="9"/>
      <c r="SZV254" s="9"/>
      <c r="SZW254" s="9"/>
      <c r="SZX254" s="9"/>
      <c r="SZY254" s="9"/>
      <c r="SZZ254" s="9"/>
      <c r="TAA254" s="9"/>
      <c r="TAB254" s="9"/>
      <c r="TAC254" s="9"/>
      <c r="TAD254" s="9"/>
      <c r="TAE254" s="9"/>
      <c r="TAF254" s="9"/>
      <c r="TAG254" s="9"/>
      <c r="TAH254" s="9"/>
      <c r="TAI254" s="9"/>
      <c r="TAJ254" s="9"/>
      <c r="TAK254" s="9"/>
      <c r="TAL254" s="9"/>
      <c r="TAM254" s="9"/>
      <c r="TAN254" s="9"/>
      <c r="TAO254" s="9"/>
      <c r="TAP254" s="9"/>
      <c r="TAQ254" s="9"/>
      <c r="TAR254" s="9"/>
      <c r="TAS254" s="9"/>
      <c r="TAT254" s="9"/>
      <c r="TAU254" s="9"/>
      <c r="TAV254" s="9"/>
      <c r="TAW254" s="9"/>
      <c r="TAX254" s="9"/>
      <c r="TAY254" s="9"/>
      <c r="TAZ254" s="9"/>
      <c r="TBA254" s="9"/>
      <c r="TBB254" s="9"/>
      <c r="TBC254" s="9"/>
      <c r="TBD254" s="9"/>
      <c r="TBE254" s="9"/>
      <c r="TBF254" s="9"/>
      <c r="TBG254" s="9"/>
      <c r="TBH254" s="9"/>
      <c r="TBI254" s="9"/>
      <c r="TBJ254" s="9"/>
      <c r="TBK254" s="9"/>
      <c r="TBL254" s="9"/>
      <c r="TBM254" s="9"/>
      <c r="TBN254" s="9"/>
      <c r="TBO254" s="9"/>
      <c r="TBP254" s="9"/>
      <c r="TBQ254" s="9"/>
      <c r="TBR254" s="9"/>
      <c r="TBS254" s="9"/>
      <c r="TBT254" s="9"/>
      <c r="TBU254" s="9"/>
      <c r="TBV254" s="9"/>
      <c r="TBW254" s="9"/>
      <c r="TBX254" s="9"/>
      <c r="TBY254" s="9"/>
      <c r="TBZ254" s="9"/>
      <c r="TCA254" s="9"/>
      <c r="TCB254" s="9"/>
      <c r="TCC254" s="9"/>
      <c r="TCD254" s="9"/>
      <c r="TCE254" s="9"/>
      <c r="TCF254" s="9"/>
      <c r="TCG254" s="9"/>
      <c r="TCH254" s="9"/>
      <c r="TCI254" s="9"/>
      <c r="TCJ254" s="9"/>
      <c r="TCK254" s="9"/>
      <c r="TCL254" s="9"/>
      <c r="TCM254" s="9"/>
      <c r="TCN254" s="9"/>
      <c r="TCO254" s="9"/>
      <c r="TCP254" s="9"/>
      <c r="TCQ254" s="9"/>
      <c r="TCR254" s="9"/>
      <c r="TCS254" s="9"/>
      <c r="TCT254" s="9"/>
      <c r="TCU254" s="9"/>
      <c r="TCV254" s="9"/>
      <c r="TCW254" s="9"/>
      <c r="TCX254" s="9"/>
      <c r="TCY254" s="9"/>
      <c r="TCZ254" s="9"/>
      <c r="TDA254" s="9"/>
      <c r="TDB254" s="9"/>
      <c r="TDC254" s="9"/>
      <c r="TDD254" s="9"/>
      <c r="TDE254" s="9"/>
      <c r="TDF254" s="9"/>
      <c r="TDG254" s="9"/>
      <c r="TDH254" s="9"/>
      <c r="TDI254" s="9"/>
      <c r="TDJ254" s="9"/>
      <c r="TDK254" s="9"/>
      <c r="TDL254" s="9"/>
      <c r="TDM254" s="9"/>
      <c r="TDN254" s="9"/>
      <c r="TDO254" s="9"/>
      <c r="TDP254" s="9"/>
      <c r="TDQ254" s="9"/>
      <c r="TDR254" s="9"/>
      <c r="TDS254" s="9"/>
      <c r="TDT254" s="9"/>
      <c r="TDU254" s="9"/>
      <c r="TDV254" s="9"/>
      <c r="TDW254" s="9"/>
      <c r="TDX254" s="9"/>
      <c r="TDY254" s="9"/>
      <c r="TDZ254" s="9"/>
      <c r="TEA254" s="9"/>
      <c r="TEB254" s="9"/>
      <c r="TEC254" s="9"/>
      <c r="TED254" s="9"/>
      <c r="TEE254" s="9"/>
      <c r="TEF254" s="9"/>
      <c r="TEG254" s="9"/>
      <c r="TEH254" s="9"/>
      <c r="TEI254" s="9"/>
      <c r="TEJ254" s="9"/>
      <c r="TEK254" s="9"/>
      <c r="TEL254" s="9"/>
      <c r="TEM254" s="9"/>
      <c r="TEN254" s="9"/>
      <c r="TEO254" s="9"/>
      <c r="TEP254" s="9"/>
      <c r="TEQ254" s="9"/>
      <c r="TER254" s="9"/>
      <c r="TES254" s="9"/>
      <c r="TET254" s="9"/>
      <c r="TEU254" s="9"/>
      <c r="TEV254" s="9"/>
      <c r="TEW254" s="9"/>
      <c r="TEX254" s="9"/>
      <c r="TEY254" s="9"/>
      <c r="TEZ254" s="9"/>
      <c r="TFA254" s="9"/>
      <c r="TFB254" s="9"/>
      <c r="TFC254" s="9"/>
      <c r="TFD254" s="9"/>
      <c r="TFE254" s="9"/>
      <c r="TFF254" s="9"/>
      <c r="TFG254" s="9"/>
      <c r="TFH254" s="9"/>
      <c r="TFI254" s="9"/>
      <c r="TFJ254" s="9"/>
      <c r="TFK254" s="9"/>
      <c r="TFL254" s="9"/>
      <c r="TFM254" s="9"/>
      <c r="TFN254" s="9"/>
      <c r="TFO254" s="9"/>
      <c r="TFP254" s="9"/>
      <c r="TFQ254" s="9"/>
      <c r="TFR254" s="9"/>
      <c r="TFS254" s="9"/>
      <c r="TFT254" s="9"/>
      <c r="TFU254" s="9"/>
      <c r="TFV254" s="9"/>
      <c r="TFW254" s="9"/>
      <c r="TFX254" s="9"/>
      <c r="TFY254" s="9"/>
      <c r="TFZ254" s="9"/>
      <c r="TGA254" s="9"/>
      <c r="TGB254" s="9"/>
      <c r="TGC254" s="9"/>
      <c r="TGD254" s="9"/>
      <c r="TGE254" s="9"/>
      <c r="TGF254" s="9"/>
      <c r="TGG254" s="9"/>
      <c r="TGH254" s="9"/>
      <c r="TGI254" s="9"/>
      <c r="TGJ254" s="9"/>
      <c r="TGK254" s="9"/>
      <c r="TGL254" s="9"/>
      <c r="TGM254" s="9"/>
      <c r="TGN254" s="9"/>
      <c r="TGO254" s="9"/>
      <c r="TGP254" s="9"/>
      <c r="TGQ254" s="9"/>
      <c r="TGR254" s="9"/>
      <c r="TGS254" s="9"/>
      <c r="TGT254" s="9"/>
      <c r="TGU254" s="9"/>
      <c r="TGV254" s="9"/>
      <c r="TGW254" s="9"/>
      <c r="TGX254" s="9"/>
      <c r="TGY254" s="9"/>
      <c r="TGZ254" s="9"/>
      <c r="THA254" s="9"/>
      <c r="THB254" s="9"/>
      <c r="THC254" s="9"/>
      <c r="THD254" s="9"/>
      <c r="THE254" s="9"/>
      <c r="THF254" s="9"/>
      <c r="THG254" s="9"/>
      <c r="THH254" s="9"/>
      <c r="THI254" s="9"/>
      <c r="THJ254" s="9"/>
      <c r="THK254" s="9"/>
      <c r="THL254" s="9"/>
      <c r="THM254" s="9"/>
      <c r="THN254" s="9"/>
      <c r="THO254" s="9"/>
      <c r="THP254" s="9"/>
      <c r="THQ254" s="9"/>
      <c r="THR254" s="9"/>
      <c r="THS254" s="9"/>
      <c r="THT254" s="9"/>
      <c r="THU254" s="9"/>
      <c r="THV254" s="9"/>
      <c r="THW254" s="9"/>
      <c r="THX254" s="9"/>
      <c r="THY254" s="9"/>
      <c r="THZ254" s="9"/>
      <c r="TIA254" s="9"/>
      <c r="TIB254" s="9"/>
      <c r="TIC254" s="9"/>
      <c r="TID254" s="9"/>
      <c r="TIE254" s="9"/>
      <c r="TIF254" s="9"/>
      <c r="TIG254" s="9"/>
      <c r="TIH254" s="9"/>
      <c r="TII254" s="9"/>
      <c r="TIJ254" s="9"/>
      <c r="TIK254" s="9"/>
      <c r="TIL254" s="9"/>
      <c r="TIM254" s="9"/>
      <c r="TIN254" s="9"/>
      <c r="TIO254" s="9"/>
      <c r="TIP254" s="9"/>
      <c r="TIQ254" s="9"/>
      <c r="TIR254" s="9"/>
      <c r="TIS254" s="9"/>
      <c r="TIT254" s="9"/>
      <c r="TIU254" s="9"/>
      <c r="TIV254" s="9"/>
      <c r="TIW254" s="9"/>
      <c r="TIX254" s="9"/>
      <c r="TIY254" s="9"/>
      <c r="TIZ254" s="9"/>
      <c r="TJA254" s="9"/>
      <c r="TJB254" s="9"/>
      <c r="TJC254" s="9"/>
      <c r="TJD254" s="9"/>
      <c r="TJE254" s="9"/>
      <c r="TJF254" s="9"/>
      <c r="TJG254" s="9"/>
      <c r="TJH254" s="9"/>
      <c r="TJI254" s="9"/>
      <c r="TJJ254" s="9"/>
      <c r="TJK254" s="9"/>
      <c r="TJL254" s="9"/>
      <c r="TJM254" s="9"/>
      <c r="TJN254" s="9"/>
      <c r="TJO254" s="9"/>
      <c r="TJP254" s="9"/>
      <c r="TJQ254" s="9"/>
      <c r="TJR254" s="9"/>
      <c r="TJS254" s="9"/>
      <c r="TJT254" s="9"/>
      <c r="TJU254" s="9"/>
      <c r="TJV254" s="9"/>
      <c r="TJW254" s="9"/>
      <c r="TJX254" s="9"/>
      <c r="TJY254" s="9"/>
      <c r="TJZ254" s="9"/>
      <c r="TKA254" s="9"/>
      <c r="TKB254" s="9"/>
      <c r="TKC254" s="9"/>
      <c r="TKD254" s="9"/>
      <c r="TKE254" s="9"/>
      <c r="TKF254" s="9"/>
      <c r="TKG254" s="9"/>
      <c r="TKH254" s="9"/>
      <c r="TKI254" s="9"/>
      <c r="TKJ254" s="9"/>
      <c r="TKK254" s="9"/>
      <c r="TKL254" s="9"/>
      <c r="TKM254" s="9"/>
      <c r="TKN254" s="9"/>
      <c r="TKO254" s="9"/>
      <c r="TKP254" s="9"/>
      <c r="TKQ254" s="9"/>
      <c r="TKR254" s="9"/>
      <c r="TKS254" s="9"/>
      <c r="TKT254" s="9"/>
      <c r="TKU254" s="9"/>
      <c r="TKV254" s="9"/>
      <c r="TKW254" s="9"/>
      <c r="TKX254" s="9"/>
      <c r="TKY254" s="9"/>
      <c r="TKZ254" s="9"/>
      <c r="TLA254" s="9"/>
      <c r="TLB254" s="9"/>
      <c r="TLC254" s="9"/>
      <c r="TLD254" s="9"/>
      <c r="TLE254" s="9"/>
      <c r="TLF254" s="9"/>
      <c r="TLG254" s="9"/>
      <c r="TLH254" s="9"/>
      <c r="TLI254" s="9"/>
      <c r="TLJ254" s="9"/>
      <c r="TLK254" s="9"/>
      <c r="TLL254" s="9"/>
      <c r="TLM254" s="9"/>
      <c r="TLN254" s="9"/>
      <c r="TLO254" s="9"/>
      <c r="TLP254" s="9"/>
      <c r="TLQ254" s="9"/>
      <c r="TLR254" s="9"/>
      <c r="TLS254" s="9"/>
      <c r="TLT254" s="9"/>
      <c r="TLU254" s="9"/>
      <c r="TLV254" s="9"/>
      <c r="TLW254" s="9"/>
      <c r="TLX254" s="9"/>
      <c r="TLY254" s="9"/>
      <c r="TLZ254" s="9"/>
      <c r="TMA254" s="9"/>
      <c r="TMB254" s="9"/>
      <c r="TMC254" s="9"/>
      <c r="TMD254" s="9"/>
      <c r="TME254" s="9"/>
      <c r="TMF254" s="9"/>
      <c r="TMG254" s="9"/>
      <c r="TMH254" s="9"/>
      <c r="TMI254" s="9"/>
      <c r="TMJ254" s="9"/>
      <c r="TMK254" s="9"/>
      <c r="TML254" s="9"/>
      <c r="TMM254" s="9"/>
      <c r="TMN254" s="9"/>
      <c r="TMO254" s="9"/>
      <c r="TMP254" s="9"/>
      <c r="TMQ254" s="9"/>
      <c r="TMR254" s="9"/>
      <c r="TMS254" s="9"/>
      <c r="TMT254" s="9"/>
      <c r="TMU254" s="9"/>
      <c r="TMV254" s="9"/>
      <c r="TMW254" s="9"/>
      <c r="TMX254" s="9"/>
      <c r="TMY254" s="9"/>
      <c r="TMZ254" s="9"/>
      <c r="TNA254" s="9"/>
      <c r="TNB254" s="9"/>
      <c r="TNC254" s="9"/>
      <c r="TND254" s="9"/>
      <c r="TNE254" s="9"/>
      <c r="TNF254" s="9"/>
      <c r="TNG254" s="9"/>
      <c r="TNH254" s="9"/>
      <c r="TNI254" s="9"/>
      <c r="TNJ254" s="9"/>
      <c r="TNK254" s="9"/>
      <c r="TNL254" s="9"/>
      <c r="TNM254" s="9"/>
      <c r="TNN254" s="9"/>
      <c r="TNO254" s="9"/>
      <c r="TNP254" s="9"/>
      <c r="TNQ254" s="9"/>
      <c r="TNR254" s="9"/>
      <c r="TNS254" s="9"/>
      <c r="TNT254" s="9"/>
      <c r="TNU254" s="9"/>
      <c r="TNV254" s="9"/>
      <c r="TNW254" s="9"/>
      <c r="TNX254" s="9"/>
      <c r="TNY254" s="9"/>
      <c r="TNZ254" s="9"/>
      <c r="TOA254" s="9"/>
      <c r="TOB254" s="9"/>
      <c r="TOC254" s="9"/>
      <c r="TOD254" s="9"/>
      <c r="TOE254" s="9"/>
      <c r="TOF254" s="9"/>
      <c r="TOG254" s="9"/>
      <c r="TOH254" s="9"/>
      <c r="TOI254" s="9"/>
      <c r="TOJ254" s="9"/>
      <c r="TOK254" s="9"/>
      <c r="TOL254" s="9"/>
      <c r="TOM254" s="9"/>
      <c r="TON254" s="9"/>
      <c r="TOO254" s="9"/>
      <c r="TOP254" s="9"/>
      <c r="TOQ254" s="9"/>
      <c r="TOR254" s="9"/>
      <c r="TOS254" s="9"/>
      <c r="TOT254" s="9"/>
      <c r="TOU254" s="9"/>
      <c r="TOV254" s="9"/>
      <c r="TOW254" s="9"/>
      <c r="TOX254" s="9"/>
      <c r="TOY254" s="9"/>
      <c r="TOZ254" s="9"/>
      <c r="TPA254" s="9"/>
      <c r="TPB254" s="9"/>
      <c r="TPC254" s="9"/>
      <c r="TPD254" s="9"/>
      <c r="TPE254" s="9"/>
      <c r="TPF254" s="9"/>
      <c r="TPG254" s="9"/>
      <c r="TPH254" s="9"/>
      <c r="TPI254" s="9"/>
      <c r="TPJ254" s="9"/>
      <c r="TPK254" s="9"/>
      <c r="TPL254" s="9"/>
      <c r="TPM254" s="9"/>
      <c r="TPN254" s="9"/>
      <c r="TPO254" s="9"/>
      <c r="TPP254" s="9"/>
      <c r="TPQ254" s="9"/>
      <c r="TPR254" s="9"/>
      <c r="TPS254" s="9"/>
      <c r="TPT254" s="9"/>
      <c r="TPU254" s="9"/>
      <c r="TPV254" s="9"/>
      <c r="TPW254" s="9"/>
      <c r="TPX254" s="9"/>
      <c r="TPY254" s="9"/>
      <c r="TPZ254" s="9"/>
      <c r="TQA254" s="9"/>
      <c r="TQB254" s="9"/>
      <c r="TQC254" s="9"/>
      <c r="TQD254" s="9"/>
      <c r="TQE254" s="9"/>
      <c r="TQF254" s="9"/>
      <c r="TQG254" s="9"/>
      <c r="TQH254" s="9"/>
      <c r="TQI254" s="9"/>
      <c r="TQJ254" s="9"/>
      <c r="TQK254" s="9"/>
      <c r="TQL254" s="9"/>
      <c r="TQM254" s="9"/>
      <c r="TQN254" s="9"/>
      <c r="TQO254" s="9"/>
      <c r="TQP254" s="9"/>
      <c r="TQQ254" s="9"/>
      <c r="TQR254" s="9"/>
      <c r="TQS254" s="9"/>
      <c r="TQT254" s="9"/>
      <c r="TQU254" s="9"/>
      <c r="TQV254" s="9"/>
      <c r="TQW254" s="9"/>
      <c r="TQX254" s="9"/>
      <c r="TQY254" s="9"/>
      <c r="TQZ254" s="9"/>
      <c r="TRA254" s="9"/>
      <c r="TRB254" s="9"/>
      <c r="TRC254" s="9"/>
      <c r="TRD254" s="9"/>
      <c r="TRE254" s="9"/>
      <c r="TRF254" s="9"/>
      <c r="TRG254" s="9"/>
      <c r="TRH254" s="9"/>
      <c r="TRI254" s="9"/>
      <c r="TRJ254" s="9"/>
      <c r="TRK254" s="9"/>
      <c r="TRL254" s="9"/>
      <c r="TRM254" s="9"/>
      <c r="TRN254" s="9"/>
      <c r="TRO254" s="9"/>
      <c r="TRP254" s="9"/>
      <c r="TRQ254" s="9"/>
      <c r="TRR254" s="9"/>
      <c r="TRS254" s="9"/>
      <c r="TRT254" s="9"/>
      <c r="TRU254" s="9"/>
      <c r="TRV254" s="9"/>
      <c r="TRW254" s="9"/>
      <c r="TRX254" s="9"/>
      <c r="TRY254" s="9"/>
      <c r="TRZ254" s="9"/>
      <c r="TSA254" s="9"/>
      <c r="TSB254" s="9"/>
      <c r="TSC254" s="9"/>
      <c r="TSD254" s="9"/>
      <c r="TSE254" s="9"/>
      <c r="TSF254" s="9"/>
      <c r="TSG254" s="9"/>
      <c r="TSH254" s="9"/>
      <c r="TSI254" s="9"/>
      <c r="TSJ254" s="9"/>
      <c r="TSK254" s="9"/>
      <c r="TSL254" s="9"/>
      <c r="TSM254" s="9"/>
      <c r="TSN254" s="9"/>
      <c r="TSO254" s="9"/>
      <c r="TSP254" s="9"/>
      <c r="TSQ254" s="9"/>
      <c r="TSR254" s="9"/>
      <c r="TSS254" s="9"/>
      <c r="TST254" s="9"/>
      <c r="TSU254" s="9"/>
      <c r="TSV254" s="9"/>
      <c r="TSW254" s="9"/>
      <c r="TSX254" s="9"/>
      <c r="TSY254" s="9"/>
      <c r="TSZ254" s="9"/>
      <c r="TTA254" s="9"/>
      <c r="TTB254" s="9"/>
      <c r="TTC254" s="9"/>
      <c r="TTD254" s="9"/>
      <c r="TTE254" s="9"/>
      <c r="TTF254" s="9"/>
      <c r="TTG254" s="9"/>
      <c r="TTH254" s="9"/>
      <c r="TTI254" s="9"/>
      <c r="TTJ254" s="9"/>
      <c r="TTK254" s="9"/>
      <c r="TTL254" s="9"/>
      <c r="TTM254" s="9"/>
      <c r="TTN254" s="9"/>
      <c r="TTO254" s="9"/>
      <c r="TTP254" s="9"/>
      <c r="TTQ254" s="9"/>
      <c r="TTR254" s="9"/>
      <c r="TTS254" s="9"/>
      <c r="TTT254" s="9"/>
      <c r="TTU254" s="9"/>
      <c r="TTV254" s="9"/>
      <c r="TTW254" s="9"/>
      <c r="TTX254" s="9"/>
      <c r="TTY254" s="9"/>
      <c r="TTZ254" s="9"/>
      <c r="TUA254" s="9"/>
      <c r="TUB254" s="9"/>
      <c r="TUC254" s="9"/>
      <c r="TUD254" s="9"/>
      <c r="TUE254" s="9"/>
      <c r="TUF254" s="9"/>
      <c r="TUG254" s="9"/>
      <c r="TUH254" s="9"/>
      <c r="TUI254" s="9"/>
      <c r="TUJ254" s="9"/>
      <c r="TUK254" s="9"/>
      <c r="TUL254" s="9"/>
      <c r="TUM254" s="9"/>
      <c r="TUN254" s="9"/>
      <c r="TUO254" s="9"/>
      <c r="TUP254" s="9"/>
      <c r="TUQ254" s="9"/>
      <c r="TUR254" s="9"/>
      <c r="TUS254" s="9"/>
      <c r="TUT254" s="9"/>
      <c r="TUU254" s="9"/>
      <c r="TUV254" s="9"/>
      <c r="TUW254" s="9"/>
      <c r="TUX254" s="9"/>
      <c r="TUY254" s="9"/>
      <c r="TUZ254" s="9"/>
      <c r="TVA254" s="9"/>
      <c r="TVB254" s="9"/>
      <c r="TVC254" s="9"/>
      <c r="TVD254" s="9"/>
      <c r="TVE254" s="9"/>
      <c r="TVF254" s="9"/>
      <c r="TVG254" s="9"/>
      <c r="TVH254" s="9"/>
      <c r="TVI254" s="9"/>
      <c r="TVJ254" s="9"/>
      <c r="TVK254" s="9"/>
      <c r="TVL254" s="9"/>
      <c r="TVM254" s="9"/>
      <c r="TVN254" s="9"/>
      <c r="TVO254" s="9"/>
      <c r="TVP254" s="9"/>
      <c r="TVQ254" s="9"/>
      <c r="TVR254" s="9"/>
      <c r="TVS254" s="9"/>
      <c r="TVT254" s="9"/>
      <c r="TVU254" s="9"/>
      <c r="TVV254" s="9"/>
      <c r="TVW254" s="9"/>
      <c r="TVX254" s="9"/>
      <c r="TVY254" s="9"/>
      <c r="TVZ254" s="9"/>
      <c r="TWA254" s="9"/>
      <c r="TWB254" s="9"/>
      <c r="TWC254" s="9"/>
      <c r="TWD254" s="9"/>
      <c r="TWE254" s="9"/>
      <c r="TWF254" s="9"/>
      <c r="TWG254" s="9"/>
      <c r="TWH254" s="9"/>
      <c r="TWI254" s="9"/>
      <c r="TWJ254" s="9"/>
      <c r="TWK254" s="9"/>
      <c r="TWL254" s="9"/>
      <c r="TWM254" s="9"/>
      <c r="TWN254" s="9"/>
      <c r="TWO254" s="9"/>
      <c r="TWP254" s="9"/>
      <c r="TWQ254" s="9"/>
      <c r="TWR254" s="9"/>
      <c r="TWS254" s="9"/>
      <c r="TWT254" s="9"/>
      <c r="TWU254" s="9"/>
      <c r="TWV254" s="9"/>
      <c r="TWW254" s="9"/>
      <c r="TWX254" s="9"/>
      <c r="TWY254" s="9"/>
      <c r="TWZ254" s="9"/>
      <c r="TXA254" s="9"/>
      <c r="TXB254" s="9"/>
      <c r="TXC254" s="9"/>
      <c r="TXD254" s="9"/>
      <c r="TXE254" s="9"/>
      <c r="TXF254" s="9"/>
      <c r="TXG254" s="9"/>
      <c r="TXH254" s="9"/>
      <c r="TXI254" s="9"/>
      <c r="TXJ254" s="9"/>
      <c r="TXK254" s="9"/>
      <c r="TXL254" s="9"/>
      <c r="TXM254" s="9"/>
      <c r="TXN254" s="9"/>
      <c r="TXO254" s="9"/>
      <c r="TXP254" s="9"/>
      <c r="TXQ254" s="9"/>
      <c r="TXR254" s="9"/>
      <c r="TXS254" s="9"/>
      <c r="TXT254" s="9"/>
      <c r="TXU254" s="9"/>
      <c r="TXV254" s="9"/>
      <c r="TXW254" s="9"/>
      <c r="TXX254" s="9"/>
      <c r="TXY254" s="9"/>
      <c r="TXZ254" s="9"/>
      <c r="TYA254" s="9"/>
      <c r="TYB254" s="9"/>
      <c r="TYC254" s="9"/>
      <c r="TYD254" s="9"/>
      <c r="TYE254" s="9"/>
      <c r="TYF254" s="9"/>
      <c r="TYG254" s="9"/>
      <c r="TYH254" s="9"/>
      <c r="TYI254" s="9"/>
      <c r="TYJ254" s="9"/>
      <c r="TYK254" s="9"/>
      <c r="TYL254" s="9"/>
      <c r="TYM254" s="9"/>
      <c r="TYN254" s="9"/>
      <c r="TYO254" s="9"/>
      <c r="TYP254" s="9"/>
      <c r="TYQ254" s="9"/>
      <c r="TYR254" s="9"/>
      <c r="TYS254" s="9"/>
      <c r="TYT254" s="9"/>
      <c r="TYU254" s="9"/>
      <c r="TYV254" s="9"/>
      <c r="TYW254" s="9"/>
      <c r="TYX254" s="9"/>
      <c r="TYY254" s="9"/>
      <c r="TYZ254" s="9"/>
      <c r="TZA254" s="9"/>
      <c r="TZB254" s="9"/>
      <c r="TZC254" s="9"/>
      <c r="TZD254" s="9"/>
      <c r="TZE254" s="9"/>
      <c r="TZF254" s="9"/>
      <c r="TZG254" s="9"/>
      <c r="TZH254" s="9"/>
      <c r="TZI254" s="9"/>
      <c r="TZJ254" s="9"/>
      <c r="TZK254" s="9"/>
      <c r="TZL254" s="9"/>
      <c r="TZM254" s="9"/>
      <c r="TZN254" s="9"/>
      <c r="TZO254" s="9"/>
      <c r="TZP254" s="9"/>
      <c r="TZQ254" s="9"/>
      <c r="TZR254" s="9"/>
      <c r="TZS254" s="9"/>
      <c r="TZT254" s="9"/>
      <c r="TZU254" s="9"/>
      <c r="TZV254" s="9"/>
      <c r="TZW254" s="9"/>
      <c r="TZX254" s="9"/>
      <c r="TZY254" s="9"/>
      <c r="TZZ254" s="9"/>
      <c r="UAA254" s="9"/>
      <c r="UAB254" s="9"/>
      <c r="UAC254" s="9"/>
      <c r="UAD254" s="9"/>
      <c r="UAE254" s="9"/>
      <c r="UAF254" s="9"/>
      <c r="UAG254" s="9"/>
      <c r="UAH254" s="9"/>
      <c r="UAI254" s="9"/>
      <c r="UAJ254" s="9"/>
      <c r="UAK254" s="9"/>
      <c r="UAL254" s="9"/>
      <c r="UAM254" s="9"/>
      <c r="UAN254" s="9"/>
      <c r="UAO254" s="9"/>
      <c r="UAP254" s="9"/>
      <c r="UAQ254" s="9"/>
      <c r="UAR254" s="9"/>
      <c r="UAS254" s="9"/>
      <c r="UAT254" s="9"/>
      <c r="UAU254" s="9"/>
      <c r="UAV254" s="9"/>
      <c r="UAW254" s="9"/>
      <c r="UAX254" s="9"/>
      <c r="UAY254" s="9"/>
      <c r="UAZ254" s="9"/>
      <c r="UBA254" s="9"/>
      <c r="UBB254" s="9"/>
      <c r="UBC254" s="9"/>
      <c r="UBD254" s="9"/>
      <c r="UBE254" s="9"/>
      <c r="UBF254" s="9"/>
      <c r="UBG254" s="9"/>
      <c r="UBH254" s="9"/>
      <c r="UBI254" s="9"/>
      <c r="UBJ254" s="9"/>
      <c r="UBK254" s="9"/>
      <c r="UBL254" s="9"/>
      <c r="UBM254" s="9"/>
      <c r="UBN254" s="9"/>
      <c r="UBO254" s="9"/>
      <c r="UBP254" s="9"/>
      <c r="UBQ254" s="9"/>
      <c r="UBR254" s="9"/>
      <c r="UBS254" s="9"/>
      <c r="UBT254" s="9"/>
      <c r="UBU254" s="9"/>
      <c r="UBV254" s="9"/>
      <c r="UBW254" s="9"/>
      <c r="UBX254" s="9"/>
      <c r="UBY254" s="9"/>
      <c r="UBZ254" s="9"/>
      <c r="UCA254" s="9"/>
      <c r="UCB254" s="9"/>
      <c r="UCC254" s="9"/>
      <c r="UCD254" s="9"/>
      <c r="UCE254" s="9"/>
      <c r="UCF254" s="9"/>
      <c r="UCG254" s="9"/>
      <c r="UCH254" s="9"/>
      <c r="UCI254" s="9"/>
      <c r="UCJ254" s="9"/>
      <c r="UCK254" s="9"/>
      <c r="UCL254" s="9"/>
      <c r="UCM254" s="9"/>
      <c r="UCN254" s="9"/>
      <c r="UCO254" s="9"/>
      <c r="UCP254" s="9"/>
      <c r="UCQ254" s="9"/>
      <c r="UCR254" s="9"/>
      <c r="UCS254" s="9"/>
      <c r="UCT254" s="9"/>
      <c r="UCU254" s="9"/>
      <c r="UCV254" s="9"/>
      <c r="UCW254" s="9"/>
      <c r="UCX254" s="9"/>
      <c r="UCY254" s="9"/>
      <c r="UCZ254" s="9"/>
      <c r="UDA254" s="9"/>
      <c r="UDB254" s="9"/>
      <c r="UDC254" s="9"/>
      <c r="UDD254" s="9"/>
      <c r="UDE254" s="9"/>
      <c r="UDF254" s="9"/>
      <c r="UDG254" s="9"/>
      <c r="UDH254" s="9"/>
      <c r="UDI254" s="9"/>
      <c r="UDJ254" s="9"/>
      <c r="UDK254" s="9"/>
      <c r="UDL254" s="9"/>
      <c r="UDM254" s="9"/>
      <c r="UDN254" s="9"/>
      <c r="UDO254" s="9"/>
      <c r="UDP254" s="9"/>
      <c r="UDQ254" s="9"/>
      <c r="UDR254" s="9"/>
      <c r="UDS254" s="9"/>
      <c r="UDT254" s="9"/>
      <c r="UDU254" s="9"/>
      <c r="UDV254" s="9"/>
      <c r="UDW254" s="9"/>
      <c r="UDX254" s="9"/>
      <c r="UDY254" s="9"/>
      <c r="UDZ254" s="9"/>
      <c r="UEA254" s="9"/>
      <c r="UEB254" s="9"/>
      <c r="UEC254" s="9"/>
      <c r="UED254" s="9"/>
      <c r="UEE254" s="9"/>
      <c r="UEF254" s="9"/>
      <c r="UEG254" s="9"/>
      <c r="UEH254" s="9"/>
      <c r="UEI254" s="9"/>
      <c r="UEJ254" s="9"/>
      <c r="UEK254" s="9"/>
      <c r="UEL254" s="9"/>
      <c r="UEM254" s="9"/>
      <c r="UEN254" s="9"/>
      <c r="UEO254" s="9"/>
      <c r="UEP254" s="9"/>
      <c r="UEQ254" s="9"/>
      <c r="UER254" s="9"/>
      <c r="UES254" s="9"/>
      <c r="UET254" s="9"/>
      <c r="UEU254" s="9"/>
      <c r="UEV254" s="9"/>
      <c r="UEW254" s="9"/>
      <c r="UEX254" s="9"/>
      <c r="UEY254" s="9"/>
      <c r="UEZ254" s="9"/>
      <c r="UFA254" s="9"/>
      <c r="UFB254" s="9"/>
      <c r="UFC254" s="9"/>
      <c r="UFD254" s="9"/>
      <c r="UFE254" s="9"/>
      <c r="UFF254" s="9"/>
      <c r="UFG254" s="9"/>
      <c r="UFH254" s="9"/>
      <c r="UFI254" s="9"/>
      <c r="UFJ254" s="9"/>
      <c r="UFK254" s="9"/>
      <c r="UFL254" s="9"/>
      <c r="UFM254" s="9"/>
      <c r="UFN254" s="9"/>
      <c r="UFO254" s="9"/>
      <c r="UFP254" s="9"/>
      <c r="UFQ254" s="9"/>
      <c r="UFR254" s="9"/>
      <c r="UFS254" s="9"/>
      <c r="UFT254" s="9"/>
      <c r="UFU254" s="9"/>
      <c r="UFV254" s="9"/>
      <c r="UFW254" s="9"/>
      <c r="UFX254" s="9"/>
      <c r="UFY254" s="9"/>
      <c r="UFZ254" s="9"/>
      <c r="UGA254" s="9"/>
      <c r="UGB254" s="9"/>
      <c r="UGC254" s="9"/>
      <c r="UGD254" s="9"/>
      <c r="UGE254" s="9"/>
      <c r="UGF254" s="9"/>
      <c r="UGG254" s="9"/>
      <c r="UGH254" s="9"/>
      <c r="UGI254" s="9"/>
      <c r="UGJ254" s="9"/>
      <c r="UGK254" s="9"/>
      <c r="UGL254" s="9"/>
      <c r="UGM254" s="9"/>
      <c r="UGN254" s="9"/>
      <c r="UGO254" s="9"/>
      <c r="UGP254" s="9"/>
      <c r="UGQ254" s="9"/>
      <c r="UGR254" s="9"/>
      <c r="UGS254" s="9"/>
      <c r="UGT254" s="9"/>
      <c r="UGU254" s="9"/>
      <c r="UGV254" s="9"/>
      <c r="UGW254" s="9"/>
      <c r="UGX254" s="9"/>
      <c r="UGY254" s="9"/>
      <c r="UGZ254" s="9"/>
      <c r="UHA254" s="9"/>
      <c r="UHB254" s="9"/>
      <c r="UHC254" s="9"/>
      <c r="UHD254" s="9"/>
      <c r="UHE254" s="9"/>
      <c r="UHF254" s="9"/>
      <c r="UHG254" s="9"/>
      <c r="UHH254" s="9"/>
      <c r="UHI254" s="9"/>
      <c r="UHJ254" s="9"/>
      <c r="UHK254" s="9"/>
      <c r="UHL254" s="9"/>
      <c r="UHM254" s="9"/>
      <c r="UHN254" s="9"/>
      <c r="UHO254" s="9"/>
      <c r="UHP254" s="9"/>
      <c r="UHQ254" s="9"/>
      <c r="UHR254" s="9"/>
      <c r="UHS254" s="9"/>
      <c r="UHT254" s="9"/>
      <c r="UHU254" s="9"/>
      <c r="UHV254" s="9"/>
      <c r="UHW254" s="9"/>
      <c r="UHX254" s="9"/>
      <c r="UHY254" s="9"/>
      <c r="UHZ254" s="9"/>
      <c r="UIA254" s="9"/>
      <c r="UIB254" s="9"/>
      <c r="UIC254" s="9"/>
      <c r="UID254" s="9"/>
      <c r="UIE254" s="9"/>
      <c r="UIF254" s="9"/>
      <c r="UIG254" s="9"/>
      <c r="UIH254" s="9"/>
      <c r="UII254" s="9"/>
      <c r="UIJ254" s="9"/>
      <c r="UIK254" s="9"/>
      <c r="UIL254" s="9"/>
      <c r="UIM254" s="9"/>
      <c r="UIN254" s="9"/>
      <c r="UIO254" s="9"/>
      <c r="UIP254" s="9"/>
      <c r="UIQ254" s="9"/>
      <c r="UIR254" s="9"/>
      <c r="UIS254" s="9"/>
      <c r="UIT254" s="9"/>
      <c r="UIU254" s="9"/>
      <c r="UIV254" s="9"/>
      <c r="UIW254" s="9"/>
      <c r="UIX254" s="9"/>
      <c r="UIY254" s="9"/>
      <c r="UIZ254" s="9"/>
      <c r="UJA254" s="9"/>
      <c r="UJB254" s="9"/>
      <c r="UJC254" s="9"/>
      <c r="UJD254" s="9"/>
      <c r="UJE254" s="9"/>
      <c r="UJF254" s="9"/>
      <c r="UJG254" s="9"/>
      <c r="UJH254" s="9"/>
      <c r="UJI254" s="9"/>
      <c r="UJJ254" s="9"/>
      <c r="UJK254" s="9"/>
      <c r="UJL254" s="9"/>
      <c r="UJM254" s="9"/>
      <c r="UJN254" s="9"/>
      <c r="UJO254" s="9"/>
      <c r="UJP254" s="9"/>
      <c r="UJQ254" s="9"/>
      <c r="UJR254" s="9"/>
      <c r="UJS254" s="9"/>
      <c r="UJT254" s="9"/>
      <c r="UJU254" s="9"/>
      <c r="UJV254" s="9"/>
      <c r="UJW254" s="9"/>
      <c r="UJX254" s="9"/>
      <c r="UJY254" s="9"/>
      <c r="UJZ254" s="9"/>
      <c r="UKA254" s="9"/>
      <c r="UKB254" s="9"/>
      <c r="UKC254" s="9"/>
      <c r="UKD254" s="9"/>
      <c r="UKE254" s="9"/>
      <c r="UKF254" s="9"/>
      <c r="UKG254" s="9"/>
      <c r="UKH254" s="9"/>
      <c r="UKI254" s="9"/>
      <c r="UKJ254" s="9"/>
      <c r="UKK254" s="9"/>
      <c r="UKL254" s="9"/>
      <c r="UKM254" s="9"/>
      <c r="UKN254" s="9"/>
      <c r="UKO254" s="9"/>
      <c r="UKP254" s="9"/>
      <c r="UKQ254" s="9"/>
      <c r="UKR254" s="9"/>
      <c r="UKS254" s="9"/>
      <c r="UKT254" s="9"/>
      <c r="UKU254" s="9"/>
      <c r="UKV254" s="9"/>
      <c r="UKW254" s="9"/>
      <c r="UKX254" s="9"/>
      <c r="UKY254" s="9"/>
      <c r="UKZ254" s="9"/>
      <c r="ULA254" s="9"/>
      <c r="ULB254" s="9"/>
      <c r="ULC254" s="9"/>
      <c r="ULD254" s="9"/>
      <c r="ULE254" s="9"/>
      <c r="ULF254" s="9"/>
      <c r="ULG254" s="9"/>
      <c r="ULH254" s="9"/>
      <c r="ULI254" s="9"/>
      <c r="ULJ254" s="9"/>
      <c r="ULK254" s="9"/>
      <c r="ULL254" s="9"/>
      <c r="ULM254" s="9"/>
      <c r="ULN254" s="9"/>
      <c r="ULO254" s="9"/>
      <c r="ULP254" s="9"/>
      <c r="ULQ254" s="9"/>
      <c r="ULR254" s="9"/>
      <c r="ULS254" s="9"/>
      <c r="ULT254" s="9"/>
      <c r="ULU254" s="9"/>
      <c r="ULV254" s="9"/>
      <c r="ULW254" s="9"/>
      <c r="ULX254" s="9"/>
      <c r="ULY254" s="9"/>
      <c r="ULZ254" s="9"/>
      <c r="UMA254" s="9"/>
      <c r="UMB254" s="9"/>
      <c r="UMC254" s="9"/>
      <c r="UMD254" s="9"/>
      <c r="UME254" s="9"/>
      <c r="UMF254" s="9"/>
      <c r="UMG254" s="9"/>
      <c r="UMH254" s="9"/>
      <c r="UMI254" s="9"/>
      <c r="UMJ254" s="9"/>
      <c r="UMK254" s="9"/>
      <c r="UML254" s="9"/>
      <c r="UMM254" s="9"/>
      <c r="UMN254" s="9"/>
      <c r="UMO254" s="9"/>
      <c r="UMP254" s="9"/>
      <c r="UMQ254" s="9"/>
      <c r="UMR254" s="9"/>
      <c r="UMS254" s="9"/>
      <c r="UMT254" s="9"/>
      <c r="UMU254" s="9"/>
      <c r="UMV254" s="9"/>
      <c r="UMW254" s="9"/>
      <c r="UMX254" s="9"/>
      <c r="UMY254" s="9"/>
      <c r="UMZ254" s="9"/>
      <c r="UNA254" s="9"/>
      <c r="UNB254" s="9"/>
      <c r="UNC254" s="9"/>
      <c r="UND254" s="9"/>
      <c r="UNE254" s="9"/>
      <c r="UNF254" s="9"/>
      <c r="UNG254" s="9"/>
      <c r="UNH254" s="9"/>
      <c r="UNI254" s="9"/>
      <c r="UNJ254" s="9"/>
      <c r="UNK254" s="9"/>
      <c r="UNL254" s="9"/>
      <c r="UNM254" s="9"/>
      <c r="UNN254" s="9"/>
      <c r="UNO254" s="9"/>
      <c r="UNP254" s="9"/>
      <c r="UNQ254" s="9"/>
      <c r="UNR254" s="9"/>
      <c r="UNS254" s="9"/>
      <c r="UNT254" s="9"/>
      <c r="UNU254" s="9"/>
      <c r="UNV254" s="9"/>
      <c r="UNW254" s="9"/>
      <c r="UNX254" s="9"/>
      <c r="UNY254" s="9"/>
      <c r="UNZ254" s="9"/>
      <c r="UOA254" s="9"/>
      <c r="UOB254" s="9"/>
      <c r="UOC254" s="9"/>
      <c r="UOD254" s="9"/>
      <c r="UOE254" s="9"/>
      <c r="UOF254" s="9"/>
      <c r="UOG254" s="9"/>
      <c r="UOH254" s="9"/>
      <c r="UOI254" s="9"/>
      <c r="UOJ254" s="9"/>
      <c r="UOK254" s="9"/>
      <c r="UOL254" s="9"/>
      <c r="UOM254" s="9"/>
      <c r="UON254" s="9"/>
      <c r="UOO254" s="9"/>
      <c r="UOP254" s="9"/>
      <c r="UOQ254" s="9"/>
      <c r="UOR254" s="9"/>
      <c r="UOS254" s="9"/>
      <c r="UOT254" s="9"/>
      <c r="UOU254" s="9"/>
      <c r="UOV254" s="9"/>
      <c r="UOW254" s="9"/>
      <c r="UOX254" s="9"/>
      <c r="UOY254" s="9"/>
      <c r="UOZ254" s="9"/>
      <c r="UPA254" s="9"/>
      <c r="UPB254" s="9"/>
      <c r="UPC254" s="9"/>
      <c r="UPD254" s="9"/>
      <c r="UPE254" s="9"/>
      <c r="UPF254" s="9"/>
      <c r="UPG254" s="9"/>
      <c r="UPH254" s="9"/>
      <c r="UPI254" s="9"/>
      <c r="UPJ254" s="9"/>
      <c r="UPK254" s="9"/>
      <c r="UPL254" s="9"/>
      <c r="UPM254" s="9"/>
      <c r="UPN254" s="9"/>
      <c r="UPO254" s="9"/>
      <c r="UPP254" s="9"/>
      <c r="UPQ254" s="9"/>
      <c r="UPR254" s="9"/>
      <c r="UPS254" s="9"/>
      <c r="UPT254" s="9"/>
      <c r="UPU254" s="9"/>
      <c r="UPV254" s="9"/>
      <c r="UPW254" s="9"/>
      <c r="UPX254" s="9"/>
      <c r="UPY254" s="9"/>
      <c r="UPZ254" s="9"/>
      <c r="UQA254" s="9"/>
      <c r="UQB254" s="9"/>
      <c r="UQC254" s="9"/>
      <c r="UQD254" s="9"/>
      <c r="UQE254" s="9"/>
      <c r="UQF254" s="9"/>
      <c r="UQG254" s="9"/>
      <c r="UQH254" s="9"/>
      <c r="UQI254" s="9"/>
      <c r="UQJ254" s="9"/>
      <c r="UQK254" s="9"/>
      <c r="UQL254" s="9"/>
      <c r="UQM254" s="9"/>
      <c r="UQN254" s="9"/>
      <c r="UQO254" s="9"/>
      <c r="UQP254" s="9"/>
      <c r="UQQ254" s="9"/>
      <c r="UQR254" s="9"/>
      <c r="UQS254" s="9"/>
      <c r="UQT254" s="9"/>
      <c r="UQU254" s="9"/>
      <c r="UQV254" s="9"/>
      <c r="UQW254" s="9"/>
      <c r="UQX254" s="9"/>
      <c r="UQY254" s="9"/>
      <c r="UQZ254" s="9"/>
      <c r="URA254" s="9"/>
      <c r="URB254" s="9"/>
      <c r="URC254" s="9"/>
      <c r="URD254" s="9"/>
      <c r="URE254" s="9"/>
      <c r="URF254" s="9"/>
      <c r="URG254" s="9"/>
      <c r="URH254" s="9"/>
      <c r="URI254" s="9"/>
      <c r="URJ254" s="9"/>
      <c r="URK254" s="9"/>
      <c r="URL254" s="9"/>
      <c r="URM254" s="9"/>
      <c r="URN254" s="9"/>
      <c r="URO254" s="9"/>
      <c r="URP254" s="9"/>
      <c r="URQ254" s="9"/>
      <c r="URR254" s="9"/>
      <c r="URS254" s="9"/>
      <c r="URT254" s="9"/>
      <c r="URU254" s="9"/>
      <c r="URV254" s="9"/>
      <c r="URW254" s="9"/>
      <c r="URX254" s="9"/>
      <c r="URY254" s="9"/>
      <c r="URZ254" s="9"/>
      <c r="USA254" s="9"/>
      <c r="USB254" s="9"/>
      <c r="USC254" s="9"/>
      <c r="USD254" s="9"/>
      <c r="USE254" s="9"/>
      <c r="USF254" s="9"/>
      <c r="USG254" s="9"/>
      <c r="USH254" s="9"/>
      <c r="USI254" s="9"/>
      <c r="USJ254" s="9"/>
      <c r="USK254" s="9"/>
      <c r="USL254" s="9"/>
      <c r="USM254" s="9"/>
      <c r="USN254" s="9"/>
      <c r="USO254" s="9"/>
      <c r="USP254" s="9"/>
      <c r="USQ254" s="9"/>
      <c r="USR254" s="9"/>
      <c r="USS254" s="9"/>
      <c r="UST254" s="9"/>
      <c r="USU254" s="9"/>
      <c r="USV254" s="9"/>
      <c r="USW254" s="9"/>
      <c r="USX254" s="9"/>
      <c r="USY254" s="9"/>
      <c r="USZ254" s="9"/>
      <c r="UTA254" s="9"/>
      <c r="UTB254" s="9"/>
      <c r="UTC254" s="9"/>
      <c r="UTD254" s="9"/>
      <c r="UTE254" s="9"/>
      <c r="UTF254" s="9"/>
      <c r="UTG254" s="9"/>
      <c r="UTH254" s="9"/>
      <c r="UTI254" s="9"/>
      <c r="UTJ254" s="9"/>
      <c r="UTK254" s="9"/>
      <c r="UTL254" s="9"/>
      <c r="UTM254" s="9"/>
      <c r="UTN254" s="9"/>
      <c r="UTO254" s="9"/>
      <c r="UTP254" s="9"/>
      <c r="UTQ254" s="9"/>
      <c r="UTR254" s="9"/>
      <c r="UTS254" s="9"/>
      <c r="UTT254" s="9"/>
      <c r="UTU254" s="9"/>
      <c r="UTV254" s="9"/>
      <c r="UTW254" s="9"/>
      <c r="UTX254" s="9"/>
      <c r="UTY254" s="9"/>
      <c r="UTZ254" s="9"/>
      <c r="UUA254" s="9"/>
      <c r="UUB254" s="9"/>
      <c r="UUC254" s="9"/>
      <c r="UUD254" s="9"/>
      <c r="UUE254" s="9"/>
      <c r="UUF254" s="9"/>
      <c r="UUG254" s="9"/>
      <c r="UUH254" s="9"/>
      <c r="UUI254" s="9"/>
      <c r="UUJ254" s="9"/>
      <c r="UUK254" s="9"/>
      <c r="UUL254" s="9"/>
      <c r="UUM254" s="9"/>
      <c r="UUN254" s="9"/>
      <c r="UUO254" s="9"/>
      <c r="UUP254" s="9"/>
      <c r="UUQ254" s="9"/>
      <c r="UUR254" s="9"/>
      <c r="UUS254" s="9"/>
      <c r="UUT254" s="9"/>
      <c r="UUU254" s="9"/>
      <c r="UUV254" s="9"/>
      <c r="UUW254" s="9"/>
      <c r="UUX254" s="9"/>
      <c r="UUY254" s="9"/>
      <c r="UUZ254" s="9"/>
      <c r="UVA254" s="9"/>
      <c r="UVB254" s="9"/>
      <c r="UVC254" s="9"/>
      <c r="UVD254" s="9"/>
      <c r="UVE254" s="9"/>
      <c r="UVF254" s="9"/>
      <c r="UVG254" s="9"/>
      <c r="UVH254" s="9"/>
      <c r="UVI254" s="9"/>
      <c r="UVJ254" s="9"/>
      <c r="UVK254" s="9"/>
      <c r="UVL254" s="9"/>
      <c r="UVM254" s="9"/>
      <c r="UVN254" s="9"/>
      <c r="UVO254" s="9"/>
      <c r="UVP254" s="9"/>
      <c r="UVQ254" s="9"/>
      <c r="UVR254" s="9"/>
      <c r="UVS254" s="9"/>
      <c r="UVT254" s="9"/>
      <c r="UVU254" s="9"/>
      <c r="UVV254" s="9"/>
      <c r="UVW254" s="9"/>
      <c r="UVX254" s="9"/>
      <c r="UVY254" s="9"/>
      <c r="UVZ254" s="9"/>
      <c r="UWA254" s="9"/>
      <c r="UWB254" s="9"/>
      <c r="UWC254" s="9"/>
      <c r="UWD254" s="9"/>
      <c r="UWE254" s="9"/>
      <c r="UWF254" s="9"/>
      <c r="UWG254" s="9"/>
      <c r="UWH254" s="9"/>
      <c r="UWI254" s="9"/>
      <c r="UWJ254" s="9"/>
      <c r="UWK254" s="9"/>
      <c r="UWL254" s="9"/>
      <c r="UWM254" s="9"/>
      <c r="UWN254" s="9"/>
      <c r="UWO254" s="9"/>
      <c r="UWP254" s="9"/>
      <c r="UWQ254" s="9"/>
      <c r="UWR254" s="9"/>
      <c r="UWS254" s="9"/>
      <c r="UWT254" s="9"/>
      <c r="UWU254" s="9"/>
      <c r="UWV254" s="9"/>
      <c r="UWW254" s="9"/>
      <c r="UWX254" s="9"/>
      <c r="UWY254" s="9"/>
      <c r="UWZ254" s="9"/>
      <c r="UXA254" s="9"/>
      <c r="UXB254" s="9"/>
      <c r="UXC254" s="9"/>
      <c r="UXD254" s="9"/>
      <c r="UXE254" s="9"/>
      <c r="UXF254" s="9"/>
      <c r="UXG254" s="9"/>
      <c r="UXH254" s="9"/>
      <c r="UXI254" s="9"/>
      <c r="UXJ254" s="9"/>
      <c r="UXK254" s="9"/>
      <c r="UXL254" s="9"/>
      <c r="UXM254" s="9"/>
      <c r="UXN254" s="9"/>
      <c r="UXO254" s="9"/>
      <c r="UXP254" s="9"/>
      <c r="UXQ254" s="9"/>
      <c r="UXR254" s="9"/>
      <c r="UXS254" s="9"/>
      <c r="UXT254" s="9"/>
      <c r="UXU254" s="9"/>
      <c r="UXV254" s="9"/>
      <c r="UXW254" s="9"/>
      <c r="UXX254" s="9"/>
      <c r="UXY254" s="9"/>
      <c r="UXZ254" s="9"/>
      <c r="UYA254" s="9"/>
      <c r="UYB254" s="9"/>
      <c r="UYC254" s="9"/>
      <c r="UYD254" s="9"/>
      <c r="UYE254" s="9"/>
      <c r="UYF254" s="9"/>
      <c r="UYG254" s="9"/>
      <c r="UYH254" s="9"/>
      <c r="UYI254" s="9"/>
      <c r="UYJ254" s="9"/>
      <c r="UYK254" s="9"/>
      <c r="UYL254" s="9"/>
      <c r="UYM254" s="9"/>
      <c r="UYN254" s="9"/>
      <c r="UYO254" s="9"/>
      <c r="UYP254" s="9"/>
      <c r="UYQ254" s="9"/>
      <c r="UYR254" s="9"/>
      <c r="UYS254" s="9"/>
      <c r="UYT254" s="9"/>
      <c r="UYU254" s="9"/>
      <c r="UYV254" s="9"/>
      <c r="UYW254" s="9"/>
      <c r="UYX254" s="9"/>
      <c r="UYY254" s="9"/>
      <c r="UYZ254" s="9"/>
      <c r="UZA254" s="9"/>
      <c r="UZB254" s="9"/>
      <c r="UZC254" s="9"/>
      <c r="UZD254" s="9"/>
      <c r="UZE254" s="9"/>
      <c r="UZF254" s="9"/>
      <c r="UZG254" s="9"/>
      <c r="UZH254" s="9"/>
      <c r="UZI254" s="9"/>
      <c r="UZJ254" s="9"/>
      <c r="UZK254" s="9"/>
      <c r="UZL254" s="9"/>
      <c r="UZM254" s="9"/>
      <c r="UZN254" s="9"/>
      <c r="UZO254" s="9"/>
      <c r="UZP254" s="9"/>
      <c r="UZQ254" s="9"/>
      <c r="UZR254" s="9"/>
      <c r="UZS254" s="9"/>
      <c r="UZT254" s="9"/>
      <c r="UZU254" s="9"/>
      <c r="UZV254" s="9"/>
      <c r="UZW254" s="9"/>
      <c r="UZX254" s="9"/>
      <c r="UZY254" s="9"/>
      <c r="UZZ254" s="9"/>
      <c r="VAA254" s="9"/>
      <c r="VAB254" s="9"/>
      <c r="VAC254" s="9"/>
      <c r="VAD254" s="9"/>
      <c r="VAE254" s="9"/>
      <c r="VAF254" s="9"/>
      <c r="VAG254" s="9"/>
      <c r="VAH254" s="9"/>
      <c r="VAI254" s="9"/>
      <c r="VAJ254" s="9"/>
      <c r="VAK254" s="9"/>
      <c r="VAL254" s="9"/>
      <c r="VAM254" s="9"/>
      <c r="VAN254" s="9"/>
      <c r="VAO254" s="9"/>
      <c r="VAP254" s="9"/>
      <c r="VAQ254" s="9"/>
      <c r="VAR254" s="9"/>
      <c r="VAS254" s="9"/>
      <c r="VAT254" s="9"/>
      <c r="VAU254" s="9"/>
      <c r="VAV254" s="9"/>
      <c r="VAW254" s="9"/>
      <c r="VAX254" s="9"/>
      <c r="VAY254" s="9"/>
      <c r="VAZ254" s="9"/>
      <c r="VBA254" s="9"/>
      <c r="VBB254" s="9"/>
      <c r="VBC254" s="9"/>
      <c r="VBD254" s="9"/>
      <c r="VBE254" s="9"/>
      <c r="VBF254" s="9"/>
      <c r="VBG254" s="9"/>
      <c r="VBH254" s="9"/>
      <c r="VBI254" s="9"/>
      <c r="VBJ254" s="9"/>
      <c r="VBK254" s="9"/>
      <c r="VBL254" s="9"/>
      <c r="VBM254" s="9"/>
      <c r="VBN254" s="9"/>
      <c r="VBO254" s="9"/>
      <c r="VBP254" s="9"/>
      <c r="VBQ254" s="9"/>
      <c r="VBR254" s="9"/>
      <c r="VBS254" s="9"/>
      <c r="VBT254" s="9"/>
      <c r="VBU254" s="9"/>
      <c r="VBV254" s="9"/>
      <c r="VBW254" s="9"/>
      <c r="VBX254" s="9"/>
      <c r="VBY254" s="9"/>
      <c r="VBZ254" s="9"/>
      <c r="VCA254" s="9"/>
      <c r="VCB254" s="9"/>
      <c r="VCC254" s="9"/>
      <c r="VCD254" s="9"/>
      <c r="VCE254" s="9"/>
      <c r="VCF254" s="9"/>
      <c r="VCG254" s="9"/>
      <c r="VCH254" s="9"/>
      <c r="VCI254" s="9"/>
      <c r="VCJ254" s="9"/>
      <c r="VCK254" s="9"/>
      <c r="VCL254" s="9"/>
      <c r="VCM254" s="9"/>
      <c r="VCN254" s="9"/>
      <c r="VCO254" s="9"/>
      <c r="VCP254" s="9"/>
      <c r="VCQ254" s="9"/>
      <c r="VCR254" s="9"/>
      <c r="VCS254" s="9"/>
      <c r="VCT254" s="9"/>
      <c r="VCU254" s="9"/>
      <c r="VCV254" s="9"/>
      <c r="VCW254" s="9"/>
      <c r="VCX254" s="9"/>
      <c r="VCY254" s="9"/>
      <c r="VCZ254" s="9"/>
      <c r="VDA254" s="9"/>
      <c r="VDB254" s="9"/>
      <c r="VDC254" s="9"/>
      <c r="VDD254" s="9"/>
      <c r="VDE254" s="9"/>
      <c r="VDF254" s="9"/>
      <c r="VDG254" s="9"/>
      <c r="VDH254" s="9"/>
      <c r="VDI254" s="9"/>
      <c r="VDJ254" s="9"/>
      <c r="VDK254" s="9"/>
      <c r="VDL254" s="9"/>
      <c r="VDM254" s="9"/>
      <c r="VDN254" s="9"/>
      <c r="VDO254" s="9"/>
      <c r="VDP254" s="9"/>
      <c r="VDQ254" s="9"/>
      <c r="VDR254" s="9"/>
      <c r="VDS254" s="9"/>
      <c r="VDT254" s="9"/>
      <c r="VDU254" s="9"/>
      <c r="VDV254" s="9"/>
      <c r="VDW254" s="9"/>
      <c r="VDX254" s="9"/>
      <c r="VDY254" s="9"/>
      <c r="VDZ254" s="9"/>
      <c r="VEA254" s="9"/>
      <c r="VEB254" s="9"/>
      <c r="VEC254" s="9"/>
      <c r="VED254" s="9"/>
      <c r="VEE254" s="9"/>
      <c r="VEF254" s="9"/>
      <c r="VEG254" s="9"/>
      <c r="VEH254" s="9"/>
      <c r="VEI254" s="9"/>
      <c r="VEJ254" s="9"/>
      <c r="VEK254" s="9"/>
      <c r="VEL254" s="9"/>
      <c r="VEM254" s="9"/>
      <c r="VEN254" s="9"/>
      <c r="VEO254" s="9"/>
      <c r="VEP254" s="9"/>
      <c r="VEQ254" s="9"/>
      <c r="VER254" s="9"/>
      <c r="VES254" s="9"/>
      <c r="VET254" s="9"/>
      <c r="VEU254" s="9"/>
      <c r="VEV254" s="9"/>
      <c r="VEW254" s="9"/>
      <c r="VEX254" s="9"/>
      <c r="VEY254" s="9"/>
      <c r="VEZ254" s="9"/>
      <c r="VFA254" s="9"/>
      <c r="VFB254" s="9"/>
      <c r="VFC254" s="9"/>
      <c r="VFD254" s="9"/>
      <c r="VFE254" s="9"/>
      <c r="VFF254" s="9"/>
      <c r="VFG254" s="9"/>
      <c r="VFH254" s="9"/>
      <c r="VFI254" s="9"/>
      <c r="VFJ254" s="9"/>
      <c r="VFK254" s="9"/>
      <c r="VFL254" s="9"/>
      <c r="VFM254" s="9"/>
      <c r="VFN254" s="9"/>
      <c r="VFO254" s="9"/>
      <c r="VFP254" s="9"/>
      <c r="VFQ254" s="9"/>
      <c r="VFR254" s="9"/>
      <c r="VFS254" s="9"/>
      <c r="VFT254" s="9"/>
      <c r="VFU254" s="9"/>
      <c r="VFV254" s="9"/>
      <c r="VFW254" s="9"/>
      <c r="VFX254" s="9"/>
      <c r="VFY254" s="9"/>
      <c r="VFZ254" s="9"/>
      <c r="VGA254" s="9"/>
      <c r="VGB254" s="9"/>
      <c r="VGC254" s="9"/>
      <c r="VGD254" s="9"/>
      <c r="VGE254" s="9"/>
      <c r="VGF254" s="9"/>
      <c r="VGG254" s="9"/>
      <c r="VGH254" s="9"/>
      <c r="VGI254" s="9"/>
      <c r="VGJ254" s="9"/>
      <c r="VGK254" s="9"/>
      <c r="VGL254" s="9"/>
      <c r="VGM254" s="9"/>
      <c r="VGN254" s="9"/>
      <c r="VGO254" s="9"/>
      <c r="VGP254" s="9"/>
      <c r="VGQ254" s="9"/>
      <c r="VGR254" s="9"/>
      <c r="VGS254" s="9"/>
      <c r="VGT254" s="9"/>
      <c r="VGU254" s="9"/>
      <c r="VGV254" s="9"/>
      <c r="VGW254" s="9"/>
      <c r="VGX254" s="9"/>
      <c r="VGY254" s="9"/>
      <c r="VGZ254" s="9"/>
      <c r="VHA254" s="9"/>
      <c r="VHB254" s="9"/>
      <c r="VHC254" s="9"/>
      <c r="VHD254" s="9"/>
      <c r="VHE254" s="9"/>
      <c r="VHF254" s="9"/>
      <c r="VHG254" s="9"/>
      <c r="VHH254" s="9"/>
      <c r="VHI254" s="9"/>
      <c r="VHJ254" s="9"/>
      <c r="VHK254" s="9"/>
      <c r="VHL254" s="9"/>
      <c r="VHM254" s="9"/>
      <c r="VHN254" s="9"/>
      <c r="VHO254" s="9"/>
      <c r="VHP254" s="9"/>
      <c r="VHQ254" s="9"/>
      <c r="VHR254" s="9"/>
      <c r="VHS254" s="9"/>
      <c r="VHT254" s="9"/>
      <c r="VHU254" s="9"/>
      <c r="VHV254" s="9"/>
      <c r="VHW254" s="9"/>
      <c r="VHX254" s="9"/>
      <c r="VHY254" s="9"/>
      <c r="VHZ254" s="9"/>
      <c r="VIA254" s="9"/>
      <c r="VIB254" s="9"/>
      <c r="VIC254" s="9"/>
      <c r="VID254" s="9"/>
      <c r="VIE254" s="9"/>
      <c r="VIF254" s="9"/>
      <c r="VIG254" s="9"/>
      <c r="VIH254" s="9"/>
      <c r="VII254" s="9"/>
      <c r="VIJ254" s="9"/>
      <c r="VIK254" s="9"/>
      <c r="VIL254" s="9"/>
      <c r="VIM254" s="9"/>
      <c r="VIN254" s="9"/>
      <c r="VIO254" s="9"/>
      <c r="VIP254" s="9"/>
      <c r="VIQ254" s="9"/>
      <c r="VIR254" s="9"/>
      <c r="VIS254" s="9"/>
      <c r="VIT254" s="9"/>
      <c r="VIU254" s="9"/>
      <c r="VIV254" s="9"/>
      <c r="VIW254" s="9"/>
      <c r="VIX254" s="9"/>
      <c r="VIY254" s="9"/>
      <c r="VIZ254" s="9"/>
      <c r="VJA254" s="9"/>
      <c r="VJB254" s="9"/>
      <c r="VJC254" s="9"/>
      <c r="VJD254" s="9"/>
      <c r="VJE254" s="9"/>
      <c r="VJF254" s="9"/>
      <c r="VJG254" s="9"/>
      <c r="VJH254" s="9"/>
      <c r="VJI254" s="9"/>
      <c r="VJJ254" s="9"/>
      <c r="VJK254" s="9"/>
      <c r="VJL254" s="9"/>
      <c r="VJM254" s="9"/>
      <c r="VJN254" s="9"/>
      <c r="VJO254" s="9"/>
      <c r="VJP254" s="9"/>
      <c r="VJQ254" s="9"/>
      <c r="VJR254" s="9"/>
      <c r="VJS254" s="9"/>
      <c r="VJT254" s="9"/>
      <c r="VJU254" s="9"/>
      <c r="VJV254" s="9"/>
      <c r="VJW254" s="9"/>
      <c r="VJX254" s="9"/>
      <c r="VJY254" s="9"/>
      <c r="VJZ254" s="9"/>
      <c r="VKA254" s="9"/>
      <c r="VKB254" s="9"/>
      <c r="VKC254" s="9"/>
      <c r="VKD254" s="9"/>
      <c r="VKE254" s="9"/>
      <c r="VKF254" s="9"/>
      <c r="VKG254" s="9"/>
      <c r="VKH254" s="9"/>
      <c r="VKI254" s="9"/>
      <c r="VKJ254" s="9"/>
      <c r="VKK254" s="9"/>
      <c r="VKL254" s="9"/>
      <c r="VKM254" s="9"/>
      <c r="VKN254" s="9"/>
      <c r="VKO254" s="9"/>
      <c r="VKP254" s="9"/>
      <c r="VKQ254" s="9"/>
      <c r="VKR254" s="9"/>
      <c r="VKS254" s="9"/>
      <c r="VKT254" s="9"/>
      <c r="VKU254" s="9"/>
      <c r="VKV254" s="9"/>
      <c r="VKW254" s="9"/>
      <c r="VKX254" s="9"/>
      <c r="VKY254" s="9"/>
      <c r="VKZ254" s="9"/>
      <c r="VLA254" s="9"/>
      <c r="VLB254" s="9"/>
      <c r="VLC254" s="9"/>
      <c r="VLD254" s="9"/>
      <c r="VLE254" s="9"/>
      <c r="VLF254" s="9"/>
      <c r="VLG254" s="9"/>
      <c r="VLH254" s="9"/>
      <c r="VLI254" s="9"/>
      <c r="VLJ254" s="9"/>
      <c r="VLK254" s="9"/>
      <c r="VLL254" s="9"/>
      <c r="VLM254" s="9"/>
      <c r="VLN254" s="9"/>
      <c r="VLO254" s="9"/>
      <c r="VLP254" s="9"/>
      <c r="VLQ254" s="9"/>
      <c r="VLR254" s="9"/>
      <c r="VLS254" s="9"/>
      <c r="VLT254" s="9"/>
      <c r="VLU254" s="9"/>
      <c r="VLV254" s="9"/>
      <c r="VLW254" s="9"/>
      <c r="VLX254" s="9"/>
      <c r="VLY254" s="9"/>
      <c r="VLZ254" s="9"/>
      <c r="VMA254" s="9"/>
      <c r="VMB254" s="9"/>
      <c r="VMC254" s="9"/>
      <c r="VMD254" s="9"/>
      <c r="VME254" s="9"/>
      <c r="VMF254" s="9"/>
      <c r="VMG254" s="9"/>
      <c r="VMH254" s="9"/>
      <c r="VMI254" s="9"/>
      <c r="VMJ254" s="9"/>
      <c r="VMK254" s="9"/>
      <c r="VML254" s="9"/>
      <c r="VMM254" s="9"/>
      <c r="VMN254" s="9"/>
      <c r="VMO254" s="9"/>
      <c r="VMP254" s="9"/>
      <c r="VMQ254" s="9"/>
      <c r="VMR254" s="9"/>
      <c r="VMS254" s="9"/>
      <c r="VMT254" s="9"/>
      <c r="VMU254" s="9"/>
      <c r="VMV254" s="9"/>
      <c r="VMW254" s="9"/>
      <c r="VMX254" s="9"/>
      <c r="VMY254" s="9"/>
      <c r="VMZ254" s="9"/>
      <c r="VNA254" s="9"/>
      <c r="VNB254" s="9"/>
      <c r="VNC254" s="9"/>
      <c r="VND254" s="9"/>
      <c r="VNE254" s="9"/>
      <c r="VNF254" s="9"/>
      <c r="VNG254" s="9"/>
      <c r="VNH254" s="9"/>
      <c r="VNI254" s="9"/>
      <c r="VNJ254" s="9"/>
      <c r="VNK254" s="9"/>
      <c r="VNL254" s="9"/>
      <c r="VNM254" s="9"/>
      <c r="VNN254" s="9"/>
      <c r="VNO254" s="9"/>
      <c r="VNP254" s="9"/>
      <c r="VNQ254" s="9"/>
      <c r="VNR254" s="9"/>
      <c r="VNS254" s="9"/>
      <c r="VNT254" s="9"/>
      <c r="VNU254" s="9"/>
      <c r="VNV254" s="9"/>
      <c r="VNW254" s="9"/>
      <c r="VNX254" s="9"/>
      <c r="VNY254" s="9"/>
      <c r="VNZ254" s="9"/>
      <c r="VOA254" s="9"/>
      <c r="VOB254" s="9"/>
      <c r="VOC254" s="9"/>
      <c r="VOD254" s="9"/>
      <c r="VOE254" s="9"/>
      <c r="VOF254" s="9"/>
      <c r="VOG254" s="9"/>
      <c r="VOH254" s="9"/>
      <c r="VOI254" s="9"/>
      <c r="VOJ254" s="9"/>
      <c r="VOK254" s="9"/>
      <c r="VOL254" s="9"/>
      <c r="VOM254" s="9"/>
      <c r="VON254" s="9"/>
      <c r="VOO254" s="9"/>
      <c r="VOP254" s="9"/>
      <c r="VOQ254" s="9"/>
      <c r="VOR254" s="9"/>
      <c r="VOS254" s="9"/>
      <c r="VOT254" s="9"/>
      <c r="VOU254" s="9"/>
      <c r="VOV254" s="9"/>
      <c r="VOW254" s="9"/>
      <c r="VOX254" s="9"/>
      <c r="VOY254" s="9"/>
      <c r="VOZ254" s="9"/>
      <c r="VPA254" s="9"/>
      <c r="VPB254" s="9"/>
      <c r="VPC254" s="9"/>
      <c r="VPD254" s="9"/>
      <c r="VPE254" s="9"/>
      <c r="VPF254" s="9"/>
      <c r="VPG254" s="9"/>
      <c r="VPH254" s="9"/>
      <c r="VPI254" s="9"/>
      <c r="VPJ254" s="9"/>
      <c r="VPK254" s="9"/>
      <c r="VPL254" s="9"/>
      <c r="VPM254" s="9"/>
      <c r="VPN254" s="9"/>
      <c r="VPO254" s="9"/>
      <c r="VPP254" s="9"/>
      <c r="VPQ254" s="9"/>
      <c r="VPR254" s="9"/>
      <c r="VPS254" s="9"/>
      <c r="VPT254" s="9"/>
      <c r="VPU254" s="9"/>
      <c r="VPV254" s="9"/>
      <c r="VPW254" s="9"/>
      <c r="VPX254" s="9"/>
      <c r="VPY254" s="9"/>
      <c r="VPZ254" s="9"/>
      <c r="VQA254" s="9"/>
      <c r="VQB254" s="9"/>
      <c r="VQC254" s="9"/>
      <c r="VQD254" s="9"/>
      <c r="VQE254" s="9"/>
      <c r="VQF254" s="9"/>
      <c r="VQG254" s="9"/>
      <c r="VQH254" s="9"/>
      <c r="VQI254" s="9"/>
      <c r="VQJ254" s="9"/>
      <c r="VQK254" s="9"/>
      <c r="VQL254" s="9"/>
      <c r="VQM254" s="9"/>
      <c r="VQN254" s="9"/>
      <c r="VQO254" s="9"/>
      <c r="VQP254" s="9"/>
      <c r="VQQ254" s="9"/>
      <c r="VQR254" s="9"/>
      <c r="VQS254" s="9"/>
      <c r="VQT254" s="9"/>
      <c r="VQU254" s="9"/>
      <c r="VQV254" s="9"/>
      <c r="VQW254" s="9"/>
      <c r="VQX254" s="9"/>
      <c r="VQY254" s="9"/>
      <c r="VQZ254" s="9"/>
      <c r="VRA254" s="9"/>
      <c r="VRB254" s="9"/>
      <c r="VRC254" s="9"/>
      <c r="VRD254" s="9"/>
      <c r="VRE254" s="9"/>
      <c r="VRF254" s="9"/>
      <c r="VRG254" s="9"/>
      <c r="VRH254" s="9"/>
      <c r="VRI254" s="9"/>
      <c r="VRJ254" s="9"/>
      <c r="VRK254" s="9"/>
      <c r="VRL254" s="9"/>
      <c r="VRM254" s="9"/>
      <c r="VRN254" s="9"/>
      <c r="VRO254" s="9"/>
      <c r="VRP254" s="9"/>
      <c r="VRQ254" s="9"/>
      <c r="VRR254" s="9"/>
      <c r="VRS254" s="9"/>
      <c r="VRT254" s="9"/>
      <c r="VRU254" s="9"/>
      <c r="VRV254" s="9"/>
      <c r="VRW254" s="9"/>
      <c r="VRX254" s="9"/>
      <c r="VRY254" s="9"/>
      <c r="VRZ254" s="9"/>
      <c r="VSA254" s="9"/>
      <c r="VSB254" s="9"/>
      <c r="VSC254" s="9"/>
      <c r="VSD254" s="9"/>
      <c r="VSE254" s="9"/>
      <c r="VSF254" s="9"/>
      <c r="VSG254" s="9"/>
      <c r="VSH254" s="9"/>
      <c r="VSI254" s="9"/>
      <c r="VSJ254" s="9"/>
      <c r="VSK254" s="9"/>
      <c r="VSL254" s="9"/>
      <c r="VSM254" s="9"/>
      <c r="VSN254" s="9"/>
      <c r="VSO254" s="9"/>
      <c r="VSP254" s="9"/>
      <c r="VSQ254" s="9"/>
      <c r="VSR254" s="9"/>
      <c r="VSS254" s="9"/>
      <c r="VST254" s="9"/>
      <c r="VSU254" s="9"/>
      <c r="VSV254" s="9"/>
      <c r="VSW254" s="9"/>
      <c r="VSX254" s="9"/>
      <c r="VSY254" s="9"/>
      <c r="VSZ254" s="9"/>
      <c r="VTA254" s="9"/>
      <c r="VTB254" s="9"/>
      <c r="VTC254" s="9"/>
      <c r="VTD254" s="9"/>
      <c r="VTE254" s="9"/>
      <c r="VTF254" s="9"/>
      <c r="VTG254" s="9"/>
      <c r="VTH254" s="9"/>
      <c r="VTI254" s="9"/>
      <c r="VTJ254" s="9"/>
      <c r="VTK254" s="9"/>
      <c r="VTL254" s="9"/>
      <c r="VTM254" s="9"/>
      <c r="VTN254" s="9"/>
      <c r="VTO254" s="9"/>
      <c r="VTP254" s="9"/>
      <c r="VTQ254" s="9"/>
      <c r="VTR254" s="9"/>
      <c r="VTS254" s="9"/>
      <c r="VTT254" s="9"/>
      <c r="VTU254" s="9"/>
      <c r="VTV254" s="9"/>
      <c r="VTW254" s="9"/>
      <c r="VTX254" s="9"/>
      <c r="VTY254" s="9"/>
      <c r="VTZ254" s="9"/>
      <c r="VUA254" s="9"/>
      <c r="VUB254" s="9"/>
      <c r="VUC254" s="9"/>
      <c r="VUD254" s="9"/>
      <c r="VUE254" s="9"/>
      <c r="VUF254" s="9"/>
      <c r="VUG254" s="9"/>
      <c r="VUH254" s="9"/>
      <c r="VUI254" s="9"/>
      <c r="VUJ254" s="9"/>
      <c r="VUK254" s="9"/>
      <c r="VUL254" s="9"/>
      <c r="VUM254" s="9"/>
      <c r="VUN254" s="9"/>
      <c r="VUO254" s="9"/>
      <c r="VUP254" s="9"/>
      <c r="VUQ254" s="9"/>
      <c r="VUR254" s="9"/>
      <c r="VUS254" s="9"/>
      <c r="VUT254" s="9"/>
      <c r="VUU254" s="9"/>
      <c r="VUV254" s="9"/>
      <c r="VUW254" s="9"/>
      <c r="VUX254" s="9"/>
      <c r="VUY254" s="9"/>
      <c r="VUZ254" s="9"/>
      <c r="VVA254" s="9"/>
      <c r="VVB254" s="9"/>
      <c r="VVC254" s="9"/>
      <c r="VVD254" s="9"/>
      <c r="VVE254" s="9"/>
      <c r="VVF254" s="9"/>
      <c r="VVG254" s="9"/>
      <c r="VVH254" s="9"/>
      <c r="VVI254" s="9"/>
      <c r="VVJ254" s="9"/>
      <c r="VVK254" s="9"/>
      <c r="VVL254" s="9"/>
      <c r="VVM254" s="9"/>
      <c r="VVN254" s="9"/>
      <c r="VVO254" s="9"/>
      <c r="VVP254" s="9"/>
      <c r="VVQ254" s="9"/>
      <c r="VVR254" s="9"/>
      <c r="VVS254" s="9"/>
      <c r="VVT254" s="9"/>
      <c r="VVU254" s="9"/>
      <c r="VVV254" s="9"/>
      <c r="VVW254" s="9"/>
      <c r="VVX254" s="9"/>
      <c r="VVY254" s="9"/>
      <c r="VVZ254" s="9"/>
      <c r="VWA254" s="9"/>
      <c r="VWB254" s="9"/>
      <c r="VWC254" s="9"/>
      <c r="VWD254" s="9"/>
      <c r="VWE254" s="9"/>
      <c r="VWF254" s="9"/>
      <c r="VWG254" s="9"/>
      <c r="VWH254" s="9"/>
      <c r="VWI254" s="9"/>
      <c r="VWJ254" s="9"/>
      <c r="VWK254" s="9"/>
      <c r="VWL254" s="9"/>
      <c r="VWM254" s="9"/>
      <c r="VWN254" s="9"/>
      <c r="VWO254" s="9"/>
      <c r="VWP254" s="9"/>
      <c r="VWQ254" s="9"/>
      <c r="VWR254" s="9"/>
      <c r="VWS254" s="9"/>
      <c r="VWT254" s="9"/>
      <c r="VWU254" s="9"/>
      <c r="VWV254" s="9"/>
      <c r="VWW254" s="9"/>
      <c r="VWX254" s="9"/>
      <c r="VWY254" s="9"/>
      <c r="VWZ254" s="9"/>
      <c r="VXA254" s="9"/>
      <c r="VXB254" s="9"/>
      <c r="VXC254" s="9"/>
      <c r="VXD254" s="9"/>
      <c r="VXE254" s="9"/>
      <c r="VXF254" s="9"/>
      <c r="VXG254" s="9"/>
      <c r="VXH254" s="9"/>
      <c r="VXI254" s="9"/>
      <c r="VXJ254" s="9"/>
      <c r="VXK254" s="9"/>
      <c r="VXL254" s="9"/>
      <c r="VXM254" s="9"/>
      <c r="VXN254" s="9"/>
      <c r="VXO254" s="9"/>
      <c r="VXP254" s="9"/>
      <c r="VXQ254" s="9"/>
      <c r="VXR254" s="9"/>
      <c r="VXS254" s="9"/>
      <c r="VXT254" s="9"/>
      <c r="VXU254" s="9"/>
      <c r="VXV254" s="9"/>
      <c r="VXW254" s="9"/>
      <c r="VXX254" s="9"/>
      <c r="VXY254" s="9"/>
      <c r="VXZ254" s="9"/>
      <c r="VYA254" s="9"/>
      <c r="VYB254" s="9"/>
      <c r="VYC254" s="9"/>
      <c r="VYD254" s="9"/>
      <c r="VYE254" s="9"/>
      <c r="VYF254" s="9"/>
      <c r="VYG254" s="9"/>
      <c r="VYH254" s="9"/>
      <c r="VYI254" s="9"/>
      <c r="VYJ254" s="9"/>
      <c r="VYK254" s="9"/>
      <c r="VYL254" s="9"/>
      <c r="VYM254" s="9"/>
      <c r="VYN254" s="9"/>
      <c r="VYO254" s="9"/>
      <c r="VYP254" s="9"/>
      <c r="VYQ254" s="9"/>
      <c r="VYR254" s="9"/>
      <c r="VYS254" s="9"/>
      <c r="VYT254" s="9"/>
      <c r="VYU254" s="9"/>
      <c r="VYV254" s="9"/>
      <c r="VYW254" s="9"/>
      <c r="VYX254" s="9"/>
      <c r="VYY254" s="9"/>
      <c r="VYZ254" s="9"/>
      <c r="VZA254" s="9"/>
      <c r="VZB254" s="9"/>
      <c r="VZC254" s="9"/>
      <c r="VZD254" s="9"/>
      <c r="VZE254" s="9"/>
      <c r="VZF254" s="9"/>
      <c r="VZG254" s="9"/>
      <c r="VZH254" s="9"/>
      <c r="VZI254" s="9"/>
      <c r="VZJ254" s="9"/>
      <c r="VZK254" s="9"/>
      <c r="VZL254" s="9"/>
      <c r="VZM254" s="9"/>
      <c r="VZN254" s="9"/>
      <c r="VZO254" s="9"/>
      <c r="VZP254" s="9"/>
      <c r="VZQ254" s="9"/>
      <c r="VZR254" s="9"/>
      <c r="VZS254" s="9"/>
      <c r="VZT254" s="9"/>
      <c r="VZU254" s="9"/>
      <c r="VZV254" s="9"/>
      <c r="VZW254" s="9"/>
      <c r="VZX254" s="9"/>
      <c r="VZY254" s="9"/>
      <c r="VZZ254" s="9"/>
      <c r="WAA254" s="9"/>
      <c r="WAB254" s="9"/>
      <c r="WAC254" s="9"/>
      <c r="WAD254" s="9"/>
      <c r="WAE254" s="9"/>
      <c r="WAF254" s="9"/>
      <c r="WAG254" s="9"/>
      <c r="WAH254" s="9"/>
      <c r="WAI254" s="9"/>
      <c r="WAJ254" s="9"/>
      <c r="WAK254" s="9"/>
      <c r="WAL254" s="9"/>
      <c r="WAM254" s="9"/>
      <c r="WAN254" s="9"/>
      <c r="WAO254" s="9"/>
      <c r="WAP254" s="9"/>
      <c r="WAQ254" s="9"/>
      <c r="WAR254" s="9"/>
      <c r="WAS254" s="9"/>
      <c r="WAT254" s="9"/>
      <c r="WAU254" s="9"/>
      <c r="WAV254" s="9"/>
      <c r="WAW254" s="9"/>
      <c r="WAX254" s="9"/>
      <c r="WAY254" s="9"/>
      <c r="WAZ254" s="9"/>
      <c r="WBA254" s="9"/>
      <c r="WBB254" s="9"/>
      <c r="WBC254" s="9"/>
      <c r="WBD254" s="9"/>
      <c r="WBE254" s="9"/>
      <c r="WBF254" s="9"/>
      <c r="WBG254" s="9"/>
      <c r="WBH254" s="9"/>
      <c r="WBI254" s="9"/>
      <c r="WBJ254" s="9"/>
      <c r="WBK254" s="9"/>
      <c r="WBL254" s="9"/>
      <c r="WBM254" s="9"/>
      <c r="WBN254" s="9"/>
      <c r="WBO254" s="9"/>
      <c r="WBP254" s="9"/>
      <c r="WBQ254" s="9"/>
      <c r="WBR254" s="9"/>
      <c r="WBS254" s="9"/>
      <c r="WBT254" s="9"/>
      <c r="WBU254" s="9"/>
      <c r="WBV254" s="9"/>
      <c r="WBW254" s="9"/>
      <c r="WBX254" s="9"/>
      <c r="WBY254" s="9"/>
      <c r="WBZ254" s="9"/>
      <c r="WCA254" s="9"/>
      <c r="WCB254" s="9"/>
      <c r="WCC254" s="9"/>
      <c r="WCD254" s="9"/>
      <c r="WCE254" s="9"/>
      <c r="WCF254" s="9"/>
      <c r="WCG254" s="9"/>
      <c r="WCH254" s="9"/>
      <c r="WCI254" s="9"/>
      <c r="WCJ254" s="9"/>
      <c r="WCK254" s="9"/>
      <c r="WCL254" s="9"/>
      <c r="WCM254" s="9"/>
      <c r="WCN254" s="9"/>
      <c r="WCO254" s="9"/>
      <c r="WCP254" s="9"/>
      <c r="WCQ254" s="9"/>
      <c r="WCR254" s="9"/>
      <c r="WCS254" s="9"/>
      <c r="WCT254" s="9"/>
      <c r="WCU254" s="9"/>
      <c r="WCV254" s="9"/>
      <c r="WCW254" s="9"/>
      <c r="WCX254" s="9"/>
      <c r="WCY254" s="9"/>
      <c r="WCZ254" s="9"/>
      <c r="WDA254" s="9"/>
      <c r="WDB254" s="9"/>
      <c r="WDC254" s="9"/>
      <c r="WDD254" s="9"/>
      <c r="WDE254" s="9"/>
      <c r="WDF254" s="9"/>
      <c r="WDG254" s="9"/>
      <c r="WDH254" s="9"/>
      <c r="WDI254" s="9"/>
      <c r="WDJ254" s="9"/>
      <c r="WDK254" s="9"/>
      <c r="WDL254" s="9"/>
      <c r="WDM254" s="9"/>
      <c r="WDN254" s="9"/>
      <c r="WDO254" s="9"/>
      <c r="WDP254" s="9"/>
      <c r="WDQ254" s="9"/>
      <c r="WDR254" s="9"/>
      <c r="WDS254" s="9"/>
      <c r="WDT254" s="9"/>
      <c r="WDU254" s="9"/>
      <c r="WDV254" s="9"/>
      <c r="WDW254" s="9"/>
      <c r="WDX254" s="9"/>
      <c r="WDY254" s="9"/>
      <c r="WDZ254" s="9"/>
      <c r="WEA254" s="9"/>
      <c r="WEB254" s="9"/>
      <c r="WEC254" s="9"/>
      <c r="WED254" s="9"/>
      <c r="WEE254" s="9"/>
      <c r="WEF254" s="9"/>
      <c r="WEG254" s="9"/>
      <c r="WEH254" s="9"/>
      <c r="WEI254" s="9"/>
      <c r="WEJ254" s="9"/>
      <c r="WEK254" s="9"/>
      <c r="WEL254" s="9"/>
      <c r="WEM254" s="9"/>
      <c r="WEN254" s="9"/>
      <c r="WEO254" s="9"/>
      <c r="WEP254" s="9"/>
      <c r="WEQ254" s="9"/>
      <c r="WER254" s="9"/>
      <c r="WES254" s="9"/>
      <c r="WET254" s="9"/>
      <c r="WEU254" s="9"/>
      <c r="WEV254" s="9"/>
      <c r="WEW254" s="9"/>
      <c r="WEX254" s="9"/>
      <c r="WEY254" s="9"/>
      <c r="WEZ254" s="9"/>
      <c r="WFA254" s="9"/>
      <c r="WFB254" s="9"/>
      <c r="WFC254" s="9"/>
      <c r="WFD254" s="9"/>
      <c r="WFE254" s="9"/>
      <c r="WFF254" s="9"/>
      <c r="WFG254" s="9"/>
      <c r="WFH254" s="9"/>
      <c r="WFI254" s="9"/>
      <c r="WFJ254" s="9"/>
      <c r="WFK254" s="9"/>
      <c r="WFL254" s="9"/>
      <c r="WFM254" s="9"/>
      <c r="WFN254" s="9"/>
      <c r="WFO254" s="9"/>
      <c r="WFP254" s="9"/>
      <c r="WFQ254" s="9"/>
      <c r="WFR254" s="9"/>
      <c r="WFS254" s="9"/>
      <c r="WFT254" s="9"/>
      <c r="WFU254" s="9"/>
      <c r="WFV254" s="9"/>
      <c r="WFW254" s="9"/>
      <c r="WFX254" s="9"/>
      <c r="WFY254" s="9"/>
      <c r="WFZ254" s="9"/>
      <c r="WGA254" s="9"/>
      <c r="WGB254" s="9"/>
      <c r="WGC254" s="9"/>
      <c r="WGD254" s="9"/>
      <c r="WGE254" s="9"/>
      <c r="WGF254" s="9"/>
      <c r="WGG254" s="9"/>
      <c r="WGH254" s="9"/>
      <c r="WGI254" s="9"/>
      <c r="WGJ254" s="9"/>
      <c r="WGK254" s="9"/>
      <c r="WGL254" s="9"/>
      <c r="WGM254" s="9"/>
      <c r="WGN254" s="9"/>
      <c r="WGO254" s="9"/>
      <c r="WGP254" s="9"/>
      <c r="WGQ254" s="9"/>
      <c r="WGR254" s="9"/>
      <c r="WGS254" s="9"/>
      <c r="WGT254" s="9"/>
      <c r="WGU254" s="9"/>
      <c r="WGV254" s="9"/>
      <c r="WGW254" s="9"/>
      <c r="WGX254" s="9"/>
      <c r="WGY254" s="9"/>
      <c r="WGZ254" s="9"/>
      <c r="WHA254" s="9"/>
      <c r="WHB254" s="9"/>
      <c r="WHC254" s="9"/>
      <c r="WHD254" s="9"/>
      <c r="WHE254" s="9"/>
      <c r="WHF254" s="9"/>
      <c r="WHG254" s="9"/>
      <c r="WHH254" s="9"/>
      <c r="WHI254" s="9"/>
      <c r="WHJ254" s="9"/>
      <c r="WHK254" s="9"/>
      <c r="WHL254" s="9"/>
      <c r="WHM254" s="9"/>
      <c r="WHN254" s="9"/>
      <c r="WHO254" s="9"/>
      <c r="WHP254" s="9"/>
      <c r="WHQ254" s="9"/>
      <c r="WHR254" s="9"/>
      <c r="WHS254" s="9"/>
      <c r="WHT254" s="9"/>
      <c r="WHU254" s="9"/>
      <c r="WHV254" s="9"/>
      <c r="WHW254" s="9"/>
      <c r="WHX254" s="9"/>
      <c r="WHY254" s="9"/>
      <c r="WHZ254" s="9"/>
      <c r="WIA254" s="9"/>
      <c r="WIB254" s="9"/>
      <c r="WIC254" s="9"/>
      <c r="WID254" s="9"/>
      <c r="WIE254" s="9"/>
      <c r="WIF254" s="9"/>
      <c r="WIG254" s="9"/>
      <c r="WIH254" s="9"/>
      <c r="WII254" s="9"/>
      <c r="WIJ254" s="9"/>
      <c r="WIK254" s="9"/>
      <c r="WIL254" s="9"/>
      <c r="WIM254" s="9"/>
      <c r="WIN254" s="9"/>
      <c r="WIO254" s="9"/>
      <c r="WIP254" s="9"/>
      <c r="WIQ254" s="9"/>
      <c r="WIR254" s="9"/>
      <c r="WIS254" s="9"/>
      <c r="WIT254" s="9"/>
      <c r="WIU254" s="9"/>
      <c r="WIV254" s="9"/>
      <c r="WIW254" s="9"/>
      <c r="WIX254" s="9"/>
      <c r="WIY254" s="9"/>
      <c r="WIZ254" s="9"/>
      <c r="WJA254" s="9"/>
      <c r="WJB254" s="9"/>
      <c r="WJC254" s="9"/>
      <c r="WJD254" s="9"/>
      <c r="WJE254" s="9"/>
      <c r="WJF254" s="9"/>
      <c r="WJG254" s="9"/>
      <c r="WJH254" s="9"/>
      <c r="WJI254" s="9"/>
      <c r="WJJ254" s="9"/>
      <c r="WJK254" s="9"/>
      <c r="WJL254" s="9"/>
      <c r="WJM254" s="9"/>
      <c r="WJN254" s="9"/>
      <c r="WJO254" s="9"/>
      <c r="WJP254" s="9"/>
      <c r="WJQ254" s="9"/>
      <c r="WJR254" s="9"/>
      <c r="WJS254" s="9"/>
      <c r="WJT254" s="9"/>
      <c r="WJU254" s="9"/>
      <c r="WJV254" s="9"/>
      <c r="WJW254" s="9"/>
      <c r="WJX254" s="9"/>
      <c r="WJY254" s="9"/>
      <c r="WJZ254" s="9"/>
      <c r="WKA254" s="9"/>
      <c r="WKB254" s="9"/>
      <c r="WKC254" s="9"/>
      <c r="WKD254" s="9"/>
      <c r="WKE254" s="9"/>
      <c r="WKF254" s="9"/>
      <c r="WKG254" s="9"/>
      <c r="WKH254" s="9"/>
      <c r="WKI254" s="9"/>
      <c r="WKJ254" s="9"/>
      <c r="WKK254" s="9"/>
      <c r="WKL254" s="9"/>
      <c r="WKM254" s="9"/>
      <c r="WKN254" s="9"/>
      <c r="WKO254" s="9"/>
      <c r="WKP254" s="9"/>
      <c r="WKQ254" s="9"/>
      <c r="WKR254" s="9"/>
      <c r="WKS254" s="9"/>
      <c r="WKT254" s="9"/>
      <c r="WKU254" s="9"/>
      <c r="WKV254" s="9"/>
      <c r="WKW254" s="9"/>
      <c r="WKX254" s="9"/>
      <c r="WKY254" s="9"/>
      <c r="WKZ254" s="9"/>
      <c r="WLA254" s="9"/>
      <c r="WLB254" s="9"/>
      <c r="WLC254" s="9"/>
      <c r="WLD254" s="9"/>
      <c r="WLE254" s="9"/>
      <c r="WLF254" s="9"/>
      <c r="WLG254" s="9"/>
      <c r="WLH254" s="9"/>
      <c r="WLI254" s="9"/>
      <c r="WLJ254" s="9"/>
      <c r="WLK254" s="9"/>
      <c r="WLL254" s="9"/>
      <c r="WLM254" s="9"/>
      <c r="WLN254" s="9"/>
      <c r="WLO254" s="9"/>
      <c r="WLP254" s="9"/>
      <c r="WLQ254" s="9"/>
      <c r="WLR254" s="9"/>
      <c r="WLS254" s="9"/>
      <c r="WLT254" s="9"/>
      <c r="WLU254" s="9"/>
      <c r="WLV254" s="9"/>
      <c r="WLW254" s="9"/>
      <c r="WLX254" s="9"/>
      <c r="WLY254" s="9"/>
      <c r="WLZ254" s="9"/>
      <c r="WMA254" s="9"/>
      <c r="WMB254" s="9"/>
      <c r="WMC254" s="9"/>
      <c r="WMD254" s="9"/>
      <c r="WME254" s="9"/>
      <c r="WMF254" s="9"/>
      <c r="WMG254" s="9"/>
      <c r="WMH254" s="9"/>
      <c r="WMI254" s="9"/>
      <c r="WMJ254" s="9"/>
      <c r="WMK254" s="9"/>
      <c r="WML254" s="9"/>
      <c r="WMM254" s="9"/>
      <c r="WMN254" s="9"/>
      <c r="WMO254" s="9"/>
      <c r="WMP254" s="9"/>
      <c r="WMQ254" s="9"/>
      <c r="WMR254" s="9"/>
      <c r="WMS254" s="9"/>
      <c r="WMT254" s="9"/>
      <c r="WMU254" s="9"/>
      <c r="WMV254" s="9"/>
      <c r="WMW254" s="9"/>
      <c r="WMX254" s="9"/>
      <c r="WMY254" s="9"/>
      <c r="WMZ254" s="9"/>
      <c r="WNA254" s="9"/>
      <c r="WNB254" s="9"/>
      <c r="WNC254" s="9"/>
      <c r="WND254" s="9"/>
      <c r="WNE254" s="9"/>
      <c r="WNF254" s="9"/>
      <c r="WNG254" s="9"/>
      <c r="WNH254" s="9"/>
      <c r="WNI254" s="9"/>
      <c r="WNJ254" s="9"/>
      <c r="WNK254" s="9"/>
      <c r="WNL254" s="9"/>
      <c r="WNM254" s="9"/>
      <c r="WNN254" s="9"/>
      <c r="WNO254" s="9"/>
      <c r="WNP254" s="9"/>
      <c r="WNQ254" s="9"/>
      <c r="WNR254" s="9"/>
      <c r="WNS254" s="9"/>
      <c r="WNT254" s="9"/>
      <c r="WNU254" s="9"/>
      <c r="WNV254" s="9"/>
      <c r="WNW254" s="9"/>
      <c r="WNX254" s="9"/>
      <c r="WNY254" s="9"/>
      <c r="WNZ254" s="9"/>
      <c r="WOA254" s="9"/>
      <c r="WOB254" s="9"/>
      <c r="WOC254" s="9"/>
      <c r="WOD254" s="9"/>
      <c r="WOE254" s="9"/>
      <c r="WOF254" s="9"/>
      <c r="WOG254" s="9"/>
      <c r="WOH254" s="9"/>
      <c r="WOI254" s="9"/>
      <c r="WOJ254" s="9"/>
      <c r="WOK254" s="9"/>
      <c r="WOL254" s="9"/>
      <c r="WOM254" s="9"/>
      <c r="WON254" s="9"/>
      <c r="WOO254" s="9"/>
      <c r="WOP254" s="9"/>
      <c r="WOQ254" s="9"/>
      <c r="WOR254" s="9"/>
      <c r="WOS254" s="9"/>
      <c r="WOT254" s="9"/>
      <c r="WOU254" s="9"/>
      <c r="WOV254" s="9"/>
      <c r="WOW254" s="9"/>
      <c r="WOX254" s="9"/>
      <c r="WOY254" s="9"/>
      <c r="WOZ254" s="9"/>
      <c r="WPA254" s="9"/>
      <c r="WPB254" s="9"/>
      <c r="WPC254" s="9"/>
      <c r="WPD254" s="9"/>
      <c r="WPE254" s="9"/>
      <c r="WPF254" s="9"/>
      <c r="WPG254" s="9"/>
      <c r="WPH254" s="9"/>
      <c r="WPI254" s="9"/>
      <c r="WPJ254" s="9"/>
      <c r="WPK254" s="9"/>
      <c r="WPL254" s="9"/>
      <c r="WPM254" s="9"/>
      <c r="WPN254" s="9"/>
      <c r="WPO254" s="9"/>
      <c r="WPP254" s="9"/>
      <c r="WPQ254" s="9"/>
      <c r="WPR254" s="9"/>
      <c r="WPS254" s="9"/>
      <c r="WPT254" s="9"/>
      <c r="WPU254" s="9"/>
      <c r="WPV254" s="9"/>
      <c r="WPW254" s="9"/>
      <c r="WPX254" s="9"/>
      <c r="WPY254" s="9"/>
      <c r="WPZ254" s="9"/>
      <c r="WQA254" s="9"/>
      <c r="WQB254" s="9"/>
      <c r="WQC254" s="9"/>
      <c r="WQD254" s="9"/>
      <c r="WQE254" s="9"/>
      <c r="WQF254" s="9"/>
      <c r="WQG254" s="9"/>
      <c r="WQH254" s="9"/>
      <c r="WQI254" s="9"/>
      <c r="WQJ254" s="9"/>
      <c r="WQK254" s="9"/>
      <c r="WQL254" s="9"/>
      <c r="WQM254" s="9"/>
      <c r="WQN254" s="9"/>
      <c r="WQO254" s="9"/>
      <c r="WQP254" s="9"/>
      <c r="WQQ254" s="9"/>
      <c r="WQR254" s="9"/>
      <c r="WQS254" s="9"/>
      <c r="WQT254" s="9"/>
      <c r="WQU254" s="9"/>
      <c r="WQV254" s="9"/>
      <c r="WQW254" s="9"/>
      <c r="WQX254" s="9"/>
      <c r="WQY254" s="9"/>
      <c r="WQZ254" s="9"/>
      <c r="WRA254" s="9"/>
      <c r="WRB254" s="9"/>
      <c r="WRC254" s="9"/>
      <c r="WRD254" s="9"/>
      <c r="WRE254" s="9"/>
      <c r="WRF254" s="9"/>
      <c r="WRG254" s="9"/>
      <c r="WRH254" s="9"/>
      <c r="WRI254" s="9"/>
      <c r="WRJ254" s="9"/>
      <c r="WRK254" s="9"/>
      <c r="WRL254" s="9"/>
      <c r="WRM254" s="9"/>
      <c r="WRN254" s="9"/>
      <c r="WRO254" s="9"/>
      <c r="WRP254" s="9"/>
      <c r="WRQ254" s="9"/>
      <c r="WRR254" s="9"/>
      <c r="WRS254" s="9"/>
      <c r="WRT254" s="9"/>
      <c r="WRU254" s="9"/>
      <c r="WRV254" s="9"/>
      <c r="WRW254" s="9"/>
      <c r="WRX254" s="9"/>
      <c r="WRY254" s="9"/>
      <c r="WRZ254" s="9"/>
      <c r="WSA254" s="9"/>
      <c r="WSB254" s="9"/>
      <c r="WSC254" s="9"/>
      <c r="WSD254" s="9"/>
      <c r="WSE254" s="9"/>
      <c r="WSF254" s="9"/>
      <c r="WSG254" s="9"/>
      <c r="WSH254" s="9"/>
      <c r="WSI254" s="9"/>
      <c r="WSJ254" s="9"/>
      <c r="WSK254" s="9"/>
      <c r="WSL254" s="9"/>
      <c r="WSM254" s="9"/>
      <c r="WSN254" s="9"/>
      <c r="WSO254" s="9"/>
      <c r="WSP254" s="9"/>
      <c r="WSQ254" s="9"/>
      <c r="WSR254" s="9"/>
      <c r="WSS254" s="9"/>
      <c r="WST254" s="9"/>
      <c r="WSU254" s="9"/>
      <c r="WSV254" s="9"/>
      <c r="WSW254" s="9"/>
      <c r="WSX254" s="9"/>
      <c r="WSY254" s="9"/>
      <c r="WSZ254" s="9"/>
      <c r="WTA254" s="9"/>
      <c r="WTB254" s="9"/>
      <c r="WTC254" s="9"/>
      <c r="WTD254" s="9"/>
      <c r="WTE254" s="9"/>
      <c r="WTF254" s="9"/>
      <c r="WTG254" s="9"/>
      <c r="WTH254" s="9"/>
      <c r="WTI254" s="9"/>
      <c r="WTJ254" s="9"/>
      <c r="WTK254" s="9"/>
      <c r="WTL254" s="9"/>
      <c r="WTM254" s="9"/>
      <c r="WTN254" s="9"/>
      <c r="WTO254" s="9"/>
      <c r="WTP254" s="9"/>
      <c r="WTQ254" s="9"/>
      <c r="WTR254" s="9"/>
      <c r="WTS254" s="9"/>
      <c r="WTT254" s="9"/>
      <c r="WTU254" s="9"/>
      <c r="WTV254" s="9"/>
      <c r="WTW254" s="9"/>
      <c r="WTX254" s="9"/>
      <c r="WTY254" s="9"/>
      <c r="WTZ254" s="9"/>
      <c r="WUA254" s="9"/>
      <c r="WUB254" s="9"/>
      <c r="WUC254" s="9"/>
      <c r="WUD254" s="9"/>
      <c r="WUE254" s="9"/>
      <c r="WUF254" s="9"/>
      <c r="WUG254" s="9"/>
      <c r="WUH254" s="9"/>
      <c r="WUI254" s="9"/>
      <c r="WUJ254" s="9"/>
      <c r="WUK254" s="9"/>
      <c r="WUL254" s="9"/>
      <c r="WUM254" s="9"/>
      <c r="WUN254" s="9"/>
      <c r="WUO254" s="9"/>
      <c r="WUP254" s="9"/>
      <c r="WUQ254" s="9"/>
      <c r="WUR254" s="9"/>
      <c r="WUS254" s="9"/>
      <c r="WUT254" s="9"/>
      <c r="WUU254" s="9"/>
      <c r="WUV254" s="9"/>
      <c r="WUW254" s="9"/>
      <c r="WUX254" s="9"/>
      <c r="WUY254" s="9"/>
      <c r="WUZ254" s="9"/>
      <c r="WVA254" s="9"/>
      <c r="WVB254" s="9"/>
      <c r="WVC254" s="9"/>
      <c r="WVD254" s="9"/>
      <c r="WVE254" s="9"/>
      <c r="WVF254" s="9"/>
      <c r="WVG254" s="9"/>
      <c r="WVH254" s="9"/>
      <c r="WVI254" s="9"/>
      <c r="WVJ254" s="9"/>
      <c r="WVK254" s="9"/>
      <c r="WVL254" s="9"/>
      <c r="WVM254" s="9"/>
      <c r="WVN254" s="9"/>
      <c r="WVO254" s="9"/>
      <c r="WVP254" s="9"/>
      <c r="WVQ254" s="9"/>
      <c r="WVR254" s="9"/>
      <c r="WVS254" s="9"/>
      <c r="WVT254" s="9"/>
      <c r="WVU254" s="9"/>
    </row>
    <row r="255" spans="1:16141">
      <c r="J255" s="41"/>
      <c r="K255" s="659"/>
    </row>
    <row r="257" spans="9:17">
      <c r="J257" s="1108"/>
      <c r="K257" s="659">
        <v>37400500000</v>
      </c>
    </row>
    <row r="258" spans="9:17">
      <c r="K258" s="154">
        <f>K257-K245</f>
        <v>0</v>
      </c>
    </row>
    <row r="259" spans="9:17">
      <c r="K259" s="154">
        <f>K257-K187</f>
        <v>35978705500</v>
      </c>
    </row>
    <row r="260" spans="9:17">
      <c r="J260" s="1798"/>
    </row>
    <row r="263" spans="9:17">
      <c r="J263" s="2168" t="s">
        <v>1799</v>
      </c>
      <c r="K263" s="154">
        <f>K185+K147+K108+K89+K84+K83+K78</f>
        <v>7476153800</v>
      </c>
      <c r="Q263" s="41">
        <v>26373360000</v>
      </c>
    </row>
    <row r="264" spans="9:17">
      <c r="J264" s="9" t="s">
        <v>1790</v>
      </c>
      <c r="K264" s="154">
        <f>K263+Komunikasi!K55</f>
        <v>7588875046</v>
      </c>
      <c r="Q264" s="41">
        <v>67400000</v>
      </c>
    </row>
    <row r="265" spans="9:17">
      <c r="K265" s="2440"/>
      <c r="Q265" s="158">
        <f>Q263-Q264</f>
        <v>26305960000</v>
      </c>
    </row>
    <row r="266" spans="9:17">
      <c r="K266" s="2440"/>
    </row>
    <row r="267" spans="9:17">
      <c r="J267" s="9" t="s">
        <v>2024</v>
      </c>
      <c r="K267" s="154">
        <v>7865143325</v>
      </c>
    </row>
    <row r="268" spans="9:17">
      <c r="I268" s="1109"/>
      <c r="K268" s="154">
        <f>K267-K264</f>
        <v>276268279</v>
      </c>
    </row>
    <row r="269" spans="9:17">
      <c r="I269" s="1109"/>
    </row>
    <row r="270" spans="9:17">
      <c r="I270" s="1109"/>
    </row>
    <row r="271" spans="9:17">
      <c r="I271" s="1109"/>
    </row>
    <row r="272" spans="9:17">
      <c r="I272" s="1109"/>
    </row>
    <row r="273" spans="9:11">
      <c r="I273" s="1109"/>
    </row>
    <row r="274" spans="9:11">
      <c r="I274" s="1109"/>
      <c r="K274" s="9"/>
    </row>
    <row r="275" spans="9:11">
      <c r="I275" s="1109"/>
      <c r="K275" s="9"/>
    </row>
    <row r="276" spans="9:11">
      <c r="I276" s="1109"/>
      <c r="K276" s="9"/>
    </row>
    <row r="277" spans="9:11">
      <c r="I277" s="1109"/>
      <c r="K277" s="9"/>
    </row>
    <row r="278" spans="9:11">
      <c r="I278" s="1109"/>
      <c r="K278" s="9"/>
    </row>
    <row r="283" spans="9:11">
      <c r="K283" s="659"/>
    </row>
  </sheetData>
  <mergeCells count="48">
    <mergeCell ref="L20:Q20"/>
    <mergeCell ref="R20:R22"/>
    <mergeCell ref="B1:K1"/>
    <mergeCell ref="B2:D3"/>
    <mergeCell ref="E2:J2"/>
    <mergeCell ref="E3:J3"/>
    <mergeCell ref="B11:F11"/>
    <mergeCell ref="G11:K11"/>
    <mergeCell ref="B4:K4"/>
    <mergeCell ref="B5:F5"/>
    <mergeCell ref="G5:K5"/>
    <mergeCell ref="B6:F6"/>
    <mergeCell ref="G6:K6"/>
    <mergeCell ref="B7:F7"/>
    <mergeCell ref="G7:K7"/>
    <mergeCell ref="B8:F8"/>
    <mergeCell ref="G8:K8"/>
    <mergeCell ref="G9:K9"/>
    <mergeCell ref="B10:F10"/>
    <mergeCell ref="G10:K10"/>
    <mergeCell ref="B12:K12"/>
    <mergeCell ref="B13:F13"/>
    <mergeCell ref="G13:H13"/>
    <mergeCell ref="I13:K13"/>
    <mergeCell ref="B14:F14"/>
    <mergeCell ref="G14:H14"/>
    <mergeCell ref="I14:K14"/>
    <mergeCell ref="B20:K20"/>
    <mergeCell ref="B15:F15"/>
    <mergeCell ref="G15:H15"/>
    <mergeCell ref="I15:K15"/>
    <mergeCell ref="B16:F16"/>
    <mergeCell ref="G16:H16"/>
    <mergeCell ref="I16:K16"/>
    <mergeCell ref="B17:F17"/>
    <mergeCell ref="G17:H17"/>
    <mergeCell ref="I17:K17"/>
    <mergeCell ref="B18:K18"/>
    <mergeCell ref="B19:K19"/>
    <mergeCell ref="H248:J248"/>
    <mergeCell ref="H253:J253"/>
    <mergeCell ref="H254:J254"/>
    <mergeCell ref="B21:F22"/>
    <mergeCell ref="G21:G22"/>
    <mergeCell ref="H21:J21"/>
    <mergeCell ref="B23:F23"/>
    <mergeCell ref="B245:J245"/>
    <mergeCell ref="H247:J247"/>
  </mergeCells>
  <pageMargins left="0.2" right="0.19685039370078741" top="0.52" bottom="1.79" header="0.31496062992125984" footer="0.23622047244094491"/>
  <pageSetup paperSize="5" scale="78" orientation="portrait" horizontalDpi="4294967293" verticalDpi="4294967293" r:id="rId1"/>
  <headerFooter alignWithMargins="0"/>
  <rowBreaks count="1" manualBreakCount="1">
    <brk id="229" max="10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>
  <dimension ref="A2:E45"/>
  <sheetViews>
    <sheetView workbookViewId="0">
      <selection activeCell="K36" sqref="K36"/>
    </sheetView>
  </sheetViews>
  <sheetFormatPr defaultRowHeight="15"/>
  <cols>
    <col min="1" max="1" width="62.7109375" customWidth="1"/>
    <col min="2" max="2" width="5.7109375" bestFit="1" customWidth="1"/>
    <col min="3" max="3" width="4.28515625" bestFit="1" customWidth="1"/>
    <col min="4" max="4" width="12.28515625" bestFit="1" customWidth="1"/>
    <col min="5" max="5" width="14" bestFit="1" customWidth="1"/>
  </cols>
  <sheetData>
    <row r="2" spans="1:5">
      <c r="A2" s="381" t="s">
        <v>1050</v>
      </c>
      <c r="B2" s="933"/>
      <c r="C2" s="375"/>
      <c r="D2" s="456"/>
      <c r="E2" s="1110">
        <f>E3+E10+E15+E26+E39</f>
        <v>3780090380</v>
      </c>
    </row>
    <row r="3" spans="1:5">
      <c r="A3" s="381" t="s">
        <v>1049</v>
      </c>
      <c r="B3" s="933"/>
      <c r="C3" s="375"/>
      <c r="D3" s="456"/>
      <c r="E3" s="1110">
        <f>SUM(E4:E9)</f>
        <v>1458364960</v>
      </c>
    </row>
    <row r="4" spans="1:5">
      <c r="A4" s="373" t="s">
        <v>1048</v>
      </c>
      <c r="B4" s="933">
        <v>1</v>
      </c>
      <c r="C4" s="375" t="s">
        <v>85</v>
      </c>
      <c r="D4" s="456">
        <v>254755100</v>
      </c>
      <c r="E4" s="1028">
        <f t="shared" ref="E4:E45" si="0">B4*D4</f>
        <v>254755100</v>
      </c>
    </row>
    <row r="5" spans="1:5">
      <c r="A5" s="373" t="s">
        <v>1047</v>
      </c>
      <c r="B5" s="933">
        <v>1</v>
      </c>
      <c r="C5" s="375" t="s">
        <v>85</v>
      </c>
      <c r="D5" s="456">
        <v>180947300</v>
      </c>
      <c r="E5" s="1028">
        <f t="shared" si="0"/>
        <v>180947300</v>
      </c>
    </row>
    <row r="6" spans="1:5">
      <c r="A6" s="373" t="s">
        <v>1046</v>
      </c>
      <c r="B6" s="933">
        <v>1</v>
      </c>
      <c r="C6" s="375" t="s">
        <v>85</v>
      </c>
      <c r="D6" s="456">
        <v>523531880</v>
      </c>
      <c r="E6" s="1028">
        <f t="shared" si="0"/>
        <v>523531880</v>
      </c>
    </row>
    <row r="7" spans="1:5">
      <c r="A7" s="373" t="s">
        <v>1045</v>
      </c>
      <c r="B7" s="933">
        <v>1</v>
      </c>
      <c r="C7" s="375" t="s">
        <v>85</v>
      </c>
      <c r="D7" s="456">
        <v>219041580</v>
      </c>
      <c r="E7" s="1028">
        <f t="shared" si="0"/>
        <v>219041580</v>
      </c>
    </row>
    <row r="8" spans="1:5">
      <c r="A8" s="373" t="s">
        <v>1044</v>
      </c>
      <c r="B8" s="933">
        <v>1</v>
      </c>
      <c r="C8" s="375" t="s">
        <v>85</v>
      </c>
      <c r="D8" s="456">
        <v>16524340</v>
      </c>
      <c r="E8" s="1028">
        <f t="shared" si="0"/>
        <v>16524340</v>
      </c>
    </row>
    <row r="9" spans="1:5">
      <c r="A9" s="373" t="s">
        <v>1043</v>
      </c>
      <c r="B9" s="933">
        <v>1</v>
      </c>
      <c r="C9" s="375" t="s">
        <v>85</v>
      </c>
      <c r="D9" s="456">
        <v>263564760</v>
      </c>
      <c r="E9" s="1028">
        <f t="shared" si="0"/>
        <v>263564760</v>
      </c>
    </row>
    <row r="10" spans="1:5">
      <c r="A10" s="381" t="s">
        <v>1042</v>
      </c>
      <c r="B10" s="933"/>
      <c r="C10" s="375"/>
      <c r="D10" s="456"/>
      <c r="E10" s="1110">
        <f>SUM(E11:E14)</f>
        <v>326228780</v>
      </c>
    </row>
    <row r="11" spans="1:5">
      <c r="A11" s="373" t="s">
        <v>1041</v>
      </c>
      <c r="B11" s="933">
        <v>1</v>
      </c>
      <c r="C11" s="375" t="s">
        <v>85</v>
      </c>
      <c r="D11" s="456">
        <v>1999160</v>
      </c>
      <c r="E11" s="1028">
        <f t="shared" si="0"/>
        <v>1999160</v>
      </c>
    </row>
    <row r="12" spans="1:5">
      <c r="A12" s="373" t="s">
        <v>1040</v>
      </c>
      <c r="B12" s="933">
        <v>1</v>
      </c>
      <c r="C12" s="375" t="s">
        <v>85</v>
      </c>
      <c r="D12" s="456">
        <v>7333080</v>
      </c>
      <c r="E12" s="1028">
        <f t="shared" si="0"/>
        <v>7333080</v>
      </c>
    </row>
    <row r="13" spans="1:5">
      <c r="A13" s="373" t="s">
        <v>1039</v>
      </c>
      <c r="B13" s="933">
        <v>1</v>
      </c>
      <c r="C13" s="375" t="s">
        <v>85</v>
      </c>
      <c r="D13" s="456">
        <v>2999800</v>
      </c>
      <c r="E13" s="1028">
        <f t="shared" si="0"/>
        <v>2999800</v>
      </c>
    </row>
    <row r="14" spans="1:5">
      <c r="A14" s="373" t="s">
        <v>1038</v>
      </c>
      <c r="B14" s="933">
        <v>1</v>
      </c>
      <c r="C14" s="375" t="s">
        <v>85</v>
      </c>
      <c r="D14" s="456">
        <v>313896740</v>
      </c>
      <c r="E14" s="1028">
        <f t="shared" si="0"/>
        <v>313896740</v>
      </c>
    </row>
    <row r="15" spans="1:5">
      <c r="A15" s="381" t="s">
        <v>1037</v>
      </c>
      <c r="B15" s="933"/>
      <c r="C15" s="375"/>
      <c r="D15" s="456"/>
      <c r="E15" s="1110">
        <f>SUM(E16:E25)</f>
        <v>107735220</v>
      </c>
    </row>
    <row r="16" spans="1:5">
      <c r="A16" s="373" t="s">
        <v>1036</v>
      </c>
      <c r="B16" s="933">
        <v>1</v>
      </c>
      <c r="C16" s="375" t="s">
        <v>85</v>
      </c>
      <c r="D16" s="456">
        <v>2237660</v>
      </c>
      <c r="E16" s="1028">
        <f t="shared" si="0"/>
        <v>2237660</v>
      </c>
    </row>
    <row r="17" spans="1:5">
      <c r="A17" s="373" t="s">
        <v>1035</v>
      </c>
      <c r="B17" s="933">
        <v>1</v>
      </c>
      <c r="C17" s="375" t="s">
        <v>85</v>
      </c>
      <c r="D17" s="456">
        <v>2739040</v>
      </c>
      <c r="E17" s="1028">
        <f t="shared" si="0"/>
        <v>2739040</v>
      </c>
    </row>
    <row r="18" spans="1:5">
      <c r="A18" s="373" t="s">
        <v>1034</v>
      </c>
      <c r="B18" s="933">
        <v>1</v>
      </c>
      <c r="C18" s="375" t="s">
        <v>85</v>
      </c>
      <c r="D18" s="456">
        <v>17284360</v>
      </c>
      <c r="E18" s="1028">
        <f t="shared" si="0"/>
        <v>17284360</v>
      </c>
    </row>
    <row r="19" spans="1:5">
      <c r="A19" s="373" t="s">
        <v>1033</v>
      </c>
      <c r="B19" s="933">
        <v>1</v>
      </c>
      <c r="C19" s="375" t="s">
        <v>85</v>
      </c>
      <c r="D19" s="456">
        <v>3284940</v>
      </c>
      <c r="E19" s="1028">
        <f t="shared" si="0"/>
        <v>3284940</v>
      </c>
    </row>
    <row r="20" spans="1:5">
      <c r="A20" s="373" t="s">
        <v>1032</v>
      </c>
      <c r="B20" s="933">
        <v>1</v>
      </c>
      <c r="C20" s="375" t="s">
        <v>85</v>
      </c>
      <c r="D20" s="456">
        <v>3237240</v>
      </c>
      <c r="E20" s="1028">
        <f t="shared" si="0"/>
        <v>3237240</v>
      </c>
    </row>
    <row r="21" spans="1:5">
      <c r="A21" s="373" t="s">
        <v>1031</v>
      </c>
      <c r="B21" s="933">
        <v>1</v>
      </c>
      <c r="C21" s="375" t="s">
        <v>85</v>
      </c>
      <c r="D21" s="456">
        <v>385840</v>
      </c>
      <c r="E21" s="1028">
        <f t="shared" si="0"/>
        <v>385840</v>
      </c>
    </row>
    <row r="22" spans="1:5">
      <c r="A22" s="373" t="s">
        <v>1030</v>
      </c>
      <c r="B22" s="933">
        <v>1</v>
      </c>
      <c r="C22" s="375" t="s">
        <v>85</v>
      </c>
      <c r="D22" s="456">
        <v>1856060</v>
      </c>
      <c r="E22" s="1028">
        <f t="shared" si="0"/>
        <v>1856060</v>
      </c>
    </row>
    <row r="23" spans="1:5">
      <c r="A23" s="373" t="s">
        <v>1029</v>
      </c>
      <c r="B23" s="933">
        <v>1</v>
      </c>
      <c r="C23" s="375" t="s">
        <v>85</v>
      </c>
      <c r="D23" s="456">
        <v>10808820</v>
      </c>
      <c r="E23" s="1028">
        <f t="shared" si="0"/>
        <v>10808820</v>
      </c>
    </row>
    <row r="24" spans="1:5">
      <c r="A24" s="373" t="s">
        <v>1028</v>
      </c>
      <c r="B24" s="933">
        <v>1</v>
      </c>
      <c r="C24" s="375" t="s">
        <v>85</v>
      </c>
      <c r="D24" s="456">
        <v>13046480</v>
      </c>
      <c r="E24" s="1028">
        <f t="shared" si="0"/>
        <v>13046480</v>
      </c>
    </row>
    <row r="25" spans="1:5">
      <c r="A25" s="373" t="s">
        <v>1027</v>
      </c>
      <c r="B25" s="933">
        <v>1</v>
      </c>
      <c r="C25" s="375" t="s">
        <v>85</v>
      </c>
      <c r="D25" s="456">
        <v>52854780</v>
      </c>
      <c r="E25" s="1028">
        <f t="shared" si="0"/>
        <v>52854780</v>
      </c>
    </row>
    <row r="26" spans="1:5">
      <c r="A26" s="381" t="s">
        <v>1026</v>
      </c>
      <c r="B26" s="933"/>
      <c r="C26" s="375"/>
      <c r="D26" s="456"/>
      <c r="E26" s="1110">
        <f>SUM(E27:E38)</f>
        <v>341754600</v>
      </c>
    </row>
    <row r="27" spans="1:5">
      <c r="A27" s="373" t="s">
        <v>1025</v>
      </c>
      <c r="B27" s="933">
        <v>2</v>
      </c>
      <c r="C27" s="375" t="s">
        <v>85</v>
      </c>
      <c r="D27" s="456">
        <v>7713620</v>
      </c>
      <c r="E27" s="1028">
        <f t="shared" si="0"/>
        <v>15427240</v>
      </c>
    </row>
    <row r="28" spans="1:5">
      <c r="A28" s="469" t="s">
        <v>1024</v>
      </c>
      <c r="B28" s="933">
        <v>3</v>
      </c>
      <c r="C28" s="375" t="s">
        <v>85</v>
      </c>
      <c r="D28" s="456">
        <v>6314420</v>
      </c>
      <c r="E28" s="1028">
        <f t="shared" si="0"/>
        <v>18943260</v>
      </c>
    </row>
    <row r="29" spans="1:5">
      <c r="A29" s="373" t="s">
        <v>1007</v>
      </c>
      <c r="B29" s="933">
        <v>1</v>
      </c>
      <c r="C29" s="375" t="s">
        <v>85</v>
      </c>
      <c r="D29" s="456">
        <v>98884220</v>
      </c>
      <c r="E29" s="1028">
        <f t="shared" si="0"/>
        <v>98884220</v>
      </c>
    </row>
    <row r="30" spans="1:5">
      <c r="A30" s="373" t="s">
        <v>1023</v>
      </c>
      <c r="B30" s="933">
        <v>1</v>
      </c>
      <c r="C30" s="375" t="s">
        <v>85</v>
      </c>
      <c r="D30" s="456">
        <v>93022420</v>
      </c>
      <c r="E30" s="1028">
        <f t="shared" si="0"/>
        <v>93022420</v>
      </c>
    </row>
    <row r="31" spans="1:5" ht="25.5">
      <c r="A31" s="373" t="s">
        <v>1022</v>
      </c>
      <c r="B31" s="933">
        <v>1</v>
      </c>
      <c r="C31" s="375" t="s">
        <v>85</v>
      </c>
      <c r="D31" s="456">
        <v>12402000</v>
      </c>
      <c r="E31" s="1028">
        <f t="shared" si="0"/>
        <v>12402000</v>
      </c>
    </row>
    <row r="32" spans="1:5">
      <c r="A32" s="373" t="s">
        <v>1021</v>
      </c>
      <c r="B32" s="933">
        <v>1</v>
      </c>
      <c r="C32" s="375" t="s">
        <v>85</v>
      </c>
      <c r="D32" s="456">
        <v>12402000</v>
      </c>
      <c r="E32" s="1028">
        <f t="shared" si="0"/>
        <v>12402000</v>
      </c>
    </row>
    <row r="33" spans="1:5">
      <c r="A33" s="469" t="s">
        <v>1020</v>
      </c>
      <c r="B33" s="933">
        <v>1</v>
      </c>
      <c r="C33" s="375" t="s">
        <v>85</v>
      </c>
      <c r="D33" s="456">
        <v>11948320</v>
      </c>
      <c r="E33" s="1028">
        <f t="shared" si="0"/>
        <v>11948320</v>
      </c>
    </row>
    <row r="34" spans="1:5">
      <c r="A34" s="469" t="s">
        <v>1019</v>
      </c>
      <c r="B34" s="933">
        <v>1</v>
      </c>
      <c r="C34" s="375" t="s">
        <v>85</v>
      </c>
      <c r="D34" s="456">
        <v>11948320</v>
      </c>
      <c r="E34" s="1028">
        <f t="shared" si="0"/>
        <v>11948320</v>
      </c>
    </row>
    <row r="35" spans="1:5">
      <c r="A35" s="469" t="s">
        <v>1018</v>
      </c>
      <c r="B35" s="933">
        <v>1</v>
      </c>
      <c r="C35" s="375" t="s">
        <v>85</v>
      </c>
      <c r="D35" s="456">
        <v>11948320</v>
      </c>
      <c r="E35" s="1028">
        <f t="shared" si="0"/>
        <v>11948320</v>
      </c>
    </row>
    <row r="36" spans="1:5">
      <c r="A36" s="469" t="s">
        <v>1017</v>
      </c>
      <c r="B36" s="933">
        <v>6</v>
      </c>
      <c r="C36" s="375" t="s">
        <v>85</v>
      </c>
      <c r="D36" s="456">
        <v>5898900</v>
      </c>
      <c r="E36" s="1028">
        <f t="shared" si="0"/>
        <v>35393400</v>
      </c>
    </row>
    <row r="37" spans="1:5" ht="25.5">
      <c r="A37" s="373" t="s">
        <v>1016</v>
      </c>
      <c r="B37" s="933">
        <v>1</v>
      </c>
      <c r="C37" s="375" t="s">
        <v>85</v>
      </c>
      <c r="D37" s="456">
        <v>14898300</v>
      </c>
      <c r="E37" s="1028">
        <f t="shared" si="0"/>
        <v>14898300</v>
      </c>
    </row>
    <row r="38" spans="1:5">
      <c r="A38" s="373" t="s">
        <v>1015</v>
      </c>
      <c r="B38" s="933">
        <v>1</v>
      </c>
      <c r="C38" s="375" t="s">
        <v>85</v>
      </c>
      <c r="D38" s="456">
        <v>4536800</v>
      </c>
      <c r="E38" s="1028">
        <f t="shared" si="0"/>
        <v>4536800</v>
      </c>
    </row>
    <row r="39" spans="1:5">
      <c r="A39" s="381" t="s">
        <v>1014</v>
      </c>
      <c r="B39" s="933"/>
      <c r="C39" s="375"/>
      <c r="D39" s="456"/>
      <c r="E39" s="1110">
        <f>SUM(E40:E45)</f>
        <v>1546006820</v>
      </c>
    </row>
    <row r="40" spans="1:5">
      <c r="A40" s="373" t="s">
        <v>1013</v>
      </c>
      <c r="B40" s="933">
        <v>1</v>
      </c>
      <c r="C40" s="375" t="s">
        <v>85</v>
      </c>
      <c r="D40" s="456">
        <v>176185780</v>
      </c>
      <c r="E40" s="1028">
        <f t="shared" si="0"/>
        <v>176185780</v>
      </c>
    </row>
    <row r="41" spans="1:5">
      <c r="A41" s="373" t="s">
        <v>1012</v>
      </c>
      <c r="B41" s="933">
        <v>1</v>
      </c>
      <c r="C41" s="375" t="s">
        <v>85</v>
      </c>
      <c r="D41" s="456">
        <v>85711600</v>
      </c>
      <c r="E41" s="1028">
        <f t="shared" si="0"/>
        <v>85711600</v>
      </c>
    </row>
    <row r="42" spans="1:5">
      <c r="A42" s="373" t="s">
        <v>1011</v>
      </c>
      <c r="B42" s="933">
        <v>1</v>
      </c>
      <c r="C42" s="375" t="s">
        <v>85</v>
      </c>
      <c r="D42" s="456">
        <v>565699740</v>
      </c>
      <c r="E42" s="1028">
        <f t="shared" si="0"/>
        <v>565699740</v>
      </c>
    </row>
    <row r="43" spans="1:5">
      <c r="A43" s="373" t="s">
        <v>1010</v>
      </c>
      <c r="B43" s="933">
        <v>1</v>
      </c>
      <c r="C43" s="375" t="s">
        <v>85</v>
      </c>
      <c r="D43" s="456">
        <v>548557420</v>
      </c>
      <c r="E43" s="1028">
        <f t="shared" si="0"/>
        <v>548557420</v>
      </c>
    </row>
    <row r="44" spans="1:5">
      <c r="A44" s="373" t="s">
        <v>1009</v>
      </c>
      <c r="B44" s="933">
        <v>1</v>
      </c>
      <c r="C44" s="375" t="s">
        <v>85</v>
      </c>
      <c r="D44" s="456">
        <v>2952100</v>
      </c>
      <c r="E44" s="1028">
        <f t="shared" si="0"/>
        <v>2952100</v>
      </c>
    </row>
    <row r="45" spans="1:5">
      <c r="A45" s="373" t="s">
        <v>1008</v>
      </c>
      <c r="B45" s="933">
        <v>1</v>
      </c>
      <c r="C45" s="375" t="s">
        <v>85</v>
      </c>
      <c r="D45" s="456">
        <v>166900180</v>
      </c>
      <c r="E45" s="637">
        <f t="shared" si="0"/>
        <v>166900180</v>
      </c>
    </row>
  </sheetData>
  <pageMargins left="0.2" right="0.19" top="0.75" bottom="0.75" header="0.3" footer="0.3"/>
  <pageSetup paperSize="9" orientation="portrait" horizontalDpi="4294967292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2:Q54"/>
  <sheetViews>
    <sheetView topLeftCell="A4" zoomScale="85" zoomScaleNormal="85" workbookViewId="0">
      <pane xSplit="2" ySplit="3" topLeftCell="C7" activePane="bottomRight" state="frozen"/>
      <selection activeCell="A4" sqref="A4"/>
      <selection pane="topRight" activeCell="C4" sqref="C4"/>
      <selection pane="bottomLeft" activeCell="A7" sqref="A7"/>
      <selection pane="bottomRight" activeCell="C7" sqref="C7:C8"/>
    </sheetView>
  </sheetViews>
  <sheetFormatPr defaultRowHeight="15"/>
  <cols>
    <col min="1" max="1" width="3.5703125" bestFit="1" customWidth="1"/>
    <col min="2" max="2" width="26" bestFit="1" customWidth="1"/>
    <col min="3" max="3" width="17.7109375" bestFit="1" customWidth="1"/>
    <col min="4" max="8" width="16.5703125" bestFit="1" customWidth="1"/>
    <col min="9" max="14" width="16.5703125" customWidth="1"/>
    <col min="15" max="17" width="18" bestFit="1" customWidth="1"/>
  </cols>
  <sheetData>
    <row r="2" spans="1:17" ht="15.75">
      <c r="B2" s="3335" t="s">
        <v>1248</v>
      </c>
      <c r="C2" s="3335"/>
      <c r="D2" s="3335"/>
      <c r="E2" s="3335"/>
      <c r="F2" s="3335"/>
      <c r="G2" s="3335"/>
      <c r="H2" s="3335"/>
      <c r="I2" s="1418"/>
      <c r="J2" s="1418"/>
      <c r="K2" s="1418"/>
      <c r="L2" s="1418"/>
      <c r="M2" s="1418"/>
      <c r="N2" s="1418"/>
    </row>
    <row r="3" spans="1:17" ht="15.75">
      <c r="B3" s="1382"/>
      <c r="C3" s="1382"/>
      <c r="D3" s="1382"/>
      <c r="E3" s="1382"/>
      <c r="F3" s="1382"/>
      <c r="G3" s="1382"/>
      <c r="H3" s="1418"/>
      <c r="I3" s="1418"/>
      <c r="J3" s="1418"/>
      <c r="K3" s="1418"/>
      <c r="L3" s="1418"/>
      <c r="M3" s="1418"/>
      <c r="N3" s="1418"/>
    </row>
    <row r="4" spans="1:17">
      <c r="B4" s="9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</row>
    <row r="5" spans="1:17" ht="25.5">
      <c r="A5" s="1426" t="s">
        <v>1365</v>
      </c>
      <c r="B5" s="1427" t="s">
        <v>1245</v>
      </c>
      <c r="C5" s="1419" t="s">
        <v>1236</v>
      </c>
      <c r="D5" s="1419" t="s">
        <v>1237</v>
      </c>
      <c r="E5" s="1419" t="s">
        <v>1238</v>
      </c>
      <c r="F5" s="1419" t="s">
        <v>1246</v>
      </c>
      <c r="G5" s="1419" t="s">
        <v>1247</v>
      </c>
      <c r="H5" s="1419" t="s">
        <v>1363</v>
      </c>
      <c r="I5" s="1419" t="s">
        <v>1366</v>
      </c>
      <c r="J5" s="1419" t="s">
        <v>1367</v>
      </c>
      <c r="K5" s="1419" t="s">
        <v>1368</v>
      </c>
      <c r="L5" s="1419" t="s">
        <v>1369</v>
      </c>
      <c r="M5" s="1419" t="s">
        <v>1370</v>
      </c>
      <c r="N5" s="1419" t="s">
        <v>1371</v>
      </c>
      <c r="O5" s="1419" t="s">
        <v>1372</v>
      </c>
      <c r="P5" s="2448" t="s">
        <v>2040</v>
      </c>
    </row>
    <row r="6" spans="1:17">
      <c r="A6" s="1425">
        <v>1</v>
      </c>
      <c r="B6" s="1420" t="s">
        <v>1244</v>
      </c>
      <c r="C6" s="1421">
        <f>SUM(C7:C11)</f>
        <v>2309946405</v>
      </c>
      <c r="D6" s="1421">
        <f t="shared" ref="D6:E6" si="0">SUM(D7:D11)</f>
        <v>2212432120</v>
      </c>
      <c r="E6" s="1421">
        <f t="shared" si="0"/>
        <v>2387008153</v>
      </c>
      <c r="F6" s="1421">
        <f>SUM(F7:F11)</f>
        <v>2067216787</v>
      </c>
      <c r="G6" s="1421">
        <f>SUM(G7:G11)</f>
        <v>1807453047</v>
      </c>
      <c r="H6" s="1421">
        <f>SUM(H7:H11)</f>
        <v>1583230847</v>
      </c>
      <c r="I6" s="1421">
        <f>SUM(I7:I11)</f>
        <v>1875722649</v>
      </c>
      <c r="J6" s="1421">
        <f>SUM(J7:J11)</f>
        <v>2086646159</v>
      </c>
      <c r="K6" s="1421">
        <f t="shared" ref="K6:N6" si="1">SUM(K7:K11)</f>
        <v>2098910854</v>
      </c>
      <c r="L6" s="1421">
        <f t="shared" si="1"/>
        <v>2490884731</v>
      </c>
      <c r="M6" s="1421">
        <f>SUM(M7:M11)</f>
        <v>2856091778</v>
      </c>
      <c r="N6" s="1421">
        <f t="shared" si="1"/>
        <v>2946092335</v>
      </c>
      <c r="O6" s="1428">
        <f>SUM(C6:N6)</f>
        <v>26721635865</v>
      </c>
      <c r="P6" s="2451">
        <f>O6-N6-M6</f>
        <v>20919451752</v>
      </c>
    </row>
    <row r="7" spans="1:17">
      <c r="A7" s="1424"/>
      <c r="B7" s="474" t="s">
        <v>1234</v>
      </c>
      <c r="C7" s="471">
        <v>1904543500</v>
      </c>
      <c r="D7" s="471">
        <v>1870513200</v>
      </c>
      <c r="E7" s="471">
        <v>1741758200</v>
      </c>
      <c r="F7" s="471">
        <v>1735992100</v>
      </c>
      <c r="G7" s="471">
        <v>1469250300</v>
      </c>
      <c r="H7" s="471">
        <v>1309610800</v>
      </c>
      <c r="I7" s="471">
        <v>1535269800</v>
      </c>
      <c r="J7" s="471">
        <v>1748349500</v>
      </c>
      <c r="K7" s="471">
        <v>1784666000</v>
      </c>
      <c r="L7" s="471">
        <v>2022503200</v>
      </c>
      <c r="M7" s="471">
        <v>2411626000</v>
      </c>
      <c r="N7" s="471">
        <v>2525822100</v>
      </c>
      <c r="O7" s="1391">
        <f>SUM(C7:N7)</f>
        <v>22059904700</v>
      </c>
      <c r="P7" s="2449">
        <f t="shared" ref="P7:P16" si="2">O7-N7-M7</f>
        <v>17122456600</v>
      </c>
    </row>
    <row r="8" spans="1:17">
      <c r="A8" s="1424"/>
      <c r="B8" s="474" t="s">
        <v>1239</v>
      </c>
      <c r="C8" s="471">
        <v>1371300</v>
      </c>
      <c r="D8" s="471">
        <v>1861400</v>
      </c>
      <c r="E8" s="471">
        <v>782200</v>
      </c>
      <c r="F8" s="471">
        <v>980200</v>
      </c>
      <c r="G8" s="471">
        <v>2480200</v>
      </c>
      <c r="H8" s="471">
        <v>1616350</v>
      </c>
      <c r="I8" s="471">
        <v>1470300</v>
      </c>
      <c r="J8" s="471"/>
      <c r="K8" s="471"/>
      <c r="L8" s="471"/>
      <c r="M8" s="471"/>
      <c r="N8" s="471"/>
      <c r="O8" s="1391">
        <f t="shared" ref="O8:O15" si="3">SUM(C8:N8)</f>
        <v>10561950</v>
      </c>
      <c r="P8" s="2449">
        <f t="shared" si="2"/>
        <v>10561950</v>
      </c>
    </row>
    <row r="9" spans="1:17">
      <c r="A9" s="1424"/>
      <c r="B9" s="472" t="s">
        <v>1235</v>
      </c>
      <c r="C9" s="471">
        <v>400661500</v>
      </c>
      <c r="D9" s="471">
        <v>331843900</v>
      </c>
      <c r="E9" s="471">
        <f>359042200+276438900</f>
        <v>635481100</v>
      </c>
      <c r="F9" s="471">
        <v>319067200</v>
      </c>
      <c r="G9" s="471">
        <v>321472900</v>
      </c>
      <c r="H9" s="471">
        <v>260044300</v>
      </c>
      <c r="I9" s="471">
        <v>327932600</v>
      </c>
      <c r="J9" s="471">
        <v>329848500</v>
      </c>
      <c r="K9" s="471">
        <v>310994900</v>
      </c>
      <c r="L9" s="471">
        <v>460903400</v>
      </c>
      <c r="M9" s="471">
        <v>434975800</v>
      </c>
      <c r="N9" s="471">
        <v>413246800</v>
      </c>
      <c r="O9" s="1391">
        <f t="shared" si="3"/>
        <v>4546472900</v>
      </c>
      <c r="P9" s="2449">
        <f t="shared" si="2"/>
        <v>3698250300</v>
      </c>
    </row>
    <row r="10" spans="1:17">
      <c r="A10" s="1424"/>
      <c r="B10" s="474" t="s">
        <v>1239</v>
      </c>
      <c r="C10" s="471">
        <v>2445600</v>
      </c>
      <c r="D10" s="471">
        <v>1793550</v>
      </c>
      <c r="E10" s="471">
        <v>2591650</v>
      </c>
      <c r="F10" s="471">
        <v>2445600</v>
      </c>
      <c r="G10" s="471">
        <v>5287200</v>
      </c>
      <c r="H10" s="471">
        <v>4096550</v>
      </c>
      <c r="I10" s="471">
        <v>2987650</v>
      </c>
      <c r="J10" s="471"/>
      <c r="K10" s="471"/>
      <c r="L10" s="471">
        <v>735150</v>
      </c>
      <c r="M10" s="471">
        <v>1715350</v>
      </c>
      <c r="N10" s="471">
        <v>2351500</v>
      </c>
      <c r="O10" s="1391">
        <f t="shared" si="3"/>
        <v>26449800</v>
      </c>
      <c r="P10" s="2449">
        <f t="shared" si="2"/>
        <v>22382950</v>
      </c>
    </row>
    <row r="11" spans="1:17">
      <c r="A11" s="1424"/>
      <c r="B11" s="472" t="s">
        <v>1240</v>
      </c>
      <c r="C11" s="471">
        <v>924505</v>
      </c>
      <c r="D11" s="471">
        <v>6420070</v>
      </c>
      <c r="E11" s="471">
        <v>6395003</v>
      </c>
      <c r="F11" s="471">
        <v>8731687</v>
      </c>
      <c r="G11" s="471">
        <v>8962447</v>
      </c>
      <c r="H11" s="471">
        <v>7862847</v>
      </c>
      <c r="I11" s="471">
        <v>8062299</v>
      </c>
      <c r="J11" s="471">
        <v>8448159</v>
      </c>
      <c r="K11" s="471">
        <v>3249954</v>
      </c>
      <c r="L11" s="471">
        <v>6742981</v>
      </c>
      <c r="M11" s="471">
        <v>7774628</v>
      </c>
      <c r="N11" s="471">
        <v>4671935</v>
      </c>
      <c r="O11" s="1391">
        <f t="shared" si="3"/>
        <v>78246515</v>
      </c>
      <c r="P11" s="2449">
        <f t="shared" si="2"/>
        <v>65799952</v>
      </c>
    </row>
    <row r="12" spans="1:17">
      <c r="A12" s="1425">
        <v>2</v>
      </c>
      <c r="B12" s="1422" t="s">
        <v>1364</v>
      </c>
      <c r="C12" s="1421">
        <v>8448000</v>
      </c>
      <c r="D12" s="1421">
        <v>3924000</v>
      </c>
      <c r="E12" s="1421">
        <v>13326000</v>
      </c>
      <c r="F12" s="1421">
        <v>7950000</v>
      </c>
      <c r="G12" s="1421">
        <v>5820000</v>
      </c>
      <c r="H12" s="1421">
        <v>13622000</v>
      </c>
      <c r="I12" s="1421">
        <v>6580000</v>
      </c>
      <c r="J12" s="1421">
        <v>5985000</v>
      </c>
      <c r="K12" s="1421">
        <v>4785000</v>
      </c>
      <c r="L12" s="1421">
        <v>1575000</v>
      </c>
      <c r="M12" s="1421">
        <v>22015000</v>
      </c>
      <c r="N12" s="1421">
        <v>20496000</v>
      </c>
      <c r="O12" s="1428">
        <f>SUM(C12:N12)</f>
        <v>114526000</v>
      </c>
      <c r="P12" s="2451">
        <f t="shared" si="2"/>
        <v>72015000</v>
      </c>
    </row>
    <row r="13" spans="1:17">
      <c r="A13" s="1425">
        <v>3</v>
      </c>
      <c r="B13" s="1422" t="s">
        <v>1243</v>
      </c>
      <c r="C13" s="1421">
        <f>SUM(C14:C15)</f>
        <v>125610830.03999999</v>
      </c>
      <c r="D13" s="1421">
        <f t="shared" ref="D13:G13" si="4">SUM(D14:D15)</f>
        <v>132199786.89</v>
      </c>
      <c r="E13" s="1421">
        <f t="shared" si="4"/>
        <v>66698800</v>
      </c>
      <c r="F13" s="1421">
        <f t="shared" si="4"/>
        <v>72389155.180000007</v>
      </c>
      <c r="G13" s="1421">
        <f t="shared" si="4"/>
        <v>52376450.979999997</v>
      </c>
      <c r="H13" s="1421">
        <f t="shared" ref="H13:N13" si="5">SUM(H14:H15)</f>
        <v>64340745.25</v>
      </c>
      <c r="I13" s="1421">
        <f t="shared" si="5"/>
        <v>74923756.260000005</v>
      </c>
      <c r="J13" s="1421">
        <f t="shared" si="5"/>
        <v>90649831.689999998</v>
      </c>
      <c r="K13" s="1421">
        <f t="shared" si="5"/>
        <v>79820671.030000001</v>
      </c>
      <c r="L13" s="1421">
        <f t="shared" si="5"/>
        <v>117657132.09999999</v>
      </c>
      <c r="M13" s="1421">
        <f t="shared" si="5"/>
        <v>99572364.840000004</v>
      </c>
      <c r="N13" s="1421">
        <f t="shared" si="5"/>
        <v>66600917.579999998</v>
      </c>
      <c r="O13" s="1428">
        <f t="shared" si="3"/>
        <v>1042840441.84</v>
      </c>
      <c r="P13" s="2451">
        <f t="shared" si="2"/>
        <v>876667159.41999996</v>
      </c>
    </row>
    <row r="14" spans="1:17">
      <c r="A14" s="1424"/>
      <c r="B14" s="474" t="s">
        <v>1242</v>
      </c>
      <c r="C14" s="471">
        <v>106771200</v>
      </c>
      <c r="D14" s="471">
        <v>64865200</v>
      </c>
      <c r="E14" s="471">
        <v>62106500</v>
      </c>
      <c r="F14" s="471">
        <v>65813500</v>
      </c>
      <c r="G14" s="471">
        <v>48449000</v>
      </c>
      <c r="H14" s="471">
        <v>51031500</v>
      </c>
      <c r="I14" s="471">
        <v>71768000</v>
      </c>
      <c r="J14" s="471">
        <v>58221000</v>
      </c>
      <c r="K14" s="471">
        <v>57194000</v>
      </c>
      <c r="L14" s="471">
        <v>110803000</v>
      </c>
      <c r="M14" s="471">
        <v>52214000</v>
      </c>
      <c r="N14" s="471">
        <v>60123000</v>
      </c>
      <c r="O14" s="1391">
        <f t="shared" si="3"/>
        <v>809359900</v>
      </c>
      <c r="P14" s="2449">
        <f t="shared" si="2"/>
        <v>697022900</v>
      </c>
    </row>
    <row r="15" spans="1:17">
      <c r="A15" s="1424"/>
      <c r="B15" s="474" t="s">
        <v>1241</v>
      </c>
      <c r="C15" s="471">
        <v>18839630.039999999</v>
      </c>
      <c r="D15" s="471">
        <v>67334586.890000001</v>
      </c>
      <c r="E15" s="471">
        <v>4592300</v>
      </c>
      <c r="F15" s="471">
        <v>6575655.1799999997</v>
      </c>
      <c r="G15" s="471">
        <v>3927450.98</v>
      </c>
      <c r="H15" s="471">
        <v>13309245.25</v>
      </c>
      <c r="I15" s="471">
        <v>3155756.26</v>
      </c>
      <c r="J15" s="471">
        <v>32428831.690000001</v>
      </c>
      <c r="K15" s="471">
        <v>22626671.030000001</v>
      </c>
      <c r="L15" s="471">
        <v>6854132.0999999996</v>
      </c>
      <c r="M15" s="471">
        <v>47358364.840000004</v>
      </c>
      <c r="N15" s="471">
        <v>6477917.5800000001</v>
      </c>
      <c r="O15" s="1391">
        <f t="shared" si="3"/>
        <v>233480541.84000003</v>
      </c>
      <c r="P15" s="2449">
        <f t="shared" si="2"/>
        <v>179644259.42000002</v>
      </c>
    </row>
    <row r="16" spans="1:17">
      <c r="A16" s="3696" t="s">
        <v>265</v>
      </c>
      <c r="B16" s="3697"/>
      <c r="C16" s="1423">
        <f>C6+C12+C13</f>
        <v>2444005235.04</v>
      </c>
      <c r="D16" s="1423">
        <f t="shared" ref="D16:N16" si="6">D6+D12+D13</f>
        <v>2348555906.8899999</v>
      </c>
      <c r="E16" s="1423">
        <f t="shared" si="6"/>
        <v>2467032953</v>
      </c>
      <c r="F16" s="1423">
        <f>F6+F12+F13</f>
        <v>2147555942.1799998</v>
      </c>
      <c r="G16" s="1423">
        <f t="shared" si="6"/>
        <v>1865649497.98</v>
      </c>
      <c r="H16" s="1423">
        <f t="shared" si="6"/>
        <v>1661193592.25</v>
      </c>
      <c r="I16" s="1423">
        <f t="shared" si="6"/>
        <v>1957226405.26</v>
      </c>
      <c r="J16" s="1423">
        <f t="shared" si="6"/>
        <v>2183280990.6900001</v>
      </c>
      <c r="K16" s="1423">
        <f t="shared" si="6"/>
        <v>2183516525.0300002</v>
      </c>
      <c r="L16" s="1423">
        <f t="shared" si="6"/>
        <v>2610116863.0999999</v>
      </c>
      <c r="M16" s="1423">
        <f t="shared" si="6"/>
        <v>2977679142.8400002</v>
      </c>
      <c r="N16" s="1423">
        <f t="shared" si="6"/>
        <v>3033189252.5799999</v>
      </c>
      <c r="O16" s="1423">
        <f>O6+O12+O13</f>
        <v>27879002306.84</v>
      </c>
      <c r="P16" s="2450">
        <f t="shared" si="2"/>
        <v>21868133911.420002</v>
      </c>
      <c r="Q16" s="1390">
        <f>P16+O29</f>
        <v>26415408611.420002</v>
      </c>
    </row>
    <row r="17" spans="1:15" s="2446" customFormat="1">
      <c r="A17" s="2444"/>
      <c r="B17" s="2443"/>
      <c r="C17" s="2445"/>
      <c r="D17" s="2445"/>
      <c r="E17" s="2445"/>
      <c r="F17" s="2445"/>
      <c r="G17" s="2445"/>
      <c r="H17" s="2445"/>
      <c r="I17" s="2445"/>
      <c r="J17" s="2445"/>
      <c r="K17" s="2445"/>
      <c r="L17" s="2445"/>
      <c r="M17" s="2445"/>
      <c r="N17" s="2445"/>
      <c r="O17" s="2445"/>
    </row>
    <row r="18" spans="1:15" ht="18.75" customHeight="1">
      <c r="A18" s="1426" t="s">
        <v>1365</v>
      </c>
      <c r="B18" s="1427" t="s">
        <v>1245</v>
      </c>
      <c r="C18" s="1419"/>
      <c r="D18" s="1419"/>
      <c r="E18" s="1419"/>
      <c r="F18" s="1419"/>
      <c r="G18" s="1419"/>
      <c r="H18" s="1419"/>
      <c r="I18" s="1419"/>
      <c r="J18" s="1419"/>
      <c r="K18" s="1419"/>
      <c r="L18" s="2447">
        <v>42644</v>
      </c>
      <c r="M18" s="2447">
        <v>42675</v>
      </c>
      <c r="N18" s="2447">
        <v>42705</v>
      </c>
      <c r="O18" s="1419" t="s">
        <v>1372</v>
      </c>
    </row>
    <row r="19" spans="1:15">
      <c r="A19" s="1425">
        <v>1</v>
      </c>
      <c r="B19" s="1420" t="s">
        <v>1244</v>
      </c>
      <c r="C19" s="1421">
        <f>SUM(C20:C24)</f>
        <v>0</v>
      </c>
      <c r="D19" s="1421">
        <f t="shared" ref="D19:E19" si="7">SUM(D20:D24)</f>
        <v>0</v>
      </c>
      <c r="E19" s="1421">
        <f t="shared" si="7"/>
        <v>0</v>
      </c>
      <c r="F19" s="1421">
        <f>SUM(F20:F24)</f>
        <v>0</v>
      </c>
      <c r="G19" s="1421">
        <f>SUM(G20:G24)</f>
        <v>0</v>
      </c>
      <c r="H19" s="1421">
        <f>SUM(H20:H24)</f>
        <v>0</v>
      </c>
      <c r="I19" s="1421">
        <f>SUM(I20:I24)</f>
        <v>0</v>
      </c>
      <c r="J19" s="1421">
        <f>SUM(J20:J24)</f>
        <v>0</v>
      </c>
      <c r="K19" s="1421">
        <f t="shared" ref="K19:L19" si="8">SUM(K20:K24)</f>
        <v>0</v>
      </c>
      <c r="L19" s="1421">
        <f t="shared" si="8"/>
        <v>305802500</v>
      </c>
      <c r="M19" s="1421">
        <f>SUM(M20:M24)</f>
        <v>1928902000</v>
      </c>
      <c r="N19" s="1421">
        <f t="shared" ref="N19" si="9">SUM(N20:N24)</f>
        <v>2305226200</v>
      </c>
      <c r="O19" s="1428">
        <f>SUM(C19:N19)</f>
        <v>4539930700</v>
      </c>
    </row>
    <row r="20" spans="1:15">
      <c r="A20" s="1424"/>
      <c r="B20" s="474" t="s">
        <v>1234</v>
      </c>
      <c r="C20" s="471"/>
      <c r="D20" s="471"/>
      <c r="E20" s="471"/>
      <c r="F20" s="471"/>
      <c r="G20" s="471"/>
      <c r="H20" s="471"/>
      <c r="I20" s="471"/>
      <c r="J20" s="471"/>
      <c r="K20" s="471"/>
      <c r="L20" s="471"/>
      <c r="M20" s="471">
        <v>1571580300</v>
      </c>
      <c r="N20" s="471">
        <v>1899032000</v>
      </c>
      <c r="O20" s="1391">
        <f>SUM(C20:N20)</f>
        <v>3470612300</v>
      </c>
    </row>
    <row r="21" spans="1:15">
      <c r="A21" s="1424"/>
      <c r="B21" s="474" t="s">
        <v>1239</v>
      </c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>
        <v>5415500</v>
      </c>
      <c r="N21" s="471">
        <v>2935700</v>
      </c>
      <c r="O21" s="1391">
        <f t="shared" ref="O21:O24" si="10">SUM(C21:N21)</f>
        <v>8351200</v>
      </c>
    </row>
    <row r="22" spans="1:15">
      <c r="A22" s="1424"/>
      <c r="B22" s="472" t="s">
        <v>1235</v>
      </c>
      <c r="C22" s="471"/>
      <c r="D22" s="471"/>
      <c r="E22" s="471"/>
      <c r="F22" s="471"/>
      <c r="G22" s="471"/>
      <c r="H22" s="471"/>
      <c r="I22" s="471"/>
      <c r="J22" s="471"/>
      <c r="K22" s="471"/>
      <c r="L22" s="471">
        <v>305802500</v>
      </c>
      <c r="M22" s="471">
        <v>351906200</v>
      </c>
      <c r="N22" s="471">
        <v>403258500</v>
      </c>
      <c r="O22" s="1391">
        <f t="shared" si="10"/>
        <v>1060967200</v>
      </c>
    </row>
    <row r="23" spans="1:15">
      <c r="A23" s="1424"/>
      <c r="B23" s="474" t="s">
        <v>1239</v>
      </c>
      <c r="C23" s="471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1391">
        <f t="shared" si="10"/>
        <v>0</v>
      </c>
    </row>
    <row r="24" spans="1:15">
      <c r="A24" s="1424"/>
      <c r="B24" s="472" t="s">
        <v>1240</v>
      </c>
      <c r="C24" s="471"/>
      <c r="D24" s="471"/>
      <c r="E24" s="471"/>
      <c r="F24" s="471"/>
      <c r="G24" s="471"/>
      <c r="H24" s="471"/>
      <c r="I24" s="471"/>
      <c r="J24" s="471"/>
      <c r="K24" s="471"/>
      <c r="L24" s="471"/>
      <c r="M24" s="471"/>
      <c r="N24" s="471"/>
      <c r="O24" s="1391">
        <f t="shared" si="10"/>
        <v>0</v>
      </c>
    </row>
    <row r="25" spans="1:15">
      <c r="A25" s="1425">
        <v>2</v>
      </c>
      <c r="B25" s="1422" t="s">
        <v>1364</v>
      </c>
      <c r="C25" s="1421"/>
      <c r="D25" s="1421"/>
      <c r="E25" s="1421"/>
      <c r="F25" s="1421"/>
      <c r="G25" s="1421"/>
      <c r="H25" s="1421"/>
      <c r="I25" s="1421"/>
      <c r="J25" s="1421"/>
      <c r="K25" s="1421"/>
      <c r="L25" s="1421"/>
      <c r="M25" s="1421"/>
      <c r="N25" s="1421">
        <v>7344000</v>
      </c>
      <c r="O25" s="1428">
        <f>SUM(C25:N25)</f>
        <v>7344000</v>
      </c>
    </row>
    <row r="26" spans="1:15">
      <c r="A26" s="1425">
        <v>3</v>
      </c>
      <c r="B26" s="1422" t="s">
        <v>1243</v>
      </c>
      <c r="C26" s="1421">
        <f>SUM(C27:C28)</f>
        <v>0</v>
      </c>
      <c r="D26" s="1421">
        <f t="shared" ref="D26:N26" si="11">SUM(D27:D28)</f>
        <v>0</v>
      </c>
      <c r="E26" s="1421">
        <f t="shared" si="11"/>
        <v>0</v>
      </c>
      <c r="F26" s="1421">
        <f t="shared" si="11"/>
        <v>0</v>
      </c>
      <c r="G26" s="1421">
        <f t="shared" si="11"/>
        <v>0</v>
      </c>
      <c r="H26" s="1421">
        <f t="shared" si="11"/>
        <v>0</v>
      </c>
      <c r="I26" s="1421">
        <f t="shared" si="11"/>
        <v>0</v>
      </c>
      <c r="J26" s="1421">
        <f t="shared" si="11"/>
        <v>0</v>
      </c>
      <c r="K26" s="1421">
        <f t="shared" si="11"/>
        <v>0</v>
      </c>
      <c r="L26" s="1421">
        <f t="shared" si="11"/>
        <v>0</v>
      </c>
      <c r="M26" s="1421">
        <f t="shared" si="11"/>
        <v>0</v>
      </c>
      <c r="N26" s="1421">
        <f t="shared" si="11"/>
        <v>0</v>
      </c>
      <c r="O26" s="1428">
        <f t="shared" ref="O26:O28" si="12">SUM(C26:N26)</f>
        <v>0</v>
      </c>
    </row>
    <row r="27" spans="1:15">
      <c r="A27" s="1424"/>
      <c r="B27" s="474" t="s">
        <v>1242</v>
      </c>
      <c r="C27" s="471"/>
      <c r="D27" s="471"/>
      <c r="E27" s="471"/>
      <c r="F27" s="471"/>
      <c r="G27" s="471"/>
      <c r="H27" s="471"/>
      <c r="I27" s="471"/>
      <c r="J27" s="471"/>
      <c r="K27" s="471"/>
      <c r="L27" s="471"/>
      <c r="M27" s="471"/>
      <c r="N27" s="471"/>
      <c r="O27" s="1391">
        <f t="shared" si="12"/>
        <v>0</v>
      </c>
    </row>
    <row r="28" spans="1:15">
      <c r="A28" s="1424"/>
      <c r="B28" s="474" t="s">
        <v>1241</v>
      </c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1391">
        <f t="shared" si="12"/>
        <v>0</v>
      </c>
    </row>
    <row r="29" spans="1:15">
      <c r="A29" s="3696" t="s">
        <v>265</v>
      </c>
      <c r="B29" s="3697"/>
      <c r="C29" s="1423">
        <f>C19+C25+C26</f>
        <v>0</v>
      </c>
      <c r="D29" s="1423">
        <f t="shared" ref="D29:E29" si="13">D19+D25+D26</f>
        <v>0</v>
      </c>
      <c r="E29" s="1423">
        <f t="shared" si="13"/>
        <v>0</v>
      </c>
      <c r="F29" s="1423">
        <f>F19+F25+F26</f>
        <v>0</v>
      </c>
      <c r="G29" s="1423">
        <f t="shared" ref="G29:N29" si="14">G19+G25+G26</f>
        <v>0</v>
      </c>
      <c r="H29" s="1423">
        <f t="shared" si="14"/>
        <v>0</v>
      </c>
      <c r="I29" s="1423">
        <f t="shared" si="14"/>
        <v>0</v>
      </c>
      <c r="J29" s="1423">
        <f t="shared" si="14"/>
        <v>0</v>
      </c>
      <c r="K29" s="1423">
        <f t="shared" si="14"/>
        <v>0</v>
      </c>
      <c r="L29" s="1423">
        <f t="shared" si="14"/>
        <v>305802500</v>
      </c>
      <c r="M29" s="1423">
        <f t="shared" si="14"/>
        <v>1928902000</v>
      </c>
      <c r="N29" s="1423">
        <f t="shared" si="14"/>
        <v>2312570200</v>
      </c>
      <c r="O29" s="1423">
        <f>O19+O25+O26</f>
        <v>4547274700</v>
      </c>
    </row>
    <row r="30" spans="1:15">
      <c r="B30" s="1395" t="s">
        <v>1260</v>
      </c>
      <c r="C30" s="1396">
        <v>4198</v>
      </c>
      <c r="D30" s="1396">
        <v>3664</v>
      </c>
      <c r="E30" s="1396">
        <v>3745</v>
      </c>
      <c r="F30" s="1396">
        <v>3526</v>
      </c>
      <c r="G30" s="1396">
        <v>3365</v>
      </c>
      <c r="H30" s="1396"/>
      <c r="I30" s="1396"/>
      <c r="J30" s="1396"/>
      <c r="K30" s="1396"/>
      <c r="L30" s="1396"/>
      <c r="M30" s="1396"/>
      <c r="N30" s="1396"/>
    </row>
    <row r="31" spans="1:15">
      <c r="B31" s="1395" t="s">
        <v>1261</v>
      </c>
      <c r="C31" s="1396">
        <v>719</v>
      </c>
      <c r="D31" s="1396">
        <v>639</v>
      </c>
      <c r="E31" s="1396">
        <v>582</v>
      </c>
      <c r="F31" s="1396">
        <v>569</v>
      </c>
      <c r="G31" s="1396">
        <v>462</v>
      </c>
      <c r="H31" s="1396"/>
      <c r="I31" s="1396"/>
      <c r="J31" s="1396"/>
      <c r="K31" s="1396"/>
      <c r="L31" s="1396"/>
      <c r="M31" s="1396"/>
      <c r="N31" s="1396"/>
      <c r="O31" s="1390">
        <f>O12+O13</f>
        <v>1157366441.8400002</v>
      </c>
    </row>
    <row r="32" spans="1:15">
      <c r="B32" s="1395" t="s">
        <v>1258</v>
      </c>
      <c r="C32" s="1396">
        <f>SUM(C9:C11)</f>
        <v>404031605</v>
      </c>
      <c r="D32" s="1396">
        <f t="shared" ref="D32:F32" si="15">SUM(D9:D11)</f>
        <v>340057520</v>
      </c>
      <c r="E32" s="1396">
        <f t="shared" si="15"/>
        <v>644467753</v>
      </c>
      <c r="F32" s="1396">
        <f t="shared" si="15"/>
        <v>330244487</v>
      </c>
      <c r="G32" s="1396">
        <f>SUM(G9:G11)</f>
        <v>335722547</v>
      </c>
      <c r="H32" s="1396"/>
      <c r="I32" s="1396"/>
      <c r="J32" s="1396"/>
      <c r="K32" s="1396"/>
      <c r="L32" s="1396"/>
      <c r="M32" s="1396"/>
      <c r="N32" s="1396"/>
    </row>
    <row r="33" spans="2:14">
      <c r="B33" s="1395" t="s">
        <v>1259</v>
      </c>
      <c r="C33" s="42">
        <f>SUM(C7:C8)</f>
        <v>1905914800</v>
      </c>
      <c r="D33" s="42">
        <f t="shared" ref="D33:G33" si="16">SUM(D7:D8)</f>
        <v>1872374600</v>
      </c>
      <c r="E33" s="42">
        <f t="shared" si="16"/>
        <v>1742540400</v>
      </c>
      <c r="F33" s="42">
        <f t="shared" si="16"/>
        <v>1736972300</v>
      </c>
      <c r="G33" s="42">
        <f t="shared" si="16"/>
        <v>1471730500</v>
      </c>
      <c r="H33" s="42"/>
      <c r="I33" s="42"/>
      <c r="J33" s="42"/>
      <c r="K33" s="42"/>
      <c r="L33" s="42"/>
      <c r="M33" s="42"/>
      <c r="N33" s="42"/>
    </row>
    <row r="34" spans="2:14">
      <c r="B34" s="1395" t="s">
        <v>1258</v>
      </c>
      <c r="C34" s="875">
        <f>C32/C6</f>
        <v>0.17490951483785616</v>
      </c>
      <c r="D34" s="875">
        <f t="shared" ref="D34:F34" si="17">D32/D6</f>
        <v>0.15370302976798222</v>
      </c>
      <c r="E34" s="875">
        <f t="shared" si="17"/>
        <v>0.26998975776016126</v>
      </c>
      <c r="F34" s="875">
        <f t="shared" si="17"/>
        <v>0.15975319525111809</v>
      </c>
      <c r="G34" s="875">
        <f>G32/G6</f>
        <v>0.18574344022780029</v>
      </c>
      <c r="H34" s="875"/>
      <c r="I34" s="875"/>
      <c r="J34" s="875"/>
      <c r="K34" s="875"/>
      <c r="L34" s="875"/>
      <c r="M34" s="875"/>
      <c r="N34" s="875"/>
    </row>
    <row r="35" spans="2:14">
      <c r="B35" s="1395" t="s">
        <v>1259</v>
      </c>
      <c r="C35" s="875">
        <f>C33/C6</f>
        <v>0.82509048516214378</v>
      </c>
      <c r="D35" s="875">
        <f t="shared" ref="D35:G35" si="18">D33/D6</f>
        <v>0.84629697023201778</v>
      </c>
      <c r="E35" s="875">
        <f t="shared" si="18"/>
        <v>0.73001024223983868</v>
      </c>
      <c r="F35" s="875">
        <f t="shared" si="18"/>
        <v>0.84024680474888191</v>
      </c>
      <c r="G35" s="875">
        <f t="shared" si="18"/>
        <v>0.81425655977219968</v>
      </c>
      <c r="H35" s="875"/>
      <c r="I35" s="875"/>
      <c r="J35" s="875"/>
      <c r="K35" s="875"/>
      <c r="L35" s="875"/>
      <c r="M35" s="875"/>
      <c r="N35" s="875"/>
    </row>
    <row r="36" spans="2:14">
      <c r="B36" s="1395" t="s">
        <v>1262</v>
      </c>
      <c r="C36" s="41">
        <f>C34*C14</f>
        <v>18675298.790655706</v>
      </c>
      <c r="D36" s="41">
        <f t="shared" ref="D36:G36" si="19">D34*D14</f>
        <v>9969977.7665061206</v>
      </c>
      <c r="E36" s="41">
        <f t="shared" si="19"/>
        <v>16768118.890331456</v>
      </c>
      <c r="F36" s="41">
        <f t="shared" si="19"/>
        <v>10513916.915659459</v>
      </c>
      <c r="G36" s="41">
        <f t="shared" si="19"/>
        <v>8999083.935596697</v>
      </c>
      <c r="H36" s="41"/>
      <c r="I36" s="41"/>
      <c r="J36" s="41"/>
      <c r="K36" s="41"/>
      <c r="L36" s="41"/>
      <c r="M36" s="41"/>
      <c r="N36" s="41"/>
    </row>
    <row r="37" spans="2:14">
      <c r="B37" s="1395" t="s">
        <v>1263</v>
      </c>
      <c r="C37" s="41">
        <f>C35*C14</f>
        <v>88095901.209344283</v>
      </c>
      <c r="D37" s="41">
        <f t="shared" ref="D37:G37" si="20">D35*D14</f>
        <v>54895222.233493879</v>
      </c>
      <c r="E37" s="41">
        <f t="shared" si="20"/>
        <v>45338381.109668538</v>
      </c>
      <c r="F37" s="41">
        <f t="shared" si="20"/>
        <v>55299583.084340543</v>
      </c>
      <c r="G37" s="41">
        <f t="shared" si="20"/>
        <v>39449916.064403303</v>
      </c>
      <c r="H37" s="41"/>
      <c r="I37" s="41"/>
      <c r="J37" s="41"/>
      <c r="K37" s="41"/>
      <c r="L37" s="41"/>
      <c r="M37" s="41"/>
      <c r="N37" s="41"/>
    </row>
    <row r="38" spans="2:14">
      <c r="B38" s="1395" t="s">
        <v>1264</v>
      </c>
      <c r="C38" s="41">
        <f>C32+C36</f>
        <v>422706903.79065573</v>
      </c>
      <c r="D38" s="41">
        <f t="shared" ref="D38:G38" si="21">D32+D36</f>
        <v>350027497.76650614</v>
      </c>
      <c r="E38" s="41">
        <f t="shared" si="21"/>
        <v>661235871.89033151</v>
      </c>
      <c r="F38" s="41">
        <f t="shared" si="21"/>
        <v>340758403.91565949</v>
      </c>
      <c r="G38" s="41">
        <f t="shared" si="21"/>
        <v>344721630.9355967</v>
      </c>
      <c r="H38" s="41"/>
      <c r="I38" s="41"/>
      <c r="J38" s="41"/>
      <c r="K38" s="41"/>
      <c r="L38" s="41"/>
      <c r="M38" s="41"/>
      <c r="N38" s="41"/>
    </row>
    <row r="39" spans="2:14">
      <c r="B39" s="1395" t="s">
        <v>1265</v>
      </c>
      <c r="C39" s="41">
        <f>C33+C37</f>
        <v>1994010701.2093444</v>
      </c>
      <c r="D39" s="41">
        <f t="shared" ref="D39:G39" si="22">D33+D37</f>
        <v>1927269822.2334938</v>
      </c>
      <c r="E39" s="41">
        <f t="shared" si="22"/>
        <v>1787878781.1096685</v>
      </c>
      <c r="F39" s="41">
        <f t="shared" si="22"/>
        <v>1792271883.0843406</v>
      </c>
      <c r="G39" s="41">
        <f t="shared" si="22"/>
        <v>1511180416.0644033</v>
      </c>
      <c r="H39" s="41"/>
      <c r="I39" s="41"/>
      <c r="J39" s="41"/>
      <c r="K39" s="41"/>
      <c r="L39" s="41"/>
      <c r="M39" s="41"/>
      <c r="N39" s="41"/>
    </row>
    <row r="40" spans="2:14">
      <c r="B40" s="1395" t="s">
        <v>1267</v>
      </c>
      <c r="C40" s="41">
        <f>C38/C30</f>
        <v>100692.44968810285</v>
      </c>
      <c r="D40" s="41">
        <f t="shared" ref="D40:G40" si="23">D38/D30</f>
        <v>95531.52231618618</v>
      </c>
      <c r="E40" s="41">
        <f t="shared" si="23"/>
        <v>176564.98581851309</v>
      </c>
      <c r="F40" s="41">
        <f t="shared" si="23"/>
        <v>96641.634689636834</v>
      </c>
      <c r="G40" s="41">
        <f t="shared" si="23"/>
        <v>102443.27813836455</v>
      </c>
      <c r="H40" s="41"/>
      <c r="I40" s="41"/>
      <c r="J40" s="41"/>
      <c r="K40" s="41"/>
      <c r="L40" s="41"/>
      <c r="M40" s="41"/>
      <c r="N40" s="41"/>
    </row>
    <row r="41" spans="2:14">
      <c r="B41" s="1395" t="s">
        <v>1266</v>
      </c>
      <c r="C41" s="41">
        <f>C39/C31</f>
        <v>2773311.1282466543</v>
      </c>
      <c r="D41" s="41">
        <f t="shared" ref="D41:G41" si="24">D39/D31</f>
        <v>3016071.7092855927</v>
      </c>
      <c r="E41" s="41">
        <f t="shared" si="24"/>
        <v>3071956.6685733134</v>
      </c>
      <c r="F41" s="41">
        <f t="shared" si="24"/>
        <v>3149862.71192327</v>
      </c>
      <c r="G41" s="41">
        <f t="shared" si="24"/>
        <v>3270953.2815246824</v>
      </c>
      <c r="H41" s="41"/>
      <c r="I41" s="41"/>
      <c r="J41" s="41"/>
      <c r="K41" s="41"/>
      <c r="L41" s="41"/>
      <c r="M41" s="41"/>
      <c r="N41" s="41"/>
    </row>
    <row r="42" spans="2:14">
      <c r="B42" s="1395"/>
      <c r="C42" s="875"/>
      <c r="D42" s="875"/>
      <c r="E42" s="875"/>
      <c r="F42" s="875"/>
      <c r="G42" s="875"/>
      <c r="H42" s="875"/>
      <c r="I42" s="875"/>
      <c r="J42" s="875"/>
      <c r="K42" s="875"/>
      <c r="L42" s="875"/>
      <c r="M42" s="875"/>
      <c r="N42" s="875"/>
    </row>
    <row r="43" spans="2:14">
      <c r="B43" s="1395"/>
      <c r="C43" s="875"/>
      <c r="D43" s="875"/>
      <c r="E43" s="875"/>
      <c r="F43" s="875"/>
      <c r="G43" s="875"/>
      <c r="H43" s="875"/>
      <c r="I43" s="875"/>
      <c r="J43" s="875"/>
      <c r="K43" s="875"/>
      <c r="L43" s="875"/>
      <c r="M43" s="875"/>
      <c r="N43" s="875"/>
    </row>
    <row r="44" spans="2:14">
      <c r="B44" s="1395"/>
      <c r="C44" s="875"/>
      <c r="D44" s="875"/>
      <c r="E44" s="875"/>
      <c r="F44" s="875"/>
      <c r="G44" s="875"/>
      <c r="H44" s="875"/>
      <c r="I44" s="875"/>
      <c r="J44" s="875"/>
      <c r="K44" s="875"/>
      <c r="L44" s="875"/>
      <c r="M44" s="875"/>
      <c r="N44" s="875"/>
    </row>
    <row r="45" spans="2:14">
      <c r="B45" s="139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2:14">
      <c r="B46" s="9"/>
      <c r="C46" s="158">
        <f>SUM(C16:G16)</f>
        <v>11272799535.09</v>
      </c>
      <c r="D46" s="9"/>
      <c r="E46" s="158"/>
      <c r="F46" s="9"/>
      <c r="G46" s="9"/>
      <c r="H46" s="9"/>
      <c r="I46" s="9"/>
      <c r="J46" s="9"/>
      <c r="K46" s="9"/>
      <c r="L46" s="9"/>
      <c r="M46" s="9"/>
      <c r="N46" s="9"/>
    </row>
    <row r="47" spans="2:14">
      <c r="B47" s="9"/>
      <c r="C47" s="158">
        <f>C46/3</f>
        <v>3757599845.0300002</v>
      </c>
      <c r="D47" s="9"/>
      <c r="E47" s="158"/>
      <c r="F47" s="9"/>
      <c r="G47" s="9"/>
      <c r="H47" s="9"/>
      <c r="I47" s="9"/>
      <c r="J47" s="9"/>
      <c r="K47" s="9"/>
      <c r="L47" s="9"/>
      <c r="M47" s="9"/>
      <c r="N47" s="9"/>
    </row>
    <row r="48" spans="2:14">
      <c r="B48" s="9" t="s">
        <v>1249</v>
      </c>
      <c r="C48" s="158">
        <f>C47*12</f>
        <v>45091198140.360001</v>
      </c>
      <c r="D48" s="9"/>
      <c r="E48" s="158"/>
      <c r="F48" s="9"/>
      <c r="G48" s="9"/>
      <c r="H48" s="9"/>
      <c r="I48" s="9"/>
      <c r="J48" s="9"/>
      <c r="K48" s="9"/>
      <c r="L48" s="9"/>
      <c r="M48" s="9"/>
      <c r="N48" s="9"/>
    </row>
    <row r="49" spans="2:14">
      <c r="B49" s="9" t="s">
        <v>1250</v>
      </c>
      <c r="C49" s="41">
        <f>C47*3</f>
        <v>11272799535.09</v>
      </c>
      <c r="D49" s="9"/>
      <c r="E49" s="41"/>
      <c r="F49" s="9"/>
      <c r="G49" s="9"/>
      <c r="H49" s="9"/>
      <c r="I49" s="9"/>
      <c r="J49" s="9"/>
      <c r="K49" s="9"/>
      <c r="L49" s="9"/>
      <c r="M49" s="9"/>
      <c r="N49" s="9"/>
    </row>
    <row r="50" spans="2:14">
      <c r="B50" s="9" t="s">
        <v>1251</v>
      </c>
      <c r="C50" s="158">
        <f>C47*2</f>
        <v>7515199690.0600004</v>
      </c>
      <c r="D50" s="9"/>
      <c r="E50" s="158"/>
      <c r="F50" s="9"/>
      <c r="G50" s="9"/>
      <c r="H50" s="9"/>
      <c r="I50" s="9"/>
      <c r="J50" s="9"/>
      <c r="K50" s="9"/>
      <c r="L50" s="9"/>
      <c r="M50" s="9"/>
      <c r="N50" s="9"/>
    </row>
    <row r="51" spans="2:14">
      <c r="B51" s="9"/>
      <c r="C51" s="158">
        <f>(C48+C49)-C50</f>
        <v>48848797985.389999</v>
      </c>
      <c r="D51" s="9"/>
      <c r="E51" s="158"/>
      <c r="F51" s="9"/>
      <c r="G51" s="9"/>
      <c r="H51" s="9"/>
      <c r="I51" s="9"/>
      <c r="J51" s="9"/>
      <c r="K51" s="9"/>
      <c r="L51" s="9"/>
      <c r="M51" s="9"/>
      <c r="N51" s="9"/>
    </row>
    <row r="52" spans="2:14">
      <c r="B52" s="9" t="s">
        <v>1252</v>
      </c>
      <c r="C52" s="41">
        <v>1900000000</v>
      </c>
      <c r="D52" s="9"/>
      <c r="E52" s="41"/>
      <c r="F52" s="9"/>
      <c r="G52" s="9"/>
      <c r="H52" s="9"/>
      <c r="I52" s="9"/>
      <c r="J52" s="9"/>
      <c r="K52" s="9"/>
      <c r="L52" s="9"/>
      <c r="M52" s="9"/>
      <c r="N52" s="9"/>
    </row>
    <row r="53" spans="2:14">
      <c r="B53" s="9" t="s">
        <v>1253</v>
      </c>
      <c r="C53" s="41">
        <v>2000000000</v>
      </c>
      <c r="D53" s="9"/>
      <c r="E53" s="41"/>
      <c r="F53" s="9"/>
      <c r="G53" s="9"/>
      <c r="H53" s="9"/>
      <c r="I53" s="9"/>
      <c r="J53" s="9"/>
      <c r="K53" s="9"/>
      <c r="L53" s="9"/>
      <c r="M53" s="9"/>
      <c r="N53" s="9"/>
    </row>
    <row r="54" spans="2:14">
      <c r="B54" s="9"/>
      <c r="C54" s="158">
        <f>(C51+C53)-C52</f>
        <v>48948797985.389999</v>
      </c>
      <c r="D54" s="9"/>
      <c r="E54" s="158"/>
      <c r="F54" s="9"/>
      <c r="G54" s="9"/>
      <c r="H54" s="9"/>
      <c r="I54" s="9"/>
      <c r="J54" s="9"/>
      <c r="K54" s="9"/>
      <c r="L54" s="9"/>
      <c r="M54" s="9"/>
      <c r="N54" s="9"/>
    </row>
  </sheetData>
  <mergeCells count="3">
    <mergeCell ref="B2:H2"/>
    <mergeCell ref="A16:B16"/>
    <mergeCell ref="A29:B29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2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2:X27"/>
  <sheetViews>
    <sheetView topLeftCell="A4" zoomScale="85" zoomScaleNormal="85" workbookViewId="0">
      <pane xSplit="2" ySplit="3" topLeftCell="P7" activePane="bottomRight" state="frozen"/>
      <selection activeCell="A4" sqref="A4"/>
      <selection pane="topRight" activeCell="C4" sqref="C4"/>
      <selection pane="bottomLeft" activeCell="A7" sqref="A7"/>
      <selection pane="bottomRight" activeCell="T26" sqref="T26"/>
    </sheetView>
  </sheetViews>
  <sheetFormatPr defaultRowHeight="15"/>
  <cols>
    <col min="1" max="1" width="3.5703125" bestFit="1" customWidth="1"/>
    <col min="2" max="2" width="26" bestFit="1" customWidth="1"/>
    <col min="3" max="3" width="17.7109375" bestFit="1" customWidth="1"/>
    <col min="4" max="8" width="16.7109375" bestFit="1" customWidth="1"/>
    <col min="9" max="14" width="16.5703125" customWidth="1"/>
    <col min="15" max="15" width="18" bestFit="1" customWidth="1"/>
    <col min="16" max="16" width="10.42578125" customWidth="1"/>
    <col min="17" max="17" width="3.7109375" bestFit="1" customWidth="1"/>
    <col min="18" max="18" width="2.140625" bestFit="1" customWidth="1"/>
    <col min="19" max="19" width="16.28515625" bestFit="1" customWidth="1"/>
    <col min="20" max="20" width="20.5703125" customWidth="1"/>
    <col min="21" max="21" width="18.5703125" customWidth="1"/>
    <col min="22" max="22" width="18.85546875" bestFit="1" customWidth="1"/>
    <col min="23" max="23" width="10.85546875" bestFit="1" customWidth="1"/>
    <col min="24" max="24" width="23" bestFit="1" customWidth="1"/>
  </cols>
  <sheetData>
    <row r="2" spans="1:16" ht="15.75">
      <c r="B2" s="3335" t="s">
        <v>1248</v>
      </c>
      <c r="C2" s="3335"/>
      <c r="D2" s="3335"/>
      <c r="E2" s="3335"/>
      <c r="F2" s="3335"/>
      <c r="G2" s="3335"/>
      <c r="H2" s="3335"/>
      <c r="I2" s="2931"/>
      <c r="J2" s="2931"/>
      <c r="K2" s="2931"/>
      <c r="L2" s="2931"/>
      <c r="M2" s="2931"/>
      <c r="N2" s="2931"/>
    </row>
    <row r="3" spans="1:16" ht="15.75">
      <c r="B3" s="2931"/>
      <c r="C3" s="2931"/>
      <c r="D3" s="2931"/>
      <c r="E3" s="2931"/>
      <c r="F3" s="2931"/>
      <c r="G3" s="2931"/>
      <c r="H3" s="2931"/>
      <c r="I3" s="2931"/>
      <c r="J3" s="2931"/>
      <c r="K3" s="2931"/>
      <c r="L3" s="2931"/>
      <c r="M3" s="2931"/>
      <c r="N3" s="2931"/>
    </row>
    <row r="4" spans="1:16">
      <c r="B4" s="9">
        <v>2017</v>
      </c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</row>
    <row r="5" spans="1:16">
      <c r="A5" s="1426" t="s">
        <v>1365</v>
      </c>
      <c r="B5" s="1427" t="s">
        <v>1245</v>
      </c>
      <c r="C5" s="1419" t="s">
        <v>1236</v>
      </c>
      <c r="D5" s="1419" t="s">
        <v>1237</v>
      </c>
      <c r="E5" s="1419" t="s">
        <v>1238</v>
      </c>
      <c r="F5" s="1419" t="s">
        <v>1246</v>
      </c>
      <c r="G5" s="1419" t="s">
        <v>1247</v>
      </c>
      <c r="H5" s="1419" t="s">
        <v>1363</v>
      </c>
      <c r="I5" s="1419" t="s">
        <v>1366</v>
      </c>
      <c r="J5" s="1419" t="s">
        <v>1367</v>
      </c>
      <c r="K5" s="1419" t="s">
        <v>1368</v>
      </c>
      <c r="L5" s="1419" t="s">
        <v>1369</v>
      </c>
      <c r="M5" s="1419" t="s">
        <v>1370</v>
      </c>
      <c r="N5" s="1419" t="s">
        <v>1371</v>
      </c>
      <c r="O5" s="1419" t="s">
        <v>1372</v>
      </c>
    </row>
    <row r="6" spans="1:16">
      <c r="A6" s="1425">
        <v>1</v>
      </c>
      <c r="B6" s="1420" t="s">
        <v>1244</v>
      </c>
      <c r="C6" s="1421">
        <f t="shared" ref="C6:N6" si="0">SUM(C7:C7)</f>
        <v>2305170000</v>
      </c>
      <c r="D6" s="1421">
        <f t="shared" si="0"/>
        <v>2202322100</v>
      </c>
      <c r="E6" s="1421">
        <f t="shared" si="0"/>
        <v>2377199300</v>
      </c>
      <c r="F6" s="1421">
        <f t="shared" si="0"/>
        <v>2055024300</v>
      </c>
      <c r="G6" s="1421">
        <f t="shared" si="0"/>
        <v>1469215300</v>
      </c>
      <c r="H6" s="1421">
        <f t="shared" si="0"/>
        <v>1890485800</v>
      </c>
      <c r="I6" s="1421">
        <f t="shared" si="0"/>
        <v>1863167400</v>
      </c>
      <c r="J6" s="1421">
        <f t="shared" si="0"/>
        <v>2078014600</v>
      </c>
      <c r="K6" s="1421">
        <f t="shared" si="0"/>
        <v>2095625900</v>
      </c>
      <c r="L6" s="1421">
        <f t="shared" si="0"/>
        <v>2483366600</v>
      </c>
      <c r="M6" s="1421">
        <f t="shared" si="0"/>
        <v>2876571100</v>
      </c>
      <c r="N6" s="1421">
        <f t="shared" si="0"/>
        <v>2959389213</v>
      </c>
      <c r="O6" s="1428">
        <f>SUM(C6:N6)</f>
        <v>26655551613</v>
      </c>
    </row>
    <row r="7" spans="1:16">
      <c r="A7" s="1424"/>
      <c r="B7" s="474" t="s">
        <v>2150</v>
      </c>
      <c r="C7" s="471">
        <v>2305170000</v>
      </c>
      <c r="D7" s="471">
        <v>2202322100</v>
      </c>
      <c r="E7" s="471">
        <f>2100765400+276433900</f>
        <v>2377199300</v>
      </c>
      <c r="F7" s="471">
        <v>2055024300</v>
      </c>
      <c r="G7" s="471">
        <v>1469215300</v>
      </c>
      <c r="H7" s="471">
        <f>1278280500+612205300</f>
        <v>1890485800</v>
      </c>
      <c r="I7" s="471">
        <v>1863167400</v>
      </c>
      <c r="J7" s="471">
        <v>2078014600</v>
      </c>
      <c r="K7" s="471">
        <v>2095625900</v>
      </c>
      <c r="L7" s="471">
        <v>2483366600</v>
      </c>
      <c r="M7" s="471">
        <v>2876571100</v>
      </c>
      <c r="N7" s="471">
        <v>2959389213</v>
      </c>
      <c r="O7" s="1391">
        <f>SUM(C7:N7)</f>
        <v>26655551613</v>
      </c>
    </row>
    <row r="8" spans="1:16">
      <c r="A8" s="1425">
        <v>2</v>
      </c>
      <c r="B8" s="1422" t="s">
        <v>1243</v>
      </c>
      <c r="C8" s="1421">
        <f>SUM(C9:C10)</f>
        <v>125610830.03999999</v>
      </c>
      <c r="D8" s="1421">
        <f t="shared" ref="D8:N8" si="1">SUM(D9:D10)</f>
        <v>132199786.89</v>
      </c>
      <c r="E8" s="1421">
        <f t="shared" si="1"/>
        <v>66698800</v>
      </c>
      <c r="F8" s="1421">
        <f t="shared" si="1"/>
        <v>72389155.180000007</v>
      </c>
      <c r="G8" s="1421">
        <f t="shared" si="1"/>
        <v>52376450.979999997</v>
      </c>
      <c r="H8" s="1421">
        <f t="shared" si="1"/>
        <v>64340745.25</v>
      </c>
      <c r="I8" s="1421">
        <f t="shared" si="1"/>
        <v>74923756.260000005</v>
      </c>
      <c r="J8" s="1421">
        <f t="shared" si="1"/>
        <v>90649831.689999998</v>
      </c>
      <c r="K8" s="1421">
        <f t="shared" si="1"/>
        <v>79820671.030000001</v>
      </c>
      <c r="L8" s="1421">
        <f t="shared" si="1"/>
        <v>117657132.09999999</v>
      </c>
      <c r="M8" s="1421">
        <f t="shared" si="1"/>
        <v>99572364.840000004</v>
      </c>
      <c r="N8" s="1421">
        <f t="shared" si="1"/>
        <v>66600917.579999998</v>
      </c>
      <c r="O8" s="1428">
        <f>SUM(C8:N8)</f>
        <v>1042840441.84</v>
      </c>
    </row>
    <row r="9" spans="1:16">
      <c r="A9" s="1424"/>
      <c r="B9" s="474" t="s">
        <v>1242</v>
      </c>
      <c r="C9" s="471">
        <v>106771200</v>
      </c>
      <c r="D9" s="471">
        <v>64865200</v>
      </c>
      <c r="E9" s="471">
        <v>62106500</v>
      </c>
      <c r="F9" s="471">
        <v>65813500</v>
      </c>
      <c r="G9" s="471">
        <v>48449000</v>
      </c>
      <c r="H9" s="471">
        <v>51031500</v>
      </c>
      <c r="I9" s="471">
        <v>71768000</v>
      </c>
      <c r="J9" s="471">
        <v>58221000</v>
      </c>
      <c r="K9" s="471">
        <v>57194000</v>
      </c>
      <c r="L9" s="471">
        <v>110803000</v>
      </c>
      <c r="M9" s="471">
        <v>52214000</v>
      </c>
      <c r="N9" s="471">
        <v>60123000</v>
      </c>
      <c r="O9" s="1391">
        <f>SUM(C9:N9)</f>
        <v>809359900</v>
      </c>
    </row>
    <row r="10" spans="1:16">
      <c r="A10" s="1424"/>
      <c r="B10" s="474" t="s">
        <v>1241</v>
      </c>
      <c r="C10" s="471">
        <v>18839630.039999999</v>
      </c>
      <c r="D10" s="471">
        <v>67334586.890000001</v>
      </c>
      <c r="E10" s="471">
        <v>4592300</v>
      </c>
      <c r="F10" s="471">
        <v>6575655.1799999997</v>
      </c>
      <c r="G10" s="471">
        <v>3927450.98</v>
      </c>
      <c r="H10" s="471">
        <v>13309245.25</v>
      </c>
      <c r="I10" s="471">
        <v>3155756.26</v>
      </c>
      <c r="J10" s="471">
        <v>32428831.690000001</v>
      </c>
      <c r="K10" s="471">
        <v>22626671.030000001</v>
      </c>
      <c r="L10" s="471">
        <v>6854132.0999999996</v>
      </c>
      <c r="M10" s="471">
        <v>47358364.840000004</v>
      </c>
      <c r="N10" s="471">
        <v>6477917.5800000001</v>
      </c>
      <c r="O10" s="1391">
        <f>SUM(C10:N10)</f>
        <v>233480541.84000003</v>
      </c>
    </row>
    <row r="11" spans="1:16" s="2933" customFormat="1">
      <c r="A11" s="1425">
        <v>3</v>
      </c>
      <c r="B11" s="1420" t="s">
        <v>2149</v>
      </c>
      <c r="C11" s="1421">
        <v>4741405</v>
      </c>
      <c r="D11" s="1421">
        <v>10075020</v>
      </c>
      <c r="E11" s="1421">
        <v>9768853</v>
      </c>
      <c r="F11" s="1421">
        <v>12157487</v>
      </c>
      <c r="G11" s="1421">
        <v>16729847</v>
      </c>
      <c r="H11" s="1421">
        <v>13575747</v>
      </c>
      <c r="I11" s="1421">
        <v>12520249</v>
      </c>
      <c r="J11" s="1421">
        <v>8448159</v>
      </c>
      <c r="K11" s="1421">
        <v>3249954</v>
      </c>
      <c r="L11" s="1421">
        <v>7478131</v>
      </c>
      <c r="M11" s="1421">
        <v>9489978</v>
      </c>
      <c r="N11" s="1421">
        <v>7758585</v>
      </c>
      <c r="O11" s="1428">
        <f t="shared" ref="O11" si="2">SUM(C11:N11)</f>
        <v>115993415</v>
      </c>
    </row>
    <row r="12" spans="1:16">
      <c r="A12" s="1425">
        <v>4</v>
      </c>
      <c r="B12" s="1422" t="s">
        <v>1364</v>
      </c>
      <c r="C12" s="1421">
        <v>8448000</v>
      </c>
      <c r="D12" s="1421">
        <v>3924000</v>
      </c>
      <c r="E12" s="1421">
        <v>13326000</v>
      </c>
      <c r="F12" s="1421">
        <v>7950000</v>
      </c>
      <c r="G12" s="1421">
        <v>5820000</v>
      </c>
      <c r="H12" s="1421">
        <v>13622000</v>
      </c>
      <c r="I12" s="1421">
        <v>6580000</v>
      </c>
      <c r="J12" s="1421">
        <v>5985000</v>
      </c>
      <c r="K12" s="1421">
        <v>4785000</v>
      </c>
      <c r="L12" s="1421">
        <v>1575000</v>
      </c>
      <c r="M12" s="1421">
        <v>22015000</v>
      </c>
      <c r="N12" s="1421">
        <v>20496000</v>
      </c>
      <c r="O12" s="1428">
        <f>SUM(C12:N12)</f>
        <v>114526000</v>
      </c>
    </row>
    <row r="13" spans="1:16">
      <c r="A13" s="3696" t="s">
        <v>265</v>
      </c>
      <c r="B13" s="3697"/>
      <c r="C13" s="1423">
        <f t="shared" ref="C13:N13" si="3">C6+C11+C12+C8</f>
        <v>2443970235.04</v>
      </c>
      <c r="D13" s="1423">
        <f t="shared" si="3"/>
        <v>2348520906.8899999</v>
      </c>
      <c r="E13" s="1423">
        <f t="shared" si="3"/>
        <v>2466992953</v>
      </c>
      <c r="F13" s="1423">
        <f t="shared" si="3"/>
        <v>2147520942.1799998</v>
      </c>
      <c r="G13" s="1423">
        <f t="shared" si="3"/>
        <v>1544141597.98</v>
      </c>
      <c r="H13" s="1423">
        <f t="shared" si="3"/>
        <v>1982024292.25</v>
      </c>
      <c r="I13" s="1423">
        <f t="shared" si="3"/>
        <v>1957191405.26</v>
      </c>
      <c r="J13" s="1423">
        <f t="shared" si="3"/>
        <v>2183097590.6900001</v>
      </c>
      <c r="K13" s="1423">
        <f t="shared" si="3"/>
        <v>2183481525.0300002</v>
      </c>
      <c r="L13" s="1423">
        <f t="shared" si="3"/>
        <v>2610076863.0999999</v>
      </c>
      <c r="M13" s="1423">
        <f t="shared" si="3"/>
        <v>3007648442.8400002</v>
      </c>
      <c r="N13" s="1423">
        <f t="shared" si="3"/>
        <v>3054244715.5799999</v>
      </c>
      <c r="O13" s="1423">
        <f>O6+O12+O8</f>
        <v>27812918054.84</v>
      </c>
      <c r="P13" s="1390"/>
    </row>
    <row r="14" spans="1:16" s="2446" customFormat="1">
      <c r="A14" s="2444"/>
      <c r="B14" s="2932"/>
      <c r="C14" s="2445"/>
      <c r="D14" s="2445"/>
      <c r="E14" s="2445"/>
      <c r="F14" s="2445"/>
      <c r="G14" s="2445"/>
      <c r="H14" s="2445"/>
      <c r="I14" s="2445"/>
      <c r="J14" s="2445"/>
      <c r="K14" s="2445"/>
      <c r="L14" s="2445"/>
      <c r="M14" s="2445"/>
      <c r="N14" s="2445"/>
      <c r="O14" s="2445"/>
    </row>
    <row r="17" spans="1:24">
      <c r="B17">
        <v>2018</v>
      </c>
    </row>
    <row r="18" spans="1:24" ht="31.5">
      <c r="A18" s="1426" t="s">
        <v>1365</v>
      </c>
      <c r="B18" s="1427" t="s">
        <v>1245</v>
      </c>
      <c r="C18" s="1419" t="s">
        <v>1236</v>
      </c>
      <c r="D18" s="1419" t="s">
        <v>1237</v>
      </c>
      <c r="E18" s="1419" t="s">
        <v>1238</v>
      </c>
      <c r="F18" s="1419" t="s">
        <v>1246</v>
      </c>
      <c r="G18" s="1419" t="s">
        <v>1247</v>
      </c>
      <c r="H18" s="1419" t="s">
        <v>1363</v>
      </c>
      <c r="I18" s="1419" t="s">
        <v>1366</v>
      </c>
      <c r="J18" s="1419" t="s">
        <v>1367</v>
      </c>
      <c r="K18" s="1419" t="s">
        <v>1368</v>
      </c>
      <c r="L18" s="1419" t="s">
        <v>1369</v>
      </c>
      <c r="M18" s="1419" t="s">
        <v>1370</v>
      </c>
      <c r="N18" s="1419" t="s">
        <v>1371</v>
      </c>
      <c r="O18" s="1419" t="s">
        <v>1372</v>
      </c>
      <c r="Q18" s="2934" t="s">
        <v>1365</v>
      </c>
      <c r="R18" s="3698" t="s">
        <v>2151</v>
      </c>
      <c r="S18" s="3699"/>
      <c r="T18" s="2934" t="s">
        <v>2152</v>
      </c>
      <c r="U18" s="2934" t="s">
        <v>2153</v>
      </c>
      <c r="V18" s="2934" t="s">
        <v>2160</v>
      </c>
      <c r="W18" s="2934" t="s">
        <v>2161</v>
      </c>
      <c r="X18" s="2934" t="s">
        <v>972</v>
      </c>
    </row>
    <row r="19" spans="1:24" ht="15.75">
      <c r="A19" s="1425">
        <v>1</v>
      </c>
      <c r="B19" s="1420" t="s">
        <v>1244</v>
      </c>
      <c r="C19" s="1421">
        <f t="shared" ref="C19:N19" si="4">SUM(C20:C20)</f>
        <v>2556913000</v>
      </c>
      <c r="D19" s="1421">
        <f t="shared" si="4"/>
        <v>0</v>
      </c>
      <c r="E19" s="1421">
        <f t="shared" si="4"/>
        <v>0</v>
      </c>
      <c r="F19" s="1421">
        <f t="shared" si="4"/>
        <v>0</v>
      </c>
      <c r="G19" s="1421">
        <f t="shared" si="4"/>
        <v>0</v>
      </c>
      <c r="H19" s="1421">
        <f t="shared" si="4"/>
        <v>0</v>
      </c>
      <c r="I19" s="1421">
        <f t="shared" si="4"/>
        <v>0</v>
      </c>
      <c r="J19" s="1421">
        <f t="shared" si="4"/>
        <v>0</v>
      </c>
      <c r="K19" s="1421">
        <f t="shared" si="4"/>
        <v>0</v>
      </c>
      <c r="L19" s="1421">
        <f t="shared" si="4"/>
        <v>0</v>
      </c>
      <c r="M19" s="1421">
        <f t="shared" si="4"/>
        <v>0</v>
      </c>
      <c r="N19" s="1421">
        <f t="shared" si="4"/>
        <v>0</v>
      </c>
      <c r="O19" s="1428">
        <f>SUM(C19:N19)</f>
        <v>2556913000</v>
      </c>
      <c r="Q19" s="2935" t="s">
        <v>869</v>
      </c>
      <c r="R19" s="3700" t="s">
        <v>2154</v>
      </c>
      <c r="S19" s="3701"/>
      <c r="T19" s="2936">
        <f>SUM(T20:T21)</f>
        <v>24255932342</v>
      </c>
      <c r="U19" s="2936">
        <f>SUM(U20:U21)</f>
        <v>27455000000</v>
      </c>
      <c r="V19" s="2936">
        <f>SUM(V20:V21)</f>
        <v>11261520176</v>
      </c>
      <c r="W19" s="2947">
        <f>V19/U19</f>
        <v>0.41018102990347843</v>
      </c>
      <c r="X19" s="2306"/>
    </row>
    <row r="20" spans="1:24" ht="15.75">
      <c r="A20" s="1424"/>
      <c r="B20" s="474" t="s">
        <v>2150</v>
      </c>
      <c r="C20" s="471">
        <v>2556913000</v>
      </c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1391">
        <f>SUM(C20:N20)</f>
        <v>2556913000</v>
      </c>
      <c r="Q20" s="2937"/>
      <c r="R20" s="2938">
        <v>1</v>
      </c>
      <c r="S20" s="2939" t="s">
        <v>2155</v>
      </c>
      <c r="T20" s="2940">
        <v>23170380259</v>
      </c>
      <c r="U20" s="2941">
        <v>26255000000</v>
      </c>
      <c r="V20" s="2441">
        <v>10904448656</v>
      </c>
      <c r="W20" s="2948">
        <f>V20/U20</f>
        <v>0.41532845766520665</v>
      </c>
      <c r="X20" s="2306" t="s">
        <v>2162</v>
      </c>
    </row>
    <row r="21" spans="1:24" ht="15.75">
      <c r="A21" s="1425">
        <v>2</v>
      </c>
      <c r="B21" s="1422" t="s">
        <v>1243</v>
      </c>
      <c r="C21" s="1421">
        <f>SUM(C22:C23)</f>
        <v>149903904</v>
      </c>
      <c r="D21" s="1421">
        <f t="shared" ref="D21:N21" si="5">SUM(D22:D23)</f>
        <v>63805382</v>
      </c>
      <c r="E21" s="1421">
        <f t="shared" si="5"/>
        <v>75559799</v>
      </c>
      <c r="F21" s="1421">
        <f t="shared" si="5"/>
        <v>67802435</v>
      </c>
      <c r="G21" s="1421">
        <f t="shared" si="5"/>
        <v>0</v>
      </c>
      <c r="H21" s="1421">
        <f t="shared" si="5"/>
        <v>0</v>
      </c>
      <c r="I21" s="1421">
        <f t="shared" si="5"/>
        <v>0</v>
      </c>
      <c r="J21" s="1421">
        <f t="shared" si="5"/>
        <v>0</v>
      </c>
      <c r="K21" s="1421">
        <f t="shared" si="5"/>
        <v>0</v>
      </c>
      <c r="L21" s="1421">
        <f t="shared" si="5"/>
        <v>0</v>
      </c>
      <c r="M21" s="1421">
        <f t="shared" si="5"/>
        <v>0</v>
      </c>
      <c r="N21" s="1421">
        <f t="shared" si="5"/>
        <v>0</v>
      </c>
      <c r="O21" s="1428">
        <f>SUM(C21:N21)</f>
        <v>357071520</v>
      </c>
      <c r="Q21" s="2937"/>
      <c r="R21" s="2938">
        <v>2</v>
      </c>
      <c r="S21" s="2939" t="s">
        <v>2156</v>
      </c>
      <c r="T21" s="2941">
        <v>1085552083</v>
      </c>
      <c r="U21" s="2941">
        <v>1200000000</v>
      </c>
      <c r="V21" s="2441">
        <v>357071520</v>
      </c>
      <c r="W21" s="2948">
        <f>V21/U21</f>
        <v>0.29755959999999998</v>
      </c>
      <c r="X21" s="2306" t="s">
        <v>2163</v>
      </c>
    </row>
    <row r="22" spans="1:24" ht="15.75">
      <c r="A22" s="1424"/>
      <c r="B22" s="474" t="s">
        <v>1242</v>
      </c>
      <c r="C22" s="471">
        <v>69429400</v>
      </c>
      <c r="D22" s="471">
        <v>55313100</v>
      </c>
      <c r="E22" s="471">
        <v>57900000</v>
      </c>
      <c r="F22" s="471">
        <v>58393500</v>
      </c>
      <c r="G22" s="471"/>
      <c r="H22" s="471"/>
      <c r="I22" s="471"/>
      <c r="J22" s="471"/>
      <c r="K22" s="471"/>
      <c r="L22" s="471"/>
      <c r="M22" s="471"/>
      <c r="N22" s="471"/>
      <c r="O22" s="1391">
        <f>SUM(C22:N22)</f>
        <v>241036000</v>
      </c>
      <c r="Q22" s="2942" t="s">
        <v>870</v>
      </c>
      <c r="R22" s="3700" t="s">
        <v>2157</v>
      </c>
      <c r="S22" s="3701"/>
      <c r="T22" s="2936">
        <v>5264857547</v>
      </c>
      <c r="U22" s="2943">
        <v>9945500000</v>
      </c>
      <c r="V22" s="2306"/>
      <c r="W22" s="2306"/>
      <c r="X22" s="2306"/>
    </row>
    <row r="23" spans="1:24" ht="15.75">
      <c r="A23" s="1424"/>
      <c r="B23" s="474" t="s">
        <v>1241</v>
      </c>
      <c r="C23" s="471">
        <f>9738000+1736504+69000000</f>
        <v>80474504</v>
      </c>
      <c r="D23" s="471">
        <f>3679000+4813282</f>
        <v>8492282</v>
      </c>
      <c r="E23" s="471">
        <f>10983000+6676799</f>
        <v>17659799</v>
      </c>
      <c r="F23" s="471">
        <f>2186000+7222935</f>
        <v>9408935</v>
      </c>
      <c r="G23" s="471"/>
      <c r="H23" s="471"/>
      <c r="I23" s="471"/>
      <c r="J23" s="471"/>
      <c r="K23" s="471"/>
      <c r="L23" s="471"/>
      <c r="M23" s="471"/>
      <c r="N23" s="471"/>
      <c r="O23" s="1391">
        <f>SUM(C23:N23)</f>
        <v>116035520</v>
      </c>
      <c r="Q23" s="2935" t="s">
        <v>2158</v>
      </c>
      <c r="R23" s="3700" t="s">
        <v>2159</v>
      </c>
      <c r="S23" s="3701"/>
      <c r="T23" s="2944">
        <v>62833040115</v>
      </c>
      <c r="U23" s="2945">
        <v>54634102518</v>
      </c>
      <c r="V23" s="2306"/>
      <c r="W23" s="2306"/>
      <c r="X23" s="2306"/>
    </row>
    <row r="24" spans="1:24" s="2933" customFormat="1" ht="15.75">
      <c r="A24" s="1425">
        <v>3</v>
      </c>
      <c r="B24" s="1420" t="s">
        <v>2149</v>
      </c>
      <c r="C24" s="1421"/>
      <c r="D24" s="1421"/>
      <c r="E24" s="1421"/>
      <c r="F24" s="1421"/>
      <c r="G24" s="1421"/>
      <c r="H24" s="1421"/>
      <c r="I24" s="1421"/>
      <c r="J24" s="1421"/>
      <c r="K24" s="1421"/>
      <c r="L24" s="1421"/>
      <c r="M24" s="1421"/>
      <c r="N24" s="1421"/>
      <c r="O24" s="1428">
        <f t="shared" ref="O24" si="6">SUM(C24:N24)</f>
        <v>0</v>
      </c>
      <c r="Q24" s="2934"/>
      <c r="R24" s="3702" t="s">
        <v>30</v>
      </c>
      <c r="S24" s="3703"/>
      <c r="T24" s="2946">
        <f>T19+T22+T23</f>
        <v>92353830004</v>
      </c>
      <c r="U24" s="2946">
        <f>U19+U22+U23</f>
        <v>92034602518</v>
      </c>
      <c r="V24" s="2946">
        <f>V19+V22+V23</f>
        <v>11261520176</v>
      </c>
      <c r="W24" s="2946"/>
      <c r="X24" s="2946"/>
    </row>
    <row r="25" spans="1:24">
      <c r="A25" s="1425">
        <v>4</v>
      </c>
      <c r="B25" s="1422" t="s">
        <v>1364</v>
      </c>
      <c r="C25" s="1421"/>
      <c r="D25" s="1421"/>
      <c r="E25" s="1421"/>
      <c r="F25" s="1421"/>
      <c r="G25" s="1421"/>
      <c r="H25" s="1421"/>
      <c r="I25" s="1421"/>
      <c r="J25" s="1421"/>
      <c r="K25" s="1421"/>
      <c r="L25" s="1421"/>
      <c r="M25" s="1421"/>
      <c r="N25" s="1421"/>
      <c r="O25" s="1428">
        <f>SUM(C25:N25)</f>
        <v>0</v>
      </c>
    </row>
    <row r="26" spans="1:24">
      <c r="A26" s="3696" t="s">
        <v>265</v>
      </c>
      <c r="B26" s="3697"/>
      <c r="C26" s="1423">
        <f t="shared" ref="C26:N26" si="7">C19+C24+C25+C21</f>
        <v>2706816904</v>
      </c>
      <c r="D26" s="1423">
        <f t="shared" si="7"/>
        <v>63805382</v>
      </c>
      <c r="E26" s="1423">
        <f t="shared" si="7"/>
        <v>75559799</v>
      </c>
      <c r="F26" s="1423">
        <f t="shared" si="7"/>
        <v>67802435</v>
      </c>
      <c r="G26" s="1423">
        <f t="shared" si="7"/>
        <v>0</v>
      </c>
      <c r="H26" s="1423">
        <f t="shared" si="7"/>
        <v>0</v>
      </c>
      <c r="I26" s="1423">
        <f t="shared" si="7"/>
        <v>0</v>
      </c>
      <c r="J26" s="1423">
        <f t="shared" si="7"/>
        <v>0</v>
      </c>
      <c r="K26" s="1423">
        <f t="shared" si="7"/>
        <v>0</v>
      </c>
      <c r="L26" s="1423">
        <f t="shared" si="7"/>
        <v>0</v>
      </c>
      <c r="M26" s="1423">
        <f t="shared" si="7"/>
        <v>0</v>
      </c>
      <c r="N26" s="1423">
        <f t="shared" si="7"/>
        <v>0</v>
      </c>
      <c r="O26" s="1423">
        <f>O19+O25+O21</f>
        <v>2913984520</v>
      </c>
      <c r="P26" s="1390"/>
    </row>
    <row r="27" spans="1:24" s="2446" customFormat="1">
      <c r="A27" s="2444"/>
      <c r="B27" s="2932"/>
      <c r="C27" s="2445"/>
      <c r="D27" s="2445"/>
      <c r="E27" s="2445"/>
      <c r="F27" s="2445"/>
      <c r="G27" s="2445"/>
      <c r="H27" s="2445"/>
      <c r="I27" s="2445"/>
      <c r="J27" s="2445"/>
      <c r="K27" s="2445"/>
      <c r="L27" s="2445"/>
      <c r="M27" s="2445"/>
      <c r="N27" s="2445"/>
      <c r="O27" s="2445"/>
    </row>
  </sheetData>
  <mergeCells count="8">
    <mergeCell ref="B2:H2"/>
    <mergeCell ref="A13:B13"/>
    <mergeCell ref="A26:B26"/>
    <mergeCell ref="R18:S18"/>
    <mergeCell ref="R19:S19"/>
    <mergeCell ref="R22:S22"/>
    <mergeCell ref="R23:S23"/>
    <mergeCell ref="R24:S24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2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Z144"/>
  <sheetViews>
    <sheetView view="pageBreakPreview" topLeftCell="A29" zoomScaleSheetLayoutView="100" workbookViewId="0">
      <selection activeCell="B58" sqref="B58:P58"/>
    </sheetView>
  </sheetViews>
  <sheetFormatPr defaultRowHeight="15"/>
  <cols>
    <col min="1" max="1" width="10.85546875" style="1259" customWidth="1"/>
    <col min="2" max="2" width="1.7109375" style="1259" customWidth="1"/>
    <col min="3" max="3" width="1.5703125" style="1259" bestFit="1" customWidth="1"/>
    <col min="4" max="4" width="1.7109375" style="1259" customWidth="1"/>
    <col min="5" max="6" width="2.7109375" style="1259" customWidth="1"/>
    <col min="7" max="7" width="2.140625" style="1259" customWidth="1"/>
    <col min="8" max="8" width="2.7109375" style="1259" customWidth="1"/>
    <col min="9" max="9" width="3.5703125" style="1259" customWidth="1"/>
    <col min="10" max="10" width="2.140625" style="1259" customWidth="1"/>
    <col min="11" max="11" width="4" style="1259" customWidth="1"/>
    <col min="12" max="12" width="1.7109375" style="1259" customWidth="1"/>
    <col min="13" max="13" width="2.7109375" style="1259" customWidth="1"/>
    <col min="14" max="14" width="2.28515625" style="1259" customWidth="1"/>
    <col min="15" max="15" width="3.140625" style="1259" customWidth="1"/>
    <col min="16" max="16" width="7" style="1259" customWidth="1"/>
    <col min="17" max="17" width="2.7109375" style="1259" customWidth="1"/>
    <col min="18" max="18" width="2.85546875" style="1259" customWidth="1"/>
    <col min="19" max="19" width="3" style="1259" customWidth="1"/>
    <col min="20" max="21" width="2.7109375" style="1259" customWidth="1"/>
    <col min="22" max="22" width="1.7109375" style="1259" customWidth="1"/>
    <col min="23" max="25" width="2.7109375" style="1259" customWidth="1"/>
    <col min="26" max="26" width="2.28515625" style="1259" customWidth="1"/>
    <col min="27" max="27" width="1.7109375" style="1259" customWidth="1"/>
    <col min="28" max="29" width="2.7109375" style="1259" customWidth="1"/>
    <col min="30" max="30" width="1.85546875" style="1259" customWidth="1"/>
    <col min="31" max="31" width="2.7109375" style="1259" customWidth="1"/>
    <col min="32" max="32" width="1.5703125" style="1259" customWidth="1"/>
    <col min="33" max="33" width="2.42578125" style="1259" customWidth="1"/>
    <col min="34" max="34" width="23" style="1256" bestFit="1" customWidth="1"/>
    <col min="35" max="41" width="2.7109375" style="1257" customWidth="1"/>
    <col min="42" max="43" width="2.7109375" style="1256" customWidth="1"/>
    <col min="44" max="47" width="2.7109375" style="1257" customWidth="1"/>
    <col min="48" max="48" width="13.85546875" style="1258" bestFit="1" customWidth="1"/>
    <col min="49" max="49" width="8.7109375" style="1258" bestFit="1" customWidth="1"/>
    <col min="50" max="50" width="6.85546875" style="1259" bestFit="1" customWidth="1"/>
    <col min="51" max="51" width="9.5703125" style="1259" bestFit="1" customWidth="1"/>
    <col min="52" max="52" width="10.7109375" style="1259" bestFit="1" customWidth="1"/>
    <col min="53" max="256" width="9.140625" style="1259"/>
    <col min="257" max="257" width="10.85546875" style="1259" customWidth="1"/>
    <col min="258" max="258" width="1.7109375" style="1259" customWidth="1"/>
    <col min="259" max="259" width="1.5703125" style="1259" bestFit="1" customWidth="1"/>
    <col min="260" max="260" width="1.7109375" style="1259" customWidth="1"/>
    <col min="261" max="262" width="2.7109375" style="1259" customWidth="1"/>
    <col min="263" max="263" width="2.140625" style="1259" customWidth="1"/>
    <col min="264" max="264" width="2.7109375" style="1259" customWidth="1"/>
    <col min="265" max="265" width="3.5703125" style="1259" customWidth="1"/>
    <col min="266" max="266" width="2.140625" style="1259" customWidth="1"/>
    <col min="267" max="267" width="4" style="1259" customWidth="1"/>
    <col min="268" max="268" width="1.7109375" style="1259" customWidth="1"/>
    <col min="269" max="269" width="2.7109375" style="1259" customWidth="1"/>
    <col min="270" max="270" width="2.28515625" style="1259" customWidth="1"/>
    <col min="271" max="271" width="3.140625" style="1259" customWidth="1"/>
    <col min="272" max="272" width="7" style="1259" customWidth="1"/>
    <col min="273" max="274" width="2.7109375" style="1259" customWidth="1"/>
    <col min="275" max="275" width="1.85546875" style="1259" customWidth="1"/>
    <col min="276" max="277" width="2.7109375" style="1259" customWidth="1"/>
    <col min="278" max="278" width="1.7109375" style="1259" customWidth="1"/>
    <col min="279" max="281" width="2.7109375" style="1259" customWidth="1"/>
    <col min="282" max="282" width="2.28515625" style="1259" customWidth="1"/>
    <col min="283" max="283" width="1.7109375" style="1259" customWidth="1"/>
    <col min="284" max="285" width="2.7109375" style="1259" customWidth="1"/>
    <col min="286" max="286" width="1.85546875" style="1259" customWidth="1"/>
    <col min="287" max="287" width="2.7109375" style="1259" customWidth="1"/>
    <col min="288" max="288" width="1.5703125" style="1259" customWidth="1"/>
    <col min="289" max="289" width="2.42578125" style="1259" customWidth="1"/>
    <col min="290" max="303" width="2.7109375" style="1259" customWidth="1"/>
    <col min="304" max="304" width="13.85546875" style="1259" bestFit="1" customWidth="1"/>
    <col min="305" max="305" width="8.7109375" style="1259" bestFit="1" customWidth="1"/>
    <col min="306" max="306" width="6.85546875" style="1259" bestFit="1" customWidth="1"/>
    <col min="307" max="307" width="9.5703125" style="1259" bestFit="1" customWidth="1"/>
    <col min="308" max="308" width="10.7109375" style="1259" bestFit="1" customWidth="1"/>
    <col min="309" max="512" width="9.140625" style="1259"/>
    <col min="513" max="513" width="10.85546875" style="1259" customWidth="1"/>
    <col min="514" max="514" width="1.7109375" style="1259" customWidth="1"/>
    <col min="515" max="515" width="1.5703125" style="1259" bestFit="1" customWidth="1"/>
    <col min="516" max="516" width="1.7109375" style="1259" customWidth="1"/>
    <col min="517" max="518" width="2.7109375" style="1259" customWidth="1"/>
    <col min="519" max="519" width="2.140625" style="1259" customWidth="1"/>
    <col min="520" max="520" width="2.7109375" style="1259" customWidth="1"/>
    <col min="521" max="521" width="3.5703125" style="1259" customWidth="1"/>
    <col min="522" max="522" width="2.140625" style="1259" customWidth="1"/>
    <col min="523" max="523" width="4" style="1259" customWidth="1"/>
    <col min="524" max="524" width="1.7109375" style="1259" customWidth="1"/>
    <col min="525" max="525" width="2.7109375" style="1259" customWidth="1"/>
    <col min="526" max="526" width="2.28515625" style="1259" customWidth="1"/>
    <col min="527" max="527" width="3.140625" style="1259" customWidth="1"/>
    <col min="528" max="528" width="7" style="1259" customWidth="1"/>
    <col min="529" max="530" width="2.7109375" style="1259" customWidth="1"/>
    <col min="531" max="531" width="1.85546875" style="1259" customWidth="1"/>
    <col min="532" max="533" width="2.7109375" style="1259" customWidth="1"/>
    <col min="534" max="534" width="1.7109375" style="1259" customWidth="1"/>
    <col min="535" max="537" width="2.7109375" style="1259" customWidth="1"/>
    <col min="538" max="538" width="2.28515625" style="1259" customWidth="1"/>
    <col min="539" max="539" width="1.7109375" style="1259" customWidth="1"/>
    <col min="540" max="541" width="2.7109375" style="1259" customWidth="1"/>
    <col min="542" max="542" width="1.85546875" style="1259" customWidth="1"/>
    <col min="543" max="543" width="2.7109375" style="1259" customWidth="1"/>
    <col min="544" max="544" width="1.5703125" style="1259" customWidth="1"/>
    <col min="545" max="545" width="2.42578125" style="1259" customWidth="1"/>
    <col min="546" max="559" width="2.7109375" style="1259" customWidth="1"/>
    <col min="560" max="560" width="13.85546875" style="1259" bestFit="1" customWidth="1"/>
    <col min="561" max="561" width="8.7109375" style="1259" bestFit="1" customWidth="1"/>
    <col min="562" max="562" width="6.85546875" style="1259" bestFit="1" customWidth="1"/>
    <col min="563" max="563" width="9.5703125" style="1259" bestFit="1" customWidth="1"/>
    <col min="564" max="564" width="10.7109375" style="1259" bestFit="1" customWidth="1"/>
    <col min="565" max="768" width="9.140625" style="1259"/>
    <col min="769" max="769" width="10.85546875" style="1259" customWidth="1"/>
    <col min="770" max="770" width="1.7109375" style="1259" customWidth="1"/>
    <col min="771" max="771" width="1.5703125" style="1259" bestFit="1" customWidth="1"/>
    <col min="772" max="772" width="1.7109375" style="1259" customWidth="1"/>
    <col min="773" max="774" width="2.7109375" style="1259" customWidth="1"/>
    <col min="775" max="775" width="2.140625" style="1259" customWidth="1"/>
    <col min="776" max="776" width="2.7109375" style="1259" customWidth="1"/>
    <col min="777" max="777" width="3.5703125" style="1259" customWidth="1"/>
    <col min="778" max="778" width="2.140625" style="1259" customWidth="1"/>
    <col min="779" max="779" width="4" style="1259" customWidth="1"/>
    <col min="780" max="780" width="1.7109375" style="1259" customWidth="1"/>
    <col min="781" max="781" width="2.7109375" style="1259" customWidth="1"/>
    <col min="782" max="782" width="2.28515625" style="1259" customWidth="1"/>
    <col min="783" max="783" width="3.140625" style="1259" customWidth="1"/>
    <col min="784" max="784" width="7" style="1259" customWidth="1"/>
    <col min="785" max="786" width="2.7109375" style="1259" customWidth="1"/>
    <col min="787" max="787" width="1.85546875" style="1259" customWidth="1"/>
    <col min="788" max="789" width="2.7109375" style="1259" customWidth="1"/>
    <col min="790" max="790" width="1.7109375" style="1259" customWidth="1"/>
    <col min="791" max="793" width="2.7109375" style="1259" customWidth="1"/>
    <col min="794" max="794" width="2.28515625" style="1259" customWidth="1"/>
    <col min="795" max="795" width="1.7109375" style="1259" customWidth="1"/>
    <col min="796" max="797" width="2.7109375" style="1259" customWidth="1"/>
    <col min="798" max="798" width="1.85546875" style="1259" customWidth="1"/>
    <col min="799" max="799" width="2.7109375" style="1259" customWidth="1"/>
    <col min="800" max="800" width="1.5703125" style="1259" customWidth="1"/>
    <col min="801" max="801" width="2.42578125" style="1259" customWidth="1"/>
    <col min="802" max="815" width="2.7109375" style="1259" customWidth="1"/>
    <col min="816" max="816" width="13.85546875" style="1259" bestFit="1" customWidth="1"/>
    <col min="817" max="817" width="8.7109375" style="1259" bestFit="1" customWidth="1"/>
    <col min="818" max="818" width="6.85546875" style="1259" bestFit="1" customWidth="1"/>
    <col min="819" max="819" width="9.5703125" style="1259" bestFit="1" customWidth="1"/>
    <col min="820" max="820" width="10.7109375" style="1259" bestFit="1" customWidth="1"/>
    <col min="821" max="1024" width="9.140625" style="1259"/>
    <col min="1025" max="1025" width="10.85546875" style="1259" customWidth="1"/>
    <col min="1026" max="1026" width="1.7109375" style="1259" customWidth="1"/>
    <col min="1027" max="1027" width="1.5703125" style="1259" bestFit="1" customWidth="1"/>
    <col min="1028" max="1028" width="1.7109375" style="1259" customWidth="1"/>
    <col min="1029" max="1030" width="2.7109375" style="1259" customWidth="1"/>
    <col min="1031" max="1031" width="2.140625" style="1259" customWidth="1"/>
    <col min="1032" max="1032" width="2.7109375" style="1259" customWidth="1"/>
    <col min="1033" max="1033" width="3.5703125" style="1259" customWidth="1"/>
    <col min="1034" max="1034" width="2.140625" style="1259" customWidth="1"/>
    <col min="1035" max="1035" width="4" style="1259" customWidth="1"/>
    <col min="1036" max="1036" width="1.7109375" style="1259" customWidth="1"/>
    <col min="1037" max="1037" width="2.7109375" style="1259" customWidth="1"/>
    <col min="1038" max="1038" width="2.28515625" style="1259" customWidth="1"/>
    <col min="1039" max="1039" width="3.140625" style="1259" customWidth="1"/>
    <col min="1040" max="1040" width="7" style="1259" customWidth="1"/>
    <col min="1041" max="1042" width="2.7109375" style="1259" customWidth="1"/>
    <col min="1043" max="1043" width="1.85546875" style="1259" customWidth="1"/>
    <col min="1044" max="1045" width="2.7109375" style="1259" customWidth="1"/>
    <col min="1046" max="1046" width="1.7109375" style="1259" customWidth="1"/>
    <col min="1047" max="1049" width="2.7109375" style="1259" customWidth="1"/>
    <col min="1050" max="1050" width="2.28515625" style="1259" customWidth="1"/>
    <col min="1051" max="1051" width="1.7109375" style="1259" customWidth="1"/>
    <col min="1052" max="1053" width="2.7109375" style="1259" customWidth="1"/>
    <col min="1054" max="1054" width="1.85546875" style="1259" customWidth="1"/>
    <col min="1055" max="1055" width="2.7109375" style="1259" customWidth="1"/>
    <col min="1056" max="1056" width="1.5703125" style="1259" customWidth="1"/>
    <col min="1057" max="1057" width="2.42578125" style="1259" customWidth="1"/>
    <col min="1058" max="1071" width="2.7109375" style="1259" customWidth="1"/>
    <col min="1072" max="1072" width="13.85546875" style="1259" bestFit="1" customWidth="1"/>
    <col min="1073" max="1073" width="8.7109375" style="1259" bestFit="1" customWidth="1"/>
    <col min="1074" max="1074" width="6.85546875" style="1259" bestFit="1" customWidth="1"/>
    <col min="1075" max="1075" width="9.5703125" style="1259" bestFit="1" customWidth="1"/>
    <col min="1076" max="1076" width="10.7109375" style="1259" bestFit="1" customWidth="1"/>
    <col min="1077" max="1280" width="9.140625" style="1259"/>
    <col min="1281" max="1281" width="10.85546875" style="1259" customWidth="1"/>
    <col min="1282" max="1282" width="1.7109375" style="1259" customWidth="1"/>
    <col min="1283" max="1283" width="1.5703125" style="1259" bestFit="1" customWidth="1"/>
    <col min="1284" max="1284" width="1.7109375" style="1259" customWidth="1"/>
    <col min="1285" max="1286" width="2.7109375" style="1259" customWidth="1"/>
    <col min="1287" max="1287" width="2.140625" style="1259" customWidth="1"/>
    <col min="1288" max="1288" width="2.7109375" style="1259" customWidth="1"/>
    <col min="1289" max="1289" width="3.5703125" style="1259" customWidth="1"/>
    <col min="1290" max="1290" width="2.140625" style="1259" customWidth="1"/>
    <col min="1291" max="1291" width="4" style="1259" customWidth="1"/>
    <col min="1292" max="1292" width="1.7109375" style="1259" customWidth="1"/>
    <col min="1293" max="1293" width="2.7109375" style="1259" customWidth="1"/>
    <col min="1294" max="1294" width="2.28515625" style="1259" customWidth="1"/>
    <col min="1295" max="1295" width="3.140625" style="1259" customWidth="1"/>
    <col min="1296" max="1296" width="7" style="1259" customWidth="1"/>
    <col min="1297" max="1298" width="2.7109375" style="1259" customWidth="1"/>
    <col min="1299" max="1299" width="1.85546875" style="1259" customWidth="1"/>
    <col min="1300" max="1301" width="2.7109375" style="1259" customWidth="1"/>
    <col min="1302" max="1302" width="1.7109375" style="1259" customWidth="1"/>
    <col min="1303" max="1305" width="2.7109375" style="1259" customWidth="1"/>
    <col min="1306" max="1306" width="2.28515625" style="1259" customWidth="1"/>
    <col min="1307" max="1307" width="1.7109375" style="1259" customWidth="1"/>
    <col min="1308" max="1309" width="2.7109375" style="1259" customWidth="1"/>
    <col min="1310" max="1310" width="1.85546875" style="1259" customWidth="1"/>
    <col min="1311" max="1311" width="2.7109375" style="1259" customWidth="1"/>
    <col min="1312" max="1312" width="1.5703125" style="1259" customWidth="1"/>
    <col min="1313" max="1313" width="2.42578125" style="1259" customWidth="1"/>
    <col min="1314" max="1327" width="2.7109375" style="1259" customWidth="1"/>
    <col min="1328" max="1328" width="13.85546875" style="1259" bestFit="1" customWidth="1"/>
    <col min="1329" max="1329" width="8.7109375" style="1259" bestFit="1" customWidth="1"/>
    <col min="1330" max="1330" width="6.85546875" style="1259" bestFit="1" customWidth="1"/>
    <col min="1331" max="1331" width="9.5703125" style="1259" bestFit="1" customWidth="1"/>
    <col min="1332" max="1332" width="10.7109375" style="1259" bestFit="1" customWidth="1"/>
    <col min="1333" max="1536" width="9.140625" style="1259"/>
    <col min="1537" max="1537" width="10.85546875" style="1259" customWidth="1"/>
    <col min="1538" max="1538" width="1.7109375" style="1259" customWidth="1"/>
    <col min="1539" max="1539" width="1.5703125" style="1259" bestFit="1" customWidth="1"/>
    <col min="1540" max="1540" width="1.7109375" style="1259" customWidth="1"/>
    <col min="1541" max="1542" width="2.7109375" style="1259" customWidth="1"/>
    <col min="1543" max="1543" width="2.140625" style="1259" customWidth="1"/>
    <col min="1544" max="1544" width="2.7109375" style="1259" customWidth="1"/>
    <col min="1545" max="1545" width="3.5703125" style="1259" customWidth="1"/>
    <col min="1546" max="1546" width="2.140625" style="1259" customWidth="1"/>
    <col min="1547" max="1547" width="4" style="1259" customWidth="1"/>
    <col min="1548" max="1548" width="1.7109375" style="1259" customWidth="1"/>
    <col min="1549" max="1549" width="2.7109375" style="1259" customWidth="1"/>
    <col min="1550" max="1550" width="2.28515625" style="1259" customWidth="1"/>
    <col min="1551" max="1551" width="3.140625" style="1259" customWidth="1"/>
    <col min="1552" max="1552" width="7" style="1259" customWidth="1"/>
    <col min="1553" max="1554" width="2.7109375" style="1259" customWidth="1"/>
    <col min="1555" max="1555" width="1.85546875" style="1259" customWidth="1"/>
    <col min="1556" max="1557" width="2.7109375" style="1259" customWidth="1"/>
    <col min="1558" max="1558" width="1.7109375" style="1259" customWidth="1"/>
    <col min="1559" max="1561" width="2.7109375" style="1259" customWidth="1"/>
    <col min="1562" max="1562" width="2.28515625" style="1259" customWidth="1"/>
    <col min="1563" max="1563" width="1.7109375" style="1259" customWidth="1"/>
    <col min="1564" max="1565" width="2.7109375" style="1259" customWidth="1"/>
    <col min="1566" max="1566" width="1.85546875" style="1259" customWidth="1"/>
    <col min="1567" max="1567" width="2.7109375" style="1259" customWidth="1"/>
    <col min="1568" max="1568" width="1.5703125" style="1259" customWidth="1"/>
    <col min="1569" max="1569" width="2.42578125" style="1259" customWidth="1"/>
    <col min="1570" max="1583" width="2.7109375" style="1259" customWidth="1"/>
    <col min="1584" max="1584" width="13.85546875" style="1259" bestFit="1" customWidth="1"/>
    <col min="1585" max="1585" width="8.7109375" style="1259" bestFit="1" customWidth="1"/>
    <col min="1586" max="1586" width="6.85546875" style="1259" bestFit="1" customWidth="1"/>
    <col min="1587" max="1587" width="9.5703125" style="1259" bestFit="1" customWidth="1"/>
    <col min="1588" max="1588" width="10.7109375" style="1259" bestFit="1" customWidth="1"/>
    <col min="1589" max="1792" width="9.140625" style="1259"/>
    <col min="1793" max="1793" width="10.85546875" style="1259" customWidth="1"/>
    <col min="1794" max="1794" width="1.7109375" style="1259" customWidth="1"/>
    <col min="1795" max="1795" width="1.5703125" style="1259" bestFit="1" customWidth="1"/>
    <col min="1796" max="1796" width="1.7109375" style="1259" customWidth="1"/>
    <col min="1797" max="1798" width="2.7109375" style="1259" customWidth="1"/>
    <col min="1799" max="1799" width="2.140625" style="1259" customWidth="1"/>
    <col min="1800" max="1800" width="2.7109375" style="1259" customWidth="1"/>
    <col min="1801" max="1801" width="3.5703125" style="1259" customWidth="1"/>
    <col min="1802" max="1802" width="2.140625" style="1259" customWidth="1"/>
    <col min="1803" max="1803" width="4" style="1259" customWidth="1"/>
    <col min="1804" max="1804" width="1.7109375" style="1259" customWidth="1"/>
    <col min="1805" max="1805" width="2.7109375" style="1259" customWidth="1"/>
    <col min="1806" max="1806" width="2.28515625" style="1259" customWidth="1"/>
    <col min="1807" max="1807" width="3.140625" style="1259" customWidth="1"/>
    <col min="1808" max="1808" width="7" style="1259" customWidth="1"/>
    <col min="1809" max="1810" width="2.7109375" style="1259" customWidth="1"/>
    <col min="1811" max="1811" width="1.85546875" style="1259" customWidth="1"/>
    <col min="1812" max="1813" width="2.7109375" style="1259" customWidth="1"/>
    <col min="1814" max="1814" width="1.7109375" style="1259" customWidth="1"/>
    <col min="1815" max="1817" width="2.7109375" style="1259" customWidth="1"/>
    <col min="1818" max="1818" width="2.28515625" style="1259" customWidth="1"/>
    <col min="1819" max="1819" width="1.7109375" style="1259" customWidth="1"/>
    <col min="1820" max="1821" width="2.7109375" style="1259" customWidth="1"/>
    <col min="1822" max="1822" width="1.85546875" style="1259" customWidth="1"/>
    <col min="1823" max="1823" width="2.7109375" style="1259" customWidth="1"/>
    <col min="1824" max="1824" width="1.5703125" style="1259" customWidth="1"/>
    <col min="1825" max="1825" width="2.42578125" style="1259" customWidth="1"/>
    <col min="1826" max="1839" width="2.7109375" style="1259" customWidth="1"/>
    <col min="1840" max="1840" width="13.85546875" style="1259" bestFit="1" customWidth="1"/>
    <col min="1841" max="1841" width="8.7109375" style="1259" bestFit="1" customWidth="1"/>
    <col min="1842" max="1842" width="6.85546875" style="1259" bestFit="1" customWidth="1"/>
    <col min="1843" max="1843" width="9.5703125" style="1259" bestFit="1" customWidth="1"/>
    <col min="1844" max="1844" width="10.7109375" style="1259" bestFit="1" customWidth="1"/>
    <col min="1845" max="2048" width="9.140625" style="1259"/>
    <col min="2049" max="2049" width="10.85546875" style="1259" customWidth="1"/>
    <col min="2050" max="2050" width="1.7109375" style="1259" customWidth="1"/>
    <col min="2051" max="2051" width="1.5703125" style="1259" bestFit="1" customWidth="1"/>
    <col min="2052" max="2052" width="1.7109375" style="1259" customWidth="1"/>
    <col min="2053" max="2054" width="2.7109375" style="1259" customWidth="1"/>
    <col min="2055" max="2055" width="2.140625" style="1259" customWidth="1"/>
    <col min="2056" max="2056" width="2.7109375" style="1259" customWidth="1"/>
    <col min="2057" max="2057" width="3.5703125" style="1259" customWidth="1"/>
    <col min="2058" max="2058" width="2.140625" style="1259" customWidth="1"/>
    <col min="2059" max="2059" width="4" style="1259" customWidth="1"/>
    <col min="2060" max="2060" width="1.7109375" style="1259" customWidth="1"/>
    <col min="2061" max="2061" width="2.7109375" style="1259" customWidth="1"/>
    <col min="2062" max="2062" width="2.28515625" style="1259" customWidth="1"/>
    <col min="2063" max="2063" width="3.140625" style="1259" customWidth="1"/>
    <col min="2064" max="2064" width="7" style="1259" customWidth="1"/>
    <col min="2065" max="2066" width="2.7109375" style="1259" customWidth="1"/>
    <col min="2067" max="2067" width="1.85546875" style="1259" customWidth="1"/>
    <col min="2068" max="2069" width="2.7109375" style="1259" customWidth="1"/>
    <col min="2070" max="2070" width="1.7109375" style="1259" customWidth="1"/>
    <col min="2071" max="2073" width="2.7109375" style="1259" customWidth="1"/>
    <col min="2074" max="2074" width="2.28515625" style="1259" customWidth="1"/>
    <col min="2075" max="2075" width="1.7109375" style="1259" customWidth="1"/>
    <col min="2076" max="2077" width="2.7109375" style="1259" customWidth="1"/>
    <col min="2078" max="2078" width="1.85546875" style="1259" customWidth="1"/>
    <col min="2079" max="2079" width="2.7109375" style="1259" customWidth="1"/>
    <col min="2080" max="2080" width="1.5703125" style="1259" customWidth="1"/>
    <col min="2081" max="2081" width="2.42578125" style="1259" customWidth="1"/>
    <col min="2082" max="2095" width="2.7109375" style="1259" customWidth="1"/>
    <col min="2096" max="2096" width="13.85546875" style="1259" bestFit="1" customWidth="1"/>
    <col min="2097" max="2097" width="8.7109375" style="1259" bestFit="1" customWidth="1"/>
    <col min="2098" max="2098" width="6.85546875" style="1259" bestFit="1" customWidth="1"/>
    <col min="2099" max="2099" width="9.5703125" style="1259" bestFit="1" customWidth="1"/>
    <col min="2100" max="2100" width="10.7109375" style="1259" bestFit="1" customWidth="1"/>
    <col min="2101" max="2304" width="9.140625" style="1259"/>
    <col min="2305" max="2305" width="10.85546875" style="1259" customWidth="1"/>
    <col min="2306" max="2306" width="1.7109375" style="1259" customWidth="1"/>
    <col min="2307" max="2307" width="1.5703125" style="1259" bestFit="1" customWidth="1"/>
    <col min="2308" max="2308" width="1.7109375" style="1259" customWidth="1"/>
    <col min="2309" max="2310" width="2.7109375" style="1259" customWidth="1"/>
    <col min="2311" max="2311" width="2.140625" style="1259" customWidth="1"/>
    <col min="2312" max="2312" width="2.7109375" style="1259" customWidth="1"/>
    <col min="2313" max="2313" width="3.5703125" style="1259" customWidth="1"/>
    <col min="2314" max="2314" width="2.140625" style="1259" customWidth="1"/>
    <col min="2315" max="2315" width="4" style="1259" customWidth="1"/>
    <col min="2316" max="2316" width="1.7109375" style="1259" customWidth="1"/>
    <col min="2317" max="2317" width="2.7109375" style="1259" customWidth="1"/>
    <col min="2318" max="2318" width="2.28515625" style="1259" customWidth="1"/>
    <col min="2319" max="2319" width="3.140625" style="1259" customWidth="1"/>
    <col min="2320" max="2320" width="7" style="1259" customWidth="1"/>
    <col min="2321" max="2322" width="2.7109375" style="1259" customWidth="1"/>
    <col min="2323" max="2323" width="1.85546875" style="1259" customWidth="1"/>
    <col min="2324" max="2325" width="2.7109375" style="1259" customWidth="1"/>
    <col min="2326" max="2326" width="1.7109375" style="1259" customWidth="1"/>
    <col min="2327" max="2329" width="2.7109375" style="1259" customWidth="1"/>
    <col min="2330" max="2330" width="2.28515625" style="1259" customWidth="1"/>
    <col min="2331" max="2331" width="1.7109375" style="1259" customWidth="1"/>
    <col min="2332" max="2333" width="2.7109375" style="1259" customWidth="1"/>
    <col min="2334" max="2334" width="1.85546875" style="1259" customWidth="1"/>
    <col min="2335" max="2335" width="2.7109375" style="1259" customWidth="1"/>
    <col min="2336" max="2336" width="1.5703125" style="1259" customWidth="1"/>
    <col min="2337" max="2337" width="2.42578125" style="1259" customWidth="1"/>
    <col min="2338" max="2351" width="2.7109375" style="1259" customWidth="1"/>
    <col min="2352" max="2352" width="13.85546875" style="1259" bestFit="1" customWidth="1"/>
    <col min="2353" max="2353" width="8.7109375" style="1259" bestFit="1" customWidth="1"/>
    <col min="2354" max="2354" width="6.85546875" style="1259" bestFit="1" customWidth="1"/>
    <col min="2355" max="2355" width="9.5703125" style="1259" bestFit="1" customWidth="1"/>
    <col min="2356" max="2356" width="10.7109375" style="1259" bestFit="1" customWidth="1"/>
    <col min="2357" max="2560" width="9.140625" style="1259"/>
    <col min="2561" max="2561" width="10.85546875" style="1259" customWidth="1"/>
    <col min="2562" max="2562" width="1.7109375" style="1259" customWidth="1"/>
    <col min="2563" max="2563" width="1.5703125" style="1259" bestFit="1" customWidth="1"/>
    <col min="2564" max="2564" width="1.7109375" style="1259" customWidth="1"/>
    <col min="2565" max="2566" width="2.7109375" style="1259" customWidth="1"/>
    <col min="2567" max="2567" width="2.140625" style="1259" customWidth="1"/>
    <col min="2568" max="2568" width="2.7109375" style="1259" customWidth="1"/>
    <col min="2569" max="2569" width="3.5703125" style="1259" customWidth="1"/>
    <col min="2570" max="2570" width="2.140625" style="1259" customWidth="1"/>
    <col min="2571" max="2571" width="4" style="1259" customWidth="1"/>
    <col min="2572" max="2572" width="1.7109375" style="1259" customWidth="1"/>
    <col min="2573" max="2573" width="2.7109375" style="1259" customWidth="1"/>
    <col min="2574" max="2574" width="2.28515625" style="1259" customWidth="1"/>
    <col min="2575" max="2575" width="3.140625" style="1259" customWidth="1"/>
    <col min="2576" max="2576" width="7" style="1259" customWidth="1"/>
    <col min="2577" max="2578" width="2.7109375" style="1259" customWidth="1"/>
    <col min="2579" max="2579" width="1.85546875" style="1259" customWidth="1"/>
    <col min="2580" max="2581" width="2.7109375" style="1259" customWidth="1"/>
    <col min="2582" max="2582" width="1.7109375" style="1259" customWidth="1"/>
    <col min="2583" max="2585" width="2.7109375" style="1259" customWidth="1"/>
    <col min="2586" max="2586" width="2.28515625" style="1259" customWidth="1"/>
    <col min="2587" max="2587" width="1.7109375" style="1259" customWidth="1"/>
    <col min="2588" max="2589" width="2.7109375" style="1259" customWidth="1"/>
    <col min="2590" max="2590" width="1.85546875" style="1259" customWidth="1"/>
    <col min="2591" max="2591" width="2.7109375" style="1259" customWidth="1"/>
    <col min="2592" max="2592" width="1.5703125" style="1259" customWidth="1"/>
    <col min="2593" max="2593" width="2.42578125" style="1259" customWidth="1"/>
    <col min="2594" max="2607" width="2.7109375" style="1259" customWidth="1"/>
    <col min="2608" max="2608" width="13.85546875" style="1259" bestFit="1" customWidth="1"/>
    <col min="2609" max="2609" width="8.7109375" style="1259" bestFit="1" customWidth="1"/>
    <col min="2610" max="2610" width="6.85546875" style="1259" bestFit="1" customWidth="1"/>
    <col min="2611" max="2611" width="9.5703125" style="1259" bestFit="1" customWidth="1"/>
    <col min="2612" max="2612" width="10.7109375" style="1259" bestFit="1" customWidth="1"/>
    <col min="2613" max="2816" width="9.140625" style="1259"/>
    <col min="2817" max="2817" width="10.85546875" style="1259" customWidth="1"/>
    <col min="2818" max="2818" width="1.7109375" style="1259" customWidth="1"/>
    <col min="2819" max="2819" width="1.5703125" style="1259" bestFit="1" customWidth="1"/>
    <col min="2820" max="2820" width="1.7109375" style="1259" customWidth="1"/>
    <col min="2821" max="2822" width="2.7109375" style="1259" customWidth="1"/>
    <col min="2823" max="2823" width="2.140625" style="1259" customWidth="1"/>
    <col min="2824" max="2824" width="2.7109375" style="1259" customWidth="1"/>
    <col min="2825" max="2825" width="3.5703125" style="1259" customWidth="1"/>
    <col min="2826" max="2826" width="2.140625" style="1259" customWidth="1"/>
    <col min="2827" max="2827" width="4" style="1259" customWidth="1"/>
    <col min="2828" max="2828" width="1.7109375" style="1259" customWidth="1"/>
    <col min="2829" max="2829" width="2.7109375" style="1259" customWidth="1"/>
    <col min="2830" max="2830" width="2.28515625" style="1259" customWidth="1"/>
    <col min="2831" max="2831" width="3.140625" style="1259" customWidth="1"/>
    <col min="2832" max="2832" width="7" style="1259" customWidth="1"/>
    <col min="2833" max="2834" width="2.7109375" style="1259" customWidth="1"/>
    <col min="2835" max="2835" width="1.85546875" style="1259" customWidth="1"/>
    <col min="2836" max="2837" width="2.7109375" style="1259" customWidth="1"/>
    <col min="2838" max="2838" width="1.7109375" style="1259" customWidth="1"/>
    <col min="2839" max="2841" width="2.7109375" style="1259" customWidth="1"/>
    <col min="2842" max="2842" width="2.28515625" style="1259" customWidth="1"/>
    <col min="2843" max="2843" width="1.7109375" style="1259" customWidth="1"/>
    <col min="2844" max="2845" width="2.7109375" style="1259" customWidth="1"/>
    <col min="2846" max="2846" width="1.85546875" style="1259" customWidth="1"/>
    <col min="2847" max="2847" width="2.7109375" style="1259" customWidth="1"/>
    <col min="2848" max="2848" width="1.5703125" style="1259" customWidth="1"/>
    <col min="2849" max="2849" width="2.42578125" style="1259" customWidth="1"/>
    <col min="2850" max="2863" width="2.7109375" style="1259" customWidth="1"/>
    <col min="2864" max="2864" width="13.85546875" style="1259" bestFit="1" customWidth="1"/>
    <col min="2865" max="2865" width="8.7109375" style="1259" bestFit="1" customWidth="1"/>
    <col min="2866" max="2866" width="6.85546875" style="1259" bestFit="1" customWidth="1"/>
    <col min="2867" max="2867" width="9.5703125" style="1259" bestFit="1" customWidth="1"/>
    <col min="2868" max="2868" width="10.7109375" style="1259" bestFit="1" customWidth="1"/>
    <col min="2869" max="3072" width="9.140625" style="1259"/>
    <col min="3073" max="3073" width="10.85546875" style="1259" customWidth="1"/>
    <col min="3074" max="3074" width="1.7109375" style="1259" customWidth="1"/>
    <col min="3075" max="3075" width="1.5703125" style="1259" bestFit="1" customWidth="1"/>
    <col min="3076" max="3076" width="1.7109375" style="1259" customWidth="1"/>
    <col min="3077" max="3078" width="2.7109375" style="1259" customWidth="1"/>
    <col min="3079" max="3079" width="2.140625" style="1259" customWidth="1"/>
    <col min="3080" max="3080" width="2.7109375" style="1259" customWidth="1"/>
    <col min="3081" max="3081" width="3.5703125" style="1259" customWidth="1"/>
    <col min="3082" max="3082" width="2.140625" style="1259" customWidth="1"/>
    <col min="3083" max="3083" width="4" style="1259" customWidth="1"/>
    <col min="3084" max="3084" width="1.7109375" style="1259" customWidth="1"/>
    <col min="3085" max="3085" width="2.7109375" style="1259" customWidth="1"/>
    <col min="3086" max="3086" width="2.28515625" style="1259" customWidth="1"/>
    <col min="3087" max="3087" width="3.140625" style="1259" customWidth="1"/>
    <col min="3088" max="3088" width="7" style="1259" customWidth="1"/>
    <col min="3089" max="3090" width="2.7109375" style="1259" customWidth="1"/>
    <col min="3091" max="3091" width="1.85546875" style="1259" customWidth="1"/>
    <col min="3092" max="3093" width="2.7109375" style="1259" customWidth="1"/>
    <col min="3094" max="3094" width="1.7109375" style="1259" customWidth="1"/>
    <col min="3095" max="3097" width="2.7109375" style="1259" customWidth="1"/>
    <col min="3098" max="3098" width="2.28515625" style="1259" customWidth="1"/>
    <col min="3099" max="3099" width="1.7109375" style="1259" customWidth="1"/>
    <col min="3100" max="3101" width="2.7109375" style="1259" customWidth="1"/>
    <col min="3102" max="3102" width="1.85546875" style="1259" customWidth="1"/>
    <col min="3103" max="3103" width="2.7109375" style="1259" customWidth="1"/>
    <col min="3104" max="3104" width="1.5703125" style="1259" customWidth="1"/>
    <col min="3105" max="3105" width="2.42578125" style="1259" customWidth="1"/>
    <col min="3106" max="3119" width="2.7109375" style="1259" customWidth="1"/>
    <col min="3120" max="3120" width="13.85546875" style="1259" bestFit="1" customWidth="1"/>
    <col min="3121" max="3121" width="8.7109375" style="1259" bestFit="1" customWidth="1"/>
    <col min="3122" max="3122" width="6.85546875" style="1259" bestFit="1" customWidth="1"/>
    <col min="3123" max="3123" width="9.5703125" style="1259" bestFit="1" customWidth="1"/>
    <col min="3124" max="3124" width="10.7109375" style="1259" bestFit="1" customWidth="1"/>
    <col min="3125" max="3328" width="9.140625" style="1259"/>
    <col min="3329" max="3329" width="10.85546875" style="1259" customWidth="1"/>
    <col min="3330" max="3330" width="1.7109375" style="1259" customWidth="1"/>
    <col min="3331" max="3331" width="1.5703125" style="1259" bestFit="1" customWidth="1"/>
    <col min="3332" max="3332" width="1.7109375" style="1259" customWidth="1"/>
    <col min="3333" max="3334" width="2.7109375" style="1259" customWidth="1"/>
    <col min="3335" max="3335" width="2.140625" style="1259" customWidth="1"/>
    <col min="3336" max="3336" width="2.7109375" style="1259" customWidth="1"/>
    <col min="3337" max="3337" width="3.5703125" style="1259" customWidth="1"/>
    <col min="3338" max="3338" width="2.140625" style="1259" customWidth="1"/>
    <col min="3339" max="3339" width="4" style="1259" customWidth="1"/>
    <col min="3340" max="3340" width="1.7109375" style="1259" customWidth="1"/>
    <col min="3341" max="3341" width="2.7109375" style="1259" customWidth="1"/>
    <col min="3342" max="3342" width="2.28515625" style="1259" customWidth="1"/>
    <col min="3343" max="3343" width="3.140625" style="1259" customWidth="1"/>
    <col min="3344" max="3344" width="7" style="1259" customWidth="1"/>
    <col min="3345" max="3346" width="2.7109375" style="1259" customWidth="1"/>
    <col min="3347" max="3347" width="1.85546875" style="1259" customWidth="1"/>
    <col min="3348" max="3349" width="2.7109375" style="1259" customWidth="1"/>
    <col min="3350" max="3350" width="1.7109375" style="1259" customWidth="1"/>
    <col min="3351" max="3353" width="2.7109375" style="1259" customWidth="1"/>
    <col min="3354" max="3354" width="2.28515625" style="1259" customWidth="1"/>
    <col min="3355" max="3355" width="1.7109375" style="1259" customWidth="1"/>
    <col min="3356" max="3357" width="2.7109375" style="1259" customWidth="1"/>
    <col min="3358" max="3358" width="1.85546875" style="1259" customWidth="1"/>
    <col min="3359" max="3359" width="2.7109375" style="1259" customWidth="1"/>
    <col min="3360" max="3360" width="1.5703125" style="1259" customWidth="1"/>
    <col min="3361" max="3361" width="2.42578125" style="1259" customWidth="1"/>
    <col min="3362" max="3375" width="2.7109375" style="1259" customWidth="1"/>
    <col min="3376" max="3376" width="13.85546875" style="1259" bestFit="1" customWidth="1"/>
    <col min="3377" max="3377" width="8.7109375" style="1259" bestFit="1" customWidth="1"/>
    <col min="3378" max="3378" width="6.85546875" style="1259" bestFit="1" customWidth="1"/>
    <col min="3379" max="3379" width="9.5703125" style="1259" bestFit="1" customWidth="1"/>
    <col min="3380" max="3380" width="10.7109375" style="1259" bestFit="1" customWidth="1"/>
    <col min="3381" max="3584" width="9.140625" style="1259"/>
    <col min="3585" max="3585" width="10.85546875" style="1259" customWidth="1"/>
    <col min="3586" max="3586" width="1.7109375" style="1259" customWidth="1"/>
    <col min="3587" max="3587" width="1.5703125" style="1259" bestFit="1" customWidth="1"/>
    <col min="3588" max="3588" width="1.7109375" style="1259" customWidth="1"/>
    <col min="3589" max="3590" width="2.7109375" style="1259" customWidth="1"/>
    <col min="3591" max="3591" width="2.140625" style="1259" customWidth="1"/>
    <col min="3592" max="3592" width="2.7109375" style="1259" customWidth="1"/>
    <col min="3593" max="3593" width="3.5703125" style="1259" customWidth="1"/>
    <col min="3594" max="3594" width="2.140625" style="1259" customWidth="1"/>
    <col min="3595" max="3595" width="4" style="1259" customWidth="1"/>
    <col min="3596" max="3596" width="1.7109375" style="1259" customWidth="1"/>
    <col min="3597" max="3597" width="2.7109375" style="1259" customWidth="1"/>
    <col min="3598" max="3598" width="2.28515625" style="1259" customWidth="1"/>
    <col min="3599" max="3599" width="3.140625" style="1259" customWidth="1"/>
    <col min="3600" max="3600" width="7" style="1259" customWidth="1"/>
    <col min="3601" max="3602" width="2.7109375" style="1259" customWidth="1"/>
    <col min="3603" max="3603" width="1.85546875" style="1259" customWidth="1"/>
    <col min="3604" max="3605" width="2.7109375" style="1259" customWidth="1"/>
    <col min="3606" max="3606" width="1.7109375" style="1259" customWidth="1"/>
    <col min="3607" max="3609" width="2.7109375" style="1259" customWidth="1"/>
    <col min="3610" max="3610" width="2.28515625" style="1259" customWidth="1"/>
    <col min="3611" max="3611" width="1.7109375" style="1259" customWidth="1"/>
    <col min="3612" max="3613" width="2.7109375" style="1259" customWidth="1"/>
    <col min="3614" max="3614" width="1.85546875" style="1259" customWidth="1"/>
    <col min="3615" max="3615" width="2.7109375" style="1259" customWidth="1"/>
    <col min="3616" max="3616" width="1.5703125" style="1259" customWidth="1"/>
    <col min="3617" max="3617" width="2.42578125" style="1259" customWidth="1"/>
    <col min="3618" max="3631" width="2.7109375" style="1259" customWidth="1"/>
    <col min="3632" max="3632" width="13.85546875" style="1259" bestFit="1" customWidth="1"/>
    <col min="3633" max="3633" width="8.7109375" style="1259" bestFit="1" customWidth="1"/>
    <col min="3634" max="3634" width="6.85546875" style="1259" bestFit="1" customWidth="1"/>
    <col min="3635" max="3635" width="9.5703125" style="1259" bestFit="1" customWidth="1"/>
    <col min="3636" max="3636" width="10.7109375" style="1259" bestFit="1" customWidth="1"/>
    <col min="3637" max="3840" width="9.140625" style="1259"/>
    <col min="3841" max="3841" width="10.85546875" style="1259" customWidth="1"/>
    <col min="3842" max="3842" width="1.7109375" style="1259" customWidth="1"/>
    <col min="3843" max="3843" width="1.5703125" style="1259" bestFit="1" customWidth="1"/>
    <col min="3844" max="3844" width="1.7109375" style="1259" customWidth="1"/>
    <col min="3845" max="3846" width="2.7109375" style="1259" customWidth="1"/>
    <col min="3847" max="3847" width="2.140625" style="1259" customWidth="1"/>
    <col min="3848" max="3848" width="2.7109375" style="1259" customWidth="1"/>
    <col min="3849" max="3849" width="3.5703125" style="1259" customWidth="1"/>
    <col min="3850" max="3850" width="2.140625" style="1259" customWidth="1"/>
    <col min="3851" max="3851" width="4" style="1259" customWidth="1"/>
    <col min="3852" max="3852" width="1.7109375" style="1259" customWidth="1"/>
    <col min="3853" max="3853" width="2.7109375" style="1259" customWidth="1"/>
    <col min="3854" max="3854" width="2.28515625" style="1259" customWidth="1"/>
    <col min="3855" max="3855" width="3.140625" style="1259" customWidth="1"/>
    <col min="3856" max="3856" width="7" style="1259" customWidth="1"/>
    <col min="3857" max="3858" width="2.7109375" style="1259" customWidth="1"/>
    <col min="3859" max="3859" width="1.85546875" style="1259" customWidth="1"/>
    <col min="3860" max="3861" width="2.7109375" style="1259" customWidth="1"/>
    <col min="3862" max="3862" width="1.7109375" style="1259" customWidth="1"/>
    <col min="3863" max="3865" width="2.7109375" style="1259" customWidth="1"/>
    <col min="3866" max="3866" width="2.28515625" style="1259" customWidth="1"/>
    <col min="3867" max="3867" width="1.7109375" style="1259" customWidth="1"/>
    <col min="3868" max="3869" width="2.7109375" style="1259" customWidth="1"/>
    <col min="3870" max="3870" width="1.85546875" style="1259" customWidth="1"/>
    <col min="3871" max="3871" width="2.7109375" style="1259" customWidth="1"/>
    <col min="3872" max="3872" width="1.5703125" style="1259" customWidth="1"/>
    <col min="3873" max="3873" width="2.42578125" style="1259" customWidth="1"/>
    <col min="3874" max="3887" width="2.7109375" style="1259" customWidth="1"/>
    <col min="3888" max="3888" width="13.85546875" style="1259" bestFit="1" customWidth="1"/>
    <col min="3889" max="3889" width="8.7109375" style="1259" bestFit="1" customWidth="1"/>
    <col min="3890" max="3890" width="6.85546875" style="1259" bestFit="1" customWidth="1"/>
    <col min="3891" max="3891" width="9.5703125" style="1259" bestFit="1" customWidth="1"/>
    <col min="3892" max="3892" width="10.7109375" style="1259" bestFit="1" customWidth="1"/>
    <col min="3893" max="4096" width="9.140625" style="1259"/>
    <col min="4097" max="4097" width="10.85546875" style="1259" customWidth="1"/>
    <col min="4098" max="4098" width="1.7109375" style="1259" customWidth="1"/>
    <col min="4099" max="4099" width="1.5703125" style="1259" bestFit="1" customWidth="1"/>
    <col min="4100" max="4100" width="1.7109375" style="1259" customWidth="1"/>
    <col min="4101" max="4102" width="2.7109375" style="1259" customWidth="1"/>
    <col min="4103" max="4103" width="2.140625" style="1259" customWidth="1"/>
    <col min="4104" max="4104" width="2.7109375" style="1259" customWidth="1"/>
    <col min="4105" max="4105" width="3.5703125" style="1259" customWidth="1"/>
    <col min="4106" max="4106" width="2.140625" style="1259" customWidth="1"/>
    <col min="4107" max="4107" width="4" style="1259" customWidth="1"/>
    <col min="4108" max="4108" width="1.7109375" style="1259" customWidth="1"/>
    <col min="4109" max="4109" width="2.7109375" style="1259" customWidth="1"/>
    <col min="4110" max="4110" width="2.28515625" style="1259" customWidth="1"/>
    <col min="4111" max="4111" width="3.140625" style="1259" customWidth="1"/>
    <col min="4112" max="4112" width="7" style="1259" customWidth="1"/>
    <col min="4113" max="4114" width="2.7109375" style="1259" customWidth="1"/>
    <col min="4115" max="4115" width="1.85546875" style="1259" customWidth="1"/>
    <col min="4116" max="4117" width="2.7109375" style="1259" customWidth="1"/>
    <col min="4118" max="4118" width="1.7109375" style="1259" customWidth="1"/>
    <col min="4119" max="4121" width="2.7109375" style="1259" customWidth="1"/>
    <col min="4122" max="4122" width="2.28515625" style="1259" customWidth="1"/>
    <col min="4123" max="4123" width="1.7109375" style="1259" customWidth="1"/>
    <col min="4124" max="4125" width="2.7109375" style="1259" customWidth="1"/>
    <col min="4126" max="4126" width="1.85546875" style="1259" customWidth="1"/>
    <col min="4127" max="4127" width="2.7109375" style="1259" customWidth="1"/>
    <col min="4128" max="4128" width="1.5703125" style="1259" customWidth="1"/>
    <col min="4129" max="4129" width="2.42578125" style="1259" customWidth="1"/>
    <col min="4130" max="4143" width="2.7109375" style="1259" customWidth="1"/>
    <col min="4144" max="4144" width="13.85546875" style="1259" bestFit="1" customWidth="1"/>
    <col min="4145" max="4145" width="8.7109375" style="1259" bestFit="1" customWidth="1"/>
    <col min="4146" max="4146" width="6.85546875" style="1259" bestFit="1" customWidth="1"/>
    <col min="4147" max="4147" width="9.5703125" style="1259" bestFit="1" customWidth="1"/>
    <col min="4148" max="4148" width="10.7109375" style="1259" bestFit="1" customWidth="1"/>
    <col min="4149" max="4352" width="9.140625" style="1259"/>
    <col min="4353" max="4353" width="10.85546875" style="1259" customWidth="1"/>
    <col min="4354" max="4354" width="1.7109375" style="1259" customWidth="1"/>
    <col min="4355" max="4355" width="1.5703125" style="1259" bestFit="1" customWidth="1"/>
    <col min="4356" max="4356" width="1.7109375" style="1259" customWidth="1"/>
    <col min="4357" max="4358" width="2.7109375" style="1259" customWidth="1"/>
    <col min="4359" max="4359" width="2.140625" style="1259" customWidth="1"/>
    <col min="4360" max="4360" width="2.7109375" style="1259" customWidth="1"/>
    <col min="4361" max="4361" width="3.5703125" style="1259" customWidth="1"/>
    <col min="4362" max="4362" width="2.140625" style="1259" customWidth="1"/>
    <col min="4363" max="4363" width="4" style="1259" customWidth="1"/>
    <col min="4364" max="4364" width="1.7109375" style="1259" customWidth="1"/>
    <col min="4365" max="4365" width="2.7109375" style="1259" customWidth="1"/>
    <col min="4366" max="4366" width="2.28515625" style="1259" customWidth="1"/>
    <col min="4367" max="4367" width="3.140625" style="1259" customWidth="1"/>
    <col min="4368" max="4368" width="7" style="1259" customWidth="1"/>
    <col min="4369" max="4370" width="2.7109375" style="1259" customWidth="1"/>
    <col min="4371" max="4371" width="1.85546875" style="1259" customWidth="1"/>
    <col min="4372" max="4373" width="2.7109375" style="1259" customWidth="1"/>
    <col min="4374" max="4374" width="1.7109375" style="1259" customWidth="1"/>
    <col min="4375" max="4377" width="2.7109375" style="1259" customWidth="1"/>
    <col min="4378" max="4378" width="2.28515625" style="1259" customWidth="1"/>
    <col min="4379" max="4379" width="1.7109375" style="1259" customWidth="1"/>
    <col min="4380" max="4381" width="2.7109375" style="1259" customWidth="1"/>
    <col min="4382" max="4382" width="1.85546875" style="1259" customWidth="1"/>
    <col min="4383" max="4383" width="2.7109375" style="1259" customWidth="1"/>
    <col min="4384" max="4384" width="1.5703125" style="1259" customWidth="1"/>
    <col min="4385" max="4385" width="2.42578125" style="1259" customWidth="1"/>
    <col min="4386" max="4399" width="2.7109375" style="1259" customWidth="1"/>
    <col min="4400" max="4400" width="13.85546875" style="1259" bestFit="1" customWidth="1"/>
    <col min="4401" max="4401" width="8.7109375" style="1259" bestFit="1" customWidth="1"/>
    <col min="4402" max="4402" width="6.85546875" style="1259" bestFit="1" customWidth="1"/>
    <col min="4403" max="4403" width="9.5703125" style="1259" bestFit="1" customWidth="1"/>
    <col min="4404" max="4404" width="10.7109375" style="1259" bestFit="1" customWidth="1"/>
    <col min="4405" max="4608" width="9.140625" style="1259"/>
    <col min="4609" max="4609" width="10.85546875" style="1259" customWidth="1"/>
    <col min="4610" max="4610" width="1.7109375" style="1259" customWidth="1"/>
    <col min="4611" max="4611" width="1.5703125" style="1259" bestFit="1" customWidth="1"/>
    <col min="4612" max="4612" width="1.7109375" style="1259" customWidth="1"/>
    <col min="4613" max="4614" width="2.7109375" style="1259" customWidth="1"/>
    <col min="4615" max="4615" width="2.140625" style="1259" customWidth="1"/>
    <col min="4616" max="4616" width="2.7109375" style="1259" customWidth="1"/>
    <col min="4617" max="4617" width="3.5703125" style="1259" customWidth="1"/>
    <col min="4618" max="4618" width="2.140625" style="1259" customWidth="1"/>
    <col min="4619" max="4619" width="4" style="1259" customWidth="1"/>
    <col min="4620" max="4620" width="1.7109375" style="1259" customWidth="1"/>
    <col min="4621" max="4621" width="2.7109375" style="1259" customWidth="1"/>
    <col min="4622" max="4622" width="2.28515625" style="1259" customWidth="1"/>
    <col min="4623" max="4623" width="3.140625" style="1259" customWidth="1"/>
    <col min="4624" max="4624" width="7" style="1259" customWidth="1"/>
    <col min="4625" max="4626" width="2.7109375" style="1259" customWidth="1"/>
    <col min="4627" max="4627" width="1.85546875" style="1259" customWidth="1"/>
    <col min="4628" max="4629" width="2.7109375" style="1259" customWidth="1"/>
    <col min="4630" max="4630" width="1.7109375" style="1259" customWidth="1"/>
    <col min="4631" max="4633" width="2.7109375" style="1259" customWidth="1"/>
    <col min="4634" max="4634" width="2.28515625" style="1259" customWidth="1"/>
    <col min="4635" max="4635" width="1.7109375" style="1259" customWidth="1"/>
    <col min="4636" max="4637" width="2.7109375" style="1259" customWidth="1"/>
    <col min="4638" max="4638" width="1.85546875" style="1259" customWidth="1"/>
    <col min="4639" max="4639" width="2.7109375" style="1259" customWidth="1"/>
    <col min="4640" max="4640" width="1.5703125" style="1259" customWidth="1"/>
    <col min="4641" max="4641" width="2.42578125" style="1259" customWidth="1"/>
    <col min="4642" max="4655" width="2.7109375" style="1259" customWidth="1"/>
    <col min="4656" max="4656" width="13.85546875" style="1259" bestFit="1" customWidth="1"/>
    <col min="4657" max="4657" width="8.7109375" style="1259" bestFit="1" customWidth="1"/>
    <col min="4658" max="4658" width="6.85546875" style="1259" bestFit="1" customWidth="1"/>
    <col min="4659" max="4659" width="9.5703125" style="1259" bestFit="1" customWidth="1"/>
    <col min="4660" max="4660" width="10.7109375" style="1259" bestFit="1" customWidth="1"/>
    <col min="4661" max="4864" width="9.140625" style="1259"/>
    <col min="4865" max="4865" width="10.85546875" style="1259" customWidth="1"/>
    <col min="4866" max="4866" width="1.7109375" style="1259" customWidth="1"/>
    <col min="4867" max="4867" width="1.5703125" style="1259" bestFit="1" customWidth="1"/>
    <col min="4868" max="4868" width="1.7109375" style="1259" customWidth="1"/>
    <col min="4869" max="4870" width="2.7109375" style="1259" customWidth="1"/>
    <col min="4871" max="4871" width="2.140625" style="1259" customWidth="1"/>
    <col min="4872" max="4872" width="2.7109375" style="1259" customWidth="1"/>
    <col min="4873" max="4873" width="3.5703125" style="1259" customWidth="1"/>
    <col min="4874" max="4874" width="2.140625" style="1259" customWidth="1"/>
    <col min="4875" max="4875" width="4" style="1259" customWidth="1"/>
    <col min="4876" max="4876" width="1.7109375" style="1259" customWidth="1"/>
    <col min="4877" max="4877" width="2.7109375" style="1259" customWidth="1"/>
    <col min="4878" max="4878" width="2.28515625" style="1259" customWidth="1"/>
    <col min="4879" max="4879" width="3.140625" style="1259" customWidth="1"/>
    <col min="4880" max="4880" width="7" style="1259" customWidth="1"/>
    <col min="4881" max="4882" width="2.7109375" style="1259" customWidth="1"/>
    <col min="4883" max="4883" width="1.85546875" style="1259" customWidth="1"/>
    <col min="4884" max="4885" width="2.7109375" style="1259" customWidth="1"/>
    <col min="4886" max="4886" width="1.7109375" style="1259" customWidth="1"/>
    <col min="4887" max="4889" width="2.7109375" style="1259" customWidth="1"/>
    <col min="4890" max="4890" width="2.28515625" style="1259" customWidth="1"/>
    <col min="4891" max="4891" width="1.7109375" style="1259" customWidth="1"/>
    <col min="4892" max="4893" width="2.7109375" style="1259" customWidth="1"/>
    <col min="4894" max="4894" width="1.85546875" style="1259" customWidth="1"/>
    <col min="4895" max="4895" width="2.7109375" style="1259" customWidth="1"/>
    <col min="4896" max="4896" width="1.5703125" style="1259" customWidth="1"/>
    <col min="4897" max="4897" width="2.42578125" style="1259" customWidth="1"/>
    <col min="4898" max="4911" width="2.7109375" style="1259" customWidth="1"/>
    <col min="4912" max="4912" width="13.85546875" style="1259" bestFit="1" customWidth="1"/>
    <col min="4913" max="4913" width="8.7109375" style="1259" bestFit="1" customWidth="1"/>
    <col min="4914" max="4914" width="6.85546875" style="1259" bestFit="1" customWidth="1"/>
    <col min="4915" max="4915" width="9.5703125" style="1259" bestFit="1" customWidth="1"/>
    <col min="4916" max="4916" width="10.7109375" style="1259" bestFit="1" customWidth="1"/>
    <col min="4917" max="5120" width="9.140625" style="1259"/>
    <col min="5121" max="5121" width="10.85546875" style="1259" customWidth="1"/>
    <col min="5122" max="5122" width="1.7109375" style="1259" customWidth="1"/>
    <col min="5123" max="5123" width="1.5703125" style="1259" bestFit="1" customWidth="1"/>
    <col min="5124" max="5124" width="1.7109375" style="1259" customWidth="1"/>
    <col min="5125" max="5126" width="2.7109375" style="1259" customWidth="1"/>
    <col min="5127" max="5127" width="2.140625" style="1259" customWidth="1"/>
    <col min="5128" max="5128" width="2.7109375" style="1259" customWidth="1"/>
    <col min="5129" max="5129" width="3.5703125" style="1259" customWidth="1"/>
    <col min="5130" max="5130" width="2.140625" style="1259" customWidth="1"/>
    <col min="5131" max="5131" width="4" style="1259" customWidth="1"/>
    <col min="5132" max="5132" width="1.7109375" style="1259" customWidth="1"/>
    <col min="5133" max="5133" width="2.7109375" style="1259" customWidth="1"/>
    <col min="5134" max="5134" width="2.28515625" style="1259" customWidth="1"/>
    <col min="5135" max="5135" width="3.140625" style="1259" customWidth="1"/>
    <col min="5136" max="5136" width="7" style="1259" customWidth="1"/>
    <col min="5137" max="5138" width="2.7109375" style="1259" customWidth="1"/>
    <col min="5139" max="5139" width="1.85546875" style="1259" customWidth="1"/>
    <col min="5140" max="5141" width="2.7109375" style="1259" customWidth="1"/>
    <col min="5142" max="5142" width="1.7109375" style="1259" customWidth="1"/>
    <col min="5143" max="5145" width="2.7109375" style="1259" customWidth="1"/>
    <col min="5146" max="5146" width="2.28515625" style="1259" customWidth="1"/>
    <col min="5147" max="5147" width="1.7109375" style="1259" customWidth="1"/>
    <col min="5148" max="5149" width="2.7109375" style="1259" customWidth="1"/>
    <col min="5150" max="5150" width="1.85546875" style="1259" customWidth="1"/>
    <col min="5151" max="5151" width="2.7109375" style="1259" customWidth="1"/>
    <col min="5152" max="5152" width="1.5703125" style="1259" customWidth="1"/>
    <col min="5153" max="5153" width="2.42578125" style="1259" customWidth="1"/>
    <col min="5154" max="5167" width="2.7109375" style="1259" customWidth="1"/>
    <col min="5168" max="5168" width="13.85546875" style="1259" bestFit="1" customWidth="1"/>
    <col min="5169" max="5169" width="8.7109375" style="1259" bestFit="1" customWidth="1"/>
    <col min="5170" max="5170" width="6.85546875" style="1259" bestFit="1" customWidth="1"/>
    <col min="5171" max="5171" width="9.5703125" style="1259" bestFit="1" customWidth="1"/>
    <col min="5172" max="5172" width="10.7109375" style="1259" bestFit="1" customWidth="1"/>
    <col min="5173" max="5376" width="9.140625" style="1259"/>
    <col min="5377" max="5377" width="10.85546875" style="1259" customWidth="1"/>
    <col min="5378" max="5378" width="1.7109375" style="1259" customWidth="1"/>
    <col min="5379" max="5379" width="1.5703125" style="1259" bestFit="1" customWidth="1"/>
    <col min="5380" max="5380" width="1.7109375" style="1259" customWidth="1"/>
    <col min="5381" max="5382" width="2.7109375" style="1259" customWidth="1"/>
    <col min="5383" max="5383" width="2.140625" style="1259" customWidth="1"/>
    <col min="5384" max="5384" width="2.7109375" style="1259" customWidth="1"/>
    <col min="5385" max="5385" width="3.5703125" style="1259" customWidth="1"/>
    <col min="5386" max="5386" width="2.140625" style="1259" customWidth="1"/>
    <col min="5387" max="5387" width="4" style="1259" customWidth="1"/>
    <col min="5388" max="5388" width="1.7109375" style="1259" customWidth="1"/>
    <col min="5389" max="5389" width="2.7109375" style="1259" customWidth="1"/>
    <col min="5390" max="5390" width="2.28515625" style="1259" customWidth="1"/>
    <col min="5391" max="5391" width="3.140625" style="1259" customWidth="1"/>
    <col min="5392" max="5392" width="7" style="1259" customWidth="1"/>
    <col min="5393" max="5394" width="2.7109375" style="1259" customWidth="1"/>
    <col min="5395" max="5395" width="1.85546875" style="1259" customWidth="1"/>
    <col min="5396" max="5397" width="2.7109375" style="1259" customWidth="1"/>
    <col min="5398" max="5398" width="1.7109375" style="1259" customWidth="1"/>
    <col min="5399" max="5401" width="2.7109375" style="1259" customWidth="1"/>
    <col min="5402" max="5402" width="2.28515625" style="1259" customWidth="1"/>
    <col min="5403" max="5403" width="1.7109375" style="1259" customWidth="1"/>
    <col min="5404" max="5405" width="2.7109375" style="1259" customWidth="1"/>
    <col min="5406" max="5406" width="1.85546875" style="1259" customWidth="1"/>
    <col min="5407" max="5407" width="2.7109375" style="1259" customWidth="1"/>
    <col min="5408" max="5408" width="1.5703125" style="1259" customWidth="1"/>
    <col min="5409" max="5409" width="2.42578125" style="1259" customWidth="1"/>
    <col min="5410" max="5423" width="2.7109375" style="1259" customWidth="1"/>
    <col min="5424" max="5424" width="13.85546875" style="1259" bestFit="1" customWidth="1"/>
    <col min="5425" max="5425" width="8.7109375" style="1259" bestFit="1" customWidth="1"/>
    <col min="5426" max="5426" width="6.85546875" style="1259" bestFit="1" customWidth="1"/>
    <col min="5427" max="5427" width="9.5703125" style="1259" bestFit="1" customWidth="1"/>
    <col min="5428" max="5428" width="10.7109375" style="1259" bestFit="1" customWidth="1"/>
    <col min="5429" max="5632" width="9.140625" style="1259"/>
    <col min="5633" max="5633" width="10.85546875" style="1259" customWidth="1"/>
    <col min="5634" max="5634" width="1.7109375" style="1259" customWidth="1"/>
    <col min="5635" max="5635" width="1.5703125" style="1259" bestFit="1" customWidth="1"/>
    <col min="5636" max="5636" width="1.7109375" style="1259" customWidth="1"/>
    <col min="5637" max="5638" width="2.7109375" style="1259" customWidth="1"/>
    <col min="5639" max="5639" width="2.140625" style="1259" customWidth="1"/>
    <col min="5640" max="5640" width="2.7109375" style="1259" customWidth="1"/>
    <col min="5641" max="5641" width="3.5703125" style="1259" customWidth="1"/>
    <col min="5642" max="5642" width="2.140625" style="1259" customWidth="1"/>
    <col min="5643" max="5643" width="4" style="1259" customWidth="1"/>
    <col min="5644" max="5644" width="1.7109375" style="1259" customWidth="1"/>
    <col min="5645" max="5645" width="2.7109375" style="1259" customWidth="1"/>
    <col min="5646" max="5646" width="2.28515625" style="1259" customWidth="1"/>
    <col min="5647" max="5647" width="3.140625" style="1259" customWidth="1"/>
    <col min="5648" max="5648" width="7" style="1259" customWidth="1"/>
    <col min="5649" max="5650" width="2.7109375" style="1259" customWidth="1"/>
    <col min="5651" max="5651" width="1.85546875" style="1259" customWidth="1"/>
    <col min="5652" max="5653" width="2.7109375" style="1259" customWidth="1"/>
    <col min="5654" max="5654" width="1.7109375" style="1259" customWidth="1"/>
    <col min="5655" max="5657" width="2.7109375" style="1259" customWidth="1"/>
    <col min="5658" max="5658" width="2.28515625" style="1259" customWidth="1"/>
    <col min="5659" max="5659" width="1.7109375" style="1259" customWidth="1"/>
    <col min="5660" max="5661" width="2.7109375" style="1259" customWidth="1"/>
    <col min="5662" max="5662" width="1.85546875" style="1259" customWidth="1"/>
    <col min="5663" max="5663" width="2.7109375" style="1259" customWidth="1"/>
    <col min="5664" max="5664" width="1.5703125" style="1259" customWidth="1"/>
    <col min="5665" max="5665" width="2.42578125" style="1259" customWidth="1"/>
    <col min="5666" max="5679" width="2.7109375" style="1259" customWidth="1"/>
    <col min="5680" max="5680" width="13.85546875" style="1259" bestFit="1" customWidth="1"/>
    <col min="5681" max="5681" width="8.7109375" style="1259" bestFit="1" customWidth="1"/>
    <col min="5682" max="5682" width="6.85546875" style="1259" bestFit="1" customWidth="1"/>
    <col min="5683" max="5683" width="9.5703125" style="1259" bestFit="1" customWidth="1"/>
    <col min="5684" max="5684" width="10.7109375" style="1259" bestFit="1" customWidth="1"/>
    <col min="5685" max="5888" width="9.140625" style="1259"/>
    <col min="5889" max="5889" width="10.85546875" style="1259" customWidth="1"/>
    <col min="5890" max="5890" width="1.7109375" style="1259" customWidth="1"/>
    <col min="5891" max="5891" width="1.5703125" style="1259" bestFit="1" customWidth="1"/>
    <col min="5892" max="5892" width="1.7109375" style="1259" customWidth="1"/>
    <col min="5893" max="5894" width="2.7109375" style="1259" customWidth="1"/>
    <col min="5895" max="5895" width="2.140625" style="1259" customWidth="1"/>
    <col min="5896" max="5896" width="2.7109375" style="1259" customWidth="1"/>
    <col min="5897" max="5897" width="3.5703125" style="1259" customWidth="1"/>
    <col min="5898" max="5898" width="2.140625" style="1259" customWidth="1"/>
    <col min="5899" max="5899" width="4" style="1259" customWidth="1"/>
    <col min="5900" max="5900" width="1.7109375" style="1259" customWidth="1"/>
    <col min="5901" max="5901" width="2.7109375" style="1259" customWidth="1"/>
    <col min="5902" max="5902" width="2.28515625" style="1259" customWidth="1"/>
    <col min="5903" max="5903" width="3.140625" style="1259" customWidth="1"/>
    <col min="5904" max="5904" width="7" style="1259" customWidth="1"/>
    <col min="5905" max="5906" width="2.7109375" style="1259" customWidth="1"/>
    <col min="5907" max="5907" width="1.85546875" style="1259" customWidth="1"/>
    <col min="5908" max="5909" width="2.7109375" style="1259" customWidth="1"/>
    <col min="5910" max="5910" width="1.7109375" style="1259" customWidth="1"/>
    <col min="5911" max="5913" width="2.7109375" style="1259" customWidth="1"/>
    <col min="5914" max="5914" width="2.28515625" style="1259" customWidth="1"/>
    <col min="5915" max="5915" width="1.7109375" style="1259" customWidth="1"/>
    <col min="5916" max="5917" width="2.7109375" style="1259" customWidth="1"/>
    <col min="5918" max="5918" width="1.85546875" style="1259" customWidth="1"/>
    <col min="5919" max="5919" width="2.7109375" style="1259" customWidth="1"/>
    <col min="5920" max="5920" width="1.5703125" style="1259" customWidth="1"/>
    <col min="5921" max="5921" width="2.42578125" style="1259" customWidth="1"/>
    <col min="5922" max="5935" width="2.7109375" style="1259" customWidth="1"/>
    <col min="5936" max="5936" width="13.85546875" style="1259" bestFit="1" customWidth="1"/>
    <col min="5937" max="5937" width="8.7109375" style="1259" bestFit="1" customWidth="1"/>
    <col min="5938" max="5938" width="6.85546875" style="1259" bestFit="1" customWidth="1"/>
    <col min="5939" max="5939" width="9.5703125" style="1259" bestFit="1" customWidth="1"/>
    <col min="5940" max="5940" width="10.7109375" style="1259" bestFit="1" customWidth="1"/>
    <col min="5941" max="6144" width="9.140625" style="1259"/>
    <col min="6145" max="6145" width="10.85546875" style="1259" customWidth="1"/>
    <col min="6146" max="6146" width="1.7109375" style="1259" customWidth="1"/>
    <col min="6147" max="6147" width="1.5703125" style="1259" bestFit="1" customWidth="1"/>
    <col min="6148" max="6148" width="1.7109375" style="1259" customWidth="1"/>
    <col min="6149" max="6150" width="2.7109375" style="1259" customWidth="1"/>
    <col min="6151" max="6151" width="2.140625" style="1259" customWidth="1"/>
    <col min="6152" max="6152" width="2.7109375" style="1259" customWidth="1"/>
    <col min="6153" max="6153" width="3.5703125" style="1259" customWidth="1"/>
    <col min="6154" max="6154" width="2.140625" style="1259" customWidth="1"/>
    <col min="6155" max="6155" width="4" style="1259" customWidth="1"/>
    <col min="6156" max="6156" width="1.7109375" style="1259" customWidth="1"/>
    <col min="6157" max="6157" width="2.7109375" style="1259" customWidth="1"/>
    <col min="6158" max="6158" width="2.28515625" style="1259" customWidth="1"/>
    <col min="6159" max="6159" width="3.140625" style="1259" customWidth="1"/>
    <col min="6160" max="6160" width="7" style="1259" customWidth="1"/>
    <col min="6161" max="6162" width="2.7109375" style="1259" customWidth="1"/>
    <col min="6163" max="6163" width="1.85546875" style="1259" customWidth="1"/>
    <col min="6164" max="6165" width="2.7109375" style="1259" customWidth="1"/>
    <col min="6166" max="6166" width="1.7109375" style="1259" customWidth="1"/>
    <col min="6167" max="6169" width="2.7109375" style="1259" customWidth="1"/>
    <col min="6170" max="6170" width="2.28515625" style="1259" customWidth="1"/>
    <col min="6171" max="6171" width="1.7109375" style="1259" customWidth="1"/>
    <col min="6172" max="6173" width="2.7109375" style="1259" customWidth="1"/>
    <col min="6174" max="6174" width="1.85546875" style="1259" customWidth="1"/>
    <col min="6175" max="6175" width="2.7109375" style="1259" customWidth="1"/>
    <col min="6176" max="6176" width="1.5703125" style="1259" customWidth="1"/>
    <col min="6177" max="6177" width="2.42578125" style="1259" customWidth="1"/>
    <col min="6178" max="6191" width="2.7109375" style="1259" customWidth="1"/>
    <col min="6192" max="6192" width="13.85546875" style="1259" bestFit="1" customWidth="1"/>
    <col min="6193" max="6193" width="8.7109375" style="1259" bestFit="1" customWidth="1"/>
    <col min="6194" max="6194" width="6.85546875" style="1259" bestFit="1" customWidth="1"/>
    <col min="6195" max="6195" width="9.5703125" style="1259" bestFit="1" customWidth="1"/>
    <col min="6196" max="6196" width="10.7109375" style="1259" bestFit="1" customWidth="1"/>
    <col min="6197" max="6400" width="9.140625" style="1259"/>
    <col min="6401" max="6401" width="10.85546875" style="1259" customWidth="1"/>
    <col min="6402" max="6402" width="1.7109375" style="1259" customWidth="1"/>
    <col min="6403" max="6403" width="1.5703125" style="1259" bestFit="1" customWidth="1"/>
    <col min="6404" max="6404" width="1.7109375" style="1259" customWidth="1"/>
    <col min="6405" max="6406" width="2.7109375" style="1259" customWidth="1"/>
    <col min="6407" max="6407" width="2.140625" style="1259" customWidth="1"/>
    <col min="6408" max="6408" width="2.7109375" style="1259" customWidth="1"/>
    <col min="6409" max="6409" width="3.5703125" style="1259" customWidth="1"/>
    <col min="6410" max="6410" width="2.140625" style="1259" customWidth="1"/>
    <col min="6411" max="6411" width="4" style="1259" customWidth="1"/>
    <col min="6412" max="6412" width="1.7109375" style="1259" customWidth="1"/>
    <col min="6413" max="6413" width="2.7109375" style="1259" customWidth="1"/>
    <col min="6414" max="6414" width="2.28515625" style="1259" customWidth="1"/>
    <col min="6415" max="6415" width="3.140625" style="1259" customWidth="1"/>
    <col min="6416" max="6416" width="7" style="1259" customWidth="1"/>
    <col min="6417" max="6418" width="2.7109375" style="1259" customWidth="1"/>
    <col min="6419" max="6419" width="1.85546875" style="1259" customWidth="1"/>
    <col min="6420" max="6421" width="2.7109375" style="1259" customWidth="1"/>
    <col min="6422" max="6422" width="1.7109375" style="1259" customWidth="1"/>
    <col min="6423" max="6425" width="2.7109375" style="1259" customWidth="1"/>
    <col min="6426" max="6426" width="2.28515625" style="1259" customWidth="1"/>
    <col min="6427" max="6427" width="1.7109375" style="1259" customWidth="1"/>
    <col min="6428" max="6429" width="2.7109375" style="1259" customWidth="1"/>
    <col min="6430" max="6430" width="1.85546875" style="1259" customWidth="1"/>
    <col min="6431" max="6431" width="2.7109375" style="1259" customWidth="1"/>
    <col min="6432" max="6432" width="1.5703125" style="1259" customWidth="1"/>
    <col min="6433" max="6433" width="2.42578125" style="1259" customWidth="1"/>
    <col min="6434" max="6447" width="2.7109375" style="1259" customWidth="1"/>
    <col min="6448" max="6448" width="13.85546875" style="1259" bestFit="1" customWidth="1"/>
    <col min="6449" max="6449" width="8.7109375" style="1259" bestFit="1" customWidth="1"/>
    <col min="6450" max="6450" width="6.85546875" style="1259" bestFit="1" customWidth="1"/>
    <col min="6451" max="6451" width="9.5703125" style="1259" bestFit="1" customWidth="1"/>
    <col min="6452" max="6452" width="10.7109375" style="1259" bestFit="1" customWidth="1"/>
    <col min="6453" max="6656" width="9.140625" style="1259"/>
    <col min="6657" max="6657" width="10.85546875" style="1259" customWidth="1"/>
    <col min="6658" max="6658" width="1.7109375" style="1259" customWidth="1"/>
    <col min="6659" max="6659" width="1.5703125" style="1259" bestFit="1" customWidth="1"/>
    <col min="6660" max="6660" width="1.7109375" style="1259" customWidth="1"/>
    <col min="6661" max="6662" width="2.7109375" style="1259" customWidth="1"/>
    <col min="6663" max="6663" width="2.140625" style="1259" customWidth="1"/>
    <col min="6664" max="6664" width="2.7109375" style="1259" customWidth="1"/>
    <col min="6665" max="6665" width="3.5703125" style="1259" customWidth="1"/>
    <col min="6666" max="6666" width="2.140625" style="1259" customWidth="1"/>
    <col min="6667" max="6667" width="4" style="1259" customWidth="1"/>
    <col min="6668" max="6668" width="1.7109375" style="1259" customWidth="1"/>
    <col min="6669" max="6669" width="2.7109375" style="1259" customWidth="1"/>
    <col min="6670" max="6670" width="2.28515625" style="1259" customWidth="1"/>
    <col min="6671" max="6671" width="3.140625" style="1259" customWidth="1"/>
    <col min="6672" max="6672" width="7" style="1259" customWidth="1"/>
    <col min="6673" max="6674" width="2.7109375" style="1259" customWidth="1"/>
    <col min="6675" max="6675" width="1.85546875" style="1259" customWidth="1"/>
    <col min="6676" max="6677" width="2.7109375" style="1259" customWidth="1"/>
    <col min="6678" max="6678" width="1.7109375" style="1259" customWidth="1"/>
    <col min="6679" max="6681" width="2.7109375" style="1259" customWidth="1"/>
    <col min="6682" max="6682" width="2.28515625" style="1259" customWidth="1"/>
    <col min="6683" max="6683" width="1.7109375" style="1259" customWidth="1"/>
    <col min="6684" max="6685" width="2.7109375" style="1259" customWidth="1"/>
    <col min="6686" max="6686" width="1.85546875" style="1259" customWidth="1"/>
    <col min="6687" max="6687" width="2.7109375" style="1259" customWidth="1"/>
    <col min="6688" max="6688" width="1.5703125" style="1259" customWidth="1"/>
    <col min="6689" max="6689" width="2.42578125" style="1259" customWidth="1"/>
    <col min="6690" max="6703" width="2.7109375" style="1259" customWidth="1"/>
    <col min="6704" max="6704" width="13.85546875" style="1259" bestFit="1" customWidth="1"/>
    <col min="6705" max="6705" width="8.7109375" style="1259" bestFit="1" customWidth="1"/>
    <col min="6706" max="6706" width="6.85546875" style="1259" bestFit="1" customWidth="1"/>
    <col min="6707" max="6707" width="9.5703125" style="1259" bestFit="1" customWidth="1"/>
    <col min="6708" max="6708" width="10.7109375" style="1259" bestFit="1" customWidth="1"/>
    <col min="6709" max="6912" width="9.140625" style="1259"/>
    <col min="6913" max="6913" width="10.85546875" style="1259" customWidth="1"/>
    <col min="6914" max="6914" width="1.7109375" style="1259" customWidth="1"/>
    <col min="6915" max="6915" width="1.5703125" style="1259" bestFit="1" customWidth="1"/>
    <col min="6916" max="6916" width="1.7109375" style="1259" customWidth="1"/>
    <col min="6917" max="6918" width="2.7109375" style="1259" customWidth="1"/>
    <col min="6919" max="6919" width="2.140625" style="1259" customWidth="1"/>
    <col min="6920" max="6920" width="2.7109375" style="1259" customWidth="1"/>
    <col min="6921" max="6921" width="3.5703125" style="1259" customWidth="1"/>
    <col min="6922" max="6922" width="2.140625" style="1259" customWidth="1"/>
    <col min="6923" max="6923" width="4" style="1259" customWidth="1"/>
    <col min="6924" max="6924" width="1.7109375" style="1259" customWidth="1"/>
    <col min="6925" max="6925" width="2.7109375" style="1259" customWidth="1"/>
    <col min="6926" max="6926" width="2.28515625" style="1259" customWidth="1"/>
    <col min="6927" max="6927" width="3.140625" style="1259" customWidth="1"/>
    <col min="6928" max="6928" width="7" style="1259" customWidth="1"/>
    <col min="6929" max="6930" width="2.7109375" style="1259" customWidth="1"/>
    <col min="6931" max="6931" width="1.85546875" style="1259" customWidth="1"/>
    <col min="6932" max="6933" width="2.7109375" style="1259" customWidth="1"/>
    <col min="6934" max="6934" width="1.7109375" style="1259" customWidth="1"/>
    <col min="6935" max="6937" width="2.7109375" style="1259" customWidth="1"/>
    <col min="6938" max="6938" width="2.28515625" style="1259" customWidth="1"/>
    <col min="6939" max="6939" width="1.7109375" style="1259" customWidth="1"/>
    <col min="6940" max="6941" width="2.7109375" style="1259" customWidth="1"/>
    <col min="6942" max="6942" width="1.85546875" style="1259" customWidth="1"/>
    <col min="6943" max="6943" width="2.7109375" style="1259" customWidth="1"/>
    <col min="6944" max="6944" width="1.5703125" style="1259" customWidth="1"/>
    <col min="6945" max="6945" width="2.42578125" style="1259" customWidth="1"/>
    <col min="6946" max="6959" width="2.7109375" style="1259" customWidth="1"/>
    <col min="6960" max="6960" width="13.85546875" style="1259" bestFit="1" customWidth="1"/>
    <col min="6961" max="6961" width="8.7109375" style="1259" bestFit="1" customWidth="1"/>
    <col min="6962" max="6962" width="6.85546875" style="1259" bestFit="1" customWidth="1"/>
    <col min="6963" max="6963" width="9.5703125" style="1259" bestFit="1" customWidth="1"/>
    <col min="6964" max="6964" width="10.7109375" style="1259" bestFit="1" customWidth="1"/>
    <col min="6965" max="7168" width="9.140625" style="1259"/>
    <col min="7169" max="7169" width="10.85546875" style="1259" customWidth="1"/>
    <col min="7170" max="7170" width="1.7109375" style="1259" customWidth="1"/>
    <col min="7171" max="7171" width="1.5703125" style="1259" bestFit="1" customWidth="1"/>
    <col min="7172" max="7172" width="1.7109375" style="1259" customWidth="1"/>
    <col min="7173" max="7174" width="2.7109375" style="1259" customWidth="1"/>
    <col min="7175" max="7175" width="2.140625" style="1259" customWidth="1"/>
    <col min="7176" max="7176" width="2.7109375" style="1259" customWidth="1"/>
    <col min="7177" max="7177" width="3.5703125" style="1259" customWidth="1"/>
    <col min="7178" max="7178" width="2.140625" style="1259" customWidth="1"/>
    <col min="7179" max="7179" width="4" style="1259" customWidth="1"/>
    <col min="7180" max="7180" width="1.7109375" style="1259" customWidth="1"/>
    <col min="7181" max="7181" width="2.7109375" style="1259" customWidth="1"/>
    <col min="7182" max="7182" width="2.28515625" style="1259" customWidth="1"/>
    <col min="7183" max="7183" width="3.140625" style="1259" customWidth="1"/>
    <col min="7184" max="7184" width="7" style="1259" customWidth="1"/>
    <col min="7185" max="7186" width="2.7109375" style="1259" customWidth="1"/>
    <col min="7187" max="7187" width="1.85546875" style="1259" customWidth="1"/>
    <col min="7188" max="7189" width="2.7109375" style="1259" customWidth="1"/>
    <col min="7190" max="7190" width="1.7109375" style="1259" customWidth="1"/>
    <col min="7191" max="7193" width="2.7109375" style="1259" customWidth="1"/>
    <col min="7194" max="7194" width="2.28515625" style="1259" customWidth="1"/>
    <col min="7195" max="7195" width="1.7109375" style="1259" customWidth="1"/>
    <col min="7196" max="7197" width="2.7109375" style="1259" customWidth="1"/>
    <col min="7198" max="7198" width="1.85546875" style="1259" customWidth="1"/>
    <col min="7199" max="7199" width="2.7109375" style="1259" customWidth="1"/>
    <col min="7200" max="7200" width="1.5703125" style="1259" customWidth="1"/>
    <col min="7201" max="7201" width="2.42578125" style="1259" customWidth="1"/>
    <col min="7202" max="7215" width="2.7109375" style="1259" customWidth="1"/>
    <col min="7216" max="7216" width="13.85546875" style="1259" bestFit="1" customWidth="1"/>
    <col min="7217" max="7217" width="8.7109375" style="1259" bestFit="1" customWidth="1"/>
    <col min="7218" max="7218" width="6.85546875" style="1259" bestFit="1" customWidth="1"/>
    <col min="7219" max="7219" width="9.5703125" style="1259" bestFit="1" customWidth="1"/>
    <col min="7220" max="7220" width="10.7109375" style="1259" bestFit="1" customWidth="1"/>
    <col min="7221" max="7424" width="9.140625" style="1259"/>
    <col min="7425" max="7425" width="10.85546875" style="1259" customWidth="1"/>
    <col min="7426" max="7426" width="1.7109375" style="1259" customWidth="1"/>
    <col min="7427" max="7427" width="1.5703125" style="1259" bestFit="1" customWidth="1"/>
    <col min="7428" max="7428" width="1.7109375" style="1259" customWidth="1"/>
    <col min="7429" max="7430" width="2.7109375" style="1259" customWidth="1"/>
    <col min="7431" max="7431" width="2.140625" style="1259" customWidth="1"/>
    <col min="7432" max="7432" width="2.7109375" style="1259" customWidth="1"/>
    <col min="7433" max="7433" width="3.5703125" style="1259" customWidth="1"/>
    <col min="7434" max="7434" width="2.140625" style="1259" customWidth="1"/>
    <col min="7435" max="7435" width="4" style="1259" customWidth="1"/>
    <col min="7436" max="7436" width="1.7109375" style="1259" customWidth="1"/>
    <col min="7437" max="7437" width="2.7109375" style="1259" customWidth="1"/>
    <col min="7438" max="7438" width="2.28515625" style="1259" customWidth="1"/>
    <col min="7439" max="7439" width="3.140625" style="1259" customWidth="1"/>
    <col min="7440" max="7440" width="7" style="1259" customWidth="1"/>
    <col min="7441" max="7442" width="2.7109375" style="1259" customWidth="1"/>
    <col min="7443" max="7443" width="1.85546875" style="1259" customWidth="1"/>
    <col min="7444" max="7445" width="2.7109375" style="1259" customWidth="1"/>
    <col min="7446" max="7446" width="1.7109375" style="1259" customWidth="1"/>
    <col min="7447" max="7449" width="2.7109375" style="1259" customWidth="1"/>
    <col min="7450" max="7450" width="2.28515625" style="1259" customWidth="1"/>
    <col min="7451" max="7451" width="1.7109375" style="1259" customWidth="1"/>
    <col min="7452" max="7453" width="2.7109375" style="1259" customWidth="1"/>
    <col min="7454" max="7454" width="1.85546875" style="1259" customWidth="1"/>
    <col min="7455" max="7455" width="2.7109375" style="1259" customWidth="1"/>
    <col min="7456" max="7456" width="1.5703125" style="1259" customWidth="1"/>
    <col min="7457" max="7457" width="2.42578125" style="1259" customWidth="1"/>
    <col min="7458" max="7471" width="2.7109375" style="1259" customWidth="1"/>
    <col min="7472" max="7472" width="13.85546875" style="1259" bestFit="1" customWidth="1"/>
    <col min="7473" max="7473" width="8.7109375" style="1259" bestFit="1" customWidth="1"/>
    <col min="7474" max="7474" width="6.85546875" style="1259" bestFit="1" customWidth="1"/>
    <col min="7475" max="7475" width="9.5703125" style="1259" bestFit="1" customWidth="1"/>
    <col min="7476" max="7476" width="10.7109375" style="1259" bestFit="1" customWidth="1"/>
    <col min="7477" max="7680" width="9.140625" style="1259"/>
    <col min="7681" max="7681" width="10.85546875" style="1259" customWidth="1"/>
    <col min="7682" max="7682" width="1.7109375" style="1259" customWidth="1"/>
    <col min="7683" max="7683" width="1.5703125" style="1259" bestFit="1" customWidth="1"/>
    <col min="7684" max="7684" width="1.7109375" style="1259" customWidth="1"/>
    <col min="7685" max="7686" width="2.7109375" style="1259" customWidth="1"/>
    <col min="7687" max="7687" width="2.140625" style="1259" customWidth="1"/>
    <col min="7688" max="7688" width="2.7109375" style="1259" customWidth="1"/>
    <col min="7689" max="7689" width="3.5703125" style="1259" customWidth="1"/>
    <col min="7690" max="7690" width="2.140625" style="1259" customWidth="1"/>
    <col min="7691" max="7691" width="4" style="1259" customWidth="1"/>
    <col min="7692" max="7692" width="1.7109375" style="1259" customWidth="1"/>
    <col min="7693" max="7693" width="2.7109375" style="1259" customWidth="1"/>
    <col min="7694" max="7694" width="2.28515625" style="1259" customWidth="1"/>
    <col min="7695" max="7695" width="3.140625" style="1259" customWidth="1"/>
    <col min="7696" max="7696" width="7" style="1259" customWidth="1"/>
    <col min="7697" max="7698" width="2.7109375" style="1259" customWidth="1"/>
    <col min="7699" max="7699" width="1.85546875" style="1259" customWidth="1"/>
    <col min="7700" max="7701" width="2.7109375" style="1259" customWidth="1"/>
    <col min="7702" max="7702" width="1.7109375" style="1259" customWidth="1"/>
    <col min="7703" max="7705" width="2.7109375" style="1259" customWidth="1"/>
    <col min="7706" max="7706" width="2.28515625" style="1259" customWidth="1"/>
    <col min="7707" max="7707" width="1.7109375" style="1259" customWidth="1"/>
    <col min="7708" max="7709" width="2.7109375" style="1259" customWidth="1"/>
    <col min="7710" max="7710" width="1.85546875" style="1259" customWidth="1"/>
    <col min="7711" max="7711" width="2.7109375" style="1259" customWidth="1"/>
    <col min="7712" max="7712" width="1.5703125" style="1259" customWidth="1"/>
    <col min="7713" max="7713" width="2.42578125" style="1259" customWidth="1"/>
    <col min="7714" max="7727" width="2.7109375" style="1259" customWidth="1"/>
    <col min="7728" max="7728" width="13.85546875" style="1259" bestFit="1" customWidth="1"/>
    <col min="7729" max="7729" width="8.7109375" style="1259" bestFit="1" customWidth="1"/>
    <col min="7730" max="7730" width="6.85546875" style="1259" bestFit="1" customWidth="1"/>
    <col min="7731" max="7731" width="9.5703125" style="1259" bestFit="1" customWidth="1"/>
    <col min="7732" max="7732" width="10.7109375" style="1259" bestFit="1" customWidth="1"/>
    <col min="7733" max="7936" width="9.140625" style="1259"/>
    <col min="7937" max="7937" width="10.85546875" style="1259" customWidth="1"/>
    <col min="7938" max="7938" width="1.7109375" style="1259" customWidth="1"/>
    <col min="7939" max="7939" width="1.5703125" style="1259" bestFit="1" customWidth="1"/>
    <col min="7940" max="7940" width="1.7109375" style="1259" customWidth="1"/>
    <col min="7941" max="7942" width="2.7109375" style="1259" customWidth="1"/>
    <col min="7943" max="7943" width="2.140625" style="1259" customWidth="1"/>
    <col min="7944" max="7944" width="2.7109375" style="1259" customWidth="1"/>
    <col min="7945" max="7945" width="3.5703125" style="1259" customWidth="1"/>
    <col min="7946" max="7946" width="2.140625" style="1259" customWidth="1"/>
    <col min="7947" max="7947" width="4" style="1259" customWidth="1"/>
    <col min="7948" max="7948" width="1.7109375" style="1259" customWidth="1"/>
    <col min="7949" max="7949" width="2.7109375" style="1259" customWidth="1"/>
    <col min="7950" max="7950" width="2.28515625" style="1259" customWidth="1"/>
    <col min="7951" max="7951" width="3.140625" style="1259" customWidth="1"/>
    <col min="7952" max="7952" width="7" style="1259" customWidth="1"/>
    <col min="7953" max="7954" width="2.7109375" style="1259" customWidth="1"/>
    <col min="7955" max="7955" width="1.85546875" style="1259" customWidth="1"/>
    <col min="7956" max="7957" width="2.7109375" style="1259" customWidth="1"/>
    <col min="7958" max="7958" width="1.7109375" style="1259" customWidth="1"/>
    <col min="7959" max="7961" width="2.7109375" style="1259" customWidth="1"/>
    <col min="7962" max="7962" width="2.28515625" style="1259" customWidth="1"/>
    <col min="7963" max="7963" width="1.7109375" style="1259" customWidth="1"/>
    <col min="7964" max="7965" width="2.7109375" style="1259" customWidth="1"/>
    <col min="7966" max="7966" width="1.85546875" style="1259" customWidth="1"/>
    <col min="7967" max="7967" width="2.7109375" style="1259" customWidth="1"/>
    <col min="7968" max="7968" width="1.5703125" style="1259" customWidth="1"/>
    <col min="7969" max="7969" width="2.42578125" style="1259" customWidth="1"/>
    <col min="7970" max="7983" width="2.7109375" style="1259" customWidth="1"/>
    <col min="7984" max="7984" width="13.85546875" style="1259" bestFit="1" customWidth="1"/>
    <col min="7985" max="7985" width="8.7109375" style="1259" bestFit="1" customWidth="1"/>
    <col min="7986" max="7986" width="6.85546875" style="1259" bestFit="1" customWidth="1"/>
    <col min="7987" max="7987" width="9.5703125" style="1259" bestFit="1" customWidth="1"/>
    <col min="7988" max="7988" width="10.7109375" style="1259" bestFit="1" customWidth="1"/>
    <col min="7989" max="8192" width="9.140625" style="1259"/>
    <col min="8193" max="8193" width="10.85546875" style="1259" customWidth="1"/>
    <col min="8194" max="8194" width="1.7109375" style="1259" customWidth="1"/>
    <col min="8195" max="8195" width="1.5703125" style="1259" bestFit="1" customWidth="1"/>
    <col min="8196" max="8196" width="1.7109375" style="1259" customWidth="1"/>
    <col min="8197" max="8198" width="2.7109375" style="1259" customWidth="1"/>
    <col min="8199" max="8199" width="2.140625" style="1259" customWidth="1"/>
    <col min="8200" max="8200" width="2.7109375" style="1259" customWidth="1"/>
    <col min="8201" max="8201" width="3.5703125" style="1259" customWidth="1"/>
    <col min="8202" max="8202" width="2.140625" style="1259" customWidth="1"/>
    <col min="8203" max="8203" width="4" style="1259" customWidth="1"/>
    <col min="8204" max="8204" width="1.7109375" style="1259" customWidth="1"/>
    <col min="8205" max="8205" width="2.7109375" style="1259" customWidth="1"/>
    <col min="8206" max="8206" width="2.28515625" style="1259" customWidth="1"/>
    <col min="8207" max="8207" width="3.140625" style="1259" customWidth="1"/>
    <col min="8208" max="8208" width="7" style="1259" customWidth="1"/>
    <col min="8209" max="8210" width="2.7109375" style="1259" customWidth="1"/>
    <col min="8211" max="8211" width="1.85546875" style="1259" customWidth="1"/>
    <col min="8212" max="8213" width="2.7109375" style="1259" customWidth="1"/>
    <col min="8214" max="8214" width="1.7109375" style="1259" customWidth="1"/>
    <col min="8215" max="8217" width="2.7109375" style="1259" customWidth="1"/>
    <col min="8218" max="8218" width="2.28515625" style="1259" customWidth="1"/>
    <col min="8219" max="8219" width="1.7109375" style="1259" customWidth="1"/>
    <col min="8220" max="8221" width="2.7109375" style="1259" customWidth="1"/>
    <col min="8222" max="8222" width="1.85546875" style="1259" customWidth="1"/>
    <col min="8223" max="8223" width="2.7109375" style="1259" customWidth="1"/>
    <col min="8224" max="8224" width="1.5703125" style="1259" customWidth="1"/>
    <col min="8225" max="8225" width="2.42578125" style="1259" customWidth="1"/>
    <col min="8226" max="8239" width="2.7109375" style="1259" customWidth="1"/>
    <col min="8240" max="8240" width="13.85546875" style="1259" bestFit="1" customWidth="1"/>
    <col min="8241" max="8241" width="8.7109375" style="1259" bestFit="1" customWidth="1"/>
    <col min="8242" max="8242" width="6.85546875" style="1259" bestFit="1" customWidth="1"/>
    <col min="8243" max="8243" width="9.5703125" style="1259" bestFit="1" customWidth="1"/>
    <col min="8244" max="8244" width="10.7109375" style="1259" bestFit="1" customWidth="1"/>
    <col min="8245" max="8448" width="9.140625" style="1259"/>
    <col min="8449" max="8449" width="10.85546875" style="1259" customWidth="1"/>
    <col min="8450" max="8450" width="1.7109375" style="1259" customWidth="1"/>
    <col min="8451" max="8451" width="1.5703125" style="1259" bestFit="1" customWidth="1"/>
    <col min="8452" max="8452" width="1.7109375" style="1259" customWidth="1"/>
    <col min="8453" max="8454" width="2.7109375" style="1259" customWidth="1"/>
    <col min="8455" max="8455" width="2.140625" style="1259" customWidth="1"/>
    <col min="8456" max="8456" width="2.7109375" style="1259" customWidth="1"/>
    <col min="8457" max="8457" width="3.5703125" style="1259" customWidth="1"/>
    <col min="8458" max="8458" width="2.140625" style="1259" customWidth="1"/>
    <col min="8459" max="8459" width="4" style="1259" customWidth="1"/>
    <col min="8460" max="8460" width="1.7109375" style="1259" customWidth="1"/>
    <col min="8461" max="8461" width="2.7109375" style="1259" customWidth="1"/>
    <col min="8462" max="8462" width="2.28515625" style="1259" customWidth="1"/>
    <col min="8463" max="8463" width="3.140625" style="1259" customWidth="1"/>
    <col min="8464" max="8464" width="7" style="1259" customWidth="1"/>
    <col min="8465" max="8466" width="2.7109375" style="1259" customWidth="1"/>
    <col min="8467" max="8467" width="1.85546875" style="1259" customWidth="1"/>
    <col min="8468" max="8469" width="2.7109375" style="1259" customWidth="1"/>
    <col min="8470" max="8470" width="1.7109375" style="1259" customWidth="1"/>
    <col min="8471" max="8473" width="2.7109375" style="1259" customWidth="1"/>
    <col min="8474" max="8474" width="2.28515625" style="1259" customWidth="1"/>
    <col min="8475" max="8475" width="1.7109375" style="1259" customWidth="1"/>
    <col min="8476" max="8477" width="2.7109375" style="1259" customWidth="1"/>
    <col min="8478" max="8478" width="1.85546875" style="1259" customWidth="1"/>
    <col min="8479" max="8479" width="2.7109375" style="1259" customWidth="1"/>
    <col min="8480" max="8480" width="1.5703125" style="1259" customWidth="1"/>
    <col min="8481" max="8481" width="2.42578125" style="1259" customWidth="1"/>
    <col min="8482" max="8495" width="2.7109375" style="1259" customWidth="1"/>
    <col min="8496" max="8496" width="13.85546875" style="1259" bestFit="1" customWidth="1"/>
    <col min="8497" max="8497" width="8.7109375" style="1259" bestFit="1" customWidth="1"/>
    <col min="8498" max="8498" width="6.85546875" style="1259" bestFit="1" customWidth="1"/>
    <col min="8499" max="8499" width="9.5703125" style="1259" bestFit="1" customWidth="1"/>
    <col min="8500" max="8500" width="10.7109375" style="1259" bestFit="1" customWidth="1"/>
    <col min="8501" max="8704" width="9.140625" style="1259"/>
    <col min="8705" max="8705" width="10.85546875" style="1259" customWidth="1"/>
    <col min="8706" max="8706" width="1.7109375" style="1259" customWidth="1"/>
    <col min="8707" max="8707" width="1.5703125" style="1259" bestFit="1" customWidth="1"/>
    <col min="8708" max="8708" width="1.7109375" style="1259" customWidth="1"/>
    <col min="8709" max="8710" width="2.7109375" style="1259" customWidth="1"/>
    <col min="8711" max="8711" width="2.140625" style="1259" customWidth="1"/>
    <col min="8712" max="8712" width="2.7109375" style="1259" customWidth="1"/>
    <col min="8713" max="8713" width="3.5703125" style="1259" customWidth="1"/>
    <col min="8714" max="8714" width="2.140625" style="1259" customWidth="1"/>
    <col min="8715" max="8715" width="4" style="1259" customWidth="1"/>
    <col min="8716" max="8716" width="1.7109375" style="1259" customWidth="1"/>
    <col min="8717" max="8717" width="2.7109375" style="1259" customWidth="1"/>
    <col min="8718" max="8718" width="2.28515625" style="1259" customWidth="1"/>
    <col min="8719" max="8719" width="3.140625" style="1259" customWidth="1"/>
    <col min="8720" max="8720" width="7" style="1259" customWidth="1"/>
    <col min="8721" max="8722" width="2.7109375" style="1259" customWidth="1"/>
    <col min="8723" max="8723" width="1.85546875" style="1259" customWidth="1"/>
    <col min="8724" max="8725" width="2.7109375" style="1259" customWidth="1"/>
    <col min="8726" max="8726" width="1.7109375" style="1259" customWidth="1"/>
    <col min="8727" max="8729" width="2.7109375" style="1259" customWidth="1"/>
    <col min="8730" max="8730" width="2.28515625" style="1259" customWidth="1"/>
    <col min="8731" max="8731" width="1.7109375" style="1259" customWidth="1"/>
    <col min="8732" max="8733" width="2.7109375" style="1259" customWidth="1"/>
    <col min="8734" max="8734" width="1.85546875" style="1259" customWidth="1"/>
    <col min="8735" max="8735" width="2.7109375" style="1259" customWidth="1"/>
    <col min="8736" max="8736" width="1.5703125" style="1259" customWidth="1"/>
    <col min="8737" max="8737" width="2.42578125" style="1259" customWidth="1"/>
    <col min="8738" max="8751" width="2.7109375" style="1259" customWidth="1"/>
    <col min="8752" max="8752" width="13.85546875" style="1259" bestFit="1" customWidth="1"/>
    <col min="8753" max="8753" width="8.7109375" style="1259" bestFit="1" customWidth="1"/>
    <col min="8754" max="8754" width="6.85546875" style="1259" bestFit="1" customWidth="1"/>
    <col min="8755" max="8755" width="9.5703125" style="1259" bestFit="1" customWidth="1"/>
    <col min="8756" max="8756" width="10.7109375" style="1259" bestFit="1" customWidth="1"/>
    <col min="8757" max="8960" width="9.140625" style="1259"/>
    <col min="8961" max="8961" width="10.85546875" style="1259" customWidth="1"/>
    <col min="8962" max="8962" width="1.7109375" style="1259" customWidth="1"/>
    <col min="8963" max="8963" width="1.5703125" style="1259" bestFit="1" customWidth="1"/>
    <col min="8964" max="8964" width="1.7109375" style="1259" customWidth="1"/>
    <col min="8965" max="8966" width="2.7109375" style="1259" customWidth="1"/>
    <col min="8967" max="8967" width="2.140625" style="1259" customWidth="1"/>
    <col min="8968" max="8968" width="2.7109375" style="1259" customWidth="1"/>
    <col min="8969" max="8969" width="3.5703125" style="1259" customWidth="1"/>
    <col min="8970" max="8970" width="2.140625" style="1259" customWidth="1"/>
    <col min="8971" max="8971" width="4" style="1259" customWidth="1"/>
    <col min="8972" max="8972" width="1.7109375" style="1259" customWidth="1"/>
    <col min="8973" max="8973" width="2.7109375" style="1259" customWidth="1"/>
    <col min="8974" max="8974" width="2.28515625" style="1259" customWidth="1"/>
    <col min="8975" max="8975" width="3.140625" style="1259" customWidth="1"/>
    <col min="8976" max="8976" width="7" style="1259" customWidth="1"/>
    <col min="8977" max="8978" width="2.7109375" style="1259" customWidth="1"/>
    <col min="8979" max="8979" width="1.85546875" style="1259" customWidth="1"/>
    <col min="8980" max="8981" width="2.7109375" style="1259" customWidth="1"/>
    <col min="8982" max="8982" width="1.7109375" style="1259" customWidth="1"/>
    <col min="8983" max="8985" width="2.7109375" style="1259" customWidth="1"/>
    <col min="8986" max="8986" width="2.28515625" style="1259" customWidth="1"/>
    <col min="8987" max="8987" width="1.7109375" style="1259" customWidth="1"/>
    <col min="8988" max="8989" width="2.7109375" style="1259" customWidth="1"/>
    <col min="8990" max="8990" width="1.85546875" style="1259" customWidth="1"/>
    <col min="8991" max="8991" width="2.7109375" style="1259" customWidth="1"/>
    <col min="8992" max="8992" width="1.5703125" style="1259" customWidth="1"/>
    <col min="8993" max="8993" width="2.42578125" style="1259" customWidth="1"/>
    <col min="8994" max="9007" width="2.7109375" style="1259" customWidth="1"/>
    <col min="9008" max="9008" width="13.85546875" style="1259" bestFit="1" customWidth="1"/>
    <col min="9009" max="9009" width="8.7109375" style="1259" bestFit="1" customWidth="1"/>
    <col min="9010" max="9010" width="6.85546875" style="1259" bestFit="1" customWidth="1"/>
    <col min="9011" max="9011" width="9.5703125" style="1259" bestFit="1" customWidth="1"/>
    <col min="9012" max="9012" width="10.7109375" style="1259" bestFit="1" customWidth="1"/>
    <col min="9013" max="9216" width="9.140625" style="1259"/>
    <col min="9217" max="9217" width="10.85546875" style="1259" customWidth="1"/>
    <col min="9218" max="9218" width="1.7109375" style="1259" customWidth="1"/>
    <col min="9219" max="9219" width="1.5703125" style="1259" bestFit="1" customWidth="1"/>
    <col min="9220" max="9220" width="1.7109375" style="1259" customWidth="1"/>
    <col min="9221" max="9222" width="2.7109375" style="1259" customWidth="1"/>
    <col min="9223" max="9223" width="2.140625" style="1259" customWidth="1"/>
    <col min="9224" max="9224" width="2.7109375" style="1259" customWidth="1"/>
    <col min="9225" max="9225" width="3.5703125" style="1259" customWidth="1"/>
    <col min="9226" max="9226" width="2.140625" style="1259" customWidth="1"/>
    <col min="9227" max="9227" width="4" style="1259" customWidth="1"/>
    <col min="9228" max="9228" width="1.7109375" style="1259" customWidth="1"/>
    <col min="9229" max="9229" width="2.7109375" style="1259" customWidth="1"/>
    <col min="9230" max="9230" width="2.28515625" style="1259" customWidth="1"/>
    <col min="9231" max="9231" width="3.140625" style="1259" customWidth="1"/>
    <col min="9232" max="9232" width="7" style="1259" customWidth="1"/>
    <col min="9233" max="9234" width="2.7109375" style="1259" customWidth="1"/>
    <col min="9235" max="9235" width="1.85546875" style="1259" customWidth="1"/>
    <col min="9236" max="9237" width="2.7109375" style="1259" customWidth="1"/>
    <col min="9238" max="9238" width="1.7109375" style="1259" customWidth="1"/>
    <col min="9239" max="9241" width="2.7109375" style="1259" customWidth="1"/>
    <col min="9242" max="9242" width="2.28515625" style="1259" customWidth="1"/>
    <col min="9243" max="9243" width="1.7109375" style="1259" customWidth="1"/>
    <col min="9244" max="9245" width="2.7109375" style="1259" customWidth="1"/>
    <col min="9246" max="9246" width="1.85546875" style="1259" customWidth="1"/>
    <col min="9247" max="9247" width="2.7109375" style="1259" customWidth="1"/>
    <col min="9248" max="9248" width="1.5703125" style="1259" customWidth="1"/>
    <col min="9249" max="9249" width="2.42578125" style="1259" customWidth="1"/>
    <col min="9250" max="9263" width="2.7109375" style="1259" customWidth="1"/>
    <col min="9264" max="9264" width="13.85546875" style="1259" bestFit="1" customWidth="1"/>
    <col min="9265" max="9265" width="8.7109375" style="1259" bestFit="1" customWidth="1"/>
    <col min="9266" max="9266" width="6.85546875" style="1259" bestFit="1" customWidth="1"/>
    <col min="9267" max="9267" width="9.5703125" style="1259" bestFit="1" customWidth="1"/>
    <col min="9268" max="9268" width="10.7109375" style="1259" bestFit="1" customWidth="1"/>
    <col min="9269" max="9472" width="9.140625" style="1259"/>
    <col min="9473" max="9473" width="10.85546875" style="1259" customWidth="1"/>
    <col min="9474" max="9474" width="1.7109375" style="1259" customWidth="1"/>
    <col min="9475" max="9475" width="1.5703125" style="1259" bestFit="1" customWidth="1"/>
    <col min="9476" max="9476" width="1.7109375" style="1259" customWidth="1"/>
    <col min="9477" max="9478" width="2.7109375" style="1259" customWidth="1"/>
    <col min="9479" max="9479" width="2.140625" style="1259" customWidth="1"/>
    <col min="9480" max="9480" width="2.7109375" style="1259" customWidth="1"/>
    <col min="9481" max="9481" width="3.5703125" style="1259" customWidth="1"/>
    <col min="9482" max="9482" width="2.140625" style="1259" customWidth="1"/>
    <col min="9483" max="9483" width="4" style="1259" customWidth="1"/>
    <col min="9484" max="9484" width="1.7109375" style="1259" customWidth="1"/>
    <col min="9485" max="9485" width="2.7109375" style="1259" customWidth="1"/>
    <col min="9486" max="9486" width="2.28515625" style="1259" customWidth="1"/>
    <col min="9487" max="9487" width="3.140625" style="1259" customWidth="1"/>
    <col min="9488" max="9488" width="7" style="1259" customWidth="1"/>
    <col min="9489" max="9490" width="2.7109375" style="1259" customWidth="1"/>
    <col min="9491" max="9491" width="1.85546875" style="1259" customWidth="1"/>
    <col min="9492" max="9493" width="2.7109375" style="1259" customWidth="1"/>
    <col min="9494" max="9494" width="1.7109375" style="1259" customWidth="1"/>
    <col min="9495" max="9497" width="2.7109375" style="1259" customWidth="1"/>
    <col min="9498" max="9498" width="2.28515625" style="1259" customWidth="1"/>
    <col min="9499" max="9499" width="1.7109375" style="1259" customWidth="1"/>
    <col min="9500" max="9501" width="2.7109375" style="1259" customWidth="1"/>
    <col min="9502" max="9502" width="1.85546875" style="1259" customWidth="1"/>
    <col min="9503" max="9503" width="2.7109375" style="1259" customWidth="1"/>
    <col min="9504" max="9504" width="1.5703125" style="1259" customWidth="1"/>
    <col min="9505" max="9505" width="2.42578125" style="1259" customWidth="1"/>
    <col min="9506" max="9519" width="2.7109375" style="1259" customWidth="1"/>
    <col min="9520" max="9520" width="13.85546875" style="1259" bestFit="1" customWidth="1"/>
    <col min="9521" max="9521" width="8.7109375" style="1259" bestFit="1" customWidth="1"/>
    <col min="9522" max="9522" width="6.85546875" style="1259" bestFit="1" customWidth="1"/>
    <col min="9523" max="9523" width="9.5703125" style="1259" bestFit="1" customWidth="1"/>
    <col min="9524" max="9524" width="10.7109375" style="1259" bestFit="1" customWidth="1"/>
    <col min="9525" max="9728" width="9.140625" style="1259"/>
    <col min="9729" max="9729" width="10.85546875" style="1259" customWidth="1"/>
    <col min="9730" max="9730" width="1.7109375" style="1259" customWidth="1"/>
    <col min="9731" max="9731" width="1.5703125" style="1259" bestFit="1" customWidth="1"/>
    <col min="9732" max="9732" width="1.7109375" style="1259" customWidth="1"/>
    <col min="9733" max="9734" width="2.7109375" style="1259" customWidth="1"/>
    <col min="9735" max="9735" width="2.140625" style="1259" customWidth="1"/>
    <col min="9736" max="9736" width="2.7109375" style="1259" customWidth="1"/>
    <col min="9737" max="9737" width="3.5703125" style="1259" customWidth="1"/>
    <col min="9738" max="9738" width="2.140625" style="1259" customWidth="1"/>
    <col min="9739" max="9739" width="4" style="1259" customWidth="1"/>
    <col min="9740" max="9740" width="1.7109375" style="1259" customWidth="1"/>
    <col min="9741" max="9741" width="2.7109375" style="1259" customWidth="1"/>
    <col min="9742" max="9742" width="2.28515625" style="1259" customWidth="1"/>
    <col min="9743" max="9743" width="3.140625" style="1259" customWidth="1"/>
    <col min="9744" max="9744" width="7" style="1259" customWidth="1"/>
    <col min="9745" max="9746" width="2.7109375" style="1259" customWidth="1"/>
    <col min="9747" max="9747" width="1.85546875" style="1259" customWidth="1"/>
    <col min="9748" max="9749" width="2.7109375" style="1259" customWidth="1"/>
    <col min="9750" max="9750" width="1.7109375" style="1259" customWidth="1"/>
    <col min="9751" max="9753" width="2.7109375" style="1259" customWidth="1"/>
    <col min="9754" max="9754" width="2.28515625" style="1259" customWidth="1"/>
    <col min="9755" max="9755" width="1.7109375" style="1259" customWidth="1"/>
    <col min="9756" max="9757" width="2.7109375" style="1259" customWidth="1"/>
    <col min="9758" max="9758" width="1.85546875" style="1259" customWidth="1"/>
    <col min="9759" max="9759" width="2.7109375" style="1259" customWidth="1"/>
    <col min="9760" max="9760" width="1.5703125" style="1259" customWidth="1"/>
    <col min="9761" max="9761" width="2.42578125" style="1259" customWidth="1"/>
    <col min="9762" max="9775" width="2.7109375" style="1259" customWidth="1"/>
    <col min="9776" max="9776" width="13.85546875" style="1259" bestFit="1" customWidth="1"/>
    <col min="9777" max="9777" width="8.7109375" style="1259" bestFit="1" customWidth="1"/>
    <col min="9778" max="9778" width="6.85546875" style="1259" bestFit="1" customWidth="1"/>
    <col min="9779" max="9779" width="9.5703125" style="1259" bestFit="1" customWidth="1"/>
    <col min="9780" max="9780" width="10.7109375" style="1259" bestFit="1" customWidth="1"/>
    <col min="9781" max="9984" width="9.140625" style="1259"/>
    <col min="9985" max="9985" width="10.85546875" style="1259" customWidth="1"/>
    <col min="9986" max="9986" width="1.7109375" style="1259" customWidth="1"/>
    <col min="9987" max="9987" width="1.5703125" style="1259" bestFit="1" customWidth="1"/>
    <col min="9988" max="9988" width="1.7109375" style="1259" customWidth="1"/>
    <col min="9989" max="9990" width="2.7109375" style="1259" customWidth="1"/>
    <col min="9991" max="9991" width="2.140625" style="1259" customWidth="1"/>
    <col min="9992" max="9992" width="2.7109375" style="1259" customWidth="1"/>
    <col min="9993" max="9993" width="3.5703125" style="1259" customWidth="1"/>
    <col min="9994" max="9994" width="2.140625" style="1259" customWidth="1"/>
    <col min="9995" max="9995" width="4" style="1259" customWidth="1"/>
    <col min="9996" max="9996" width="1.7109375" style="1259" customWidth="1"/>
    <col min="9997" max="9997" width="2.7109375" style="1259" customWidth="1"/>
    <col min="9998" max="9998" width="2.28515625" style="1259" customWidth="1"/>
    <col min="9999" max="9999" width="3.140625" style="1259" customWidth="1"/>
    <col min="10000" max="10000" width="7" style="1259" customWidth="1"/>
    <col min="10001" max="10002" width="2.7109375" style="1259" customWidth="1"/>
    <col min="10003" max="10003" width="1.85546875" style="1259" customWidth="1"/>
    <col min="10004" max="10005" width="2.7109375" style="1259" customWidth="1"/>
    <col min="10006" max="10006" width="1.7109375" style="1259" customWidth="1"/>
    <col min="10007" max="10009" width="2.7109375" style="1259" customWidth="1"/>
    <col min="10010" max="10010" width="2.28515625" style="1259" customWidth="1"/>
    <col min="10011" max="10011" width="1.7109375" style="1259" customWidth="1"/>
    <col min="10012" max="10013" width="2.7109375" style="1259" customWidth="1"/>
    <col min="10014" max="10014" width="1.85546875" style="1259" customWidth="1"/>
    <col min="10015" max="10015" width="2.7109375" style="1259" customWidth="1"/>
    <col min="10016" max="10016" width="1.5703125" style="1259" customWidth="1"/>
    <col min="10017" max="10017" width="2.42578125" style="1259" customWidth="1"/>
    <col min="10018" max="10031" width="2.7109375" style="1259" customWidth="1"/>
    <col min="10032" max="10032" width="13.85546875" style="1259" bestFit="1" customWidth="1"/>
    <col min="10033" max="10033" width="8.7109375" style="1259" bestFit="1" customWidth="1"/>
    <col min="10034" max="10034" width="6.85546875" style="1259" bestFit="1" customWidth="1"/>
    <col min="10035" max="10035" width="9.5703125" style="1259" bestFit="1" customWidth="1"/>
    <col min="10036" max="10036" width="10.7109375" style="1259" bestFit="1" customWidth="1"/>
    <col min="10037" max="10240" width="9.140625" style="1259"/>
    <col min="10241" max="10241" width="10.85546875" style="1259" customWidth="1"/>
    <col min="10242" max="10242" width="1.7109375" style="1259" customWidth="1"/>
    <col min="10243" max="10243" width="1.5703125" style="1259" bestFit="1" customWidth="1"/>
    <col min="10244" max="10244" width="1.7109375" style="1259" customWidth="1"/>
    <col min="10245" max="10246" width="2.7109375" style="1259" customWidth="1"/>
    <col min="10247" max="10247" width="2.140625" style="1259" customWidth="1"/>
    <col min="10248" max="10248" width="2.7109375" style="1259" customWidth="1"/>
    <col min="10249" max="10249" width="3.5703125" style="1259" customWidth="1"/>
    <col min="10250" max="10250" width="2.140625" style="1259" customWidth="1"/>
    <col min="10251" max="10251" width="4" style="1259" customWidth="1"/>
    <col min="10252" max="10252" width="1.7109375" style="1259" customWidth="1"/>
    <col min="10253" max="10253" width="2.7109375" style="1259" customWidth="1"/>
    <col min="10254" max="10254" width="2.28515625" style="1259" customWidth="1"/>
    <col min="10255" max="10255" width="3.140625" style="1259" customWidth="1"/>
    <col min="10256" max="10256" width="7" style="1259" customWidth="1"/>
    <col min="10257" max="10258" width="2.7109375" style="1259" customWidth="1"/>
    <col min="10259" max="10259" width="1.85546875" style="1259" customWidth="1"/>
    <col min="10260" max="10261" width="2.7109375" style="1259" customWidth="1"/>
    <col min="10262" max="10262" width="1.7109375" style="1259" customWidth="1"/>
    <col min="10263" max="10265" width="2.7109375" style="1259" customWidth="1"/>
    <col min="10266" max="10266" width="2.28515625" style="1259" customWidth="1"/>
    <col min="10267" max="10267" width="1.7109375" style="1259" customWidth="1"/>
    <col min="10268" max="10269" width="2.7109375" style="1259" customWidth="1"/>
    <col min="10270" max="10270" width="1.85546875" style="1259" customWidth="1"/>
    <col min="10271" max="10271" width="2.7109375" style="1259" customWidth="1"/>
    <col min="10272" max="10272" width="1.5703125" style="1259" customWidth="1"/>
    <col min="10273" max="10273" width="2.42578125" style="1259" customWidth="1"/>
    <col min="10274" max="10287" width="2.7109375" style="1259" customWidth="1"/>
    <col min="10288" max="10288" width="13.85546875" style="1259" bestFit="1" customWidth="1"/>
    <col min="10289" max="10289" width="8.7109375" style="1259" bestFit="1" customWidth="1"/>
    <col min="10290" max="10290" width="6.85546875" style="1259" bestFit="1" customWidth="1"/>
    <col min="10291" max="10291" width="9.5703125" style="1259" bestFit="1" customWidth="1"/>
    <col min="10292" max="10292" width="10.7109375" style="1259" bestFit="1" customWidth="1"/>
    <col min="10293" max="10496" width="9.140625" style="1259"/>
    <col min="10497" max="10497" width="10.85546875" style="1259" customWidth="1"/>
    <col min="10498" max="10498" width="1.7109375" style="1259" customWidth="1"/>
    <col min="10499" max="10499" width="1.5703125" style="1259" bestFit="1" customWidth="1"/>
    <col min="10500" max="10500" width="1.7109375" style="1259" customWidth="1"/>
    <col min="10501" max="10502" width="2.7109375" style="1259" customWidth="1"/>
    <col min="10503" max="10503" width="2.140625" style="1259" customWidth="1"/>
    <col min="10504" max="10504" width="2.7109375" style="1259" customWidth="1"/>
    <col min="10505" max="10505" width="3.5703125" style="1259" customWidth="1"/>
    <col min="10506" max="10506" width="2.140625" style="1259" customWidth="1"/>
    <col min="10507" max="10507" width="4" style="1259" customWidth="1"/>
    <col min="10508" max="10508" width="1.7109375" style="1259" customWidth="1"/>
    <col min="10509" max="10509" width="2.7109375" style="1259" customWidth="1"/>
    <col min="10510" max="10510" width="2.28515625" style="1259" customWidth="1"/>
    <col min="10511" max="10511" width="3.140625" style="1259" customWidth="1"/>
    <col min="10512" max="10512" width="7" style="1259" customWidth="1"/>
    <col min="10513" max="10514" width="2.7109375" style="1259" customWidth="1"/>
    <col min="10515" max="10515" width="1.85546875" style="1259" customWidth="1"/>
    <col min="10516" max="10517" width="2.7109375" style="1259" customWidth="1"/>
    <col min="10518" max="10518" width="1.7109375" style="1259" customWidth="1"/>
    <col min="10519" max="10521" width="2.7109375" style="1259" customWidth="1"/>
    <col min="10522" max="10522" width="2.28515625" style="1259" customWidth="1"/>
    <col min="10523" max="10523" width="1.7109375" style="1259" customWidth="1"/>
    <col min="10524" max="10525" width="2.7109375" style="1259" customWidth="1"/>
    <col min="10526" max="10526" width="1.85546875" style="1259" customWidth="1"/>
    <col min="10527" max="10527" width="2.7109375" style="1259" customWidth="1"/>
    <col min="10528" max="10528" width="1.5703125" style="1259" customWidth="1"/>
    <col min="10529" max="10529" width="2.42578125" style="1259" customWidth="1"/>
    <col min="10530" max="10543" width="2.7109375" style="1259" customWidth="1"/>
    <col min="10544" max="10544" width="13.85546875" style="1259" bestFit="1" customWidth="1"/>
    <col min="10545" max="10545" width="8.7109375" style="1259" bestFit="1" customWidth="1"/>
    <col min="10546" max="10546" width="6.85546875" style="1259" bestFit="1" customWidth="1"/>
    <col min="10547" max="10547" width="9.5703125" style="1259" bestFit="1" customWidth="1"/>
    <col min="10548" max="10548" width="10.7109375" style="1259" bestFit="1" customWidth="1"/>
    <col min="10549" max="10752" width="9.140625" style="1259"/>
    <col min="10753" max="10753" width="10.85546875" style="1259" customWidth="1"/>
    <col min="10754" max="10754" width="1.7109375" style="1259" customWidth="1"/>
    <col min="10755" max="10755" width="1.5703125" style="1259" bestFit="1" customWidth="1"/>
    <col min="10756" max="10756" width="1.7109375" style="1259" customWidth="1"/>
    <col min="10757" max="10758" width="2.7109375" style="1259" customWidth="1"/>
    <col min="10759" max="10759" width="2.140625" style="1259" customWidth="1"/>
    <col min="10760" max="10760" width="2.7109375" style="1259" customWidth="1"/>
    <col min="10761" max="10761" width="3.5703125" style="1259" customWidth="1"/>
    <col min="10762" max="10762" width="2.140625" style="1259" customWidth="1"/>
    <col min="10763" max="10763" width="4" style="1259" customWidth="1"/>
    <col min="10764" max="10764" width="1.7109375" style="1259" customWidth="1"/>
    <col min="10765" max="10765" width="2.7109375" style="1259" customWidth="1"/>
    <col min="10766" max="10766" width="2.28515625" style="1259" customWidth="1"/>
    <col min="10767" max="10767" width="3.140625" style="1259" customWidth="1"/>
    <col min="10768" max="10768" width="7" style="1259" customWidth="1"/>
    <col min="10769" max="10770" width="2.7109375" style="1259" customWidth="1"/>
    <col min="10771" max="10771" width="1.85546875" style="1259" customWidth="1"/>
    <col min="10772" max="10773" width="2.7109375" style="1259" customWidth="1"/>
    <col min="10774" max="10774" width="1.7109375" style="1259" customWidth="1"/>
    <col min="10775" max="10777" width="2.7109375" style="1259" customWidth="1"/>
    <col min="10778" max="10778" width="2.28515625" style="1259" customWidth="1"/>
    <col min="10779" max="10779" width="1.7109375" style="1259" customWidth="1"/>
    <col min="10780" max="10781" width="2.7109375" style="1259" customWidth="1"/>
    <col min="10782" max="10782" width="1.85546875" style="1259" customWidth="1"/>
    <col min="10783" max="10783" width="2.7109375" style="1259" customWidth="1"/>
    <col min="10784" max="10784" width="1.5703125" style="1259" customWidth="1"/>
    <col min="10785" max="10785" width="2.42578125" style="1259" customWidth="1"/>
    <col min="10786" max="10799" width="2.7109375" style="1259" customWidth="1"/>
    <col min="10800" max="10800" width="13.85546875" style="1259" bestFit="1" customWidth="1"/>
    <col min="10801" max="10801" width="8.7109375" style="1259" bestFit="1" customWidth="1"/>
    <col min="10802" max="10802" width="6.85546875" style="1259" bestFit="1" customWidth="1"/>
    <col min="10803" max="10803" width="9.5703125" style="1259" bestFit="1" customWidth="1"/>
    <col min="10804" max="10804" width="10.7109375" style="1259" bestFit="1" customWidth="1"/>
    <col min="10805" max="11008" width="9.140625" style="1259"/>
    <col min="11009" max="11009" width="10.85546875" style="1259" customWidth="1"/>
    <col min="11010" max="11010" width="1.7109375" style="1259" customWidth="1"/>
    <col min="11011" max="11011" width="1.5703125" style="1259" bestFit="1" customWidth="1"/>
    <col min="11012" max="11012" width="1.7109375" style="1259" customWidth="1"/>
    <col min="11013" max="11014" width="2.7109375" style="1259" customWidth="1"/>
    <col min="11015" max="11015" width="2.140625" style="1259" customWidth="1"/>
    <col min="11016" max="11016" width="2.7109375" style="1259" customWidth="1"/>
    <col min="11017" max="11017" width="3.5703125" style="1259" customWidth="1"/>
    <col min="11018" max="11018" width="2.140625" style="1259" customWidth="1"/>
    <col min="11019" max="11019" width="4" style="1259" customWidth="1"/>
    <col min="11020" max="11020" width="1.7109375" style="1259" customWidth="1"/>
    <col min="11021" max="11021" width="2.7109375" style="1259" customWidth="1"/>
    <col min="11022" max="11022" width="2.28515625" style="1259" customWidth="1"/>
    <col min="11023" max="11023" width="3.140625" style="1259" customWidth="1"/>
    <col min="11024" max="11024" width="7" style="1259" customWidth="1"/>
    <col min="11025" max="11026" width="2.7109375" style="1259" customWidth="1"/>
    <col min="11027" max="11027" width="1.85546875" style="1259" customWidth="1"/>
    <col min="11028" max="11029" width="2.7109375" style="1259" customWidth="1"/>
    <col min="11030" max="11030" width="1.7109375" style="1259" customWidth="1"/>
    <col min="11031" max="11033" width="2.7109375" style="1259" customWidth="1"/>
    <col min="11034" max="11034" width="2.28515625" style="1259" customWidth="1"/>
    <col min="11035" max="11035" width="1.7109375" style="1259" customWidth="1"/>
    <col min="11036" max="11037" width="2.7109375" style="1259" customWidth="1"/>
    <col min="11038" max="11038" width="1.85546875" style="1259" customWidth="1"/>
    <col min="11039" max="11039" width="2.7109375" style="1259" customWidth="1"/>
    <col min="11040" max="11040" width="1.5703125" style="1259" customWidth="1"/>
    <col min="11041" max="11041" width="2.42578125" style="1259" customWidth="1"/>
    <col min="11042" max="11055" width="2.7109375" style="1259" customWidth="1"/>
    <col min="11056" max="11056" width="13.85546875" style="1259" bestFit="1" customWidth="1"/>
    <col min="11057" max="11057" width="8.7109375" style="1259" bestFit="1" customWidth="1"/>
    <col min="11058" max="11058" width="6.85546875" style="1259" bestFit="1" customWidth="1"/>
    <col min="11059" max="11059" width="9.5703125" style="1259" bestFit="1" customWidth="1"/>
    <col min="11060" max="11060" width="10.7109375" style="1259" bestFit="1" customWidth="1"/>
    <col min="11061" max="11264" width="9.140625" style="1259"/>
    <col min="11265" max="11265" width="10.85546875" style="1259" customWidth="1"/>
    <col min="11266" max="11266" width="1.7109375" style="1259" customWidth="1"/>
    <col min="11267" max="11267" width="1.5703125" style="1259" bestFit="1" customWidth="1"/>
    <col min="11268" max="11268" width="1.7109375" style="1259" customWidth="1"/>
    <col min="11269" max="11270" width="2.7109375" style="1259" customWidth="1"/>
    <col min="11271" max="11271" width="2.140625" style="1259" customWidth="1"/>
    <col min="11272" max="11272" width="2.7109375" style="1259" customWidth="1"/>
    <col min="11273" max="11273" width="3.5703125" style="1259" customWidth="1"/>
    <col min="11274" max="11274" width="2.140625" style="1259" customWidth="1"/>
    <col min="11275" max="11275" width="4" style="1259" customWidth="1"/>
    <col min="11276" max="11276" width="1.7109375" style="1259" customWidth="1"/>
    <col min="11277" max="11277" width="2.7109375" style="1259" customWidth="1"/>
    <col min="11278" max="11278" width="2.28515625" style="1259" customWidth="1"/>
    <col min="11279" max="11279" width="3.140625" style="1259" customWidth="1"/>
    <col min="11280" max="11280" width="7" style="1259" customWidth="1"/>
    <col min="11281" max="11282" width="2.7109375" style="1259" customWidth="1"/>
    <col min="11283" max="11283" width="1.85546875" style="1259" customWidth="1"/>
    <col min="11284" max="11285" width="2.7109375" style="1259" customWidth="1"/>
    <col min="11286" max="11286" width="1.7109375" style="1259" customWidth="1"/>
    <col min="11287" max="11289" width="2.7109375" style="1259" customWidth="1"/>
    <col min="11290" max="11290" width="2.28515625" style="1259" customWidth="1"/>
    <col min="11291" max="11291" width="1.7109375" style="1259" customWidth="1"/>
    <col min="11292" max="11293" width="2.7109375" style="1259" customWidth="1"/>
    <col min="11294" max="11294" width="1.85546875" style="1259" customWidth="1"/>
    <col min="11295" max="11295" width="2.7109375" style="1259" customWidth="1"/>
    <col min="11296" max="11296" width="1.5703125" style="1259" customWidth="1"/>
    <col min="11297" max="11297" width="2.42578125" style="1259" customWidth="1"/>
    <col min="11298" max="11311" width="2.7109375" style="1259" customWidth="1"/>
    <col min="11312" max="11312" width="13.85546875" style="1259" bestFit="1" customWidth="1"/>
    <col min="11313" max="11313" width="8.7109375" style="1259" bestFit="1" customWidth="1"/>
    <col min="11314" max="11314" width="6.85546875" style="1259" bestFit="1" customWidth="1"/>
    <col min="11315" max="11315" width="9.5703125" style="1259" bestFit="1" customWidth="1"/>
    <col min="11316" max="11316" width="10.7109375" style="1259" bestFit="1" customWidth="1"/>
    <col min="11317" max="11520" width="9.140625" style="1259"/>
    <col min="11521" max="11521" width="10.85546875" style="1259" customWidth="1"/>
    <col min="11522" max="11522" width="1.7109375" style="1259" customWidth="1"/>
    <col min="11523" max="11523" width="1.5703125" style="1259" bestFit="1" customWidth="1"/>
    <col min="11524" max="11524" width="1.7109375" style="1259" customWidth="1"/>
    <col min="11525" max="11526" width="2.7109375" style="1259" customWidth="1"/>
    <col min="11527" max="11527" width="2.140625" style="1259" customWidth="1"/>
    <col min="11528" max="11528" width="2.7109375" style="1259" customWidth="1"/>
    <col min="11529" max="11529" width="3.5703125" style="1259" customWidth="1"/>
    <col min="11530" max="11530" width="2.140625" style="1259" customWidth="1"/>
    <col min="11531" max="11531" width="4" style="1259" customWidth="1"/>
    <col min="11532" max="11532" width="1.7109375" style="1259" customWidth="1"/>
    <col min="11533" max="11533" width="2.7109375" style="1259" customWidth="1"/>
    <col min="11534" max="11534" width="2.28515625" style="1259" customWidth="1"/>
    <col min="11535" max="11535" width="3.140625" style="1259" customWidth="1"/>
    <col min="11536" max="11536" width="7" style="1259" customWidth="1"/>
    <col min="11537" max="11538" width="2.7109375" style="1259" customWidth="1"/>
    <col min="11539" max="11539" width="1.85546875" style="1259" customWidth="1"/>
    <col min="11540" max="11541" width="2.7109375" style="1259" customWidth="1"/>
    <col min="11542" max="11542" width="1.7109375" style="1259" customWidth="1"/>
    <col min="11543" max="11545" width="2.7109375" style="1259" customWidth="1"/>
    <col min="11546" max="11546" width="2.28515625" style="1259" customWidth="1"/>
    <col min="11547" max="11547" width="1.7109375" style="1259" customWidth="1"/>
    <col min="11548" max="11549" width="2.7109375" style="1259" customWidth="1"/>
    <col min="11550" max="11550" width="1.85546875" style="1259" customWidth="1"/>
    <col min="11551" max="11551" width="2.7109375" style="1259" customWidth="1"/>
    <col min="11552" max="11552" width="1.5703125" style="1259" customWidth="1"/>
    <col min="11553" max="11553" width="2.42578125" style="1259" customWidth="1"/>
    <col min="11554" max="11567" width="2.7109375" style="1259" customWidth="1"/>
    <col min="11568" max="11568" width="13.85546875" style="1259" bestFit="1" customWidth="1"/>
    <col min="11569" max="11569" width="8.7109375" style="1259" bestFit="1" customWidth="1"/>
    <col min="11570" max="11570" width="6.85546875" style="1259" bestFit="1" customWidth="1"/>
    <col min="11571" max="11571" width="9.5703125" style="1259" bestFit="1" customWidth="1"/>
    <col min="11572" max="11572" width="10.7109375" style="1259" bestFit="1" customWidth="1"/>
    <col min="11573" max="11776" width="9.140625" style="1259"/>
    <col min="11777" max="11777" width="10.85546875" style="1259" customWidth="1"/>
    <col min="11778" max="11778" width="1.7109375" style="1259" customWidth="1"/>
    <col min="11779" max="11779" width="1.5703125" style="1259" bestFit="1" customWidth="1"/>
    <col min="11780" max="11780" width="1.7109375" style="1259" customWidth="1"/>
    <col min="11781" max="11782" width="2.7109375" style="1259" customWidth="1"/>
    <col min="11783" max="11783" width="2.140625" style="1259" customWidth="1"/>
    <col min="11784" max="11784" width="2.7109375" style="1259" customWidth="1"/>
    <col min="11785" max="11785" width="3.5703125" style="1259" customWidth="1"/>
    <col min="11786" max="11786" width="2.140625" style="1259" customWidth="1"/>
    <col min="11787" max="11787" width="4" style="1259" customWidth="1"/>
    <col min="11788" max="11788" width="1.7109375" style="1259" customWidth="1"/>
    <col min="11789" max="11789" width="2.7109375" style="1259" customWidth="1"/>
    <col min="11790" max="11790" width="2.28515625" style="1259" customWidth="1"/>
    <col min="11791" max="11791" width="3.140625" style="1259" customWidth="1"/>
    <col min="11792" max="11792" width="7" style="1259" customWidth="1"/>
    <col min="11793" max="11794" width="2.7109375" style="1259" customWidth="1"/>
    <col min="11795" max="11795" width="1.85546875" style="1259" customWidth="1"/>
    <col min="11796" max="11797" width="2.7109375" style="1259" customWidth="1"/>
    <col min="11798" max="11798" width="1.7109375" style="1259" customWidth="1"/>
    <col min="11799" max="11801" width="2.7109375" style="1259" customWidth="1"/>
    <col min="11802" max="11802" width="2.28515625" style="1259" customWidth="1"/>
    <col min="11803" max="11803" width="1.7109375" style="1259" customWidth="1"/>
    <col min="11804" max="11805" width="2.7109375" style="1259" customWidth="1"/>
    <col min="11806" max="11806" width="1.85546875" style="1259" customWidth="1"/>
    <col min="11807" max="11807" width="2.7109375" style="1259" customWidth="1"/>
    <col min="11808" max="11808" width="1.5703125" style="1259" customWidth="1"/>
    <col min="11809" max="11809" width="2.42578125" style="1259" customWidth="1"/>
    <col min="11810" max="11823" width="2.7109375" style="1259" customWidth="1"/>
    <col min="11824" max="11824" width="13.85546875" style="1259" bestFit="1" customWidth="1"/>
    <col min="11825" max="11825" width="8.7109375" style="1259" bestFit="1" customWidth="1"/>
    <col min="11826" max="11826" width="6.85546875" style="1259" bestFit="1" customWidth="1"/>
    <col min="11827" max="11827" width="9.5703125" style="1259" bestFit="1" customWidth="1"/>
    <col min="11828" max="11828" width="10.7109375" style="1259" bestFit="1" customWidth="1"/>
    <col min="11829" max="12032" width="9.140625" style="1259"/>
    <col min="12033" max="12033" width="10.85546875" style="1259" customWidth="1"/>
    <col min="12034" max="12034" width="1.7109375" style="1259" customWidth="1"/>
    <col min="12035" max="12035" width="1.5703125" style="1259" bestFit="1" customWidth="1"/>
    <col min="12036" max="12036" width="1.7109375" style="1259" customWidth="1"/>
    <col min="12037" max="12038" width="2.7109375" style="1259" customWidth="1"/>
    <col min="12039" max="12039" width="2.140625" style="1259" customWidth="1"/>
    <col min="12040" max="12040" width="2.7109375" style="1259" customWidth="1"/>
    <col min="12041" max="12041" width="3.5703125" style="1259" customWidth="1"/>
    <col min="12042" max="12042" width="2.140625" style="1259" customWidth="1"/>
    <col min="12043" max="12043" width="4" style="1259" customWidth="1"/>
    <col min="12044" max="12044" width="1.7109375" style="1259" customWidth="1"/>
    <col min="12045" max="12045" width="2.7109375" style="1259" customWidth="1"/>
    <col min="12046" max="12046" width="2.28515625" style="1259" customWidth="1"/>
    <col min="12047" max="12047" width="3.140625" style="1259" customWidth="1"/>
    <col min="12048" max="12048" width="7" style="1259" customWidth="1"/>
    <col min="12049" max="12050" width="2.7109375" style="1259" customWidth="1"/>
    <col min="12051" max="12051" width="1.85546875" style="1259" customWidth="1"/>
    <col min="12052" max="12053" width="2.7109375" style="1259" customWidth="1"/>
    <col min="12054" max="12054" width="1.7109375" style="1259" customWidth="1"/>
    <col min="12055" max="12057" width="2.7109375" style="1259" customWidth="1"/>
    <col min="12058" max="12058" width="2.28515625" style="1259" customWidth="1"/>
    <col min="12059" max="12059" width="1.7109375" style="1259" customWidth="1"/>
    <col min="12060" max="12061" width="2.7109375" style="1259" customWidth="1"/>
    <col min="12062" max="12062" width="1.85546875" style="1259" customWidth="1"/>
    <col min="12063" max="12063" width="2.7109375" style="1259" customWidth="1"/>
    <col min="12064" max="12064" width="1.5703125" style="1259" customWidth="1"/>
    <col min="12065" max="12065" width="2.42578125" style="1259" customWidth="1"/>
    <col min="12066" max="12079" width="2.7109375" style="1259" customWidth="1"/>
    <col min="12080" max="12080" width="13.85546875" style="1259" bestFit="1" customWidth="1"/>
    <col min="12081" max="12081" width="8.7109375" style="1259" bestFit="1" customWidth="1"/>
    <col min="12082" max="12082" width="6.85546875" style="1259" bestFit="1" customWidth="1"/>
    <col min="12083" max="12083" width="9.5703125" style="1259" bestFit="1" customWidth="1"/>
    <col min="12084" max="12084" width="10.7109375" style="1259" bestFit="1" customWidth="1"/>
    <col min="12085" max="12288" width="9.140625" style="1259"/>
    <col min="12289" max="12289" width="10.85546875" style="1259" customWidth="1"/>
    <col min="12290" max="12290" width="1.7109375" style="1259" customWidth="1"/>
    <col min="12291" max="12291" width="1.5703125" style="1259" bestFit="1" customWidth="1"/>
    <col min="12292" max="12292" width="1.7109375" style="1259" customWidth="1"/>
    <col min="12293" max="12294" width="2.7109375" style="1259" customWidth="1"/>
    <col min="12295" max="12295" width="2.140625" style="1259" customWidth="1"/>
    <col min="12296" max="12296" width="2.7109375" style="1259" customWidth="1"/>
    <col min="12297" max="12297" width="3.5703125" style="1259" customWidth="1"/>
    <col min="12298" max="12298" width="2.140625" style="1259" customWidth="1"/>
    <col min="12299" max="12299" width="4" style="1259" customWidth="1"/>
    <col min="12300" max="12300" width="1.7109375" style="1259" customWidth="1"/>
    <col min="12301" max="12301" width="2.7109375" style="1259" customWidth="1"/>
    <col min="12302" max="12302" width="2.28515625" style="1259" customWidth="1"/>
    <col min="12303" max="12303" width="3.140625" style="1259" customWidth="1"/>
    <col min="12304" max="12304" width="7" style="1259" customWidth="1"/>
    <col min="12305" max="12306" width="2.7109375" style="1259" customWidth="1"/>
    <col min="12307" max="12307" width="1.85546875" style="1259" customWidth="1"/>
    <col min="12308" max="12309" width="2.7109375" style="1259" customWidth="1"/>
    <col min="12310" max="12310" width="1.7109375" style="1259" customWidth="1"/>
    <col min="12311" max="12313" width="2.7109375" style="1259" customWidth="1"/>
    <col min="12314" max="12314" width="2.28515625" style="1259" customWidth="1"/>
    <col min="12315" max="12315" width="1.7109375" style="1259" customWidth="1"/>
    <col min="12316" max="12317" width="2.7109375" style="1259" customWidth="1"/>
    <col min="12318" max="12318" width="1.85546875" style="1259" customWidth="1"/>
    <col min="12319" max="12319" width="2.7109375" style="1259" customWidth="1"/>
    <col min="12320" max="12320" width="1.5703125" style="1259" customWidth="1"/>
    <col min="12321" max="12321" width="2.42578125" style="1259" customWidth="1"/>
    <col min="12322" max="12335" width="2.7109375" style="1259" customWidth="1"/>
    <col min="12336" max="12336" width="13.85546875" style="1259" bestFit="1" customWidth="1"/>
    <col min="12337" max="12337" width="8.7109375" style="1259" bestFit="1" customWidth="1"/>
    <col min="12338" max="12338" width="6.85546875" style="1259" bestFit="1" customWidth="1"/>
    <col min="12339" max="12339" width="9.5703125" style="1259" bestFit="1" customWidth="1"/>
    <col min="12340" max="12340" width="10.7109375" style="1259" bestFit="1" customWidth="1"/>
    <col min="12341" max="12544" width="9.140625" style="1259"/>
    <col min="12545" max="12545" width="10.85546875" style="1259" customWidth="1"/>
    <col min="12546" max="12546" width="1.7109375" style="1259" customWidth="1"/>
    <col min="12547" max="12547" width="1.5703125" style="1259" bestFit="1" customWidth="1"/>
    <col min="12548" max="12548" width="1.7109375" style="1259" customWidth="1"/>
    <col min="12549" max="12550" width="2.7109375" style="1259" customWidth="1"/>
    <col min="12551" max="12551" width="2.140625" style="1259" customWidth="1"/>
    <col min="12552" max="12552" width="2.7109375" style="1259" customWidth="1"/>
    <col min="12553" max="12553" width="3.5703125" style="1259" customWidth="1"/>
    <col min="12554" max="12554" width="2.140625" style="1259" customWidth="1"/>
    <col min="12555" max="12555" width="4" style="1259" customWidth="1"/>
    <col min="12556" max="12556" width="1.7109375" style="1259" customWidth="1"/>
    <col min="12557" max="12557" width="2.7109375" style="1259" customWidth="1"/>
    <col min="12558" max="12558" width="2.28515625" style="1259" customWidth="1"/>
    <col min="12559" max="12559" width="3.140625" style="1259" customWidth="1"/>
    <col min="12560" max="12560" width="7" style="1259" customWidth="1"/>
    <col min="12561" max="12562" width="2.7109375" style="1259" customWidth="1"/>
    <col min="12563" max="12563" width="1.85546875" style="1259" customWidth="1"/>
    <col min="12564" max="12565" width="2.7109375" style="1259" customWidth="1"/>
    <col min="12566" max="12566" width="1.7109375" style="1259" customWidth="1"/>
    <col min="12567" max="12569" width="2.7109375" style="1259" customWidth="1"/>
    <col min="12570" max="12570" width="2.28515625" style="1259" customWidth="1"/>
    <col min="12571" max="12571" width="1.7109375" style="1259" customWidth="1"/>
    <col min="12572" max="12573" width="2.7109375" style="1259" customWidth="1"/>
    <col min="12574" max="12574" width="1.85546875" style="1259" customWidth="1"/>
    <col min="12575" max="12575" width="2.7109375" style="1259" customWidth="1"/>
    <col min="12576" max="12576" width="1.5703125" style="1259" customWidth="1"/>
    <col min="12577" max="12577" width="2.42578125" style="1259" customWidth="1"/>
    <col min="12578" max="12591" width="2.7109375" style="1259" customWidth="1"/>
    <col min="12592" max="12592" width="13.85546875" style="1259" bestFit="1" customWidth="1"/>
    <col min="12593" max="12593" width="8.7109375" style="1259" bestFit="1" customWidth="1"/>
    <col min="12594" max="12594" width="6.85546875" style="1259" bestFit="1" customWidth="1"/>
    <col min="12595" max="12595" width="9.5703125" style="1259" bestFit="1" customWidth="1"/>
    <col min="12596" max="12596" width="10.7109375" style="1259" bestFit="1" customWidth="1"/>
    <col min="12597" max="12800" width="9.140625" style="1259"/>
    <col min="12801" max="12801" width="10.85546875" style="1259" customWidth="1"/>
    <col min="12802" max="12802" width="1.7109375" style="1259" customWidth="1"/>
    <col min="12803" max="12803" width="1.5703125" style="1259" bestFit="1" customWidth="1"/>
    <col min="12804" max="12804" width="1.7109375" style="1259" customWidth="1"/>
    <col min="12805" max="12806" width="2.7109375" style="1259" customWidth="1"/>
    <col min="12807" max="12807" width="2.140625" style="1259" customWidth="1"/>
    <col min="12808" max="12808" width="2.7109375" style="1259" customWidth="1"/>
    <col min="12809" max="12809" width="3.5703125" style="1259" customWidth="1"/>
    <col min="12810" max="12810" width="2.140625" style="1259" customWidth="1"/>
    <col min="12811" max="12811" width="4" style="1259" customWidth="1"/>
    <col min="12812" max="12812" width="1.7109375" style="1259" customWidth="1"/>
    <col min="12813" max="12813" width="2.7109375" style="1259" customWidth="1"/>
    <col min="12814" max="12814" width="2.28515625" style="1259" customWidth="1"/>
    <col min="12815" max="12815" width="3.140625" style="1259" customWidth="1"/>
    <col min="12816" max="12816" width="7" style="1259" customWidth="1"/>
    <col min="12817" max="12818" width="2.7109375" style="1259" customWidth="1"/>
    <col min="12819" max="12819" width="1.85546875" style="1259" customWidth="1"/>
    <col min="12820" max="12821" width="2.7109375" style="1259" customWidth="1"/>
    <col min="12822" max="12822" width="1.7109375" style="1259" customWidth="1"/>
    <col min="12823" max="12825" width="2.7109375" style="1259" customWidth="1"/>
    <col min="12826" max="12826" width="2.28515625" style="1259" customWidth="1"/>
    <col min="12827" max="12827" width="1.7109375" style="1259" customWidth="1"/>
    <col min="12828" max="12829" width="2.7109375" style="1259" customWidth="1"/>
    <col min="12830" max="12830" width="1.85546875" style="1259" customWidth="1"/>
    <col min="12831" max="12831" width="2.7109375" style="1259" customWidth="1"/>
    <col min="12832" max="12832" width="1.5703125" style="1259" customWidth="1"/>
    <col min="12833" max="12833" width="2.42578125" style="1259" customWidth="1"/>
    <col min="12834" max="12847" width="2.7109375" style="1259" customWidth="1"/>
    <col min="12848" max="12848" width="13.85546875" style="1259" bestFit="1" customWidth="1"/>
    <col min="12849" max="12849" width="8.7109375" style="1259" bestFit="1" customWidth="1"/>
    <col min="12850" max="12850" width="6.85546875" style="1259" bestFit="1" customWidth="1"/>
    <col min="12851" max="12851" width="9.5703125" style="1259" bestFit="1" customWidth="1"/>
    <col min="12852" max="12852" width="10.7109375" style="1259" bestFit="1" customWidth="1"/>
    <col min="12853" max="13056" width="9.140625" style="1259"/>
    <col min="13057" max="13057" width="10.85546875" style="1259" customWidth="1"/>
    <col min="13058" max="13058" width="1.7109375" style="1259" customWidth="1"/>
    <col min="13059" max="13059" width="1.5703125" style="1259" bestFit="1" customWidth="1"/>
    <col min="13060" max="13060" width="1.7109375" style="1259" customWidth="1"/>
    <col min="13061" max="13062" width="2.7109375" style="1259" customWidth="1"/>
    <col min="13063" max="13063" width="2.140625" style="1259" customWidth="1"/>
    <col min="13064" max="13064" width="2.7109375" style="1259" customWidth="1"/>
    <col min="13065" max="13065" width="3.5703125" style="1259" customWidth="1"/>
    <col min="13066" max="13066" width="2.140625" style="1259" customWidth="1"/>
    <col min="13067" max="13067" width="4" style="1259" customWidth="1"/>
    <col min="13068" max="13068" width="1.7109375" style="1259" customWidth="1"/>
    <col min="13069" max="13069" width="2.7109375" style="1259" customWidth="1"/>
    <col min="13070" max="13070" width="2.28515625" style="1259" customWidth="1"/>
    <col min="13071" max="13071" width="3.140625" style="1259" customWidth="1"/>
    <col min="13072" max="13072" width="7" style="1259" customWidth="1"/>
    <col min="13073" max="13074" width="2.7109375" style="1259" customWidth="1"/>
    <col min="13075" max="13075" width="1.85546875" style="1259" customWidth="1"/>
    <col min="13076" max="13077" width="2.7109375" style="1259" customWidth="1"/>
    <col min="13078" max="13078" width="1.7109375" style="1259" customWidth="1"/>
    <col min="13079" max="13081" width="2.7109375" style="1259" customWidth="1"/>
    <col min="13082" max="13082" width="2.28515625" style="1259" customWidth="1"/>
    <col min="13083" max="13083" width="1.7109375" style="1259" customWidth="1"/>
    <col min="13084" max="13085" width="2.7109375" style="1259" customWidth="1"/>
    <col min="13086" max="13086" width="1.85546875" style="1259" customWidth="1"/>
    <col min="13087" max="13087" width="2.7109375" style="1259" customWidth="1"/>
    <col min="13088" max="13088" width="1.5703125" style="1259" customWidth="1"/>
    <col min="13089" max="13089" width="2.42578125" style="1259" customWidth="1"/>
    <col min="13090" max="13103" width="2.7109375" style="1259" customWidth="1"/>
    <col min="13104" max="13104" width="13.85546875" style="1259" bestFit="1" customWidth="1"/>
    <col min="13105" max="13105" width="8.7109375" style="1259" bestFit="1" customWidth="1"/>
    <col min="13106" max="13106" width="6.85546875" style="1259" bestFit="1" customWidth="1"/>
    <col min="13107" max="13107" width="9.5703125" style="1259" bestFit="1" customWidth="1"/>
    <col min="13108" max="13108" width="10.7109375" style="1259" bestFit="1" customWidth="1"/>
    <col min="13109" max="13312" width="9.140625" style="1259"/>
    <col min="13313" max="13313" width="10.85546875" style="1259" customWidth="1"/>
    <col min="13314" max="13314" width="1.7109375" style="1259" customWidth="1"/>
    <col min="13315" max="13315" width="1.5703125" style="1259" bestFit="1" customWidth="1"/>
    <col min="13316" max="13316" width="1.7109375" style="1259" customWidth="1"/>
    <col min="13317" max="13318" width="2.7109375" style="1259" customWidth="1"/>
    <col min="13319" max="13319" width="2.140625" style="1259" customWidth="1"/>
    <col min="13320" max="13320" width="2.7109375" style="1259" customWidth="1"/>
    <col min="13321" max="13321" width="3.5703125" style="1259" customWidth="1"/>
    <col min="13322" max="13322" width="2.140625" style="1259" customWidth="1"/>
    <col min="13323" max="13323" width="4" style="1259" customWidth="1"/>
    <col min="13324" max="13324" width="1.7109375" style="1259" customWidth="1"/>
    <col min="13325" max="13325" width="2.7109375" style="1259" customWidth="1"/>
    <col min="13326" max="13326" width="2.28515625" style="1259" customWidth="1"/>
    <col min="13327" max="13327" width="3.140625" style="1259" customWidth="1"/>
    <col min="13328" max="13328" width="7" style="1259" customWidth="1"/>
    <col min="13329" max="13330" width="2.7109375" style="1259" customWidth="1"/>
    <col min="13331" max="13331" width="1.85546875" style="1259" customWidth="1"/>
    <col min="13332" max="13333" width="2.7109375" style="1259" customWidth="1"/>
    <col min="13334" max="13334" width="1.7109375" style="1259" customWidth="1"/>
    <col min="13335" max="13337" width="2.7109375" style="1259" customWidth="1"/>
    <col min="13338" max="13338" width="2.28515625" style="1259" customWidth="1"/>
    <col min="13339" max="13339" width="1.7109375" style="1259" customWidth="1"/>
    <col min="13340" max="13341" width="2.7109375" style="1259" customWidth="1"/>
    <col min="13342" max="13342" width="1.85546875" style="1259" customWidth="1"/>
    <col min="13343" max="13343" width="2.7109375" style="1259" customWidth="1"/>
    <col min="13344" max="13344" width="1.5703125" style="1259" customWidth="1"/>
    <col min="13345" max="13345" width="2.42578125" style="1259" customWidth="1"/>
    <col min="13346" max="13359" width="2.7109375" style="1259" customWidth="1"/>
    <col min="13360" max="13360" width="13.85546875" style="1259" bestFit="1" customWidth="1"/>
    <col min="13361" max="13361" width="8.7109375" style="1259" bestFit="1" customWidth="1"/>
    <col min="13362" max="13362" width="6.85546875" style="1259" bestFit="1" customWidth="1"/>
    <col min="13363" max="13363" width="9.5703125" style="1259" bestFit="1" customWidth="1"/>
    <col min="13364" max="13364" width="10.7109375" style="1259" bestFit="1" customWidth="1"/>
    <col min="13365" max="13568" width="9.140625" style="1259"/>
    <col min="13569" max="13569" width="10.85546875" style="1259" customWidth="1"/>
    <col min="13570" max="13570" width="1.7109375" style="1259" customWidth="1"/>
    <col min="13571" max="13571" width="1.5703125" style="1259" bestFit="1" customWidth="1"/>
    <col min="13572" max="13572" width="1.7109375" style="1259" customWidth="1"/>
    <col min="13573" max="13574" width="2.7109375" style="1259" customWidth="1"/>
    <col min="13575" max="13575" width="2.140625" style="1259" customWidth="1"/>
    <col min="13576" max="13576" width="2.7109375" style="1259" customWidth="1"/>
    <col min="13577" max="13577" width="3.5703125" style="1259" customWidth="1"/>
    <col min="13578" max="13578" width="2.140625" style="1259" customWidth="1"/>
    <col min="13579" max="13579" width="4" style="1259" customWidth="1"/>
    <col min="13580" max="13580" width="1.7109375" style="1259" customWidth="1"/>
    <col min="13581" max="13581" width="2.7109375" style="1259" customWidth="1"/>
    <col min="13582" max="13582" width="2.28515625" style="1259" customWidth="1"/>
    <col min="13583" max="13583" width="3.140625" style="1259" customWidth="1"/>
    <col min="13584" max="13584" width="7" style="1259" customWidth="1"/>
    <col min="13585" max="13586" width="2.7109375" style="1259" customWidth="1"/>
    <col min="13587" max="13587" width="1.85546875" style="1259" customWidth="1"/>
    <col min="13588" max="13589" width="2.7109375" style="1259" customWidth="1"/>
    <col min="13590" max="13590" width="1.7109375" style="1259" customWidth="1"/>
    <col min="13591" max="13593" width="2.7109375" style="1259" customWidth="1"/>
    <col min="13594" max="13594" width="2.28515625" style="1259" customWidth="1"/>
    <col min="13595" max="13595" width="1.7109375" style="1259" customWidth="1"/>
    <col min="13596" max="13597" width="2.7109375" style="1259" customWidth="1"/>
    <col min="13598" max="13598" width="1.85546875" style="1259" customWidth="1"/>
    <col min="13599" max="13599" width="2.7109375" style="1259" customWidth="1"/>
    <col min="13600" max="13600" width="1.5703125" style="1259" customWidth="1"/>
    <col min="13601" max="13601" width="2.42578125" style="1259" customWidth="1"/>
    <col min="13602" max="13615" width="2.7109375" style="1259" customWidth="1"/>
    <col min="13616" max="13616" width="13.85546875" style="1259" bestFit="1" customWidth="1"/>
    <col min="13617" max="13617" width="8.7109375" style="1259" bestFit="1" customWidth="1"/>
    <col min="13618" max="13618" width="6.85546875" style="1259" bestFit="1" customWidth="1"/>
    <col min="13619" max="13619" width="9.5703125" style="1259" bestFit="1" customWidth="1"/>
    <col min="13620" max="13620" width="10.7109375" style="1259" bestFit="1" customWidth="1"/>
    <col min="13621" max="13824" width="9.140625" style="1259"/>
    <col min="13825" max="13825" width="10.85546875" style="1259" customWidth="1"/>
    <col min="13826" max="13826" width="1.7109375" style="1259" customWidth="1"/>
    <col min="13827" max="13827" width="1.5703125" style="1259" bestFit="1" customWidth="1"/>
    <col min="13828" max="13828" width="1.7109375" style="1259" customWidth="1"/>
    <col min="13829" max="13830" width="2.7109375" style="1259" customWidth="1"/>
    <col min="13831" max="13831" width="2.140625" style="1259" customWidth="1"/>
    <col min="13832" max="13832" width="2.7109375" style="1259" customWidth="1"/>
    <col min="13833" max="13833" width="3.5703125" style="1259" customWidth="1"/>
    <col min="13834" max="13834" width="2.140625" style="1259" customWidth="1"/>
    <col min="13835" max="13835" width="4" style="1259" customWidth="1"/>
    <col min="13836" max="13836" width="1.7109375" style="1259" customWidth="1"/>
    <col min="13837" max="13837" width="2.7109375" style="1259" customWidth="1"/>
    <col min="13838" max="13838" width="2.28515625" style="1259" customWidth="1"/>
    <col min="13839" max="13839" width="3.140625" style="1259" customWidth="1"/>
    <col min="13840" max="13840" width="7" style="1259" customWidth="1"/>
    <col min="13841" max="13842" width="2.7109375" style="1259" customWidth="1"/>
    <col min="13843" max="13843" width="1.85546875" style="1259" customWidth="1"/>
    <col min="13844" max="13845" width="2.7109375" style="1259" customWidth="1"/>
    <col min="13846" max="13846" width="1.7109375" style="1259" customWidth="1"/>
    <col min="13847" max="13849" width="2.7109375" style="1259" customWidth="1"/>
    <col min="13850" max="13850" width="2.28515625" style="1259" customWidth="1"/>
    <col min="13851" max="13851" width="1.7109375" style="1259" customWidth="1"/>
    <col min="13852" max="13853" width="2.7109375" style="1259" customWidth="1"/>
    <col min="13854" max="13854" width="1.85546875" style="1259" customWidth="1"/>
    <col min="13855" max="13855" width="2.7109375" style="1259" customWidth="1"/>
    <col min="13856" max="13856" width="1.5703125" style="1259" customWidth="1"/>
    <col min="13857" max="13857" width="2.42578125" style="1259" customWidth="1"/>
    <col min="13858" max="13871" width="2.7109375" style="1259" customWidth="1"/>
    <col min="13872" max="13872" width="13.85546875" style="1259" bestFit="1" customWidth="1"/>
    <col min="13873" max="13873" width="8.7109375" style="1259" bestFit="1" customWidth="1"/>
    <col min="13874" max="13874" width="6.85546875" style="1259" bestFit="1" customWidth="1"/>
    <col min="13875" max="13875" width="9.5703125" style="1259" bestFit="1" customWidth="1"/>
    <col min="13876" max="13876" width="10.7109375" style="1259" bestFit="1" customWidth="1"/>
    <col min="13877" max="14080" width="9.140625" style="1259"/>
    <col min="14081" max="14081" width="10.85546875" style="1259" customWidth="1"/>
    <col min="14082" max="14082" width="1.7109375" style="1259" customWidth="1"/>
    <col min="14083" max="14083" width="1.5703125" style="1259" bestFit="1" customWidth="1"/>
    <col min="14084" max="14084" width="1.7109375" style="1259" customWidth="1"/>
    <col min="14085" max="14086" width="2.7109375" style="1259" customWidth="1"/>
    <col min="14087" max="14087" width="2.140625" style="1259" customWidth="1"/>
    <col min="14088" max="14088" width="2.7109375" style="1259" customWidth="1"/>
    <col min="14089" max="14089" width="3.5703125" style="1259" customWidth="1"/>
    <col min="14090" max="14090" width="2.140625" style="1259" customWidth="1"/>
    <col min="14091" max="14091" width="4" style="1259" customWidth="1"/>
    <col min="14092" max="14092" width="1.7109375" style="1259" customWidth="1"/>
    <col min="14093" max="14093" width="2.7109375" style="1259" customWidth="1"/>
    <col min="14094" max="14094" width="2.28515625" style="1259" customWidth="1"/>
    <col min="14095" max="14095" width="3.140625" style="1259" customWidth="1"/>
    <col min="14096" max="14096" width="7" style="1259" customWidth="1"/>
    <col min="14097" max="14098" width="2.7109375" style="1259" customWidth="1"/>
    <col min="14099" max="14099" width="1.85546875" style="1259" customWidth="1"/>
    <col min="14100" max="14101" width="2.7109375" style="1259" customWidth="1"/>
    <col min="14102" max="14102" width="1.7109375" style="1259" customWidth="1"/>
    <col min="14103" max="14105" width="2.7109375" style="1259" customWidth="1"/>
    <col min="14106" max="14106" width="2.28515625" style="1259" customWidth="1"/>
    <col min="14107" max="14107" width="1.7109375" style="1259" customWidth="1"/>
    <col min="14108" max="14109" width="2.7109375" style="1259" customWidth="1"/>
    <col min="14110" max="14110" width="1.85546875" style="1259" customWidth="1"/>
    <col min="14111" max="14111" width="2.7109375" style="1259" customWidth="1"/>
    <col min="14112" max="14112" width="1.5703125" style="1259" customWidth="1"/>
    <col min="14113" max="14113" width="2.42578125" style="1259" customWidth="1"/>
    <col min="14114" max="14127" width="2.7109375" style="1259" customWidth="1"/>
    <col min="14128" max="14128" width="13.85546875" style="1259" bestFit="1" customWidth="1"/>
    <col min="14129" max="14129" width="8.7109375" style="1259" bestFit="1" customWidth="1"/>
    <col min="14130" max="14130" width="6.85546875" style="1259" bestFit="1" customWidth="1"/>
    <col min="14131" max="14131" width="9.5703125" style="1259" bestFit="1" customWidth="1"/>
    <col min="14132" max="14132" width="10.7109375" style="1259" bestFit="1" customWidth="1"/>
    <col min="14133" max="14336" width="9.140625" style="1259"/>
    <col min="14337" max="14337" width="10.85546875" style="1259" customWidth="1"/>
    <col min="14338" max="14338" width="1.7109375" style="1259" customWidth="1"/>
    <col min="14339" max="14339" width="1.5703125" style="1259" bestFit="1" customWidth="1"/>
    <col min="14340" max="14340" width="1.7109375" style="1259" customWidth="1"/>
    <col min="14341" max="14342" width="2.7109375" style="1259" customWidth="1"/>
    <col min="14343" max="14343" width="2.140625" style="1259" customWidth="1"/>
    <col min="14344" max="14344" width="2.7109375" style="1259" customWidth="1"/>
    <col min="14345" max="14345" width="3.5703125" style="1259" customWidth="1"/>
    <col min="14346" max="14346" width="2.140625" style="1259" customWidth="1"/>
    <col min="14347" max="14347" width="4" style="1259" customWidth="1"/>
    <col min="14348" max="14348" width="1.7109375" style="1259" customWidth="1"/>
    <col min="14349" max="14349" width="2.7109375" style="1259" customWidth="1"/>
    <col min="14350" max="14350" width="2.28515625" style="1259" customWidth="1"/>
    <col min="14351" max="14351" width="3.140625" style="1259" customWidth="1"/>
    <col min="14352" max="14352" width="7" style="1259" customWidth="1"/>
    <col min="14353" max="14354" width="2.7109375" style="1259" customWidth="1"/>
    <col min="14355" max="14355" width="1.85546875" style="1259" customWidth="1"/>
    <col min="14356" max="14357" width="2.7109375" style="1259" customWidth="1"/>
    <col min="14358" max="14358" width="1.7109375" style="1259" customWidth="1"/>
    <col min="14359" max="14361" width="2.7109375" style="1259" customWidth="1"/>
    <col min="14362" max="14362" width="2.28515625" style="1259" customWidth="1"/>
    <col min="14363" max="14363" width="1.7109375" style="1259" customWidth="1"/>
    <col min="14364" max="14365" width="2.7109375" style="1259" customWidth="1"/>
    <col min="14366" max="14366" width="1.85546875" style="1259" customWidth="1"/>
    <col min="14367" max="14367" width="2.7109375" style="1259" customWidth="1"/>
    <col min="14368" max="14368" width="1.5703125" style="1259" customWidth="1"/>
    <col min="14369" max="14369" width="2.42578125" style="1259" customWidth="1"/>
    <col min="14370" max="14383" width="2.7109375" style="1259" customWidth="1"/>
    <col min="14384" max="14384" width="13.85546875" style="1259" bestFit="1" customWidth="1"/>
    <col min="14385" max="14385" width="8.7109375" style="1259" bestFit="1" customWidth="1"/>
    <col min="14386" max="14386" width="6.85546875" style="1259" bestFit="1" customWidth="1"/>
    <col min="14387" max="14387" width="9.5703125" style="1259" bestFit="1" customWidth="1"/>
    <col min="14388" max="14388" width="10.7109375" style="1259" bestFit="1" customWidth="1"/>
    <col min="14389" max="14592" width="9.140625" style="1259"/>
    <col min="14593" max="14593" width="10.85546875" style="1259" customWidth="1"/>
    <col min="14594" max="14594" width="1.7109375" style="1259" customWidth="1"/>
    <col min="14595" max="14595" width="1.5703125" style="1259" bestFit="1" customWidth="1"/>
    <col min="14596" max="14596" width="1.7109375" style="1259" customWidth="1"/>
    <col min="14597" max="14598" width="2.7109375" style="1259" customWidth="1"/>
    <col min="14599" max="14599" width="2.140625" style="1259" customWidth="1"/>
    <col min="14600" max="14600" width="2.7109375" style="1259" customWidth="1"/>
    <col min="14601" max="14601" width="3.5703125" style="1259" customWidth="1"/>
    <col min="14602" max="14602" width="2.140625" style="1259" customWidth="1"/>
    <col min="14603" max="14603" width="4" style="1259" customWidth="1"/>
    <col min="14604" max="14604" width="1.7109375" style="1259" customWidth="1"/>
    <col min="14605" max="14605" width="2.7109375" style="1259" customWidth="1"/>
    <col min="14606" max="14606" width="2.28515625" style="1259" customWidth="1"/>
    <col min="14607" max="14607" width="3.140625" style="1259" customWidth="1"/>
    <col min="14608" max="14608" width="7" style="1259" customWidth="1"/>
    <col min="14609" max="14610" width="2.7109375" style="1259" customWidth="1"/>
    <col min="14611" max="14611" width="1.85546875" style="1259" customWidth="1"/>
    <col min="14612" max="14613" width="2.7109375" style="1259" customWidth="1"/>
    <col min="14614" max="14614" width="1.7109375" style="1259" customWidth="1"/>
    <col min="14615" max="14617" width="2.7109375" style="1259" customWidth="1"/>
    <col min="14618" max="14618" width="2.28515625" style="1259" customWidth="1"/>
    <col min="14619" max="14619" width="1.7109375" style="1259" customWidth="1"/>
    <col min="14620" max="14621" width="2.7109375" style="1259" customWidth="1"/>
    <col min="14622" max="14622" width="1.85546875" style="1259" customWidth="1"/>
    <col min="14623" max="14623" width="2.7109375" style="1259" customWidth="1"/>
    <col min="14624" max="14624" width="1.5703125" style="1259" customWidth="1"/>
    <col min="14625" max="14625" width="2.42578125" style="1259" customWidth="1"/>
    <col min="14626" max="14639" width="2.7109375" style="1259" customWidth="1"/>
    <col min="14640" max="14640" width="13.85546875" style="1259" bestFit="1" customWidth="1"/>
    <col min="14641" max="14641" width="8.7109375" style="1259" bestFit="1" customWidth="1"/>
    <col min="14642" max="14642" width="6.85546875" style="1259" bestFit="1" customWidth="1"/>
    <col min="14643" max="14643" width="9.5703125" style="1259" bestFit="1" customWidth="1"/>
    <col min="14644" max="14644" width="10.7109375" style="1259" bestFit="1" customWidth="1"/>
    <col min="14645" max="14848" width="9.140625" style="1259"/>
    <col min="14849" max="14849" width="10.85546875" style="1259" customWidth="1"/>
    <col min="14850" max="14850" width="1.7109375" style="1259" customWidth="1"/>
    <col min="14851" max="14851" width="1.5703125" style="1259" bestFit="1" customWidth="1"/>
    <col min="14852" max="14852" width="1.7109375" style="1259" customWidth="1"/>
    <col min="14853" max="14854" width="2.7109375" style="1259" customWidth="1"/>
    <col min="14855" max="14855" width="2.140625" style="1259" customWidth="1"/>
    <col min="14856" max="14856" width="2.7109375" style="1259" customWidth="1"/>
    <col min="14857" max="14857" width="3.5703125" style="1259" customWidth="1"/>
    <col min="14858" max="14858" width="2.140625" style="1259" customWidth="1"/>
    <col min="14859" max="14859" width="4" style="1259" customWidth="1"/>
    <col min="14860" max="14860" width="1.7109375" style="1259" customWidth="1"/>
    <col min="14861" max="14861" width="2.7109375" style="1259" customWidth="1"/>
    <col min="14862" max="14862" width="2.28515625" style="1259" customWidth="1"/>
    <col min="14863" max="14863" width="3.140625" style="1259" customWidth="1"/>
    <col min="14864" max="14864" width="7" style="1259" customWidth="1"/>
    <col min="14865" max="14866" width="2.7109375" style="1259" customWidth="1"/>
    <col min="14867" max="14867" width="1.85546875" style="1259" customWidth="1"/>
    <col min="14868" max="14869" width="2.7109375" style="1259" customWidth="1"/>
    <col min="14870" max="14870" width="1.7109375" style="1259" customWidth="1"/>
    <col min="14871" max="14873" width="2.7109375" style="1259" customWidth="1"/>
    <col min="14874" max="14874" width="2.28515625" style="1259" customWidth="1"/>
    <col min="14875" max="14875" width="1.7109375" style="1259" customWidth="1"/>
    <col min="14876" max="14877" width="2.7109375" style="1259" customWidth="1"/>
    <col min="14878" max="14878" width="1.85546875" style="1259" customWidth="1"/>
    <col min="14879" max="14879" width="2.7109375" style="1259" customWidth="1"/>
    <col min="14880" max="14880" width="1.5703125" style="1259" customWidth="1"/>
    <col min="14881" max="14881" width="2.42578125" style="1259" customWidth="1"/>
    <col min="14882" max="14895" width="2.7109375" style="1259" customWidth="1"/>
    <col min="14896" max="14896" width="13.85546875" style="1259" bestFit="1" customWidth="1"/>
    <col min="14897" max="14897" width="8.7109375" style="1259" bestFit="1" customWidth="1"/>
    <col min="14898" max="14898" width="6.85546875" style="1259" bestFit="1" customWidth="1"/>
    <col min="14899" max="14899" width="9.5703125" style="1259" bestFit="1" customWidth="1"/>
    <col min="14900" max="14900" width="10.7109375" style="1259" bestFit="1" customWidth="1"/>
    <col min="14901" max="15104" width="9.140625" style="1259"/>
    <col min="15105" max="15105" width="10.85546875" style="1259" customWidth="1"/>
    <col min="15106" max="15106" width="1.7109375" style="1259" customWidth="1"/>
    <col min="15107" max="15107" width="1.5703125" style="1259" bestFit="1" customWidth="1"/>
    <col min="15108" max="15108" width="1.7109375" style="1259" customWidth="1"/>
    <col min="15109" max="15110" width="2.7109375" style="1259" customWidth="1"/>
    <col min="15111" max="15111" width="2.140625" style="1259" customWidth="1"/>
    <col min="15112" max="15112" width="2.7109375" style="1259" customWidth="1"/>
    <col min="15113" max="15113" width="3.5703125" style="1259" customWidth="1"/>
    <col min="15114" max="15114" width="2.140625" style="1259" customWidth="1"/>
    <col min="15115" max="15115" width="4" style="1259" customWidth="1"/>
    <col min="15116" max="15116" width="1.7109375" style="1259" customWidth="1"/>
    <col min="15117" max="15117" width="2.7109375" style="1259" customWidth="1"/>
    <col min="15118" max="15118" width="2.28515625" style="1259" customWidth="1"/>
    <col min="15119" max="15119" width="3.140625" style="1259" customWidth="1"/>
    <col min="15120" max="15120" width="7" style="1259" customWidth="1"/>
    <col min="15121" max="15122" width="2.7109375" style="1259" customWidth="1"/>
    <col min="15123" max="15123" width="1.85546875" style="1259" customWidth="1"/>
    <col min="15124" max="15125" width="2.7109375" style="1259" customWidth="1"/>
    <col min="15126" max="15126" width="1.7109375" style="1259" customWidth="1"/>
    <col min="15127" max="15129" width="2.7109375" style="1259" customWidth="1"/>
    <col min="15130" max="15130" width="2.28515625" style="1259" customWidth="1"/>
    <col min="15131" max="15131" width="1.7109375" style="1259" customWidth="1"/>
    <col min="15132" max="15133" width="2.7109375" style="1259" customWidth="1"/>
    <col min="15134" max="15134" width="1.85546875" style="1259" customWidth="1"/>
    <col min="15135" max="15135" width="2.7109375" style="1259" customWidth="1"/>
    <col min="15136" max="15136" width="1.5703125" style="1259" customWidth="1"/>
    <col min="15137" max="15137" width="2.42578125" style="1259" customWidth="1"/>
    <col min="15138" max="15151" width="2.7109375" style="1259" customWidth="1"/>
    <col min="15152" max="15152" width="13.85546875" style="1259" bestFit="1" customWidth="1"/>
    <col min="15153" max="15153" width="8.7109375" style="1259" bestFit="1" customWidth="1"/>
    <col min="15154" max="15154" width="6.85546875" style="1259" bestFit="1" customWidth="1"/>
    <col min="15155" max="15155" width="9.5703125" style="1259" bestFit="1" customWidth="1"/>
    <col min="15156" max="15156" width="10.7109375" style="1259" bestFit="1" customWidth="1"/>
    <col min="15157" max="15360" width="9.140625" style="1259"/>
    <col min="15361" max="15361" width="10.85546875" style="1259" customWidth="1"/>
    <col min="15362" max="15362" width="1.7109375" style="1259" customWidth="1"/>
    <col min="15363" max="15363" width="1.5703125" style="1259" bestFit="1" customWidth="1"/>
    <col min="15364" max="15364" width="1.7109375" style="1259" customWidth="1"/>
    <col min="15365" max="15366" width="2.7109375" style="1259" customWidth="1"/>
    <col min="15367" max="15367" width="2.140625" style="1259" customWidth="1"/>
    <col min="15368" max="15368" width="2.7109375" style="1259" customWidth="1"/>
    <col min="15369" max="15369" width="3.5703125" style="1259" customWidth="1"/>
    <col min="15370" max="15370" width="2.140625" style="1259" customWidth="1"/>
    <col min="15371" max="15371" width="4" style="1259" customWidth="1"/>
    <col min="15372" max="15372" width="1.7109375" style="1259" customWidth="1"/>
    <col min="15373" max="15373" width="2.7109375" style="1259" customWidth="1"/>
    <col min="15374" max="15374" width="2.28515625" style="1259" customWidth="1"/>
    <col min="15375" max="15375" width="3.140625" style="1259" customWidth="1"/>
    <col min="15376" max="15376" width="7" style="1259" customWidth="1"/>
    <col min="15377" max="15378" width="2.7109375" style="1259" customWidth="1"/>
    <col min="15379" max="15379" width="1.85546875" style="1259" customWidth="1"/>
    <col min="15380" max="15381" width="2.7109375" style="1259" customWidth="1"/>
    <col min="15382" max="15382" width="1.7109375" style="1259" customWidth="1"/>
    <col min="15383" max="15385" width="2.7109375" style="1259" customWidth="1"/>
    <col min="15386" max="15386" width="2.28515625" style="1259" customWidth="1"/>
    <col min="15387" max="15387" width="1.7109375" style="1259" customWidth="1"/>
    <col min="15388" max="15389" width="2.7109375" style="1259" customWidth="1"/>
    <col min="15390" max="15390" width="1.85546875" style="1259" customWidth="1"/>
    <col min="15391" max="15391" width="2.7109375" style="1259" customWidth="1"/>
    <col min="15392" max="15392" width="1.5703125" style="1259" customWidth="1"/>
    <col min="15393" max="15393" width="2.42578125" style="1259" customWidth="1"/>
    <col min="15394" max="15407" width="2.7109375" style="1259" customWidth="1"/>
    <col min="15408" max="15408" width="13.85546875" style="1259" bestFit="1" customWidth="1"/>
    <col min="15409" max="15409" width="8.7109375" style="1259" bestFit="1" customWidth="1"/>
    <col min="15410" max="15410" width="6.85546875" style="1259" bestFit="1" customWidth="1"/>
    <col min="15411" max="15411" width="9.5703125" style="1259" bestFit="1" customWidth="1"/>
    <col min="15412" max="15412" width="10.7109375" style="1259" bestFit="1" customWidth="1"/>
    <col min="15413" max="15616" width="9.140625" style="1259"/>
    <col min="15617" max="15617" width="10.85546875" style="1259" customWidth="1"/>
    <col min="15618" max="15618" width="1.7109375" style="1259" customWidth="1"/>
    <col min="15619" max="15619" width="1.5703125" style="1259" bestFit="1" customWidth="1"/>
    <col min="15620" max="15620" width="1.7109375" style="1259" customWidth="1"/>
    <col min="15621" max="15622" width="2.7109375" style="1259" customWidth="1"/>
    <col min="15623" max="15623" width="2.140625" style="1259" customWidth="1"/>
    <col min="15624" max="15624" width="2.7109375" style="1259" customWidth="1"/>
    <col min="15625" max="15625" width="3.5703125" style="1259" customWidth="1"/>
    <col min="15626" max="15626" width="2.140625" style="1259" customWidth="1"/>
    <col min="15627" max="15627" width="4" style="1259" customWidth="1"/>
    <col min="15628" max="15628" width="1.7109375" style="1259" customWidth="1"/>
    <col min="15629" max="15629" width="2.7109375" style="1259" customWidth="1"/>
    <col min="15630" max="15630" width="2.28515625" style="1259" customWidth="1"/>
    <col min="15631" max="15631" width="3.140625" style="1259" customWidth="1"/>
    <col min="15632" max="15632" width="7" style="1259" customWidth="1"/>
    <col min="15633" max="15634" width="2.7109375" style="1259" customWidth="1"/>
    <col min="15635" max="15635" width="1.85546875" style="1259" customWidth="1"/>
    <col min="15636" max="15637" width="2.7109375" style="1259" customWidth="1"/>
    <col min="15638" max="15638" width="1.7109375" style="1259" customWidth="1"/>
    <col min="15639" max="15641" width="2.7109375" style="1259" customWidth="1"/>
    <col min="15642" max="15642" width="2.28515625" style="1259" customWidth="1"/>
    <col min="15643" max="15643" width="1.7109375" style="1259" customWidth="1"/>
    <col min="15644" max="15645" width="2.7109375" style="1259" customWidth="1"/>
    <col min="15646" max="15646" width="1.85546875" style="1259" customWidth="1"/>
    <col min="15647" max="15647" width="2.7109375" style="1259" customWidth="1"/>
    <col min="15648" max="15648" width="1.5703125" style="1259" customWidth="1"/>
    <col min="15649" max="15649" width="2.42578125" style="1259" customWidth="1"/>
    <col min="15650" max="15663" width="2.7109375" style="1259" customWidth="1"/>
    <col min="15664" max="15664" width="13.85546875" style="1259" bestFit="1" customWidth="1"/>
    <col min="15665" max="15665" width="8.7109375" style="1259" bestFit="1" customWidth="1"/>
    <col min="15666" max="15666" width="6.85546875" style="1259" bestFit="1" customWidth="1"/>
    <col min="15667" max="15667" width="9.5703125" style="1259" bestFit="1" customWidth="1"/>
    <col min="15668" max="15668" width="10.7109375" style="1259" bestFit="1" customWidth="1"/>
    <col min="15669" max="15872" width="9.140625" style="1259"/>
    <col min="15873" max="15873" width="10.85546875" style="1259" customWidth="1"/>
    <col min="15874" max="15874" width="1.7109375" style="1259" customWidth="1"/>
    <col min="15875" max="15875" width="1.5703125" style="1259" bestFit="1" customWidth="1"/>
    <col min="15876" max="15876" width="1.7109375" style="1259" customWidth="1"/>
    <col min="15877" max="15878" width="2.7109375" style="1259" customWidth="1"/>
    <col min="15879" max="15879" width="2.140625" style="1259" customWidth="1"/>
    <col min="15880" max="15880" width="2.7109375" style="1259" customWidth="1"/>
    <col min="15881" max="15881" width="3.5703125" style="1259" customWidth="1"/>
    <col min="15882" max="15882" width="2.140625" style="1259" customWidth="1"/>
    <col min="15883" max="15883" width="4" style="1259" customWidth="1"/>
    <col min="15884" max="15884" width="1.7109375" style="1259" customWidth="1"/>
    <col min="15885" max="15885" width="2.7109375" style="1259" customWidth="1"/>
    <col min="15886" max="15886" width="2.28515625" style="1259" customWidth="1"/>
    <col min="15887" max="15887" width="3.140625" style="1259" customWidth="1"/>
    <col min="15888" max="15888" width="7" style="1259" customWidth="1"/>
    <col min="15889" max="15890" width="2.7109375" style="1259" customWidth="1"/>
    <col min="15891" max="15891" width="1.85546875" style="1259" customWidth="1"/>
    <col min="15892" max="15893" width="2.7109375" style="1259" customWidth="1"/>
    <col min="15894" max="15894" width="1.7109375" style="1259" customWidth="1"/>
    <col min="15895" max="15897" width="2.7109375" style="1259" customWidth="1"/>
    <col min="15898" max="15898" width="2.28515625" style="1259" customWidth="1"/>
    <col min="15899" max="15899" width="1.7109375" style="1259" customWidth="1"/>
    <col min="15900" max="15901" width="2.7109375" style="1259" customWidth="1"/>
    <col min="15902" max="15902" width="1.85546875" style="1259" customWidth="1"/>
    <col min="15903" max="15903" width="2.7109375" style="1259" customWidth="1"/>
    <col min="15904" max="15904" width="1.5703125" style="1259" customWidth="1"/>
    <col min="15905" max="15905" width="2.42578125" style="1259" customWidth="1"/>
    <col min="15906" max="15919" width="2.7109375" style="1259" customWidth="1"/>
    <col min="15920" max="15920" width="13.85546875" style="1259" bestFit="1" customWidth="1"/>
    <col min="15921" max="15921" width="8.7109375" style="1259" bestFit="1" customWidth="1"/>
    <col min="15922" max="15922" width="6.85546875" style="1259" bestFit="1" customWidth="1"/>
    <col min="15923" max="15923" width="9.5703125" style="1259" bestFit="1" customWidth="1"/>
    <col min="15924" max="15924" width="10.7109375" style="1259" bestFit="1" customWidth="1"/>
    <col min="15925" max="16128" width="9.140625" style="1259"/>
    <col min="16129" max="16129" width="10.85546875" style="1259" customWidth="1"/>
    <col min="16130" max="16130" width="1.7109375" style="1259" customWidth="1"/>
    <col min="16131" max="16131" width="1.5703125" style="1259" bestFit="1" customWidth="1"/>
    <col min="16132" max="16132" width="1.7109375" style="1259" customWidth="1"/>
    <col min="16133" max="16134" width="2.7109375" style="1259" customWidth="1"/>
    <col min="16135" max="16135" width="2.140625" style="1259" customWidth="1"/>
    <col min="16136" max="16136" width="2.7109375" style="1259" customWidth="1"/>
    <col min="16137" max="16137" width="3.5703125" style="1259" customWidth="1"/>
    <col min="16138" max="16138" width="2.140625" style="1259" customWidth="1"/>
    <col min="16139" max="16139" width="4" style="1259" customWidth="1"/>
    <col min="16140" max="16140" width="1.7109375" style="1259" customWidth="1"/>
    <col min="16141" max="16141" width="2.7109375" style="1259" customWidth="1"/>
    <col min="16142" max="16142" width="2.28515625" style="1259" customWidth="1"/>
    <col min="16143" max="16143" width="3.140625" style="1259" customWidth="1"/>
    <col min="16144" max="16144" width="7" style="1259" customWidth="1"/>
    <col min="16145" max="16146" width="2.7109375" style="1259" customWidth="1"/>
    <col min="16147" max="16147" width="1.85546875" style="1259" customWidth="1"/>
    <col min="16148" max="16149" width="2.7109375" style="1259" customWidth="1"/>
    <col min="16150" max="16150" width="1.7109375" style="1259" customWidth="1"/>
    <col min="16151" max="16153" width="2.7109375" style="1259" customWidth="1"/>
    <col min="16154" max="16154" width="2.28515625" style="1259" customWidth="1"/>
    <col min="16155" max="16155" width="1.7109375" style="1259" customWidth="1"/>
    <col min="16156" max="16157" width="2.7109375" style="1259" customWidth="1"/>
    <col min="16158" max="16158" width="1.85546875" style="1259" customWidth="1"/>
    <col min="16159" max="16159" width="2.7109375" style="1259" customWidth="1"/>
    <col min="16160" max="16160" width="1.5703125" style="1259" customWidth="1"/>
    <col min="16161" max="16161" width="2.42578125" style="1259" customWidth="1"/>
    <col min="16162" max="16175" width="2.7109375" style="1259" customWidth="1"/>
    <col min="16176" max="16176" width="13.85546875" style="1259" bestFit="1" customWidth="1"/>
    <col min="16177" max="16177" width="8.7109375" style="1259" bestFit="1" customWidth="1"/>
    <col min="16178" max="16178" width="6.85546875" style="1259" bestFit="1" customWidth="1"/>
    <col min="16179" max="16179" width="9.5703125" style="1259" bestFit="1" customWidth="1"/>
    <col min="16180" max="16180" width="10.7109375" style="1259" bestFit="1" customWidth="1"/>
    <col min="16181" max="16384" width="9.140625" style="1259"/>
  </cols>
  <sheetData>
    <row r="1" spans="1:52" ht="15.6" customHeight="1">
      <c r="A1" s="1253"/>
      <c r="B1" s="1254"/>
      <c r="C1" s="1255"/>
      <c r="D1" s="3252" t="s">
        <v>653</v>
      </c>
      <c r="E1" s="3253"/>
      <c r="F1" s="3253"/>
      <c r="G1" s="3253"/>
      <c r="H1" s="3253"/>
      <c r="I1" s="3253"/>
      <c r="J1" s="3253"/>
      <c r="K1" s="3253"/>
      <c r="L1" s="3253"/>
      <c r="M1" s="3253"/>
      <c r="N1" s="3253"/>
      <c r="O1" s="3253"/>
      <c r="P1" s="3253"/>
      <c r="Q1" s="3253"/>
      <c r="R1" s="3253"/>
      <c r="S1" s="3253"/>
      <c r="T1" s="3253"/>
      <c r="U1" s="3253"/>
      <c r="V1" s="3253"/>
      <c r="W1" s="3253"/>
      <c r="X1" s="3253"/>
      <c r="Y1" s="3253"/>
      <c r="Z1" s="3254" t="s">
        <v>654</v>
      </c>
      <c r="AA1" s="3255"/>
      <c r="AB1" s="3255"/>
      <c r="AC1" s="3255"/>
      <c r="AD1" s="3255"/>
      <c r="AE1" s="3255"/>
      <c r="AF1" s="3255"/>
      <c r="AG1" s="3256"/>
      <c r="AJ1" s="1257" t="s">
        <v>1223</v>
      </c>
      <c r="AN1" s="3260">
        <v>15006917103</v>
      </c>
      <c r="AO1" s="3260"/>
      <c r="AP1" s="3260"/>
      <c r="AQ1" s="3260"/>
      <c r="AZ1" s="1260" t="s">
        <v>673</v>
      </c>
    </row>
    <row r="2" spans="1:52" ht="15.6" customHeight="1">
      <c r="A2" s="1261"/>
      <c r="B2" s="1262"/>
      <c r="C2" s="1263"/>
      <c r="D2" s="3234" t="s">
        <v>2</v>
      </c>
      <c r="E2" s="3235"/>
      <c r="F2" s="3235"/>
      <c r="G2" s="3235"/>
      <c r="H2" s="3235"/>
      <c r="I2" s="3235"/>
      <c r="J2" s="3235"/>
      <c r="K2" s="3235"/>
      <c r="L2" s="3235"/>
      <c r="M2" s="3235"/>
      <c r="N2" s="3235"/>
      <c r="O2" s="3235"/>
      <c r="P2" s="3235"/>
      <c r="Q2" s="3235"/>
      <c r="R2" s="3235"/>
      <c r="S2" s="3235"/>
      <c r="T2" s="3235"/>
      <c r="U2" s="3235"/>
      <c r="V2" s="3235"/>
      <c r="W2" s="3235"/>
      <c r="X2" s="3235"/>
      <c r="Y2" s="3235"/>
      <c r="Z2" s="3257"/>
      <c r="AA2" s="3258"/>
      <c r="AB2" s="3258"/>
      <c r="AC2" s="3258"/>
      <c r="AD2" s="3258"/>
      <c r="AE2" s="3258"/>
      <c r="AF2" s="3258"/>
      <c r="AG2" s="3259"/>
      <c r="AJ2" s="1257" t="s">
        <v>1224</v>
      </c>
      <c r="AN2" s="3260">
        <v>10426380000</v>
      </c>
      <c r="AO2" s="3260"/>
      <c r="AP2" s="3260"/>
      <c r="AQ2" s="3260"/>
      <c r="AZ2" s="1260" t="s">
        <v>675</v>
      </c>
    </row>
    <row r="3" spans="1:52" ht="15.75">
      <c r="A3" s="1261"/>
      <c r="B3" s="1262"/>
      <c r="C3" s="1263"/>
      <c r="D3" s="3261" t="s">
        <v>153</v>
      </c>
      <c r="E3" s="3262"/>
      <c r="F3" s="3262"/>
      <c r="G3" s="3262"/>
      <c r="H3" s="3262"/>
      <c r="I3" s="3262"/>
      <c r="J3" s="3262"/>
      <c r="K3" s="3262"/>
      <c r="L3" s="3262"/>
      <c r="M3" s="3262"/>
      <c r="N3" s="3262"/>
      <c r="O3" s="3262"/>
      <c r="P3" s="3262"/>
      <c r="Q3" s="3262"/>
      <c r="R3" s="3262"/>
      <c r="S3" s="3262"/>
      <c r="T3" s="3262"/>
      <c r="U3" s="3262"/>
      <c r="V3" s="3262"/>
      <c r="W3" s="3262"/>
      <c r="X3" s="3262"/>
      <c r="Y3" s="3262"/>
      <c r="Z3" s="3262"/>
      <c r="AA3" s="3262"/>
      <c r="AB3" s="3262"/>
      <c r="AC3" s="3262"/>
      <c r="AD3" s="3262"/>
      <c r="AE3" s="3262"/>
      <c r="AF3" s="3262"/>
      <c r="AG3" s="3263"/>
      <c r="AJ3" s="1257" t="s">
        <v>1225</v>
      </c>
      <c r="AN3" s="3260">
        <f>SUM(AN1:AQ2)</f>
        <v>25433297103</v>
      </c>
      <c r="AO3" s="3260"/>
      <c r="AP3" s="3260"/>
      <c r="AQ3" s="3260"/>
      <c r="AZ3" s="1260" t="s">
        <v>677</v>
      </c>
    </row>
    <row r="4" spans="1:52" ht="14.25" customHeight="1">
      <c r="A4" s="1264"/>
      <c r="B4" s="1265"/>
      <c r="C4" s="1266"/>
      <c r="D4" s="3234" t="s">
        <v>1226</v>
      </c>
      <c r="E4" s="3235"/>
      <c r="F4" s="3235"/>
      <c r="G4" s="3235"/>
      <c r="H4" s="3235"/>
      <c r="I4" s="3235"/>
      <c r="J4" s="3235"/>
      <c r="K4" s="3235"/>
      <c r="L4" s="3235"/>
      <c r="M4" s="3235"/>
      <c r="N4" s="3235"/>
      <c r="O4" s="3235"/>
      <c r="P4" s="3235"/>
      <c r="Q4" s="3235"/>
      <c r="R4" s="3235"/>
      <c r="S4" s="3235"/>
      <c r="T4" s="3235"/>
      <c r="U4" s="3235"/>
      <c r="V4" s="3235"/>
      <c r="W4" s="3235"/>
      <c r="X4" s="3235"/>
      <c r="Y4" s="3235"/>
      <c r="Z4" s="3235"/>
      <c r="AA4" s="3235"/>
      <c r="AB4" s="3235"/>
      <c r="AC4" s="3235"/>
      <c r="AD4" s="3235"/>
      <c r="AE4" s="3235"/>
      <c r="AF4" s="3235"/>
      <c r="AG4" s="3236"/>
    </row>
    <row r="5" spans="1:52" s="1274" customFormat="1" ht="12">
      <c r="A5" s="1267" t="s">
        <v>31</v>
      </c>
      <c r="B5" s="1268"/>
      <c r="C5" s="1268"/>
      <c r="D5" s="1268"/>
      <c r="E5" s="1268"/>
      <c r="F5" s="1269" t="s">
        <v>523</v>
      </c>
      <c r="G5" s="1270" t="s">
        <v>655</v>
      </c>
      <c r="H5" s="1270"/>
      <c r="I5" s="1270"/>
      <c r="J5" s="1270"/>
      <c r="K5" s="1270"/>
      <c r="L5" s="1270"/>
      <c r="M5" s="1270"/>
      <c r="N5" s="1270"/>
      <c r="O5" s="1270"/>
      <c r="P5" s="1270"/>
      <c r="Q5" s="1270"/>
      <c r="R5" s="1270"/>
      <c r="S5" s="1271"/>
      <c r="T5" s="1271"/>
      <c r="U5" s="1271"/>
      <c r="V5" s="1271"/>
      <c r="W5" s="1271"/>
      <c r="X5" s="1271"/>
      <c r="Y5" s="1271"/>
      <c r="Z5" s="1271"/>
      <c r="AA5" s="1271"/>
      <c r="AB5" s="1271"/>
      <c r="AC5" s="1271"/>
      <c r="AD5" s="1271"/>
      <c r="AE5" s="1271"/>
      <c r="AF5" s="1271"/>
      <c r="AG5" s="1272"/>
      <c r="AH5" s="1256"/>
      <c r="AI5" s="1257"/>
      <c r="AJ5" s="1257"/>
      <c r="AK5" s="1257"/>
      <c r="AL5" s="1257"/>
      <c r="AM5" s="1257"/>
      <c r="AN5" s="1257"/>
      <c r="AO5" s="1257"/>
      <c r="AP5" s="1256"/>
      <c r="AQ5" s="1256"/>
      <c r="AR5" s="1257"/>
      <c r="AS5" s="1257"/>
      <c r="AT5" s="1257"/>
      <c r="AU5" s="1257"/>
      <c r="AV5" s="1273"/>
      <c r="AW5" s="1273"/>
    </row>
    <row r="6" spans="1:52" s="1274" customFormat="1" ht="12">
      <c r="A6" s="1267" t="s">
        <v>32</v>
      </c>
      <c r="B6" s="1268"/>
      <c r="C6" s="1268"/>
      <c r="D6" s="1268"/>
      <c r="E6" s="1268"/>
      <c r="F6" s="1269" t="s">
        <v>523</v>
      </c>
      <c r="G6" s="1270" t="s">
        <v>656</v>
      </c>
      <c r="H6" s="1270"/>
      <c r="I6" s="1270"/>
      <c r="J6" s="1270"/>
      <c r="K6" s="1270"/>
      <c r="L6" s="1270"/>
      <c r="M6" s="1270"/>
      <c r="N6" s="1270"/>
      <c r="O6" s="1270"/>
      <c r="P6" s="1270"/>
      <c r="Q6" s="1270"/>
      <c r="R6" s="1270"/>
      <c r="S6" s="1271"/>
      <c r="T6" s="1271"/>
      <c r="U6" s="1271"/>
      <c r="V6" s="1271"/>
      <c r="W6" s="1271"/>
      <c r="X6" s="1271"/>
      <c r="Y6" s="1271"/>
      <c r="Z6" s="1271"/>
      <c r="AA6" s="1271"/>
      <c r="AB6" s="1271"/>
      <c r="AC6" s="1271"/>
      <c r="AD6" s="1271"/>
      <c r="AE6" s="1271"/>
      <c r="AF6" s="1271"/>
      <c r="AG6" s="1272"/>
      <c r="AH6" s="1256"/>
      <c r="AI6" s="1257"/>
      <c r="AJ6" s="1257"/>
      <c r="AK6" s="1257"/>
      <c r="AL6" s="1257"/>
      <c r="AM6" s="1257"/>
      <c r="AN6" s="1257"/>
      <c r="AO6" s="1257"/>
      <c r="AP6" s="1256"/>
      <c r="AQ6" s="1256"/>
      <c r="AR6" s="1257"/>
      <c r="AS6" s="1257"/>
      <c r="AT6" s="1257"/>
      <c r="AU6" s="1257"/>
      <c r="AV6" s="1273"/>
      <c r="AW6" s="1273"/>
    </row>
    <row r="7" spans="1:52" ht="24" customHeight="1">
      <c r="A7" s="3237" t="s">
        <v>657</v>
      </c>
      <c r="B7" s="3238"/>
      <c r="C7" s="3238"/>
      <c r="D7" s="3238"/>
      <c r="E7" s="3238"/>
      <c r="F7" s="3238"/>
      <c r="G7" s="3238"/>
      <c r="H7" s="3238"/>
      <c r="I7" s="3238"/>
      <c r="J7" s="3238"/>
      <c r="K7" s="3238"/>
      <c r="L7" s="3238"/>
      <c r="M7" s="3238"/>
      <c r="N7" s="3238"/>
      <c r="O7" s="3238"/>
      <c r="P7" s="3238"/>
      <c r="Q7" s="3238"/>
      <c r="R7" s="3238"/>
      <c r="S7" s="3238"/>
      <c r="T7" s="3238"/>
      <c r="U7" s="3238"/>
      <c r="V7" s="3238"/>
      <c r="W7" s="3238"/>
      <c r="X7" s="3238"/>
      <c r="Y7" s="3238"/>
      <c r="Z7" s="3238"/>
      <c r="AA7" s="3238"/>
      <c r="AB7" s="3238"/>
      <c r="AC7" s="3238"/>
      <c r="AD7" s="3238"/>
      <c r="AE7" s="3238"/>
      <c r="AF7" s="3238"/>
      <c r="AG7" s="3239"/>
    </row>
    <row r="8" spans="1:52" s="1256" customFormat="1" ht="11.25">
      <c r="A8" s="3240" t="s">
        <v>14</v>
      </c>
      <c r="B8" s="3242" t="s">
        <v>658</v>
      </c>
      <c r="C8" s="3242"/>
      <c r="D8" s="3242"/>
      <c r="E8" s="3242"/>
      <c r="F8" s="3242"/>
      <c r="G8" s="3242"/>
      <c r="H8" s="3242"/>
      <c r="I8" s="3242"/>
      <c r="J8" s="3242"/>
      <c r="K8" s="3242"/>
      <c r="L8" s="3242"/>
      <c r="M8" s="3242"/>
      <c r="N8" s="3242"/>
      <c r="O8" s="3242"/>
      <c r="P8" s="3242"/>
      <c r="Q8" s="3243" t="s">
        <v>659</v>
      </c>
      <c r="R8" s="3244"/>
      <c r="S8" s="3244"/>
      <c r="T8" s="3244"/>
      <c r="U8" s="3244"/>
      <c r="V8" s="3244"/>
      <c r="W8" s="3244"/>
      <c r="X8" s="3244"/>
      <c r="Y8" s="3244"/>
      <c r="Z8" s="3244"/>
      <c r="AA8" s="3244"/>
      <c r="AB8" s="3245" t="s">
        <v>660</v>
      </c>
      <c r="AC8" s="3246"/>
      <c r="AD8" s="3246"/>
      <c r="AE8" s="3246"/>
      <c r="AF8" s="3246"/>
      <c r="AG8" s="3247"/>
      <c r="AI8" s="1257"/>
      <c r="AJ8" s="1257"/>
      <c r="AK8" s="1257"/>
      <c r="AL8" s="1257"/>
      <c r="AM8" s="1257"/>
      <c r="AN8" s="1257"/>
      <c r="AO8" s="1257"/>
      <c r="AR8" s="1257"/>
      <c r="AS8" s="1257"/>
      <c r="AT8" s="1257"/>
      <c r="AU8" s="1257"/>
      <c r="AV8" s="1257"/>
      <c r="AW8" s="1257"/>
    </row>
    <row r="9" spans="1:52" s="1256" customFormat="1" ht="11.25">
      <c r="A9" s="3241"/>
      <c r="B9" s="3242"/>
      <c r="C9" s="3242"/>
      <c r="D9" s="3242"/>
      <c r="E9" s="3242"/>
      <c r="F9" s="3242"/>
      <c r="G9" s="3242"/>
      <c r="H9" s="3242"/>
      <c r="I9" s="3242"/>
      <c r="J9" s="3242"/>
      <c r="K9" s="3242"/>
      <c r="L9" s="3242"/>
      <c r="M9" s="3242"/>
      <c r="N9" s="3242"/>
      <c r="O9" s="3242"/>
      <c r="P9" s="3242"/>
      <c r="Q9" s="3251" t="s">
        <v>18</v>
      </c>
      <c r="R9" s="3251"/>
      <c r="S9" s="3251"/>
      <c r="T9" s="3251" t="s">
        <v>661</v>
      </c>
      <c r="U9" s="3251"/>
      <c r="V9" s="3251"/>
      <c r="W9" s="3251" t="s">
        <v>20</v>
      </c>
      <c r="X9" s="3251"/>
      <c r="Y9" s="3251"/>
      <c r="Z9" s="3251"/>
      <c r="AA9" s="3243"/>
      <c r="AB9" s="3248"/>
      <c r="AC9" s="3249"/>
      <c r="AD9" s="3249"/>
      <c r="AE9" s="3249"/>
      <c r="AF9" s="3249"/>
      <c r="AG9" s="3250"/>
      <c r="AI9" s="3125" t="s">
        <v>20</v>
      </c>
      <c r="AJ9" s="3125"/>
      <c r="AK9" s="3125"/>
      <c r="AL9" s="3125"/>
      <c r="AM9" s="3125"/>
      <c r="AN9" s="3192" t="s">
        <v>866</v>
      </c>
      <c r="AO9" s="3192"/>
      <c r="AP9" s="3192"/>
      <c r="AQ9" s="3192"/>
      <c r="AR9" s="3192" t="s">
        <v>17</v>
      </c>
      <c r="AS9" s="3192"/>
      <c r="AT9" s="3192"/>
      <c r="AU9" s="3192"/>
      <c r="AV9" s="1257"/>
      <c r="AW9" s="1257"/>
    </row>
    <row r="10" spans="1:52" s="1274" customFormat="1" ht="9" customHeight="1">
      <c r="A10" s="1275">
        <v>1</v>
      </c>
      <c r="B10" s="3233">
        <v>2</v>
      </c>
      <c r="C10" s="3233"/>
      <c r="D10" s="3233"/>
      <c r="E10" s="3233"/>
      <c r="F10" s="3233"/>
      <c r="G10" s="3233"/>
      <c r="H10" s="3233"/>
      <c r="I10" s="3233"/>
      <c r="J10" s="3233"/>
      <c r="K10" s="3233"/>
      <c r="L10" s="3233"/>
      <c r="M10" s="3233"/>
      <c r="N10" s="3233"/>
      <c r="O10" s="3233"/>
      <c r="P10" s="3233"/>
      <c r="Q10" s="3233">
        <v>3</v>
      </c>
      <c r="R10" s="3233"/>
      <c r="S10" s="3233"/>
      <c r="T10" s="3233">
        <v>4</v>
      </c>
      <c r="U10" s="3233"/>
      <c r="V10" s="3233"/>
      <c r="W10" s="3233">
        <v>5</v>
      </c>
      <c r="X10" s="3233"/>
      <c r="Y10" s="3233"/>
      <c r="Z10" s="3233"/>
      <c r="AA10" s="3233"/>
      <c r="AB10" s="3233" t="s">
        <v>662</v>
      </c>
      <c r="AC10" s="3233"/>
      <c r="AD10" s="3233"/>
      <c r="AE10" s="3233"/>
      <c r="AF10" s="3233"/>
      <c r="AG10" s="3233"/>
      <c r="AH10" s="1256"/>
      <c r="AI10" s="1257"/>
      <c r="AJ10" s="1257"/>
      <c r="AK10" s="1257"/>
      <c r="AL10" s="1257"/>
      <c r="AM10" s="1257"/>
      <c r="AN10" s="1257"/>
      <c r="AO10" s="1257"/>
      <c r="AP10" s="1256"/>
      <c r="AQ10" s="1256"/>
      <c r="AR10" s="1257"/>
      <c r="AS10" s="1257"/>
      <c r="AT10" s="1257"/>
      <c r="AU10" s="1257"/>
      <c r="AV10" s="1273"/>
      <c r="AW10" s="1273"/>
    </row>
    <row r="11" spans="1:52" s="1260" customFormat="1" ht="11.25">
      <c r="A11" s="1276">
        <v>5</v>
      </c>
      <c r="B11" s="3230" t="s">
        <v>663</v>
      </c>
      <c r="C11" s="3230"/>
      <c r="D11" s="3230"/>
      <c r="E11" s="3230"/>
      <c r="F11" s="3230"/>
      <c r="G11" s="3230"/>
      <c r="H11" s="3230"/>
      <c r="I11" s="3230"/>
      <c r="J11" s="3230"/>
      <c r="K11" s="3230"/>
      <c r="L11" s="3230"/>
      <c r="M11" s="3230"/>
      <c r="N11" s="3230"/>
      <c r="O11" s="3230"/>
      <c r="P11" s="3230"/>
      <c r="Q11" s="3131"/>
      <c r="R11" s="3131"/>
      <c r="S11" s="3131"/>
      <c r="T11" s="3131"/>
      <c r="U11" s="3131"/>
      <c r="V11" s="3131"/>
      <c r="W11" s="3131"/>
      <c r="X11" s="3131"/>
      <c r="Y11" s="3131"/>
      <c r="Z11" s="3131"/>
      <c r="AA11" s="3131"/>
      <c r="AB11" s="3231">
        <f>AB12</f>
        <v>25272652623</v>
      </c>
      <c r="AC11" s="3232"/>
      <c r="AD11" s="3232"/>
      <c r="AE11" s="3232"/>
      <c r="AF11" s="3232"/>
      <c r="AG11" s="3232"/>
      <c r="AH11" s="1256"/>
      <c r="AI11" s="1277"/>
      <c r="AJ11" s="3125">
        <f>AB11-25433297103</f>
        <v>-160644480</v>
      </c>
      <c r="AK11" s="3125"/>
      <c r="AL11" s="3125"/>
      <c r="AM11" s="3125"/>
      <c r="AN11" s="1277"/>
      <c r="AO11" s="1277"/>
      <c r="AP11" s="1256"/>
      <c r="AQ11" s="1256"/>
      <c r="AR11" s="1257"/>
      <c r="AS11" s="1257"/>
      <c r="AT11" s="1257"/>
      <c r="AU11" s="1257"/>
      <c r="AV11" s="1278"/>
      <c r="AW11" s="1278"/>
    </row>
    <row r="12" spans="1:52" s="1260" customFormat="1" ht="11.25">
      <c r="A12" s="1279" t="s">
        <v>664</v>
      </c>
      <c r="B12" s="3227" t="s">
        <v>139</v>
      </c>
      <c r="C12" s="3227"/>
      <c r="D12" s="3227"/>
      <c r="E12" s="3227"/>
      <c r="F12" s="3227"/>
      <c r="G12" s="3227"/>
      <c r="H12" s="3227"/>
      <c r="I12" s="3227"/>
      <c r="J12" s="3227"/>
      <c r="K12" s="3227"/>
      <c r="L12" s="3227"/>
      <c r="M12" s="3227"/>
      <c r="N12" s="3227"/>
      <c r="O12" s="3227"/>
      <c r="P12" s="3227"/>
      <c r="Q12" s="3123"/>
      <c r="R12" s="3123"/>
      <c r="S12" s="3123"/>
      <c r="T12" s="3123"/>
      <c r="U12" s="3123"/>
      <c r="V12" s="3123"/>
      <c r="W12" s="3123"/>
      <c r="X12" s="3123"/>
      <c r="Y12" s="3123"/>
      <c r="Z12" s="3123"/>
      <c r="AA12" s="3123"/>
      <c r="AB12" s="3228">
        <f>AB13</f>
        <v>25272652623</v>
      </c>
      <c r="AC12" s="3229"/>
      <c r="AD12" s="3229"/>
      <c r="AE12" s="3229"/>
      <c r="AF12" s="3229"/>
      <c r="AG12" s="3229"/>
      <c r="AH12" s="1256"/>
      <c r="AI12" s="1277"/>
      <c r="AJ12" s="3125">
        <f>[39]BTL17!AB11-'BTL17 (3)'!AB11</f>
        <v>898582260</v>
      </c>
      <c r="AK12" s="3125"/>
      <c r="AL12" s="3125"/>
      <c r="AM12" s="3125"/>
      <c r="AN12" s="1277"/>
      <c r="AO12" s="1277"/>
      <c r="AP12" s="1256"/>
      <c r="AQ12" s="1256"/>
      <c r="AR12" s="1257"/>
      <c r="AS12" s="1257"/>
      <c r="AT12" s="1257"/>
      <c r="AU12" s="1257"/>
      <c r="AV12" s="1278"/>
      <c r="AW12" s="1278"/>
    </row>
    <row r="13" spans="1:52" s="1260" customFormat="1" ht="11.25">
      <c r="A13" s="1280" t="s">
        <v>665</v>
      </c>
      <c r="B13" s="3222" t="s">
        <v>343</v>
      </c>
      <c r="C13" s="3222"/>
      <c r="D13" s="3222"/>
      <c r="E13" s="3222"/>
      <c r="F13" s="3222"/>
      <c r="G13" s="3222"/>
      <c r="H13" s="3222"/>
      <c r="I13" s="3222"/>
      <c r="J13" s="3222"/>
      <c r="K13" s="3222"/>
      <c r="L13" s="3222"/>
      <c r="M13" s="3222"/>
      <c r="N13" s="3222"/>
      <c r="O13" s="3222"/>
      <c r="P13" s="3222"/>
      <c r="Q13" s="3198"/>
      <c r="R13" s="3198"/>
      <c r="S13" s="3198"/>
      <c r="T13" s="3198"/>
      <c r="U13" s="3198"/>
      <c r="V13" s="3198"/>
      <c r="W13" s="3198"/>
      <c r="X13" s="3198"/>
      <c r="Y13" s="3198"/>
      <c r="Z13" s="3198"/>
      <c r="AA13" s="3198"/>
      <c r="AB13" s="3223">
        <f>AB14+AB58</f>
        <v>25272652623</v>
      </c>
      <c r="AC13" s="3224"/>
      <c r="AD13" s="3224"/>
      <c r="AE13" s="3224"/>
      <c r="AF13" s="3224"/>
      <c r="AG13" s="3224"/>
      <c r="AH13" s="1256"/>
      <c r="AI13" s="1277"/>
      <c r="AJ13" s="1277"/>
      <c r="AK13" s="1277"/>
      <c r="AL13" s="1277"/>
      <c r="AM13" s="1277"/>
      <c r="AN13" s="1277"/>
      <c r="AO13" s="1257"/>
      <c r="AP13" s="1256"/>
      <c r="AQ13" s="1256"/>
      <c r="AR13" s="1257"/>
      <c r="AS13" s="1257"/>
      <c r="AT13" s="1257"/>
      <c r="AU13" s="1257"/>
      <c r="AV13" s="1278"/>
      <c r="AW13" s="1278"/>
    </row>
    <row r="14" spans="1:52" s="1260" customFormat="1" ht="11.25">
      <c r="A14" s="1281" t="s">
        <v>666</v>
      </c>
      <c r="B14" s="3193" t="s">
        <v>667</v>
      </c>
      <c r="C14" s="3193"/>
      <c r="D14" s="3193"/>
      <c r="E14" s="3193"/>
      <c r="F14" s="3193"/>
      <c r="G14" s="3193"/>
      <c r="H14" s="3193"/>
      <c r="I14" s="3193"/>
      <c r="J14" s="3193"/>
      <c r="K14" s="3193"/>
      <c r="L14" s="3193"/>
      <c r="M14" s="3193"/>
      <c r="N14" s="3193"/>
      <c r="O14" s="3193"/>
      <c r="P14" s="3193"/>
      <c r="Q14" s="3195"/>
      <c r="R14" s="3195"/>
      <c r="S14" s="3195"/>
      <c r="T14" s="3195"/>
      <c r="U14" s="3195"/>
      <c r="V14" s="3195"/>
      <c r="W14" s="3195"/>
      <c r="X14" s="3195"/>
      <c r="Y14" s="3195"/>
      <c r="Z14" s="3195"/>
      <c r="AA14" s="3195"/>
      <c r="AB14" s="3225">
        <f>AB15+AB20+AB24+AB30+AB35+AB40+AB43+AB46+AB49+AB52+AB55</f>
        <v>14846272623</v>
      </c>
      <c r="AC14" s="3226"/>
      <c r="AD14" s="3226"/>
      <c r="AE14" s="3226"/>
      <c r="AF14" s="3226"/>
      <c r="AG14" s="3226"/>
      <c r="AH14" s="2214">
        <v>14846272623</v>
      </c>
      <c r="AI14" s="1277">
        <f>800740700*14</f>
        <v>11210369800</v>
      </c>
      <c r="AJ14" s="3125">
        <f>15006917103-AB14</f>
        <v>160644480</v>
      </c>
      <c r="AK14" s="3125"/>
      <c r="AL14" s="3125"/>
      <c r="AM14" s="3125"/>
      <c r="AN14" s="1257"/>
      <c r="AO14" s="1257"/>
      <c r="AP14" s="1256"/>
      <c r="AQ14" s="1256"/>
      <c r="AR14" s="1257"/>
      <c r="AS14" s="1257"/>
      <c r="AT14" s="1257"/>
      <c r="AU14" s="1257"/>
      <c r="AV14" s="1278"/>
      <c r="AW14" s="1278"/>
    </row>
    <row r="15" spans="1:52" s="1260" customFormat="1" ht="11.25">
      <c r="A15" s="1276" t="s">
        <v>668</v>
      </c>
      <c r="B15" s="3129" t="s">
        <v>141</v>
      </c>
      <c r="C15" s="3129"/>
      <c r="D15" s="3129"/>
      <c r="E15" s="3129"/>
      <c r="F15" s="3129"/>
      <c r="G15" s="3129"/>
      <c r="H15" s="3129"/>
      <c r="I15" s="3129"/>
      <c r="J15" s="3129"/>
      <c r="K15" s="3129"/>
      <c r="L15" s="3129"/>
      <c r="M15" s="3129"/>
      <c r="N15" s="3129"/>
      <c r="O15" s="3129"/>
      <c r="P15" s="3129"/>
      <c r="Q15" s="3131"/>
      <c r="R15" s="3131"/>
      <c r="S15" s="3131"/>
      <c r="T15" s="3131"/>
      <c r="U15" s="3131"/>
      <c r="V15" s="3131"/>
      <c r="W15" s="3131"/>
      <c r="X15" s="3131"/>
      <c r="Y15" s="3131"/>
      <c r="Z15" s="3131"/>
      <c r="AA15" s="3131"/>
      <c r="AB15" s="3219">
        <f>SUM(AB16:AG19)</f>
        <v>11433800000</v>
      </c>
      <c r="AC15" s="3220"/>
      <c r="AD15" s="3220"/>
      <c r="AE15" s="3220"/>
      <c r="AF15" s="3220"/>
      <c r="AG15" s="3221"/>
      <c r="AH15" s="1282">
        <f>AB14-AH14</f>
        <v>0</v>
      </c>
      <c r="AI15" s="1277"/>
      <c r="AJ15" s="1277"/>
      <c r="AK15" s="1277"/>
      <c r="AL15" s="1277"/>
      <c r="AM15" s="1277"/>
      <c r="AN15" s="1257"/>
      <c r="AO15" s="1257"/>
      <c r="AP15" s="1256"/>
      <c r="AQ15" s="1256"/>
      <c r="AR15" s="1257"/>
      <c r="AS15" s="1257"/>
      <c r="AT15" s="1257"/>
      <c r="AU15" s="1257"/>
      <c r="AV15" s="1278"/>
      <c r="AW15" s="1278"/>
    </row>
    <row r="16" spans="1:52" s="1260" customFormat="1" ht="11.25">
      <c r="A16" s="1283"/>
      <c r="B16" s="1284"/>
      <c r="C16" s="1285" t="s">
        <v>669</v>
      </c>
      <c r="D16" s="1285"/>
      <c r="E16" s="1285"/>
      <c r="F16" s="1285"/>
      <c r="G16" s="3120">
        <v>26</v>
      </c>
      <c r="H16" s="3120"/>
      <c r="I16" s="3120"/>
      <c r="J16" s="3142">
        <v>14</v>
      </c>
      <c r="K16" s="3142"/>
      <c r="L16" s="3142"/>
      <c r="M16" s="1286"/>
      <c r="N16" s="1287"/>
      <c r="O16" s="1287"/>
      <c r="P16" s="1288"/>
      <c r="Q16" s="3122">
        <f>G16*J16</f>
        <v>364</v>
      </c>
      <c r="R16" s="3122"/>
      <c r="S16" s="3122"/>
      <c r="T16" s="3123" t="s">
        <v>62</v>
      </c>
      <c r="U16" s="3123"/>
      <c r="V16" s="3123"/>
      <c r="W16" s="3118">
        <v>3900000</v>
      </c>
      <c r="X16" s="3118"/>
      <c r="Y16" s="3118"/>
      <c r="Z16" s="3118"/>
      <c r="AA16" s="3118"/>
      <c r="AB16" s="3124">
        <f>W16*Q16</f>
        <v>1419600000</v>
      </c>
      <c r="AC16" s="3124"/>
      <c r="AD16" s="3124"/>
      <c r="AE16" s="3124"/>
      <c r="AF16" s="3124"/>
      <c r="AG16" s="3124"/>
      <c r="AH16" s="1289"/>
      <c r="AI16" s="3125">
        <v>101201100</v>
      </c>
      <c r="AJ16" s="3125"/>
      <c r="AK16" s="3125"/>
      <c r="AL16" s="3125"/>
      <c r="AM16" s="3125"/>
      <c r="AN16" s="3192">
        <v>26</v>
      </c>
      <c r="AO16" s="3192"/>
      <c r="AP16" s="3192"/>
      <c r="AQ16" s="3192"/>
      <c r="AR16" s="3192">
        <f>AI16/AN16</f>
        <v>3892350</v>
      </c>
      <c r="AS16" s="3192"/>
      <c r="AT16" s="3192"/>
      <c r="AU16" s="3192"/>
      <c r="AV16" s="1278"/>
      <c r="AW16" s="1278"/>
      <c r="AX16" s="1290"/>
      <c r="AY16" s="1290"/>
      <c r="AZ16" s="1290"/>
    </row>
    <row r="17" spans="1:52" s="1260" customFormat="1" ht="11.25">
      <c r="A17" s="1283"/>
      <c r="B17" s="1284"/>
      <c r="C17" s="1291" t="s">
        <v>363</v>
      </c>
      <c r="D17" s="1291"/>
      <c r="E17" s="1291"/>
      <c r="F17" s="1291"/>
      <c r="G17" s="3120">
        <v>202</v>
      </c>
      <c r="H17" s="3120"/>
      <c r="I17" s="3120"/>
      <c r="J17" s="3142">
        <v>14</v>
      </c>
      <c r="K17" s="3142"/>
      <c r="L17" s="3142"/>
      <c r="M17" s="1292"/>
      <c r="N17" s="1287"/>
      <c r="O17" s="1287"/>
      <c r="P17" s="1288"/>
      <c r="Q17" s="3122">
        <f>G17*J17</f>
        <v>2828</v>
      </c>
      <c r="R17" s="3122"/>
      <c r="S17" s="3122"/>
      <c r="T17" s="3123" t="s">
        <v>62</v>
      </c>
      <c r="U17" s="3123"/>
      <c r="V17" s="3123"/>
      <c r="W17" s="3118">
        <v>3200000</v>
      </c>
      <c r="X17" s="3118"/>
      <c r="Y17" s="3118"/>
      <c r="Z17" s="3118"/>
      <c r="AA17" s="3118"/>
      <c r="AB17" s="3124">
        <f>W17*Q17</f>
        <v>9049600000</v>
      </c>
      <c r="AC17" s="3124"/>
      <c r="AD17" s="3124"/>
      <c r="AE17" s="3124"/>
      <c r="AF17" s="3124"/>
      <c r="AG17" s="3124"/>
      <c r="AH17" s="1256"/>
      <c r="AI17" s="3125">
        <v>637878100</v>
      </c>
      <c r="AJ17" s="3125"/>
      <c r="AK17" s="3125"/>
      <c r="AL17" s="3125"/>
      <c r="AM17" s="3125"/>
      <c r="AN17" s="3192">
        <v>202</v>
      </c>
      <c r="AO17" s="3192"/>
      <c r="AP17" s="3192"/>
      <c r="AQ17" s="3192"/>
      <c r="AR17" s="3192">
        <f>AI17/AN17</f>
        <v>3157812.3762376239</v>
      </c>
      <c r="AS17" s="3192"/>
      <c r="AT17" s="3192"/>
      <c r="AU17" s="3192"/>
      <c r="AV17" s="1278"/>
      <c r="AW17" s="1278"/>
      <c r="AX17" s="1290"/>
      <c r="AY17" s="1290"/>
      <c r="AZ17" s="1290"/>
    </row>
    <row r="18" spans="1:52" s="1260" customFormat="1" ht="11.25">
      <c r="A18" s="1283"/>
      <c r="B18" s="1284"/>
      <c r="C18" s="1291" t="s">
        <v>670</v>
      </c>
      <c r="D18" s="1291"/>
      <c r="E18" s="1291"/>
      <c r="F18" s="1291"/>
      <c r="G18" s="3120">
        <v>26</v>
      </c>
      <c r="H18" s="3120"/>
      <c r="I18" s="3120"/>
      <c r="J18" s="3142">
        <v>14</v>
      </c>
      <c r="K18" s="3142"/>
      <c r="L18" s="3142"/>
      <c r="M18" s="1292"/>
      <c r="N18" s="1287"/>
      <c r="O18" s="1287"/>
      <c r="P18" s="1288"/>
      <c r="Q18" s="3122">
        <f>G18*J18</f>
        <v>364</v>
      </c>
      <c r="R18" s="3122"/>
      <c r="S18" s="3122"/>
      <c r="T18" s="3123" t="s">
        <v>62</v>
      </c>
      <c r="U18" s="3123"/>
      <c r="V18" s="3123"/>
      <c r="W18" s="3118">
        <v>2650000</v>
      </c>
      <c r="X18" s="3118"/>
      <c r="Y18" s="3118"/>
      <c r="Z18" s="3118"/>
      <c r="AA18" s="3118"/>
      <c r="AB18" s="3124">
        <f>W18*Q18</f>
        <v>964600000</v>
      </c>
      <c r="AC18" s="3124"/>
      <c r="AD18" s="3124"/>
      <c r="AE18" s="3124"/>
      <c r="AF18" s="3124"/>
      <c r="AG18" s="3124"/>
      <c r="AH18" s="1256"/>
      <c r="AI18" s="3125">
        <v>70553600</v>
      </c>
      <c r="AJ18" s="3125"/>
      <c r="AK18" s="3125"/>
      <c r="AL18" s="3125"/>
      <c r="AM18" s="3125"/>
      <c r="AN18" s="3192">
        <v>27</v>
      </c>
      <c r="AO18" s="3192"/>
      <c r="AP18" s="3192"/>
      <c r="AQ18" s="3192"/>
      <c r="AR18" s="3192">
        <f>AI18/AN18</f>
        <v>2613096.2962962962</v>
      </c>
      <c r="AS18" s="3192"/>
      <c r="AT18" s="3192"/>
      <c r="AU18" s="3192"/>
      <c r="AV18" s="1278"/>
      <c r="AW18" s="1278"/>
      <c r="AX18" s="1290"/>
      <c r="AY18" s="1290"/>
      <c r="AZ18" s="1290"/>
    </row>
    <row r="19" spans="1:52" s="1811" customFormat="1" ht="11.25">
      <c r="A19" s="2215"/>
      <c r="B19" s="2216"/>
      <c r="C19" s="2217" t="s">
        <v>671</v>
      </c>
      <c r="D19" s="2217"/>
      <c r="E19" s="2217"/>
      <c r="F19" s="2217"/>
      <c r="G19" s="3212">
        <f>SUM(G16:H18)</f>
        <v>254</v>
      </c>
      <c r="H19" s="3212"/>
      <c r="I19" s="3212"/>
      <c r="J19" s="3212"/>
      <c r="K19" s="2218"/>
      <c r="L19" s="2218"/>
      <c r="M19" s="2219"/>
      <c r="N19" s="2219"/>
      <c r="O19" s="2219"/>
      <c r="P19" s="2220"/>
      <c r="Q19" s="3208"/>
      <c r="R19" s="3208"/>
      <c r="S19" s="3208"/>
      <c r="T19" s="3209" t="s">
        <v>63</v>
      </c>
      <c r="U19" s="3209"/>
      <c r="V19" s="3209"/>
      <c r="W19" s="3210">
        <f>ROUNDUP(2.5%*SUM(AB16:AG18),-3)</f>
        <v>285845000</v>
      </c>
      <c r="X19" s="3210"/>
      <c r="Y19" s="3210"/>
      <c r="Z19" s="3210"/>
      <c r="AA19" s="3210"/>
      <c r="AB19" s="3216">
        <f>W19*Q19</f>
        <v>0</v>
      </c>
      <c r="AC19" s="3217"/>
      <c r="AD19" s="3217"/>
      <c r="AE19" s="3217"/>
      <c r="AF19" s="3217"/>
      <c r="AG19" s="3218"/>
      <c r="AH19" s="1808"/>
      <c r="AI19" s="2221"/>
      <c r="AJ19" s="2221"/>
      <c r="AK19" s="2221"/>
      <c r="AL19" s="2221"/>
      <c r="AM19" s="2221"/>
      <c r="AN19" s="1809"/>
      <c r="AO19" s="1809"/>
      <c r="AP19" s="1808"/>
      <c r="AQ19" s="1808"/>
      <c r="AR19" s="1809"/>
      <c r="AS19" s="1809"/>
      <c r="AT19" s="1809"/>
      <c r="AU19" s="1809"/>
      <c r="AV19" s="1810"/>
      <c r="AW19" s="1810"/>
    </row>
    <row r="20" spans="1:52" s="1260" customFormat="1" ht="11.25">
      <c r="A20" s="1300" t="s">
        <v>672</v>
      </c>
      <c r="B20" s="3129" t="s">
        <v>867</v>
      </c>
      <c r="C20" s="3129"/>
      <c r="D20" s="3129"/>
      <c r="E20" s="3129"/>
      <c r="F20" s="3129"/>
      <c r="G20" s="3129"/>
      <c r="H20" s="3129"/>
      <c r="I20" s="3129"/>
      <c r="J20" s="3129"/>
      <c r="K20" s="3129"/>
      <c r="L20" s="3129"/>
      <c r="M20" s="3129"/>
      <c r="N20" s="3129"/>
      <c r="O20" s="3129"/>
      <c r="P20" s="3129"/>
      <c r="Q20" s="3184"/>
      <c r="R20" s="3184"/>
      <c r="S20" s="3184"/>
      <c r="T20" s="3131"/>
      <c r="U20" s="3131"/>
      <c r="V20" s="3131"/>
      <c r="W20" s="3132"/>
      <c r="X20" s="3132"/>
      <c r="Y20" s="3132"/>
      <c r="Z20" s="3132"/>
      <c r="AA20" s="3132"/>
      <c r="AB20" s="3132">
        <f>SUM(AB21:AG23)</f>
        <v>877695000</v>
      </c>
      <c r="AC20" s="3132"/>
      <c r="AD20" s="3132"/>
      <c r="AE20" s="3132"/>
      <c r="AF20" s="3132"/>
      <c r="AG20" s="3132"/>
      <c r="AH20" s="1256"/>
      <c r="AI20" s="1257">
        <f>48784650*13</f>
        <v>634200450</v>
      </c>
      <c r="AJ20" s="1257"/>
      <c r="AK20" s="1257"/>
      <c r="AL20" s="1257"/>
      <c r="AM20" s="1257"/>
      <c r="AN20" s="1257"/>
      <c r="AO20" s="1257"/>
      <c r="AP20" s="1256"/>
      <c r="AQ20" s="1256"/>
      <c r="AR20" s="1257"/>
      <c r="AS20" s="1257"/>
      <c r="AT20" s="1257"/>
      <c r="AU20" s="1257"/>
      <c r="AV20" s="1278"/>
      <c r="AW20" s="1278"/>
    </row>
    <row r="21" spans="1:52" s="1260" customFormat="1" ht="11.25">
      <c r="A21" s="1283"/>
      <c r="B21" s="1284"/>
      <c r="C21" s="1291" t="s">
        <v>674</v>
      </c>
      <c r="D21" s="1301"/>
      <c r="E21" s="1291"/>
      <c r="F21" s="1291"/>
      <c r="G21" s="3120">
        <v>158</v>
      </c>
      <c r="H21" s="3120"/>
      <c r="I21" s="3120"/>
      <c r="J21" s="3142">
        <v>13</v>
      </c>
      <c r="K21" s="3142"/>
      <c r="L21" s="3142"/>
      <c r="M21" s="1286"/>
      <c r="N21" s="1286"/>
      <c r="O21" s="1287"/>
      <c r="P21" s="1288"/>
      <c r="Q21" s="3122">
        <f>G21*J21</f>
        <v>2054</v>
      </c>
      <c r="R21" s="3122"/>
      <c r="S21" s="3122"/>
      <c r="T21" s="3123" t="s">
        <v>62</v>
      </c>
      <c r="U21" s="3123"/>
      <c r="V21" s="3123"/>
      <c r="W21" s="3118">
        <v>315000</v>
      </c>
      <c r="X21" s="3118"/>
      <c r="Y21" s="3118"/>
      <c r="Z21" s="3118"/>
      <c r="AA21" s="3118"/>
      <c r="AB21" s="3124">
        <f>Q21*W21</f>
        <v>647010000</v>
      </c>
      <c r="AC21" s="3124"/>
      <c r="AD21" s="3124"/>
      <c r="AE21" s="3124"/>
      <c r="AF21" s="3124"/>
      <c r="AG21" s="3124"/>
      <c r="AH21" s="1256"/>
      <c r="AI21" s="3125">
        <v>49893390</v>
      </c>
      <c r="AJ21" s="3125"/>
      <c r="AK21" s="3125"/>
      <c r="AL21" s="3125"/>
      <c r="AM21" s="3125"/>
      <c r="AN21" s="3192">
        <v>158</v>
      </c>
      <c r="AO21" s="3192"/>
      <c r="AP21" s="3192"/>
      <c r="AQ21" s="3192"/>
      <c r="AR21" s="3192">
        <f>AI21/AN21</f>
        <v>315780.94936708861</v>
      </c>
      <c r="AS21" s="3192"/>
      <c r="AT21" s="3192"/>
      <c r="AU21" s="3192"/>
      <c r="AV21" s="1278"/>
      <c r="AW21" s="1278"/>
      <c r="AX21" s="1290"/>
      <c r="AY21" s="1278"/>
      <c r="AZ21" s="1302"/>
    </row>
    <row r="22" spans="1:52" s="1260" customFormat="1" ht="11.25">
      <c r="A22" s="1283"/>
      <c r="B22" s="1284"/>
      <c r="C22" s="1291" t="s">
        <v>676</v>
      </c>
      <c r="D22" s="1301"/>
      <c r="E22" s="1291"/>
      <c r="F22" s="1291"/>
      <c r="G22" s="3120">
        <v>273</v>
      </c>
      <c r="H22" s="3120"/>
      <c r="I22" s="3120"/>
      <c r="J22" s="3142">
        <v>13</v>
      </c>
      <c r="K22" s="3142"/>
      <c r="L22" s="3142"/>
      <c r="M22" s="1286"/>
      <c r="N22" s="1286"/>
      <c r="O22" s="1287"/>
      <c r="P22" s="1288"/>
      <c r="Q22" s="3122">
        <f>G22*J22</f>
        <v>3549</v>
      </c>
      <c r="R22" s="3122"/>
      <c r="S22" s="3122"/>
      <c r="T22" s="3123" t="s">
        <v>62</v>
      </c>
      <c r="U22" s="3123"/>
      <c r="V22" s="3123"/>
      <c r="W22" s="3118">
        <v>65000</v>
      </c>
      <c r="X22" s="3118"/>
      <c r="Y22" s="3118"/>
      <c r="Z22" s="3118"/>
      <c r="AA22" s="3118"/>
      <c r="AB22" s="3124">
        <f>Q22*W22</f>
        <v>230685000</v>
      </c>
      <c r="AC22" s="3124"/>
      <c r="AD22" s="3124"/>
      <c r="AE22" s="3124"/>
      <c r="AF22" s="3124"/>
      <c r="AG22" s="3124"/>
      <c r="AH22" s="1256"/>
      <c r="AI22" s="3125">
        <v>17359362</v>
      </c>
      <c r="AJ22" s="3125"/>
      <c r="AK22" s="3125"/>
      <c r="AL22" s="3125"/>
      <c r="AM22" s="3125"/>
      <c r="AN22" s="3192">
        <v>273</v>
      </c>
      <c r="AO22" s="3192"/>
      <c r="AP22" s="3192"/>
      <c r="AQ22" s="3192"/>
      <c r="AR22" s="3192">
        <f>AI22/AN22</f>
        <v>63587.406593406595</v>
      </c>
      <c r="AS22" s="3192"/>
      <c r="AT22" s="3192"/>
      <c r="AU22" s="3192"/>
      <c r="AV22" s="1278"/>
      <c r="AW22" s="1278"/>
      <c r="AX22" s="1290"/>
      <c r="AY22" s="1278"/>
      <c r="AZ22" s="1278"/>
    </row>
    <row r="23" spans="1:52" s="1811" customFormat="1" ht="11.25">
      <c r="A23" s="2215"/>
      <c r="B23" s="2216"/>
      <c r="C23" s="2217" t="s">
        <v>678</v>
      </c>
      <c r="D23" s="2222"/>
      <c r="E23" s="2217"/>
      <c r="F23" s="2217"/>
      <c r="G23" s="3212">
        <f>SUM(G21:H22)</f>
        <v>431</v>
      </c>
      <c r="H23" s="3212"/>
      <c r="I23" s="3212"/>
      <c r="J23" s="2217"/>
      <c r="K23" s="2217"/>
      <c r="L23" s="2217"/>
      <c r="M23" s="2219"/>
      <c r="N23" s="2219"/>
      <c r="O23" s="2219"/>
      <c r="P23" s="2220"/>
      <c r="Q23" s="3208"/>
      <c r="R23" s="3208"/>
      <c r="S23" s="3208"/>
      <c r="T23" s="3209" t="s">
        <v>63</v>
      </c>
      <c r="U23" s="3209"/>
      <c r="V23" s="3209"/>
      <c r="W23" s="3213">
        <f>ROUNDUP(2.5%*SUM(AB21:AG22),-3)</f>
        <v>21943000</v>
      </c>
      <c r="X23" s="3214"/>
      <c r="Y23" s="3214"/>
      <c r="Z23" s="3214"/>
      <c r="AA23" s="3215"/>
      <c r="AB23" s="3211">
        <f>Q23*W23</f>
        <v>0</v>
      </c>
      <c r="AC23" s="3211"/>
      <c r="AD23" s="3211"/>
      <c r="AE23" s="3211"/>
      <c r="AF23" s="3211"/>
      <c r="AG23" s="3211"/>
      <c r="AH23" s="1808"/>
      <c r="AI23" s="2221"/>
      <c r="AJ23" s="2221"/>
      <c r="AK23" s="2221"/>
      <c r="AL23" s="2221"/>
      <c r="AM23" s="2221"/>
      <c r="AN23" s="1809"/>
      <c r="AO23" s="1809"/>
      <c r="AP23" s="1808"/>
      <c r="AQ23" s="1808"/>
      <c r="AR23" s="1809"/>
      <c r="AS23" s="1809"/>
      <c r="AT23" s="1809"/>
      <c r="AU23" s="1809"/>
      <c r="AV23" s="1810"/>
      <c r="AW23" s="1810"/>
    </row>
    <row r="24" spans="1:52" s="1260" customFormat="1" ht="11.25">
      <c r="A24" s="1300" t="s">
        <v>679</v>
      </c>
      <c r="B24" s="3129" t="s">
        <v>680</v>
      </c>
      <c r="C24" s="3129"/>
      <c r="D24" s="3129"/>
      <c r="E24" s="3129"/>
      <c r="F24" s="3129"/>
      <c r="G24" s="3129"/>
      <c r="H24" s="3129"/>
      <c r="I24" s="3129"/>
      <c r="J24" s="3129"/>
      <c r="K24" s="3129"/>
      <c r="L24" s="3129"/>
      <c r="M24" s="3129"/>
      <c r="N24" s="3129"/>
      <c r="O24" s="3129"/>
      <c r="P24" s="3129"/>
      <c r="Q24" s="3184"/>
      <c r="R24" s="3184"/>
      <c r="S24" s="3184"/>
      <c r="T24" s="3131"/>
      <c r="U24" s="3131"/>
      <c r="V24" s="3131"/>
      <c r="W24" s="3132"/>
      <c r="X24" s="3132"/>
      <c r="Y24" s="3132"/>
      <c r="Z24" s="3132"/>
      <c r="AA24" s="3132"/>
      <c r="AB24" s="3132">
        <f>SUM(AB25:AG29)</f>
        <v>219765000</v>
      </c>
      <c r="AC24" s="3132"/>
      <c r="AD24" s="3132"/>
      <c r="AE24" s="3132"/>
      <c r="AF24" s="3132"/>
      <c r="AG24" s="3132"/>
      <c r="AH24" s="1256"/>
      <c r="AI24" s="1299">
        <f>16905000*13</f>
        <v>219765000</v>
      </c>
      <c r="AJ24" s="1299"/>
      <c r="AK24" s="1299"/>
      <c r="AL24" s="1299"/>
      <c r="AM24" s="1299"/>
      <c r="AN24" s="1257"/>
      <c r="AO24" s="1257"/>
      <c r="AP24" s="1256"/>
      <c r="AQ24" s="1256"/>
      <c r="AR24" s="1257"/>
      <c r="AS24" s="1257"/>
      <c r="AT24" s="1257"/>
      <c r="AU24" s="1257"/>
      <c r="AV24" s="1278">
        <f>16905000*13+40000000</f>
        <v>259765000</v>
      </c>
      <c r="AW24" s="1278"/>
    </row>
    <row r="25" spans="1:52" s="1260" customFormat="1" ht="11.25">
      <c r="A25" s="1283"/>
      <c r="B25" s="1284"/>
      <c r="C25" s="1285" t="s">
        <v>681</v>
      </c>
      <c r="D25" s="1301"/>
      <c r="E25" s="1304"/>
      <c r="F25" s="1304"/>
      <c r="G25" s="3120">
        <v>1</v>
      </c>
      <c r="H25" s="3120"/>
      <c r="I25" s="3120"/>
      <c r="J25" s="3142">
        <v>13</v>
      </c>
      <c r="K25" s="3142"/>
      <c r="L25" s="3142"/>
      <c r="M25" s="1286"/>
      <c r="N25" s="1286"/>
      <c r="O25" s="1287"/>
      <c r="P25" s="1288"/>
      <c r="Q25" s="3122">
        <f>G25*J25</f>
        <v>13</v>
      </c>
      <c r="R25" s="3122"/>
      <c r="S25" s="3122"/>
      <c r="T25" s="3123" t="s">
        <v>62</v>
      </c>
      <c r="U25" s="3123"/>
      <c r="V25" s="3123"/>
      <c r="W25" s="3118">
        <v>2025000</v>
      </c>
      <c r="X25" s="3118"/>
      <c r="Y25" s="3118"/>
      <c r="Z25" s="3118"/>
      <c r="AA25" s="3118"/>
      <c r="AB25" s="3124">
        <f>Q25*W25</f>
        <v>26325000</v>
      </c>
      <c r="AC25" s="3124"/>
      <c r="AD25" s="3124"/>
      <c r="AE25" s="3124"/>
      <c r="AF25" s="3124"/>
      <c r="AG25" s="3124"/>
      <c r="AH25" s="1256"/>
      <c r="AI25" s="3125">
        <v>2025000</v>
      </c>
      <c r="AJ25" s="3125"/>
      <c r="AK25" s="3125"/>
      <c r="AL25" s="3125"/>
      <c r="AM25" s="3125"/>
      <c r="AN25" s="1257"/>
      <c r="AO25" s="1257"/>
      <c r="AP25" s="1256"/>
      <c r="AQ25" s="1256"/>
      <c r="AR25" s="1257"/>
      <c r="AS25" s="1257"/>
      <c r="AT25" s="1257"/>
      <c r="AU25" s="1257"/>
      <c r="AV25" s="1278"/>
      <c r="AW25" s="1278"/>
    </row>
    <row r="26" spans="1:52" s="1260" customFormat="1" ht="11.25">
      <c r="A26" s="1283"/>
      <c r="B26" s="1284"/>
      <c r="C26" s="1291" t="s">
        <v>682</v>
      </c>
      <c r="D26" s="1301"/>
      <c r="E26" s="1287"/>
      <c r="F26" s="1287"/>
      <c r="G26" s="3120">
        <v>2</v>
      </c>
      <c r="H26" s="3120"/>
      <c r="I26" s="3120"/>
      <c r="J26" s="3142">
        <v>13</v>
      </c>
      <c r="K26" s="3142"/>
      <c r="L26" s="3142"/>
      <c r="M26" s="1286"/>
      <c r="N26" s="1286"/>
      <c r="O26" s="1287"/>
      <c r="P26" s="1288"/>
      <c r="Q26" s="3122">
        <f>G26*J26</f>
        <v>26</v>
      </c>
      <c r="R26" s="3122"/>
      <c r="S26" s="3122"/>
      <c r="T26" s="3123" t="s">
        <v>62</v>
      </c>
      <c r="U26" s="3123"/>
      <c r="V26" s="3123"/>
      <c r="W26" s="3118">
        <v>1260000</v>
      </c>
      <c r="X26" s="3118"/>
      <c r="Y26" s="3118"/>
      <c r="Z26" s="3118"/>
      <c r="AA26" s="3118"/>
      <c r="AB26" s="3124">
        <f>Q26*W26</f>
        <v>32760000</v>
      </c>
      <c r="AC26" s="3124"/>
      <c r="AD26" s="3124"/>
      <c r="AE26" s="3124"/>
      <c r="AF26" s="3124"/>
      <c r="AG26" s="3124"/>
      <c r="AH26" s="1256"/>
      <c r="AI26" s="3125">
        <v>1260000</v>
      </c>
      <c r="AJ26" s="3125"/>
      <c r="AK26" s="3125"/>
      <c r="AL26" s="3125"/>
      <c r="AM26" s="3125"/>
      <c r="AN26" s="1257"/>
      <c r="AO26" s="1257"/>
      <c r="AP26" s="1256"/>
      <c r="AQ26" s="1256"/>
      <c r="AR26" s="1257"/>
      <c r="AS26" s="1257"/>
      <c r="AT26" s="1257"/>
      <c r="AU26" s="1257"/>
      <c r="AV26" s="1278"/>
      <c r="AW26" s="1278"/>
    </row>
    <row r="27" spans="1:52" s="1260" customFormat="1" ht="11.25">
      <c r="A27" s="1283"/>
      <c r="B27" s="1284"/>
      <c r="C27" s="1291" t="s">
        <v>683</v>
      </c>
      <c r="D27" s="1301"/>
      <c r="E27" s="1287"/>
      <c r="F27" s="1287"/>
      <c r="G27" s="3120">
        <v>6</v>
      </c>
      <c r="H27" s="3120"/>
      <c r="I27" s="3120"/>
      <c r="J27" s="3142">
        <v>13</v>
      </c>
      <c r="K27" s="3142"/>
      <c r="L27" s="3142"/>
      <c r="M27" s="1286"/>
      <c r="N27" s="1286"/>
      <c r="O27" s="1287"/>
      <c r="P27" s="1288"/>
      <c r="Q27" s="3122">
        <f>G27*J27</f>
        <v>78</v>
      </c>
      <c r="R27" s="3122"/>
      <c r="S27" s="3122"/>
      <c r="T27" s="3123" t="s">
        <v>62</v>
      </c>
      <c r="U27" s="3123"/>
      <c r="V27" s="3123"/>
      <c r="W27" s="3118">
        <v>980000</v>
      </c>
      <c r="X27" s="3118"/>
      <c r="Y27" s="3118"/>
      <c r="Z27" s="3118"/>
      <c r="AA27" s="3118"/>
      <c r="AB27" s="3124">
        <f>Q27*W27</f>
        <v>76440000</v>
      </c>
      <c r="AC27" s="3124"/>
      <c r="AD27" s="3124"/>
      <c r="AE27" s="3124"/>
      <c r="AF27" s="3124"/>
      <c r="AG27" s="3124"/>
      <c r="AH27" s="1256"/>
      <c r="AI27" s="3125">
        <v>980000</v>
      </c>
      <c r="AJ27" s="3125"/>
      <c r="AK27" s="3125"/>
      <c r="AL27" s="3125"/>
      <c r="AM27" s="3125"/>
      <c r="AN27" s="1257"/>
      <c r="AO27" s="1257"/>
      <c r="AP27" s="1256"/>
      <c r="AQ27" s="1256"/>
      <c r="AR27" s="1257"/>
      <c r="AS27" s="1257"/>
      <c r="AT27" s="1257"/>
      <c r="AU27" s="1257"/>
      <c r="AV27" s="1278"/>
      <c r="AW27" s="1278"/>
    </row>
    <row r="28" spans="1:52" s="1260" customFormat="1" ht="11.25">
      <c r="A28" s="1283"/>
      <c r="B28" s="1284"/>
      <c r="C28" s="1291" t="s">
        <v>684</v>
      </c>
      <c r="D28" s="1301"/>
      <c r="E28" s="1287"/>
      <c r="F28" s="1287"/>
      <c r="G28" s="3120">
        <v>12</v>
      </c>
      <c r="H28" s="3120"/>
      <c r="I28" s="3120"/>
      <c r="J28" s="3142">
        <v>13</v>
      </c>
      <c r="K28" s="3142"/>
      <c r="L28" s="3142"/>
      <c r="M28" s="1286"/>
      <c r="N28" s="1286"/>
      <c r="O28" s="1287"/>
      <c r="P28" s="1288"/>
      <c r="Q28" s="3122">
        <f>G28*J28</f>
        <v>156</v>
      </c>
      <c r="R28" s="3122"/>
      <c r="S28" s="3122"/>
      <c r="T28" s="3123" t="s">
        <v>62</v>
      </c>
      <c r="U28" s="3123"/>
      <c r="V28" s="3123"/>
      <c r="W28" s="3118">
        <v>540000</v>
      </c>
      <c r="X28" s="3118"/>
      <c r="Y28" s="3118"/>
      <c r="Z28" s="3118"/>
      <c r="AA28" s="3118"/>
      <c r="AB28" s="3124">
        <f>Q28*W28</f>
        <v>84240000</v>
      </c>
      <c r="AC28" s="3124"/>
      <c r="AD28" s="3124"/>
      <c r="AE28" s="3124"/>
      <c r="AF28" s="3124"/>
      <c r="AG28" s="3124"/>
      <c r="AH28" s="1256"/>
      <c r="AI28" s="3125">
        <v>540000</v>
      </c>
      <c r="AJ28" s="3125"/>
      <c r="AK28" s="3125"/>
      <c r="AL28" s="3125"/>
      <c r="AM28" s="3125"/>
      <c r="AN28" s="1257"/>
      <c r="AO28" s="1277"/>
      <c r="AP28" s="1305"/>
      <c r="AQ28" s="1256"/>
      <c r="AR28" s="1257"/>
      <c r="AS28" s="1257"/>
      <c r="AT28" s="1257"/>
      <c r="AU28" s="1257"/>
      <c r="AV28" s="1278"/>
      <c r="AW28" s="1278"/>
    </row>
    <row r="29" spans="1:52" s="1811" customFormat="1" ht="11.25">
      <c r="A29" s="2215"/>
      <c r="B29" s="2216"/>
      <c r="C29" s="2217" t="s">
        <v>678</v>
      </c>
      <c r="D29" s="2222"/>
      <c r="E29" s="2219"/>
      <c r="F29" s="2219"/>
      <c r="G29" s="3212">
        <f>SUM(G25:H28)</f>
        <v>21</v>
      </c>
      <c r="H29" s="3212"/>
      <c r="I29" s="3212"/>
      <c r="J29" s="2217"/>
      <c r="K29" s="2217"/>
      <c r="L29" s="2217"/>
      <c r="M29" s="2223"/>
      <c r="N29" s="2224"/>
      <c r="O29" s="2219"/>
      <c r="P29" s="2220"/>
      <c r="Q29" s="3208"/>
      <c r="R29" s="3208"/>
      <c r="S29" s="3208"/>
      <c r="T29" s="3209" t="s">
        <v>63</v>
      </c>
      <c r="U29" s="3209"/>
      <c r="V29" s="3209"/>
      <c r="W29" s="3210">
        <f>ROUNDUP(2.5%*SUM(AB25:AG28),-3)</f>
        <v>5495000</v>
      </c>
      <c r="X29" s="3210"/>
      <c r="Y29" s="3210"/>
      <c r="Z29" s="3210"/>
      <c r="AA29" s="3210"/>
      <c r="AB29" s="3211">
        <f>Q29*W29</f>
        <v>0</v>
      </c>
      <c r="AC29" s="3211"/>
      <c r="AD29" s="3211"/>
      <c r="AE29" s="3211"/>
      <c r="AF29" s="3211"/>
      <c r="AG29" s="3211"/>
      <c r="AH29" s="1808"/>
      <c r="AI29" s="1809"/>
      <c r="AJ29" s="1809"/>
      <c r="AK29" s="1809"/>
      <c r="AL29" s="1809"/>
      <c r="AM29" s="1809"/>
      <c r="AN29" s="1809"/>
      <c r="AO29" s="2225"/>
      <c r="AP29" s="2226"/>
      <c r="AQ29" s="1808"/>
      <c r="AR29" s="1809"/>
      <c r="AS29" s="1809"/>
      <c r="AT29" s="1809"/>
      <c r="AU29" s="1809"/>
      <c r="AV29" s="1810"/>
      <c r="AW29" s="1810"/>
    </row>
    <row r="30" spans="1:52" s="1260" customFormat="1" ht="11.25">
      <c r="A30" s="1300" t="s">
        <v>685</v>
      </c>
      <c r="B30" s="3129" t="s">
        <v>142</v>
      </c>
      <c r="C30" s="3129"/>
      <c r="D30" s="3129"/>
      <c r="E30" s="3129"/>
      <c r="F30" s="3129"/>
      <c r="G30" s="3129"/>
      <c r="H30" s="3129"/>
      <c r="I30" s="3129"/>
      <c r="J30" s="3129"/>
      <c r="K30" s="3129"/>
      <c r="L30" s="3129"/>
      <c r="M30" s="3129"/>
      <c r="N30" s="3129"/>
      <c r="O30" s="3129"/>
      <c r="P30" s="3129"/>
      <c r="Q30" s="3184"/>
      <c r="R30" s="3184"/>
      <c r="S30" s="3184"/>
      <c r="T30" s="3131"/>
      <c r="U30" s="3131"/>
      <c r="V30" s="3131"/>
      <c r="W30" s="3132"/>
      <c r="X30" s="3132"/>
      <c r="Y30" s="3132"/>
      <c r="Z30" s="3132"/>
      <c r="AA30" s="3132"/>
      <c r="AB30" s="3132">
        <f>SUM(AB31:AG34)</f>
        <v>1062620000</v>
      </c>
      <c r="AC30" s="3132"/>
      <c r="AD30" s="3132"/>
      <c r="AE30" s="3132"/>
      <c r="AF30" s="3132"/>
      <c r="AG30" s="3132"/>
      <c r="AH30" s="1256"/>
      <c r="AI30" s="1257">
        <f>71740000*13</f>
        <v>932620000</v>
      </c>
      <c r="AJ30" s="1277"/>
      <c r="AK30" s="1277"/>
      <c r="AL30" s="1277"/>
      <c r="AM30" s="1277"/>
      <c r="AN30" s="1277"/>
      <c r="AO30" s="1277"/>
      <c r="AP30" s="1305"/>
      <c r="AQ30" s="1256"/>
      <c r="AR30" s="1257"/>
      <c r="AS30" s="1257"/>
      <c r="AT30" s="1257"/>
      <c r="AU30" s="1257"/>
      <c r="AV30" s="1278"/>
      <c r="AW30" s="1278"/>
    </row>
    <row r="31" spans="1:52" s="1260" customFormat="1" ht="11.25">
      <c r="A31" s="1283"/>
      <c r="B31" s="1284"/>
      <c r="C31" s="1291" t="s">
        <v>686</v>
      </c>
      <c r="D31" s="1308"/>
      <c r="E31" s="1291"/>
      <c r="F31" s="1291"/>
      <c r="G31" s="3120">
        <v>14</v>
      </c>
      <c r="H31" s="3120"/>
      <c r="I31" s="3120"/>
      <c r="J31" s="3142">
        <v>13</v>
      </c>
      <c r="K31" s="3142"/>
      <c r="L31" s="3142"/>
      <c r="M31" s="1286"/>
      <c r="N31" s="1286"/>
      <c r="O31" s="1287"/>
      <c r="P31" s="1288"/>
      <c r="Q31" s="3122">
        <f>G31*J31</f>
        <v>182</v>
      </c>
      <c r="R31" s="3122"/>
      <c r="S31" s="3122"/>
      <c r="T31" s="3123" t="s">
        <v>62</v>
      </c>
      <c r="U31" s="3123"/>
      <c r="V31" s="3123"/>
      <c r="W31" s="3118">
        <v>910000</v>
      </c>
      <c r="X31" s="3118"/>
      <c r="Y31" s="3118"/>
      <c r="Z31" s="3118"/>
      <c r="AA31" s="3118"/>
      <c r="AB31" s="3124">
        <f>Q31*W31</f>
        <v>165620000</v>
      </c>
      <c r="AC31" s="3124"/>
      <c r="AD31" s="3124"/>
      <c r="AE31" s="3124"/>
      <c r="AF31" s="3124"/>
      <c r="AG31" s="3124"/>
      <c r="AH31" s="1256"/>
      <c r="AI31" s="3125">
        <v>10900000</v>
      </c>
      <c r="AJ31" s="3125"/>
      <c r="AK31" s="3125"/>
      <c r="AL31" s="3125"/>
      <c r="AM31" s="3125"/>
      <c r="AN31" s="3192">
        <v>12</v>
      </c>
      <c r="AO31" s="3192"/>
      <c r="AP31" s="3192"/>
      <c r="AQ31" s="3192"/>
      <c r="AR31" s="3192">
        <f>AI31/AN31</f>
        <v>908333.33333333337</v>
      </c>
      <c r="AS31" s="3192"/>
      <c r="AT31" s="3192"/>
      <c r="AU31" s="3192"/>
      <c r="AV31" s="1278"/>
      <c r="AW31" s="1278"/>
      <c r="AX31" s="1290"/>
    </row>
    <row r="32" spans="1:52" s="1260" customFormat="1" ht="11.25">
      <c r="A32" s="1283"/>
      <c r="B32" s="1284"/>
      <c r="C32" s="1291" t="s">
        <v>687</v>
      </c>
      <c r="D32" s="1308"/>
      <c r="E32" s="1291"/>
      <c r="F32" s="1291"/>
      <c r="G32" s="3120">
        <v>120</v>
      </c>
      <c r="H32" s="3120"/>
      <c r="I32" s="3120"/>
      <c r="J32" s="3142">
        <v>13</v>
      </c>
      <c r="K32" s="3142"/>
      <c r="L32" s="3142"/>
      <c r="M32" s="1286"/>
      <c r="N32" s="1286"/>
      <c r="O32" s="1287"/>
      <c r="P32" s="1288"/>
      <c r="Q32" s="3122">
        <f>G32*J32</f>
        <v>1560</v>
      </c>
      <c r="R32" s="3122"/>
      <c r="S32" s="3122"/>
      <c r="T32" s="3123" t="s">
        <v>62</v>
      </c>
      <c r="U32" s="3123"/>
      <c r="V32" s="3123"/>
      <c r="W32" s="3118">
        <v>550000</v>
      </c>
      <c r="X32" s="3118"/>
      <c r="Y32" s="3118"/>
      <c r="Z32" s="3118"/>
      <c r="AA32" s="3118"/>
      <c r="AB32" s="3124">
        <f>Q32*W32</f>
        <v>858000000</v>
      </c>
      <c r="AC32" s="3124"/>
      <c r="AD32" s="3124"/>
      <c r="AE32" s="3124"/>
      <c r="AF32" s="3124"/>
      <c r="AG32" s="3124"/>
      <c r="AH32" s="1256"/>
      <c r="AI32" s="3125">
        <v>60935000</v>
      </c>
      <c r="AJ32" s="3125"/>
      <c r="AK32" s="3125"/>
      <c r="AL32" s="3125"/>
      <c r="AM32" s="3125"/>
      <c r="AN32" s="3192">
        <v>127</v>
      </c>
      <c r="AO32" s="3192"/>
      <c r="AP32" s="3192"/>
      <c r="AQ32" s="3192"/>
      <c r="AR32" s="3192">
        <f>AI32/AN32</f>
        <v>479803.14960629924</v>
      </c>
      <c r="AS32" s="3192"/>
      <c r="AT32" s="3192"/>
      <c r="AU32" s="3192"/>
      <c r="AV32" s="1278"/>
      <c r="AW32" s="1278"/>
      <c r="AX32" s="1290"/>
    </row>
    <row r="33" spans="1:50" s="1260" customFormat="1" ht="11.25">
      <c r="A33" s="1283"/>
      <c r="B33" s="1284"/>
      <c r="C33" s="1291" t="s">
        <v>689</v>
      </c>
      <c r="D33" s="1308"/>
      <c r="E33" s="1291"/>
      <c r="F33" s="1291"/>
      <c r="G33" s="3120">
        <v>10</v>
      </c>
      <c r="H33" s="3120"/>
      <c r="I33" s="3120"/>
      <c r="J33" s="3142">
        <v>13</v>
      </c>
      <c r="K33" s="3142"/>
      <c r="L33" s="3142"/>
      <c r="M33" s="1286"/>
      <c r="N33" s="1286"/>
      <c r="O33" s="1287"/>
      <c r="P33" s="1288"/>
      <c r="Q33" s="3122">
        <f>G33*J33</f>
        <v>130</v>
      </c>
      <c r="R33" s="3122"/>
      <c r="S33" s="3122"/>
      <c r="T33" s="3123" t="s">
        <v>62</v>
      </c>
      <c r="U33" s="3123"/>
      <c r="V33" s="3123"/>
      <c r="W33" s="3118">
        <v>300000</v>
      </c>
      <c r="X33" s="3118"/>
      <c r="Y33" s="3118"/>
      <c r="Z33" s="3118"/>
      <c r="AA33" s="3118"/>
      <c r="AB33" s="3124">
        <f>Q33*W33</f>
        <v>39000000</v>
      </c>
      <c r="AC33" s="3124"/>
      <c r="AD33" s="3124"/>
      <c r="AE33" s="3124"/>
      <c r="AF33" s="3124"/>
      <c r="AG33" s="3124"/>
      <c r="AH33" s="1256"/>
      <c r="AI33" s="3125">
        <v>1920000</v>
      </c>
      <c r="AJ33" s="3125"/>
      <c r="AK33" s="3125"/>
      <c r="AL33" s="3125"/>
      <c r="AM33" s="3125"/>
      <c r="AN33" s="3192">
        <v>8</v>
      </c>
      <c r="AO33" s="3192"/>
      <c r="AP33" s="3192"/>
      <c r="AQ33" s="3192"/>
      <c r="AR33" s="3192">
        <f>AI33/AN33</f>
        <v>240000</v>
      </c>
      <c r="AS33" s="3192"/>
      <c r="AT33" s="3192"/>
      <c r="AU33" s="3192"/>
      <c r="AV33" s="1278"/>
      <c r="AW33" s="1278"/>
      <c r="AX33" s="1290"/>
    </row>
    <row r="34" spans="1:50" s="1811" customFormat="1" ht="11.25">
      <c r="A34" s="2215"/>
      <c r="B34" s="2216"/>
      <c r="C34" s="2217" t="s">
        <v>678</v>
      </c>
      <c r="D34" s="2227"/>
      <c r="E34" s="2217"/>
      <c r="F34" s="2217"/>
      <c r="G34" s="3212">
        <f>SUM(G31:H33)</f>
        <v>144</v>
      </c>
      <c r="H34" s="3212"/>
      <c r="I34" s="3212"/>
      <c r="J34" s="3212"/>
      <c r="K34" s="2217"/>
      <c r="L34" s="2217"/>
      <c r="M34" s="2219"/>
      <c r="N34" s="2219"/>
      <c r="O34" s="2219"/>
      <c r="P34" s="2220"/>
      <c r="Q34" s="3208"/>
      <c r="R34" s="3208"/>
      <c r="S34" s="3208"/>
      <c r="T34" s="3209" t="s">
        <v>63</v>
      </c>
      <c r="U34" s="3209"/>
      <c r="V34" s="3209"/>
      <c r="W34" s="3210">
        <f>ROUNDUP(2.5%*SUM(AB31:AG33),-3)</f>
        <v>26566000</v>
      </c>
      <c r="X34" s="3210"/>
      <c r="Y34" s="3210"/>
      <c r="Z34" s="3210"/>
      <c r="AA34" s="3210"/>
      <c r="AB34" s="3211">
        <f>Q34*W34</f>
        <v>0</v>
      </c>
      <c r="AC34" s="3211"/>
      <c r="AD34" s="3211"/>
      <c r="AE34" s="3211"/>
      <c r="AF34" s="3211"/>
      <c r="AG34" s="3211"/>
      <c r="AH34" s="1808"/>
      <c r="AI34" s="1809"/>
      <c r="AJ34" s="1809"/>
      <c r="AK34" s="1809"/>
      <c r="AL34" s="1809"/>
      <c r="AM34" s="1809"/>
      <c r="AN34" s="1809"/>
      <c r="AO34" s="1809"/>
      <c r="AP34" s="1808"/>
      <c r="AQ34" s="1808"/>
      <c r="AR34" s="1809"/>
      <c r="AS34" s="1809"/>
      <c r="AT34" s="1809"/>
      <c r="AU34" s="1809"/>
      <c r="AV34" s="1810"/>
      <c r="AW34" s="1810"/>
    </row>
    <row r="35" spans="1:50" s="1260" customFormat="1" ht="11.25">
      <c r="A35" s="1300" t="s">
        <v>690</v>
      </c>
      <c r="B35" s="3129" t="s">
        <v>143</v>
      </c>
      <c r="C35" s="3129"/>
      <c r="D35" s="3129"/>
      <c r="E35" s="3129"/>
      <c r="F35" s="3129"/>
      <c r="G35" s="3129"/>
      <c r="H35" s="3129"/>
      <c r="I35" s="3129"/>
      <c r="J35" s="3129"/>
      <c r="K35" s="3129"/>
      <c r="L35" s="3129"/>
      <c r="M35" s="3129"/>
      <c r="N35" s="3129"/>
      <c r="O35" s="3129"/>
      <c r="P35" s="3129"/>
      <c r="Q35" s="3184"/>
      <c r="R35" s="3184"/>
      <c r="S35" s="3184"/>
      <c r="T35" s="3131"/>
      <c r="U35" s="3131"/>
      <c r="V35" s="3131"/>
      <c r="W35" s="3132"/>
      <c r="X35" s="3132"/>
      <c r="Y35" s="3132"/>
      <c r="Z35" s="3132"/>
      <c r="AA35" s="3132"/>
      <c r="AB35" s="3132">
        <f>SUM(AB36:AG39)</f>
        <v>199630000</v>
      </c>
      <c r="AC35" s="3132"/>
      <c r="AD35" s="3132"/>
      <c r="AE35" s="3132"/>
      <c r="AF35" s="3132"/>
      <c r="AG35" s="3132"/>
      <c r="AH35" s="1256"/>
      <c r="AI35" s="1277">
        <f>14920000*13</f>
        <v>193960000</v>
      </c>
      <c r="AJ35" s="1277"/>
      <c r="AK35" s="1277"/>
      <c r="AL35" s="1277"/>
      <c r="AM35" s="1257"/>
      <c r="AN35" s="1257"/>
      <c r="AO35" s="1257"/>
      <c r="AP35" s="1256"/>
      <c r="AQ35" s="1256"/>
      <c r="AR35" s="1257"/>
      <c r="AS35" s="1257"/>
      <c r="AT35" s="1257"/>
      <c r="AU35" s="1257"/>
      <c r="AV35" s="1278"/>
      <c r="AW35" s="1278"/>
    </row>
    <row r="36" spans="1:50" s="1260" customFormat="1" ht="11.25">
      <c r="A36" s="1283"/>
      <c r="B36" s="1284"/>
      <c r="C36" s="1291" t="s">
        <v>686</v>
      </c>
      <c r="D36" s="1308"/>
      <c r="E36" s="1291"/>
      <c r="F36" s="1291"/>
      <c r="G36" s="3120">
        <v>4</v>
      </c>
      <c r="H36" s="3120"/>
      <c r="I36" s="3120"/>
      <c r="J36" s="3142">
        <v>13</v>
      </c>
      <c r="K36" s="3142"/>
      <c r="L36" s="3142"/>
      <c r="M36" s="1286"/>
      <c r="N36" s="1286"/>
      <c r="O36" s="1287"/>
      <c r="P36" s="1288"/>
      <c r="Q36" s="3122">
        <f>G36*J36</f>
        <v>52</v>
      </c>
      <c r="R36" s="3122"/>
      <c r="S36" s="3122"/>
      <c r="T36" s="3123" t="s">
        <v>62</v>
      </c>
      <c r="U36" s="3123"/>
      <c r="V36" s="3123"/>
      <c r="W36" s="3118">
        <v>190000</v>
      </c>
      <c r="X36" s="3118"/>
      <c r="Y36" s="3118"/>
      <c r="Z36" s="3118"/>
      <c r="AA36" s="3118"/>
      <c r="AB36" s="3124">
        <f>Q36*W36</f>
        <v>9880000</v>
      </c>
      <c r="AC36" s="3124"/>
      <c r="AD36" s="3124"/>
      <c r="AE36" s="3124"/>
      <c r="AF36" s="3124"/>
      <c r="AG36" s="3124"/>
      <c r="AH36" s="1256"/>
      <c r="AI36" s="3125">
        <v>190000</v>
      </c>
      <c r="AJ36" s="3125"/>
      <c r="AK36" s="3125"/>
      <c r="AL36" s="3125"/>
      <c r="AM36" s="3125"/>
      <c r="AN36" s="3192">
        <v>760000</v>
      </c>
      <c r="AO36" s="3192"/>
      <c r="AP36" s="3192"/>
      <c r="AQ36" s="3192"/>
      <c r="AR36" s="3192">
        <f>AN36/AI36</f>
        <v>4</v>
      </c>
      <c r="AS36" s="3192"/>
      <c r="AT36" s="3192"/>
      <c r="AU36" s="3192"/>
      <c r="AV36" s="1278"/>
      <c r="AW36" s="1278"/>
    </row>
    <row r="37" spans="1:50" s="1260" customFormat="1" ht="11.25">
      <c r="A37" s="1283"/>
      <c r="B37" s="1284"/>
      <c r="C37" s="1291" t="s">
        <v>687</v>
      </c>
      <c r="D37" s="1308"/>
      <c r="E37" s="1291"/>
      <c r="F37" s="1291"/>
      <c r="G37" s="3120">
        <v>58</v>
      </c>
      <c r="H37" s="3120"/>
      <c r="I37" s="3120"/>
      <c r="J37" s="3142">
        <v>13</v>
      </c>
      <c r="K37" s="3142"/>
      <c r="L37" s="3142"/>
      <c r="M37" s="1286"/>
      <c r="N37" s="1286"/>
      <c r="O37" s="1287"/>
      <c r="P37" s="1288"/>
      <c r="Q37" s="3122">
        <f>G37*J37</f>
        <v>754</v>
      </c>
      <c r="R37" s="3122"/>
      <c r="S37" s="3122"/>
      <c r="T37" s="3123" t="s">
        <v>62</v>
      </c>
      <c r="U37" s="3123"/>
      <c r="V37" s="3123"/>
      <c r="W37" s="3118">
        <v>185000</v>
      </c>
      <c r="X37" s="3118"/>
      <c r="Y37" s="3118"/>
      <c r="Z37" s="3118"/>
      <c r="AA37" s="3118"/>
      <c r="AB37" s="3124">
        <f>Q37*W37</f>
        <v>139490000</v>
      </c>
      <c r="AC37" s="3124"/>
      <c r="AD37" s="3124"/>
      <c r="AE37" s="3124"/>
      <c r="AF37" s="3124"/>
      <c r="AG37" s="3124"/>
      <c r="AH37" s="1256"/>
      <c r="AI37" s="3125">
        <v>185000</v>
      </c>
      <c r="AJ37" s="3125"/>
      <c r="AK37" s="3125"/>
      <c r="AL37" s="3125"/>
      <c r="AM37" s="3125"/>
      <c r="AN37" s="3192">
        <v>10730000</v>
      </c>
      <c r="AO37" s="3192"/>
      <c r="AP37" s="3192"/>
      <c r="AQ37" s="3192"/>
      <c r="AR37" s="3192">
        <f>AN37/AI37</f>
        <v>58</v>
      </c>
      <c r="AS37" s="3192"/>
      <c r="AT37" s="3192"/>
      <c r="AU37" s="3192"/>
      <c r="AV37" s="1278"/>
      <c r="AW37" s="1278"/>
    </row>
    <row r="38" spans="1:50" s="1260" customFormat="1" ht="11.25">
      <c r="A38" s="1283"/>
      <c r="B38" s="1284"/>
      <c r="C38" s="1291" t="s">
        <v>689</v>
      </c>
      <c r="D38" s="1308"/>
      <c r="E38" s="1291"/>
      <c r="F38" s="1291"/>
      <c r="G38" s="3120">
        <v>19</v>
      </c>
      <c r="H38" s="3120"/>
      <c r="I38" s="3120"/>
      <c r="J38" s="3142">
        <v>13</v>
      </c>
      <c r="K38" s="3142"/>
      <c r="L38" s="3142"/>
      <c r="M38" s="1286"/>
      <c r="N38" s="1286"/>
      <c r="O38" s="1287"/>
      <c r="P38" s="1288"/>
      <c r="Q38" s="3122">
        <f>G38*J38</f>
        <v>247</v>
      </c>
      <c r="R38" s="3122"/>
      <c r="S38" s="3122"/>
      <c r="T38" s="3123" t="s">
        <v>62</v>
      </c>
      <c r="U38" s="3123"/>
      <c r="V38" s="3123"/>
      <c r="W38" s="3118">
        <v>180000</v>
      </c>
      <c r="X38" s="3118"/>
      <c r="Y38" s="3118"/>
      <c r="Z38" s="3118"/>
      <c r="AA38" s="3118"/>
      <c r="AB38" s="3124">
        <f>Q38*W38</f>
        <v>44460000</v>
      </c>
      <c r="AC38" s="3124"/>
      <c r="AD38" s="3124"/>
      <c r="AE38" s="3124"/>
      <c r="AF38" s="3124"/>
      <c r="AG38" s="3124"/>
      <c r="AH38" s="1256"/>
      <c r="AI38" s="3125">
        <v>180000</v>
      </c>
      <c r="AJ38" s="3125"/>
      <c r="AK38" s="3125"/>
      <c r="AL38" s="3125"/>
      <c r="AM38" s="3125"/>
      <c r="AN38" s="3192">
        <v>3429850</v>
      </c>
      <c r="AO38" s="3192"/>
      <c r="AP38" s="3192"/>
      <c r="AQ38" s="3192"/>
      <c r="AR38" s="3192">
        <f>AN38/AI38</f>
        <v>19.054722222222221</v>
      </c>
      <c r="AS38" s="3192"/>
      <c r="AT38" s="3192"/>
      <c r="AU38" s="3192"/>
      <c r="AV38" s="1278"/>
      <c r="AW38" s="1278"/>
    </row>
    <row r="39" spans="1:50" s="1811" customFormat="1" ht="11.25">
      <c r="A39" s="2215"/>
      <c r="B39" s="2216"/>
      <c r="C39" s="2217" t="s">
        <v>678</v>
      </c>
      <c r="D39" s="2227"/>
      <c r="E39" s="2217"/>
      <c r="F39" s="2217"/>
      <c r="G39" s="2217"/>
      <c r="H39" s="3206">
        <f>SUM(G36:H38)</f>
        <v>81</v>
      </c>
      <c r="I39" s="3207"/>
      <c r="J39" s="2217"/>
      <c r="K39" s="3207">
        <f>G29+G34+H39</f>
        <v>246</v>
      </c>
      <c r="L39" s="3207"/>
      <c r="M39" s="2219"/>
      <c r="N39" s="2219"/>
      <c r="O39" s="2219"/>
      <c r="P39" s="2220"/>
      <c r="Q39" s="3208">
        <v>1</v>
      </c>
      <c r="R39" s="3208"/>
      <c r="S39" s="3208"/>
      <c r="T39" s="3209" t="s">
        <v>63</v>
      </c>
      <c r="U39" s="3209"/>
      <c r="V39" s="3209"/>
      <c r="W39" s="3210">
        <v>5800000</v>
      </c>
      <c r="X39" s="3210"/>
      <c r="Y39" s="3210"/>
      <c r="Z39" s="3210"/>
      <c r="AA39" s="3210"/>
      <c r="AB39" s="3211">
        <f>Q39*W39</f>
        <v>5800000</v>
      </c>
      <c r="AC39" s="3211"/>
      <c r="AD39" s="3211"/>
      <c r="AE39" s="3211"/>
      <c r="AF39" s="3211"/>
      <c r="AG39" s="3211"/>
      <c r="AH39" s="1808"/>
      <c r="AI39" s="2225"/>
      <c r="AJ39" s="2225"/>
      <c r="AK39" s="1809"/>
      <c r="AL39" s="1809"/>
      <c r="AM39" s="1809"/>
      <c r="AN39" s="1809"/>
      <c r="AO39" s="1809"/>
      <c r="AP39" s="1808"/>
      <c r="AQ39" s="1808"/>
      <c r="AR39" s="1809"/>
      <c r="AS39" s="1809"/>
      <c r="AT39" s="1809"/>
      <c r="AU39" s="1809"/>
      <c r="AV39" s="1810"/>
      <c r="AW39" s="1810"/>
    </row>
    <row r="40" spans="1:50" s="1260" customFormat="1" ht="11.25">
      <c r="A40" s="1300" t="s">
        <v>691</v>
      </c>
      <c r="B40" s="3129" t="s">
        <v>144</v>
      </c>
      <c r="C40" s="3129"/>
      <c r="D40" s="3129"/>
      <c r="E40" s="3129"/>
      <c r="F40" s="3129"/>
      <c r="G40" s="3129"/>
      <c r="H40" s="3129"/>
      <c r="I40" s="3129"/>
      <c r="J40" s="3129"/>
      <c r="K40" s="3129"/>
      <c r="L40" s="3129"/>
      <c r="M40" s="3129"/>
      <c r="N40" s="3129"/>
      <c r="O40" s="3129"/>
      <c r="P40" s="3129"/>
      <c r="Q40" s="3184"/>
      <c r="R40" s="3184"/>
      <c r="S40" s="3184"/>
      <c r="T40" s="3131"/>
      <c r="U40" s="3131"/>
      <c r="V40" s="3131"/>
      <c r="W40" s="3132"/>
      <c r="X40" s="3132"/>
      <c r="Y40" s="3132"/>
      <c r="Z40" s="3132"/>
      <c r="AA40" s="3132"/>
      <c r="AB40" s="3132">
        <f>SUM(AB41:AG42)</f>
        <v>612847520</v>
      </c>
      <c r="AC40" s="3132"/>
      <c r="AD40" s="3132"/>
      <c r="AE40" s="3132"/>
      <c r="AF40" s="3132"/>
      <c r="AG40" s="3132"/>
      <c r="AH40" s="1256"/>
      <c r="AI40" s="1277"/>
      <c r="AJ40" s="1277"/>
      <c r="AK40" s="1277"/>
      <c r="AL40" s="1277"/>
      <c r="AM40" s="1257"/>
      <c r="AN40" s="1257"/>
      <c r="AO40" s="1257"/>
      <c r="AP40" s="1256"/>
      <c r="AQ40" s="1256"/>
      <c r="AR40" s="1257"/>
      <c r="AS40" s="1257"/>
      <c r="AT40" s="1257"/>
      <c r="AU40" s="1257"/>
      <c r="AV40" s="1278"/>
      <c r="AW40" s="1278"/>
    </row>
    <row r="41" spans="1:50" s="1260" customFormat="1" ht="11.25">
      <c r="A41" s="1283"/>
      <c r="B41" s="1284"/>
      <c r="C41" s="1291" t="s">
        <v>144</v>
      </c>
      <c r="D41" s="1308"/>
      <c r="E41" s="1291"/>
      <c r="F41" s="1291"/>
      <c r="G41" s="1291"/>
      <c r="H41" s="3120">
        <v>688</v>
      </c>
      <c r="I41" s="3120"/>
      <c r="J41" s="3120"/>
      <c r="K41" s="3142">
        <v>12</v>
      </c>
      <c r="L41" s="3142"/>
      <c r="M41" s="3142"/>
      <c r="N41" s="1286"/>
      <c r="O41" s="1286"/>
      <c r="P41" s="1288"/>
      <c r="Q41" s="3122">
        <f>H41*K41</f>
        <v>8256</v>
      </c>
      <c r="R41" s="3122"/>
      <c r="S41" s="3122"/>
      <c r="T41" s="3123" t="s">
        <v>62</v>
      </c>
      <c r="U41" s="3123"/>
      <c r="V41" s="3123"/>
      <c r="W41" s="3118">
        <v>72420</v>
      </c>
      <c r="X41" s="3118"/>
      <c r="Y41" s="3118"/>
      <c r="Z41" s="3118"/>
      <c r="AA41" s="3118"/>
      <c r="AB41" s="3124">
        <f>Q41*W41</f>
        <v>597899520</v>
      </c>
      <c r="AC41" s="3124"/>
      <c r="AD41" s="3124"/>
      <c r="AE41" s="3124"/>
      <c r="AF41" s="3124"/>
      <c r="AG41" s="3124"/>
      <c r="AH41" s="1283"/>
      <c r="AI41" s="1277"/>
      <c r="AJ41" s="1277"/>
      <c r="AK41" s="1277"/>
      <c r="AL41" s="1277"/>
      <c r="AM41" s="1257"/>
      <c r="AN41" s="1257"/>
      <c r="AO41" s="1257"/>
      <c r="AP41" s="1256"/>
      <c r="AQ41" s="1256"/>
      <c r="AR41" s="1257"/>
      <c r="AS41" s="1257"/>
      <c r="AT41" s="1257"/>
      <c r="AU41" s="1257"/>
      <c r="AV41" s="1278"/>
      <c r="AW41" s="1278"/>
    </row>
    <row r="42" spans="1:50" s="1260" customFormat="1" ht="11.25">
      <c r="A42" s="1293"/>
      <c r="B42" s="1294"/>
      <c r="C42" s="1295" t="s">
        <v>678</v>
      </c>
      <c r="D42" s="1309"/>
      <c r="E42" s="1295"/>
      <c r="F42" s="1295"/>
      <c r="G42" s="1295"/>
      <c r="H42" s="1295"/>
      <c r="I42" s="1295"/>
      <c r="J42" s="1295"/>
      <c r="K42" s="1295"/>
      <c r="L42" s="1295"/>
      <c r="M42" s="1295"/>
      <c r="N42" s="1297"/>
      <c r="O42" s="1297"/>
      <c r="P42" s="1298"/>
      <c r="Q42" s="3197">
        <v>1</v>
      </c>
      <c r="R42" s="3197"/>
      <c r="S42" s="3197"/>
      <c r="T42" s="3198" t="s">
        <v>63</v>
      </c>
      <c r="U42" s="3198"/>
      <c r="V42" s="3198"/>
      <c r="W42" s="3139">
        <f>ROUNDUP(2.5%*SUM(AB41),-3)</f>
        <v>14948000</v>
      </c>
      <c r="X42" s="3139"/>
      <c r="Y42" s="3139"/>
      <c r="Z42" s="3139"/>
      <c r="AA42" s="3139"/>
      <c r="AB42" s="3199">
        <f>Q42*W42</f>
        <v>14948000</v>
      </c>
      <c r="AC42" s="3199"/>
      <c r="AD42" s="3199"/>
      <c r="AE42" s="3199"/>
      <c r="AF42" s="3199"/>
      <c r="AG42" s="3199"/>
      <c r="AH42" s="1256"/>
      <c r="AI42" s="1257"/>
      <c r="AJ42" s="1257"/>
      <c r="AK42" s="1257"/>
      <c r="AL42" s="1257"/>
      <c r="AM42" s="1257"/>
      <c r="AN42" s="1257"/>
      <c r="AO42" s="1257"/>
      <c r="AP42" s="1256"/>
      <c r="AQ42" s="1256"/>
      <c r="AR42" s="1257"/>
      <c r="AS42" s="1257"/>
      <c r="AT42" s="1257"/>
      <c r="AU42" s="1257"/>
      <c r="AV42" s="1278"/>
      <c r="AW42" s="1278"/>
    </row>
    <row r="43" spans="1:50" s="1260" customFormat="1" ht="11.25">
      <c r="A43" s="1300" t="s">
        <v>692</v>
      </c>
      <c r="B43" s="3129" t="s">
        <v>145</v>
      </c>
      <c r="C43" s="3129"/>
      <c r="D43" s="3129"/>
      <c r="E43" s="3129"/>
      <c r="F43" s="3129"/>
      <c r="G43" s="3129"/>
      <c r="H43" s="3129"/>
      <c r="I43" s="3129"/>
      <c r="J43" s="3129"/>
      <c r="K43" s="3129"/>
      <c r="L43" s="3129"/>
      <c r="M43" s="3129"/>
      <c r="N43" s="3129"/>
      <c r="O43" s="3129"/>
      <c r="P43" s="3129"/>
      <c r="Q43" s="3184"/>
      <c r="R43" s="3184"/>
      <c r="S43" s="3184"/>
      <c r="T43" s="3131"/>
      <c r="U43" s="3131"/>
      <c r="V43" s="3131"/>
      <c r="W43" s="3132"/>
      <c r="X43" s="3132"/>
      <c r="Y43" s="3132"/>
      <c r="Z43" s="3132"/>
      <c r="AA43" s="3132"/>
      <c r="AB43" s="3132">
        <f>SUM(AB44:AG45)</f>
        <v>29160000</v>
      </c>
      <c r="AC43" s="3132"/>
      <c r="AD43" s="3132"/>
      <c r="AE43" s="3132"/>
      <c r="AF43" s="3132"/>
      <c r="AG43" s="3132"/>
      <c r="AH43" s="1256"/>
      <c r="AI43" s="1277"/>
      <c r="AJ43" s="1277"/>
      <c r="AK43" s="1277"/>
      <c r="AL43" s="1277"/>
      <c r="AM43" s="1277"/>
      <c r="AN43" s="1277"/>
      <c r="AO43" s="1277"/>
      <c r="AP43" s="1256"/>
      <c r="AQ43" s="1256"/>
      <c r="AR43" s="1257"/>
      <c r="AS43" s="1257"/>
      <c r="AT43" s="1257"/>
      <c r="AU43" s="1257"/>
      <c r="AV43" s="1278"/>
      <c r="AW43" s="1278"/>
    </row>
    <row r="44" spans="1:50" s="1260" customFormat="1" ht="11.25">
      <c r="A44" s="1283"/>
      <c r="B44" s="1284"/>
      <c r="C44" s="1291" t="s">
        <v>693</v>
      </c>
      <c r="D44" s="1308"/>
      <c r="E44" s="1291"/>
      <c r="F44" s="1291"/>
      <c r="G44" s="1291"/>
      <c r="H44" s="3120">
        <f>G19</f>
        <v>254</v>
      </c>
      <c r="I44" s="3120"/>
      <c r="J44" s="3120"/>
      <c r="K44" s="3142">
        <v>14</v>
      </c>
      <c r="L44" s="3142"/>
      <c r="M44" s="3142"/>
      <c r="N44" s="1287"/>
      <c r="O44" s="1287"/>
      <c r="P44" s="1288"/>
      <c r="Q44" s="3122">
        <f>H44*K44</f>
        <v>3556</v>
      </c>
      <c r="R44" s="3122"/>
      <c r="S44" s="3122"/>
      <c r="T44" s="3123" t="s">
        <v>62</v>
      </c>
      <c r="U44" s="3123"/>
      <c r="V44" s="3123"/>
      <c r="W44" s="3118">
        <v>8000</v>
      </c>
      <c r="X44" s="3118"/>
      <c r="Y44" s="3118"/>
      <c r="Z44" s="3118"/>
      <c r="AA44" s="3118"/>
      <c r="AB44" s="3124">
        <f>Q44*W44</f>
        <v>28448000</v>
      </c>
      <c r="AC44" s="3124"/>
      <c r="AD44" s="3124"/>
      <c r="AE44" s="3124"/>
      <c r="AF44" s="3124"/>
      <c r="AG44" s="3124"/>
      <c r="AH44" s="1256"/>
      <c r="AI44" s="3125">
        <v>255000</v>
      </c>
      <c r="AJ44" s="3125"/>
      <c r="AK44" s="3125"/>
      <c r="AL44" s="3125"/>
      <c r="AM44" s="3125"/>
      <c r="AN44" s="3192">
        <v>253</v>
      </c>
      <c r="AO44" s="3192"/>
      <c r="AP44" s="3192"/>
      <c r="AQ44" s="3192"/>
      <c r="AR44" s="3192">
        <f>AI44/AN44</f>
        <v>1007.905138339921</v>
      </c>
      <c r="AS44" s="3192"/>
      <c r="AT44" s="3192"/>
      <c r="AU44" s="3192"/>
      <c r="AV44" s="1278"/>
      <c r="AW44" s="1278"/>
    </row>
    <row r="45" spans="1:50" s="1260" customFormat="1" ht="11.25">
      <c r="A45" s="1293"/>
      <c r="B45" s="1294"/>
      <c r="C45" s="1295" t="s">
        <v>678</v>
      </c>
      <c r="D45" s="1309"/>
      <c r="E45" s="1295"/>
      <c r="F45" s="1295"/>
      <c r="G45" s="1295"/>
      <c r="H45" s="1295"/>
      <c r="I45" s="1295"/>
      <c r="J45" s="1295"/>
      <c r="K45" s="1295"/>
      <c r="L45" s="1295"/>
      <c r="M45" s="1295"/>
      <c r="N45" s="1297"/>
      <c r="O45" s="1297"/>
      <c r="P45" s="1298"/>
      <c r="Q45" s="3197">
        <v>1</v>
      </c>
      <c r="R45" s="3197"/>
      <c r="S45" s="3197"/>
      <c r="T45" s="3198" t="s">
        <v>63</v>
      </c>
      <c r="U45" s="3198"/>
      <c r="V45" s="3198"/>
      <c r="W45" s="3139">
        <f>ROUNDUP(2.5%*SUM(AB44),-3)</f>
        <v>712000</v>
      </c>
      <c r="X45" s="3139"/>
      <c r="Y45" s="3139"/>
      <c r="Z45" s="3139"/>
      <c r="AA45" s="3139"/>
      <c r="AB45" s="3199">
        <f>Q45*W45</f>
        <v>712000</v>
      </c>
      <c r="AC45" s="3199"/>
      <c r="AD45" s="3199"/>
      <c r="AE45" s="3199"/>
      <c r="AF45" s="3199"/>
      <c r="AG45" s="3199"/>
      <c r="AH45" s="1256"/>
      <c r="AI45" s="1257"/>
      <c r="AJ45" s="1257"/>
      <c r="AK45" s="1257"/>
      <c r="AL45" s="1257"/>
      <c r="AM45" s="1277"/>
      <c r="AN45" s="1277"/>
      <c r="AO45" s="1277"/>
      <c r="AP45" s="1310"/>
      <c r="AQ45" s="1256"/>
      <c r="AR45" s="1257"/>
      <c r="AS45" s="1257"/>
      <c r="AT45" s="1257"/>
      <c r="AU45" s="1257"/>
      <c r="AV45" s="1278"/>
      <c r="AW45" s="1278"/>
    </row>
    <row r="46" spans="1:50" s="1260" customFormat="1" ht="11.25">
      <c r="A46" s="1300" t="s">
        <v>694</v>
      </c>
      <c r="B46" s="3129" t="s">
        <v>146</v>
      </c>
      <c r="C46" s="3129"/>
      <c r="D46" s="3129"/>
      <c r="E46" s="3129"/>
      <c r="F46" s="3129"/>
      <c r="G46" s="3129"/>
      <c r="H46" s="3129"/>
      <c r="I46" s="3129"/>
      <c r="J46" s="3129"/>
      <c r="K46" s="3129"/>
      <c r="L46" s="3129"/>
      <c r="M46" s="3129"/>
      <c r="N46" s="3129"/>
      <c r="O46" s="3129"/>
      <c r="P46" s="3129"/>
      <c r="Q46" s="3184"/>
      <c r="R46" s="3184"/>
      <c r="S46" s="3184"/>
      <c r="T46" s="3131"/>
      <c r="U46" s="3131"/>
      <c r="V46" s="3131"/>
      <c r="W46" s="3132"/>
      <c r="X46" s="3132"/>
      <c r="Y46" s="3132"/>
      <c r="Z46" s="3132"/>
      <c r="AA46" s="3132"/>
      <c r="AB46" s="3132">
        <f>SUM(AB47:AG48)</f>
        <v>329040</v>
      </c>
      <c r="AC46" s="3132"/>
      <c r="AD46" s="3132"/>
      <c r="AE46" s="3132"/>
      <c r="AF46" s="3132"/>
      <c r="AG46" s="3132"/>
      <c r="AH46" s="1256"/>
      <c r="AI46" s="1277"/>
      <c r="AJ46" s="1277"/>
      <c r="AK46" s="1277"/>
      <c r="AL46" s="1277"/>
      <c r="AM46" s="1277"/>
      <c r="AN46" s="1257"/>
      <c r="AO46" s="1257"/>
      <c r="AP46" s="1256"/>
      <c r="AQ46" s="1256"/>
      <c r="AR46" s="1257"/>
      <c r="AS46" s="1257"/>
      <c r="AT46" s="1257"/>
      <c r="AU46" s="1257"/>
      <c r="AV46" s="1278"/>
      <c r="AW46" s="1278"/>
    </row>
    <row r="47" spans="1:50" s="1260" customFormat="1" ht="11.25">
      <c r="A47" s="1283"/>
      <c r="B47" s="1284"/>
      <c r="C47" s="1291" t="s">
        <v>146</v>
      </c>
      <c r="D47" s="1308"/>
      <c r="E47" s="1291"/>
      <c r="F47" s="1291"/>
      <c r="G47" s="1291"/>
      <c r="H47" s="3120">
        <f>H44</f>
        <v>254</v>
      </c>
      <c r="I47" s="3120"/>
      <c r="J47" s="3120"/>
      <c r="K47" s="3142">
        <v>14</v>
      </c>
      <c r="L47" s="3142"/>
      <c r="M47" s="3142"/>
      <c r="N47" s="1287"/>
      <c r="O47" s="1287"/>
      <c r="P47" s="1288"/>
      <c r="Q47" s="3122">
        <f>H47*K47</f>
        <v>3556</v>
      </c>
      <c r="R47" s="3122"/>
      <c r="S47" s="3122"/>
      <c r="T47" s="3123" t="s">
        <v>62</v>
      </c>
      <c r="U47" s="3123"/>
      <c r="V47" s="3123"/>
      <c r="W47" s="3118">
        <v>90</v>
      </c>
      <c r="X47" s="3118"/>
      <c r="Y47" s="3118"/>
      <c r="Z47" s="3118"/>
      <c r="AA47" s="3118"/>
      <c r="AB47" s="3124">
        <f>Q47*W47</f>
        <v>320040</v>
      </c>
      <c r="AC47" s="3124"/>
      <c r="AD47" s="3124"/>
      <c r="AE47" s="3124"/>
      <c r="AF47" s="3124"/>
      <c r="AG47" s="3124"/>
      <c r="AH47" s="1256"/>
      <c r="AI47" s="1257"/>
      <c r="AJ47" s="1257"/>
      <c r="AK47" s="1257"/>
      <c r="AL47" s="1257"/>
      <c r="AM47" s="1257"/>
      <c r="AN47" s="1257"/>
      <c r="AO47" s="1257"/>
      <c r="AP47" s="1256"/>
      <c r="AQ47" s="1256"/>
      <c r="AR47" s="1257"/>
      <c r="AS47" s="1257"/>
      <c r="AT47" s="1257"/>
      <c r="AU47" s="1257"/>
      <c r="AV47" s="1278"/>
      <c r="AW47" s="1278"/>
    </row>
    <row r="48" spans="1:50" s="1260" customFormat="1" ht="11.25">
      <c r="A48" s="1293"/>
      <c r="B48" s="1294"/>
      <c r="C48" s="1295" t="s">
        <v>678</v>
      </c>
      <c r="D48" s="1309"/>
      <c r="E48" s="1295"/>
      <c r="F48" s="1295"/>
      <c r="G48" s="1295"/>
      <c r="H48" s="1295"/>
      <c r="I48" s="1295"/>
      <c r="J48" s="1295"/>
      <c r="K48" s="1295"/>
      <c r="L48" s="1295"/>
      <c r="M48" s="1295"/>
      <c r="N48" s="1297"/>
      <c r="O48" s="1297"/>
      <c r="P48" s="1298"/>
      <c r="Q48" s="3197">
        <v>1</v>
      </c>
      <c r="R48" s="3197"/>
      <c r="S48" s="3197"/>
      <c r="T48" s="3198" t="s">
        <v>63</v>
      </c>
      <c r="U48" s="3198"/>
      <c r="V48" s="3198"/>
      <c r="W48" s="3139">
        <f>ROUNDUP(2.5%*SUM(AB47),-3)</f>
        <v>9000</v>
      </c>
      <c r="X48" s="3139"/>
      <c r="Y48" s="3139"/>
      <c r="Z48" s="3139"/>
      <c r="AA48" s="3139"/>
      <c r="AB48" s="3199">
        <f>Q48*W48</f>
        <v>9000</v>
      </c>
      <c r="AC48" s="3199"/>
      <c r="AD48" s="3199"/>
      <c r="AE48" s="3199"/>
      <c r="AF48" s="3199"/>
      <c r="AG48" s="3199"/>
      <c r="AH48" s="1256"/>
      <c r="AI48" s="1257"/>
      <c r="AJ48" s="1257"/>
      <c r="AK48" s="1257"/>
      <c r="AL48" s="1257"/>
      <c r="AM48" s="1257"/>
      <c r="AN48" s="1257"/>
      <c r="AO48" s="1257"/>
      <c r="AP48" s="1256"/>
      <c r="AQ48" s="1256"/>
      <c r="AR48" s="1257"/>
      <c r="AS48" s="1257"/>
      <c r="AT48" s="1257"/>
      <c r="AU48" s="1257"/>
      <c r="AV48" s="1278"/>
      <c r="AW48" s="1278"/>
    </row>
    <row r="49" spans="1:49" s="1260" customFormat="1" ht="11.25">
      <c r="A49" s="1300" t="s">
        <v>853</v>
      </c>
      <c r="B49" s="3129" t="s">
        <v>854</v>
      </c>
      <c r="C49" s="3129"/>
      <c r="D49" s="3129"/>
      <c r="E49" s="3129"/>
      <c r="F49" s="3129"/>
      <c r="G49" s="3129"/>
      <c r="H49" s="3129"/>
      <c r="I49" s="3129"/>
      <c r="J49" s="3129"/>
      <c r="K49" s="3129"/>
      <c r="L49" s="3129"/>
      <c r="M49" s="3129"/>
      <c r="N49" s="3129"/>
      <c r="O49" s="3129"/>
      <c r="P49" s="3129"/>
      <c r="Q49" s="3184"/>
      <c r="R49" s="3184"/>
      <c r="S49" s="3184"/>
      <c r="T49" s="3131"/>
      <c r="U49" s="3131"/>
      <c r="V49" s="3131"/>
      <c r="W49" s="3132"/>
      <c r="X49" s="3132"/>
      <c r="Y49" s="3132"/>
      <c r="Z49" s="3132"/>
      <c r="AA49" s="3132"/>
      <c r="AB49" s="3132">
        <f>SUM(AB50:AG51)</f>
        <v>31242000</v>
      </c>
      <c r="AC49" s="3132"/>
      <c r="AD49" s="3132"/>
      <c r="AE49" s="3132"/>
      <c r="AF49" s="3132"/>
      <c r="AG49" s="3132"/>
      <c r="AH49" s="1256"/>
      <c r="AI49" s="1277"/>
      <c r="AJ49" s="1277"/>
      <c r="AK49" s="1277"/>
      <c r="AL49" s="1277"/>
      <c r="AM49" s="1257"/>
      <c r="AN49" s="1257"/>
      <c r="AO49" s="1257"/>
      <c r="AP49" s="1256"/>
      <c r="AQ49" s="1256"/>
      <c r="AR49" s="1257"/>
      <c r="AS49" s="1257"/>
      <c r="AT49" s="1257"/>
      <c r="AU49" s="1257"/>
      <c r="AV49" s="1278"/>
      <c r="AW49" s="1278"/>
    </row>
    <row r="50" spans="1:49" s="1260" customFormat="1" ht="11.25">
      <c r="A50" s="1283"/>
      <c r="B50" s="1284"/>
      <c r="C50" s="1291" t="s">
        <v>854</v>
      </c>
      <c r="D50" s="1308"/>
      <c r="E50" s="1291"/>
      <c r="F50" s="1291"/>
      <c r="G50" s="1291"/>
      <c r="K50" s="3120">
        <f>G19</f>
        <v>254</v>
      </c>
      <c r="L50" s="3120"/>
      <c r="M50" s="3120"/>
      <c r="N50" s="3142">
        <v>12</v>
      </c>
      <c r="O50" s="3142"/>
      <c r="P50" s="3142"/>
      <c r="Q50" s="3122">
        <f>K50*N50</f>
        <v>3048</v>
      </c>
      <c r="R50" s="3122"/>
      <c r="S50" s="3122"/>
      <c r="T50" s="3123" t="s">
        <v>62</v>
      </c>
      <c r="U50" s="3123"/>
      <c r="V50" s="3123"/>
      <c r="W50" s="3118">
        <v>10000</v>
      </c>
      <c r="X50" s="3118"/>
      <c r="Y50" s="3118"/>
      <c r="Z50" s="3118"/>
      <c r="AA50" s="3118"/>
      <c r="AB50" s="3124">
        <f>Q50*W50</f>
        <v>30480000</v>
      </c>
      <c r="AC50" s="3124"/>
      <c r="AD50" s="3124"/>
      <c r="AE50" s="3124"/>
      <c r="AF50" s="3124"/>
      <c r="AG50" s="3124"/>
      <c r="AH50" s="1283"/>
      <c r="AI50" s="3125">
        <v>1943113</v>
      </c>
      <c r="AJ50" s="3125"/>
      <c r="AK50" s="3125"/>
      <c r="AL50" s="3125"/>
      <c r="AM50" s="3125"/>
      <c r="AN50" s="3192">
        <f>AI50/K50</f>
        <v>7650.0511811023625</v>
      </c>
      <c r="AO50" s="3192"/>
      <c r="AP50" s="3192"/>
      <c r="AQ50" s="3192"/>
      <c r="AR50" s="1257"/>
      <c r="AS50" s="1257"/>
      <c r="AT50" s="1257"/>
      <c r="AU50" s="1257"/>
      <c r="AV50" s="1278"/>
      <c r="AW50" s="1278"/>
    </row>
    <row r="51" spans="1:49" s="1260" customFormat="1" ht="11.25">
      <c r="A51" s="1293"/>
      <c r="B51" s="1294"/>
      <c r="C51" s="1295" t="s">
        <v>678</v>
      </c>
      <c r="D51" s="1309"/>
      <c r="E51" s="1295"/>
      <c r="F51" s="1295"/>
      <c r="G51" s="1295"/>
      <c r="H51" s="1295"/>
      <c r="I51" s="1295"/>
      <c r="J51" s="1295"/>
      <c r="K51" s="1295"/>
      <c r="L51" s="1295"/>
      <c r="M51" s="1295"/>
      <c r="N51" s="1297"/>
      <c r="O51" s="1297"/>
      <c r="P51" s="1298"/>
      <c r="Q51" s="3197">
        <v>1</v>
      </c>
      <c r="R51" s="3197"/>
      <c r="S51" s="3197"/>
      <c r="T51" s="3198" t="s">
        <v>63</v>
      </c>
      <c r="U51" s="3198"/>
      <c r="V51" s="3198"/>
      <c r="W51" s="3203">
        <f>ROUNDUP(2.5%*SUM(AB50),-3)</f>
        <v>762000</v>
      </c>
      <c r="X51" s="3204"/>
      <c r="Y51" s="3204"/>
      <c r="Z51" s="3204"/>
      <c r="AA51" s="3205"/>
      <c r="AB51" s="3199">
        <f>Q51*W51</f>
        <v>762000</v>
      </c>
      <c r="AC51" s="3199"/>
      <c r="AD51" s="3199"/>
      <c r="AE51" s="3199"/>
      <c r="AF51" s="3199"/>
      <c r="AG51" s="3199"/>
      <c r="AH51" s="1256"/>
      <c r="AI51" s="1257"/>
      <c r="AJ51" s="1257"/>
      <c r="AK51" s="1257"/>
      <c r="AL51" s="1257"/>
      <c r="AM51" s="1257"/>
      <c r="AN51" s="1257"/>
      <c r="AO51" s="1257"/>
      <c r="AP51" s="1256"/>
      <c r="AQ51" s="1256"/>
      <c r="AR51" s="1257"/>
      <c r="AS51" s="1257"/>
      <c r="AT51" s="1257"/>
      <c r="AU51" s="1257"/>
      <c r="AV51" s="1278"/>
      <c r="AW51" s="1278"/>
    </row>
    <row r="52" spans="1:49" s="1260" customFormat="1" ht="11.25">
      <c r="A52" s="1300" t="s">
        <v>855</v>
      </c>
      <c r="B52" s="3129" t="s">
        <v>856</v>
      </c>
      <c r="C52" s="3129"/>
      <c r="D52" s="3129"/>
      <c r="E52" s="3129"/>
      <c r="F52" s="3129"/>
      <c r="G52" s="3129"/>
      <c r="H52" s="3129"/>
      <c r="I52" s="3129"/>
      <c r="J52" s="3129"/>
      <c r="K52" s="3129"/>
      <c r="L52" s="3129"/>
      <c r="M52" s="3129"/>
      <c r="N52" s="3129"/>
      <c r="O52" s="3129"/>
      <c r="P52" s="3129"/>
      <c r="Q52" s="3184"/>
      <c r="R52" s="3184"/>
      <c r="S52" s="3184"/>
      <c r="T52" s="3131"/>
      <c r="U52" s="3131"/>
      <c r="V52" s="3131"/>
      <c r="W52" s="3132"/>
      <c r="X52" s="3132"/>
      <c r="Y52" s="3132"/>
      <c r="Z52" s="3132"/>
      <c r="AA52" s="3132"/>
      <c r="AB52" s="3132">
        <f>SUM(AB53:AG54)</f>
        <v>40615000</v>
      </c>
      <c r="AC52" s="3132"/>
      <c r="AD52" s="3132"/>
      <c r="AE52" s="3132"/>
      <c r="AF52" s="3132"/>
      <c r="AG52" s="3132"/>
      <c r="AH52" s="1256"/>
      <c r="AI52" s="1277"/>
      <c r="AJ52" s="1277"/>
      <c r="AK52" s="1277"/>
      <c r="AL52" s="1277"/>
      <c r="AM52" s="1257"/>
      <c r="AN52" s="1257"/>
      <c r="AO52" s="1257"/>
      <c r="AP52" s="1256"/>
      <c r="AQ52" s="1256"/>
      <c r="AR52" s="1257"/>
      <c r="AS52" s="1257"/>
      <c r="AT52" s="1257"/>
      <c r="AU52" s="1257"/>
      <c r="AV52" s="1278"/>
      <c r="AW52" s="1278"/>
    </row>
    <row r="53" spans="1:49" s="1260" customFormat="1" ht="11.25">
      <c r="A53" s="1283"/>
      <c r="B53" s="1284"/>
      <c r="C53" s="1291" t="s">
        <v>856</v>
      </c>
      <c r="D53" s="1308"/>
      <c r="E53" s="1291"/>
      <c r="F53" s="1291"/>
      <c r="G53" s="1291"/>
      <c r="K53" s="3120">
        <f>K50</f>
        <v>254</v>
      </c>
      <c r="L53" s="3120"/>
      <c r="M53" s="3120"/>
      <c r="N53" s="3142">
        <v>12</v>
      </c>
      <c r="O53" s="3142"/>
      <c r="P53" s="3142"/>
      <c r="Q53" s="3122">
        <f>K53*N53</f>
        <v>3048</v>
      </c>
      <c r="R53" s="3122"/>
      <c r="S53" s="3122"/>
      <c r="T53" s="3123" t="s">
        <v>62</v>
      </c>
      <c r="U53" s="3123"/>
      <c r="V53" s="3123"/>
      <c r="W53" s="3118">
        <v>13000</v>
      </c>
      <c r="X53" s="3118"/>
      <c r="Y53" s="3118"/>
      <c r="Z53" s="3118"/>
      <c r="AA53" s="3118"/>
      <c r="AB53" s="3124">
        <f>Q53*W53</f>
        <v>39624000</v>
      </c>
      <c r="AC53" s="3124"/>
      <c r="AD53" s="3124"/>
      <c r="AE53" s="3124"/>
      <c r="AF53" s="3124"/>
      <c r="AG53" s="3124"/>
      <c r="AH53" s="1283"/>
      <c r="AI53" s="3125">
        <v>2428916</v>
      </c>
      <c r="AJ53" s="3125"/>
      <c r="AK53" s="3125"/>
      <c r="AL53" s="3125"/>
      <c r="AM53" s="3125"/>
      <c r="AN53" s="3192">
        <f>AI53/K53</f>
        <v>9562.6614173228354</v>
      </c>
      <c r="AO53" s="3192"/>
      <c r="AP53" s="3192"/>
      <c r="AQ53" s="3192"/>
      <c r="AR53" s="1257"/>
      <c r="AS53" s="1257"/>
      <c r="AT53" s="1257"/>
      <c r="AU53" s="1257"/>
      <c r="AV53" s="1278"/>
      <c r="AW53" s="1278"/>
    </row>
    <row r="54" spans="1:49" s="1260" customFormat="1" ht="11.25">
      <c r="A54" s="1293"/>
      <c r="B54" s="1294"/>
      <c r="C54" s="1295" t="s">
        <v>678</v>
      </c>
      <c r="D54" s="1309"/>
      <c r="E54" s="1295"/>
      <c r="F54" s="1295"/>
      <c r="G54" s="1295"/>
      <c r="H54" s="1295"/>
      <c r="I54" s="1295"/>
      <c r="J54" s="1295"/>
      <c r="K54" s="1295"/>
      <c r="L54" s="1295"/>
      <c r="M54" s="1295"/>
      <c r="N54" s="1297"/>
      <c r="O54" s="1297"/>
      <c r="P54" s="1298"/>
      <c r="Q54" s="3197">
        <v>1</v>
      </c>
      <c r="R54" s="3197"/>
      <c r="S54" s="3197"/>
      <c r="T54" s="3198" t="s">
        <v>63</v>
      </c>
      <c r="U54" s="3198"/>
      <c r="V54" s="3198"/>
      <c r="W54" s="3139">
        <f>ROUNDUP(2.5%*SUM(AB53),-3)</f>
        <v>991000</v>
      </c>
      <c r="X54" s="3139"/>
      <c r="Y54" s="3139"/>
      <c r="Z54" s="3139"/>
      <c r="AA54" s="3139"/>
      <c r="AB54" s="3199">
        <f>Q54*W54</f>
        <v>991000</v>
      </c>
      <c r="AC54" s="3199"/>
      <c r="AD54" s="3199"/>
      <c r="AE54" s="3199"/>
      <c r="AF54" s="3199"/>
      <c r="AG54" s="3199"/>
      <c r="AH54" s="1256"/>
      <c r="AI54" s="1257"/>
      <c r="AJ54" s="1257"/>
      <c r="AK54" s="1257"/>
      <c r="AL54" s="1257"/>
      <c r="AM54" s="1257"/>
      <c r="AN54" s="1257"/>
      <c r="AO54" s="1257"/>
      <c r="AP54" s="1256"/>
      <c r="AQ54" s="1256"/>
      <c r="AR54" s="1257"/>
      <c r="AS54" s="1257"/>
      <c r="AT54" s="1257"/>
      <c r="AU54" s="1257"/>
      <c r="AV54" s="1278"/>
      <c r="AW54" s="1278"/>
    </row>
    <row r="55" spans="1:49" s="1260" customFormat="1" ht="11.25">
      <c r="A55" s="1300" t="s">
        <v>857</v>
      </c>
      <c r="B55" s="3129" t="s">
        <v>858</v>
      </c>
      <c r="C55" s="3129"/>
      <c r="D55" s="3129"/>
      <c r="E55" s="3129"/>
      <c r="F55" s="3129"/>
      <c r="G55" s="3129"/>
      <c r="H55" s="3129"/>
      <c r="I55" s="3129"/>
      <c r="J55" s="3129"/>
      <c r="K55" s="3129"/>
      <c r="L55" s="3129"/>
      <c r="M55" s="3129"/>
      <c r="N55" s="3129"/>
      <c r="O55" s="3129"/>
      <c r="P55" s="3129"/>
      <c r="Q55" s="3184"/>
      <c r="R55" s="3184"/>
      <c r="S55" s="3184"/>
      <c r="T55" s="3131"/>
      <c r="U55" s="3131"/>
      <c r="V55" s="3131"/>
      <c r="W55" s="3132"/>
      <c r="X55" s="3132"/>
      <c r="Y55" s="3132"/>
      <c r="Z55" s="3132"/>
      <c r="AA55" s="3132"/>
      <c r="AB55" s="3132">
        <f>SUM(AB56:AG57)</f>
        <v>338569063</v>
      </c>
      <c r="AC55" s="3132"/>
      <c r="AD55" s="3132"/>
      <c r="AE55" s="3132"/>
      <c r="AF55" s="3132"/>
      <c r="AG55" s="3132"/>
      <c r="AH55" s="1256"/>
      <c r="AI55" s="1277"/>
      <c r="AJ55" s="1277"/>
      <c r="AK55" s="1277"/>
      <c r="AL55" s="1277"/>
      <c r="AM55" s="1257"/>
      <c r="AN55" s="1257"/>
      <c r="AO55" s="1257"/>
      <c r="AP55" s="1256"/>
      <c r="AQ55" s="1256"/>
      <c r="AR55" s="1257"/>
      <c r="AS55" s="1257"/>
      <c r="AT55" s="1257"/>
      <c r="AU55" s="1257"/>
      <c r="AV55" s="1278"/>
      <c r="AW55" s="1278"/>
    </row>
    <row r="56" spans="1:49" s="1260" customFormat="1" ht="11.25">
      <c r="A56" s="1283"/>
      <c r="B56" s="1284"/>
      <c r="C56" s="1291" t="s">
        <v>859</v>
      </c>
      <c r="D56" s="1308"/>
      <c r="E56" s="1291"/>
      <c r="F56" s="1291"/>
      <c r="G56" s="1291"/>
      <c r="L56" s="3200">
        <f>K53</f>
        <v>254</v>
      </c>
      <c r="M56" s="3200"/>
      <c r="N56" s="3200"/>
      <c r="O56" s="3201">
        <v>12</v>
      </c>
      <c r="P56" s="3202"/>
      <c r="Q56" s="3122">
        <f>L56*O56</f>
        <v>3048</v>
      </c>
      <c r="R56" s="3122"/>
      <c r="S56" s="3122"/>
      <c r="T56" s="3123" t="s">
        <v>62</v>
      </c>
      <c r="U56" s="3123"/>
      <c r="V56" s="3123"/>
      <c r="W56" s="3118">
        <v>105000</v>
      </c>
      <c r="X56" s="3118"/>
      <c r="Y56" s="3118"/>
      <c r="Z56" s="3118"/>
      <c r="AA56" s="3118"/>
      <c r="AB56" s="3124">
        <f>Q56*W56</f>
        <v>320040000</v>
      </c>
      <c r="AC56" s="3124"/>
      <c r="AD56" s="3124"/>
      <c r="AE56" s="3124"/>
      <c r="AF56" s="3124"/>
      <c r="AG56" s="3124"/>
      <c r="AH56" s="1283"/>
      <c r="AI56" s="3125">
        <v>26302413</v>
      </c>
      <c r="AJ56" s="3125"/>
      <c r="AK56" s="3125"/>
      <c r="AL56" s="3125"/>
      <c r="AM56" s="3125"/>
      <c r="AN56" s="3192">
        <f>AI56/L56</f>
        <v>103552.80708661418</v>
      </c>
      <c r="AO56" s="3192"/>
      <c r="AP56" s="3192"/>
      <c r="AQ56" s="3192"/>
      <c r="AR56" s="1257"/>
      <c r="AS56" s="1257"/>
      <c r="AT56" s="1257"/>
      <c r="AU56" s="1257"/>
      <c r="AV56" s="1278"/>
      <c r="AW56" s="1278"/>
    </row>
    <row r="57" spans="1:49" s="1260" customFormat="1" ht="11.25">
      <c r="A57" s="1293"/>
      <c r="B57" s="1294"/>
      <c r="C57" s="1295" t="s">
        <v>678</v>
      </c>
      <c r="D57" s="1309"/>
      <c r="E57" s="1295"/>
      <c r="F57" s="1295"/>
      <c r="G57" s="1295"/>
      <c r="H57" s="1295"/>
      <c r="I57" s="1295"/>
      <c r="J57" s="1295"/>
      <c r="K57" s="1295"/>
      <c r="L57" s="1295"/>
      <c r="M57" s="1295"/>
      <c r="N57" s="1297"/>
      <c r="O57" s="1297"/>
      <c r="P57" s="1298"/>
      <c r="Q57" s="3197">
        <v>1</v>
      </c>
      <c r="R57" s="3197"/>
      <c r="S57" s="3197"/>
      <c r="T57" s="3198" t="s">
        <v>63</v>
      </c>
      <c r="U57" s="3198"/>
      <c r="V57" s="3198"/>
      <c r="W57" s="3139">
        <f>ROUNDUP(2.5%*SUM(AB56),-3)+10528063</f>
        <v>18529063</v>
      </c>
      <c r="X57" s="3139"/>
      <c r="Y57" s="3139"/>
      <c r="Z57" s="3139"/>
      <c r="AA57" s="3139"/>
      <c r="AB57" s="3199">
        <f>Q57*W57</f>
        <v>18529063</v>
      </c>
      <c r="AC57" s="3199"/>
      <c r="AD57" s="3199"/>
      <c r="AE57" s="3199"/>
      <c r="AF57" s="3199"/>
      <c r="AG57" s="3199"/>
      <c r="AH57" s="1256"/>
      <c r="AI57" s="1257"/>
      <c r="AJ57" s="1257"/>
      <c r="AK57" s="1257"/>
      <c r="AL57" s="1257"/>
      <c r="AM57" s="1257"/>
      <c r="AN57" s="1257"/>
      <c r="AO57" s="1257"/>
      <c r="AP57" s="1256"/>
      <c r="AQ57" s="1256"/>
      <c r="AR57" s="1257"/>
      <c r="AS57" s="1257"/>
      <c r="AT57" s="1257"/>
      <c r="AU57" s="1257"/>
      <c r="AV57" s="1278"/>
      <c r="AW57" s="1278"/>
    </row>
    <row r="58" spans="1:49" s="1260" customFormat="1">
      <c r="A58" s="1311" t="s">
        <v>695</v>
      </c>
      <c r="B58" s="3193" t="s">
        <v>696</v>
      </c>
      <c r="C58" s="3193"/>
      <c r="D58" s="3193"/>
      <c r="E58" s="3193"/>
      <c r="F58" s="3193"/>
      <c r="G58" s="3193"/>
      <c r="H58" s="3193"/>
      <c r="I58" s="3193"/>
      <c r="J58" s="3193"/>
      <c r="K58" s="3193"/>
      <c r="L58" s="3193"/>
      <c r="M58" s="3193"/>
      <c r="N58" s="3193"/>
      <c r="O58" s="3193"/>
      <c r="P58" s="3193"/>
      <c r="Q58" s="3194"/>
      <c r="R58" s="3194"/>
      <c r="S58" s="3194"/>
      <c r="T58" s="3195"/>
      <c r="U58" s="3195"/>
      <c r="V58" s="3195"/>
      <c r="W58" s="3196"/>
      <c r="X58" s="3196"/>
      <c r="Y58" s="3196"/>
      <c r="Z58" s="3196"/>
      <c r="AA58" s="3196"/>
      <c r="AB58" s="3108">
        <f>AB97+AB80+AB59</f>
        <v>10426380000</v>
      </c>
      <c r="AC58" s="3108"/>
      <c r="AD58" s="3108"/>
      <c r="AE58" s="3108"/>
      <c r="AF58" s="3108"/>
      <c r="AG58" s="3108"/>
      <c r="AH58" s="2198">
        <v>10426380000</v>
      </c>
      <c r="AI58" s="1257"/>
      <c r="AJ58" s="3125">
        <f>10426380000-AB58</f>
        <v>0</v>
      </c>
      <c r="AK58" s="3125"/>
      <c r="AL58" s="3125"/>
      <c r="AM58" s="3125"/>
      <c r="AN58" s="1257"/>
      <c r="AO58" s="1257"/>
      <c r="AP58" s="1256"/>
      <c r="AQ58" s="1256"/>
      <c r="AR58" s="1257"/>
      <c r="AS58" s="1257"/>
      <c r="AT58" s="1257"/>
      <c r="AU58" s="1257"/>
      <c r="AV58" s="1278"/>
      <c r="AW58" s="1278"/>
    </row>
    <row r="59" spans="1:49" s="1260" customFormat="1" ht="11.25">
      <c r="A59" s="1300" t="s">
        <v>697</v>
      </c>
      <c r="B59" s="1312" t="s">
        <v>698</v>
      </c>
      <c r="C59" s="1313"/>
      <c r="D59" s="1313"/>
      <c r="E59" s="1313"/>
      <c r="F59" s="1313"/>
      <c r="G59" s="1313"/>
      <c r="H59" s="1313"/>
      <c r="I59" s="1313"/>
      <c r="J59" s="1313"/>
      <c r="K59" s="1313"/>
      <c r="L59" s="1313"/>
      <c r="M59" s="1313"/>
      <c r="N59" s="1313"/>
      <c r="O59" s="1313"/>
      <c r="P59" s="1314"/>
      <c r="Q59" s="3184"/>
      <c r="R59" s="3184"/>
      <c r="S59" s="3184"/>
      <c r="T59" s="3185"/>
      <c r="U59" s="3186"/>
      <c r="V59" s="3187"/>
      <c r="W59" s="3188"/>
      <c r="X59" s="3189"/>
      <c r="Y59" s="3189"/>
      <c r="Z59" s="3189"/>
      <c r="AA59" s="3190"/>
      <c r="AB59" s="3191">
        <f>SUM(AB60:AG79)</f>
        <v>85260000</v>
      </c>
      <c r="AC59" s="3191"/>
      <c r="AD59" s="3191"/>
      <c r="AE59" s="3191"/>
      <c r="AF59" s="3191"/>
      <c r="AG59" s="3191"/>
      <c r="AH59" s="1315">
        <f>AB58-AH58</f>
        <v>0</v>
      </c>
      <c r="AI59" s="1257"/>
      <c r="AJ59" s="1257"/>
      <c r="AK59" s="1257"/>
      <c r="AL59" s="3192">
        <f>AJ58/12</f>
        <v>0</v>
      </c>
      <c r="AM59" s="3192"/>
      <c r="AN59" s="1257"/>
      <c r="AO59" s="1257"/>
      <c r="AP59" s="1256"/>
      <c r="AQ59" s="1256"/>
      <c r="AR59" s="1257"/>
      <c r="AS59" s="1257"/>
      <c r="AT59" s="1257"/>
      <c r="AU59" s="1257"/>
      <c r="AV59" s="1278"/>
      <c r="AW59" s="1278"/>
    </row>
    <row r="60" spans="1:49" s="1811" customFormat="1" ht="11.25">
      <c r="A60" s="2200"/>
      <c r="B60" s="2201"/>
      <c r="C60" s="2202" t="s">
        <v>1084</v>
      </c>
      <c r="D60" s="2203"/>
      <c r="E60" s="2203"/>
      <c r="F60" s="2203"/>
      <c r="G60" s="2203"/>
      <c r="H60" s="2203"/>
      <c r="I60" s="2203"/>
      <c r="J60" s="2203"/>
      <c r="K60" s="2203"/>
      <c r="L60" s="2203"/>
      <c r="M60" s="2203"/>
      <c r="N60" s="2203"/>
      <c r="O60" s="2203"/>
      <c r="P60" s="2204"/>
      <c r="Q60" s="3160"/>
      <c r="R60" s="3160"/>
      <c r="S60" s="3160"/>
      <c r="T60" s="3180" t="s">
        <v>62</v>
      </c>
      <c r="U60" s="3180"/>
      <c r="V60" s="3180"/>
      <c r="W60" s="3164">
        <v>2000000</v>
      </c>
      <c r="X60" s="3164"/>
      <c r="Y60" s="3164"/>
      <c r="Z60" s="3164"/>
      <c r="AA60" s="3164"/>
      <c r="AB60" s="3165">
        <f>Q60*W60</f>
        <v>0</v>
      </c>
      <c r="AC60" s="3165"/>
      <c r="AD60" s="3165"/>
      <c r="AE60" s="3165"/>
      <c r="AF60" s="3165"/>
      <c r="AG60" s="3165"/>
      <c r="AH60" s="1808">
        <f>AH59/24</f>
        <v>0</v>
      </c>
      <c r="AI60" s="1809"/>
      <c r="AJ60" s="1809"/>
      <c r="AK60" s="1809"/>
      <c r="AL60" s="1809"/>
      <c r="AM60" s="1809"/>
      <c r="AN60" s="1809"/>
      <c r="AO60" s="1809"/>
      <c r="AP60" s="1808"/>
      <c r="AQ60" s="1808"/>
      <c r="AR60" s="1809"/>
      <c r="AS60" s="1809"/>
      <c r="AT60" s="1809"/>
      <c r="AU60" s="1809"/>
      <c r="AV60" s="1810"/>
      <c r="AW60" s="1810"/>
    </row>
    <row r="61" spans="1:49" s="1811" customFormat="1" ht="11.25">
      <c r="A61" s="2200"/>
      <c r="B61" s="2201"/>
      <c r="C61" s="2202" t="s">
        <v>1085</v>
      </c>
      <c r="D61" s="2203"/>
      <c r="E61" s="2203"/>
      <c r="F61" s="2203"/>
      <c r="G61" s="2203"/>
      <c r="H61" s="2203"/>
      <c r="I61" s="2203"/>
      <c r="J61" s="2203"/>
      <c r="K61" s="2203"/>
      <c r="L61" s="2203"/>
      <c r="M61" s="2203"/>
      <c r="N61" s="2203"/>
      <c r="O61" s="2203"/>
      <c r="P61" s="2204"/>
      <c r="Q61" s="3160"/>
      <c r="R61" s="3160"/>
      <c r="S61" s="3160"/>
      <c r="T61" s="3180" t="s">
        <v>62</v>
      </c>
      <c r="U61" s="3180"/>
      <c r="V61" s="3180"/>
      <c r="W61" s="3164">
        <v>1000000</v>
      </c>
      <c r="X61" s="3164"/>
      <c r="Y61" s="3164"/>
      <c r="Z61" s="3164"/>
      <c r="AA61" s="3164"/>
      <c r="AB61" s="3165">
        <f>Q61*W61</f>
        <v>0</v>
      </c>
      <c r="AC61" s="3165"/>
      <c r="AD61" s="3165"/>
      <c r="AE61" s="3165"/>
      <c r="AF61" s="3165"/>
      <c r="AG61" s="3165"/>
      <c r="AH61" s="1808"/>
      <c r="AI61" s="1809"/>
      <c r="AJ61" s="1809"/>
      <c r="AK61" s="1809"/>
      <c r="AL61" s="1809"/>
      <c r="AM61" s="1809"/>
      <c r="AN61" s="1809"/>
      <c r="AO61" s="1809"/>
      <c r="AP61" s="1808"/>
      <c r="AQ61" s="1808"/>
      <c r="AR61" s="1809"/>
      <c r="AS61" s="1809"/>
      <c r="AT61" s="1809"/>
      <c r="AU61" s="1809"/>
      <c r="AV61" s="1810"/>
      <c r="AW61" s="1810"/>
    </row>
    <row r="62" spans="1:49" s="1811" customFormat="1" ht="11.25">
      <c r="A62" s="2200"/>
      <c r="B62" s="2201"/>
      <c r="C62" s="2202" t="s">
        <v>699</v>
      </c>
      <c r="D62" s="2203"/>
      <c r="E62" s="2203"/>
      <c r="F62" s="2203"/>
      <c r="G62" s="2203"/>
      <c r="H62" s="2203"/>
      <c r="I62" s="2203"/>
      <c r="J62" s="2203"/>
      <c r="K62" s="2203"/>
      <c r="L62" s="2203"/>
      <c r="M62" s="2203"/>
      <c r="N62" s="2203"/>
      <c r="O62" s="2203"/>
      <c r="P62" s="2204"/>
      <c r="Q62" s="3160"/>
      <c r="R62" s="3160"/>
      <c r="S62" s="3160"/>
      <c r="T62" s="3161"/>
      <c r="U62" s="3162"/>
      <c r="V62" s="3163"/>
      <c r="W62" s="3181"/>
      <c r="X62" s="3182"/>
      <c r="Y62" s="3182"/>
      <c r="Z62" s="3182"/>
      <c r="AA62" s="3183"/>
      <c r="AB62" s="3181"/>
      <c r="AC62" s="3182"/>
      <c r="AD62" s="3182"/>
      <c r="AE62" s="3182"/>
      <c r="AF62" s="3182"/>
      <c r="AG62" s="3183"/>
      <c r="AH62" s="1808"/>
      <c r="AI62" s="1809"/>
      <c r="AJ62" s="1809"/>
      <c r="AK62" s="1809"/>
      <c r="AL62" s="1809"/>
      <c r="AM62" s="1809"/>
      <c r="AN62" s="1809"/>
      <c r="AO62" s="1809"/>
      <c r="AP62" s="1808"/>
      <c r="AQ62" s="1808"/>
      <c r="AR62" s="1809"/>
      <c r="AS62" s="1809"/>
      <c r="AT62" s="1809"/>
      <c r="AU62" s="1809"/>
      <c r="AV62" s="1810"/>
      <c r="AW62" s="1810"/>
    </row>
    <row r="63" spans="1:49" s="1811" customFormat="1" ht="11.25">
      <c r="A63" s="2200"/>
      <c r="B63" s="2201"/>
      <c r="C63" s="2202" t="s">
        <v>700</v>
      </c>
      <c r="D63" s="2203"/>
      <c r="E63" s="2203"/>
      <c r="F63" s="2203"/>
      <c r="G63" s="2203"/>
      <c r="H63" s="2203"/>
      <c r="I63" s="2203"/>
      <c r="J63" s="2203"/>
      <c r="K63" s="2203"/>
      <c r="L63" s="2203"/>
      <c r="M63" s="2203"/>
      <c r="N63" s="2203"/>
      <c r="O63" s="2203"/>
      <c r="P63" s="2204"/>
      <c r="Q63" s="3160"/>
      <c r="R63" s="3160"/>
      <c r="S63" s="3160"/>
      <c r="T63" s="3161" t="s">
        <v>62</v>
      </c>
      <c r="U63" s="3162"/>
      <c r="V63" s="3163"/>
      <c r="W63" s="3164">
        <v>2200000</v>
      </c>
      <c r="X63" s="3164"/>
      <c r="Y63" s="3164"/>
      <c r="Z63" s="3164"/>
      <c r="AA63" s="3164"/>
      <c r="AB63" s="3165">
        <f t="shared" ref="AB63:AB79" si="0">Q63*W63</f>
        <v>0</v>
      </c>
      <c r="AC63" s="3165"/>
      <c r="AD63" s="3165"/>
      <c r="AE63" s="3165"/>
      <c r="AF63" s="3165"/>
      <c r="AG63" s="3165"/>
      <c r="AH63" s="1808"/>
      <c r="AI63" s="1809"/>
      <c r="AJ63" s="1809"/>
      <c r="AK63" s="1809"/>
      <c r="AL63" s="1809"/>
      <c r="AM63" s="1809"/>
      <c r="AN63" s="1809"/>
      <c r="AO63" s="1809"/>
      <c r="AP63" s="1808"/>
      <c r="AQ63" s="1808"/>
      <c r="AR63" s="1809"/>
      <c r="AS63" s="1809"/>
      <c r="AT63" s="1809"/>
      <c r="AU63" s="1809"/>
      <c r="AV63" s="1810"/>
      <c r="AW63" s="1810"/>
    </row>
    <row r="64" spans="1:49" s="1811" customFormat="1" ht="11.25">
      <c r="A64" s="2200"/>
      <c r="B64" s="2201"/>
      <c r="C64" s="2202" t="s">
        <v>701</v>
      </c>
      <c r="D64" s="2203"/>
      <c r="E64" s="2203"/>
      <c r="F64" s="2203"/>
      <c r="G64" s="2203"/>
      <c r="H64" s="2203"/>
      <c r="I64" s="2203"/>
      <c r="J64" s="2203"/>
      <c r="K64" s="2203"/>
      <c r="L64" s="2203"/>
      <c r="M64" s="2203"/>
      <c r="N64" s="2203"/>
      <c r="O64" s="2203"/>
      <c r="P64" s="2204"/>
      <c r="Q64" s="3160"/>
      <c r="R64" s="3160"/>
      <c r="S64" s="3160"/>
      <c r="T64" s="3161" t="s">
        <v>62</v>
      </c>
      <c r="U64" s="3162"/>
      <c r="V64" s="3163"/>
      <c r="W64" s="3164">
        <v>2000000</v>
      </c>
      <c r="X64" s="3164"/>
      <c r="Y64" s="3164"/>
      <c r="Z64" s="3164"/>
      <c r="AA64" s="3164"/>
      <c r="AB64" s="3165">
        <f t="shared" si="0"/>
        <v>0</v>
      </c>
      <c r="AC64" s="3165"/>
      <c r="AD64" s="3165"/>
      <c r="AE64" s="3165"/>
      <c r="AF64" s="3165"/>
      <c r="AG64" s="3165"/>
      <c r="AH64" s="1808"/>
      <c r="AI64" s="1809"/>
      <c r="AJ64" s="1809"/>
      <c r="AK64" s="1809"/>
      <c r="AL64" s="1809"/>
      <c r="AM64" s="1809"/>
      <c r="AN64" s="1809"/>
      <c r="AO64" s="1809"/>
      <c r="AP64" s="1808"/>
      <c r="AQ64" s="1808"/>
      <c r="AR64" s="1809"/>
      <c r="AS64" s="1809"/>
      <c r="AT64" s="1809"/>
      <c r="AU64" s="1809"/>
      <c r="AV64" s="1810"/>
      <c r="AW64" s="1810"/>
    </row>
    <row r="65" spans="1:49" s="1811" customFormat="1" ht="11.25">
      <c r="A65" s="2200"/>
      <c r="B65" s="2201"/>
      <c r="C65" s="2202" t="s">
        <v>702</v>
      </c>
      <c r="D65" s="2203"/>
      <c r="E65" s="2203"/>
      <c r="F65" s="2203"/>
      <c r="G65" s="2203"/>
      <c r="H65" s="2203"/>
      <c r="I65" s="2203"/>
      <c r="J65" s="2203"/>
      <c r="K65" s="2203"/>
      <c r="L65" s="2203"/>
      <c r="M65" s="2203"/>
      <c r="N65" s="2203"/>
      <c r="O65" s="2203"/>
      <c r="P65" s="2204"/>
      <c r="Q65" s="3160"/>
      <c r="R65" s="3160"/>
      <c r="S65" s="3160"/>
      <c r="T65" s="3161" t="s">
        <v>62</v>
      </c>
      <c r="U65" s="3162"/>
      <c r="V65" s="3163"/>
      <c r="W65" s="3164">
        <v>1900000</v>
      </c>
      <c r="X65" s="3164"/>
      <c r="Y65" s="3164"/>
      <c r="Z65" s="3164"/>
      <c r="AA65" s="3164"/>
      <c r="AB65" s="3165">
        <f t="shared" si="0"/>
        <v>0</v>
      </c>
      <c r="AC65" s="3165"/>
      <c r="AD65" s="3165"/>
      <c r="AE65" s="3165"/>
      <c r="AF65" s="3165"/>
      <c r="AG65" s="3165"/>
      <c r="AH65" s="1808"/>
      <c r="AI65" s="1809"/>
      <c r="AJ65" s="1809"/>
      <c r="AK65" s="1809"/>
      <c r="AL65" s="1809"/>
      <c r="AM65" s="1809"/>
      <c r="AN65" s="1809"/>
      <c r="AO65" s="1809"/>
      <c r="AP65" s="1808"/>
      <c r="AQ65" s="1808"/>
      <c r="AR65" s="1809"/>
      <c r="AS65" s="1809"/>
      <c r="AT65" s="1809"/>
      <c r="AU65" s="1809"/>
      <c r="AV65" s="1810"/>
      <c r="AW65" s="1810"/>
    </row>
    <row r="66" spans="1:49" s="1811" customFormat="1" ht="21.75" customHeight="1">
      <c r="A66" s="2200"/>
      <c r="B66" s="2201"/>
      <c r="C66" s="3172" t="s">
        <v>459</v>
      </c>
      <c r="D66" s="3172"/>
      <c r="E66" s="3172"/>
      <c r="F66" s="3172"/>
      <c r="G66" s="3172"/>
      <c r="H66" s="3172"/>
      <c r="I66" s="3172"/>
      <c r="J66" s="3172"/>
      <c r="K66" s="3172"/>
      <c r="L66" s="3172"/>
      <c r="M66" s="3172"/>
      <c r="N66" s="3172"/>
      <c r="O66" s="3172"/>
      <c r="P66" s="3173"/>
      <c r="Q66" s="3174"/>
      <c r="R66" s="3174"/>
      <c r="S66" s="3174"/>
      <c r="T66" s="3175" t="s">
        <v>62</v>
      </c>
      <c r="U66" s="3176"/>
      <c r="V66" s="3177"/>
      <c r="W66" s="3178">
        <v>2200000</v>
      </c>
      <c r="X66" s="3178"/>
      <c r="Y66" s="3178"/>
      <c r="Z66" s="3178"/>
      <c r="AA66" s="3178"/>
      <c r="AB66" s="3179">
        <f t="shared" si="0"/>
        <v>0</v>
      </c>
      <c r="AC66" s="3179"/>
      <c r="AD66" s="3179"/>
      <c r="AE66" s="3179"/>
      <c r="AF66" s="3179"/>
      <c r="AG66" s="3179"/>
      <c r="AH66" s="1808"/>
      <c r="AI66" s="1809"/>
      <c r="AJ66" s="1809"/>
      <c r="AK66" s="1809"/>
      <c r="AL66" s="1809"/>
      <c r="AM66" s="1809"/>
      <c r="AN66" s="1809"/>
      <c r="AO66" s="1809"/>
      <c r="AP66" s="1808"/>
      <c r="AQ66" s="1808"/>
      <c r="AR66" s="1809"/>
      <c r="AS66" s="1809"/>
      <c r="AT66" s="1809"/>
      <c r="AU66" s="1809"/>
      <c r="AV66" s="1810"/>
      <c r="AW66" s="1810"/>
    </row>
    <row r="67" spans="1:49" s="1811" customFormat="1" ht="11.25">
      <c r="A67" s="2200"/>
      <c r="B67" s="2201"/>
      <c r="C67" s="2202" t="s">
        <v>1698</v>
      </c>
      <c r="D67" s="2203"/>
      <c r="E67" s="2203"/>
      <c r="F67" s="2203"/>
      <c r="G67" s="2203"/>
      <c r="H67" s="2203"/>
      <c r="I67" s="2203"/>
      <c r="J67" s="2203"/>
      <c r="K67" s="2203"/>
      <c r="L67" s="2203"/>
      <c r="M67" s="2203"/>
      <c r="N67" s="2203"/>
      <c r="O67" s="2203"/>
      <c r="P67" s="2204"/>
      <c r="Q67" s="3160"/>
      <c r="R67" s="3160"/>
      <c r="S67" s="3160"/>
      <c r="T67" s="3161" t="s">
        <v>62</v>
      </c>
      <c r="U67" s="3162"/>
      <c r="V67" s="3163"/>
      <c r="W67" s="3164">
        <v>1800000</v>
      </c>
      <c r="X67" s="3164"/>
      <c r="Y67" s="3164"/>
      <c r="Z67" s="3164"/>
      <c r="AA67" s="3164"/>
      <c r="AB67" s="3165">
        <f>Q67*W67</f>
        <v>0</v>
      </c>
      <c r="AC67" s="3165"/>
      <c r="AD67" s="3165"/>
      <c r="AE67" s="3165"/>
      <c r="AF67" s="3165"/>
      <c r="AG67" s="3165"/>
      <c r="AH67" s="1808"/>
      <c r="AI67" s="1809"/>
      <c r="AJ67" s="1809"/>
      <c r="AK67" s="1809"/>
      <c r="AL67" s="1809"/>
      <c r="AM67" s="1809"/>
      <c r="AN67" s="1809"/>
      <c r="AO67" s="1809"/>
      <c r="AP67" s="1808"/>
      <c r="AQ67" s="1808"/>
      <c r="AR67" s="1809"/>
      <c r="AS67" s="1809"/>
      <c r="AT67" s="1809"/>
      <c r="AU67" s="1809"/>
      <c r="AV67" s="1810"/>
      <c r="AW67" s="1810"/>
    </row>
    <row r="68" spans="1:49" s="1811" customFormat="1" ht="11.25">
      <c r="A68" s="2200"/>
      <c r="B68" s="2201"/>
      <c r="C68" s="2202" t="s">
        <v>703</v>
      </c>
      <c r="D68" s="2203"/>
      <c r="E68" s="2203"/>
      <c r="F68" s="2203"/>
      <c r="G68" s="2203"/>
      <c r="H68" s="2203"/>
      <c r="I68" s="2203"/>
      <c r="J68" s="2203"/>
      <c r="K68" s="2203"/>
      <c r="L68" s="2203"/>
      <c r="M68" s="2203"/>
      <c r="N68" s="2203"/>
      <c r="O68" s="2203"/>
      <c r="P68" s="2204"/>
      <c r="Q68" s="3160"/>
      <c r="R68" s="3160"/>
      <c r="S68" s="3160"/>
      <c r="T68" s="3161" t="s">
        <v>62</v>
      </c>
      <c r="U68" s="3162"/>
      <c r="V68" s="3163"/>
      <c r="W68" s="3164">
        <v>2250000</v>
      </c>
      <c r="X68" s="3164"/>
      <c r="Y68" s="3164"/>
      <c r="Z68" s="3164"/>
      <c r="AA68" s="3164"/>
      <c r="AB68" s="3165">
        <f t="shared" si="0"/>
        <v>0</v>
      </c>
      <c r="AC68" s="3165"/>
      <c r="AD68" s="3165"/>
      <c r="AE68" s="3165"/>
      <c r="AF68" s="3165"/>
      <c r="AG68" s="3165"/>
      <c r="AH68" s="1808"/>
      <c r="AI68" s="1809"/>
      <c r="AJ68" s="1809"/>
      <c r="AK68" s="1809"/>
      <c r="AL68" s="1809"/>
      <c r="AM68" s="1809"/>
      <c r="AN68" s="1809"/>
      <c r="AO68" s="1809"/>
      <c r="AP68" s="1808"/>
      <c r="AQ68" s="1808"/>
      <c r="AR68" s="1809"/>
      <c r="AS68" s="1809"/>
      <c r="AT68" s="1809"/>
      <c r="AU68" s="1809"/>
      <c r="AV68" s="1810"/>
      <c r="AW68" s="1810"/>
    </row>
    <row r="69" spans="1:49" s="1811" customFormat="1" ht="11.25">
      <c r="A69" s="2200"/>
      <c r="B69" s="2201"/>
      <c r="C69" s="2202" t="s">
        <v>704</v>
      </c>
      <c r="D69" s="2203"/>
      <c r="E69" s="2203"/>
      <c r="F69" s="2203"/>
      <c r="G69" s="2203"/>
      <c r="H69" s="2203"/>
      <c r="I69" s="2203"/>
      <c r="J69" s="2203"/>
      <c r="K69" s="2203"/>
      <c r="L69" s="2203"/>
      <c r="M69" s="2203"/>
      <c r="N69" s="2203"/>
      <c r="O69" s="2203"/>
      <c r="P69" s="2204"/>
      <c r="Q69" s="3160"/>
      <c r="R69" s="3160"/>
      <c r="S69" s="3160"/>
      <c r="T69" s="3161" t="s">
        <v>62</v>
      </c>
      <c r="U69" s="3162"/>
      <c r="V69" s="3163"/>
      <c r="W69" s="3164">
        <v>1300000</v>
      </c>
      <c r="X69" s="3164"/>
      <c r="Y69" s="3164"/>
      <c r="Z69" s="3164"/>
      <c r="AA69" s="3164"/>
      <c r="AB69" s="3165">
        <f t="shared" si="0"/>
        <v>0</v>
      </c>
      <c r="AC69" s="3165"/>
      <c r="AD69" s="3165"/>
      <c r="AE69" s="3165"/>
      <c r="AF69" s="3165"/>
      <c r="AG69" s="3165"/>
      <c r="AH69" s="1808"/>
      <c r="AI69" s="1809"/>
      <c r="AJ69" s="1809"/>
      <c r="AK69" s="1809"/>
      <c r="AL69" s="1809"/>
      <c r="AM69" s="1809"/>
      <c r="AN69" s="1809"/>
      <c r="AO69" s="1809"/>
      <c r="AP69" s="1808"/>
      <c r="AQ69" s="1808"/>
      <c r="AR69" s="1809"/>
      <c r="AS69" s="1809"/>
      <c r="AT69" s="1809"/>
      <c r="AU69" s="1809"/>
      <c r="AV69" s="1810"/>
      <c r="AW69" s="1810"/>
    </row>
    <row r="70" spans="1:49" s="1811" customFormat="1" ht="11.25">
      <c r="A70" s="2200"/>
      <c r="B70" s="2201"/>
      <c r="C70" s="2202" t="s">
        <v>705</v>
      </c>
      <c r="D70" s="2203"/>
      <c r="E70" s="2203"/>
      <c r="F70" s="2203"/>
      <c r="G70" s="2203"/>
      <c r="H70" s="2203"/>
      <c r="I70" s="2203"/>
      <c r="J70" s="2203"/>
      <c r="K70" s="2203"/>
      <c r="L70" s="2203"/>
      <c r="M70" s="2203"/>
      <c r="N70" s="2203"/>
      <c r="O70" s="2203"/>
      <c r="P70" s="2204"/>
      <c r="Q70" s="3160"/>
      <c r="R70" s="3160"/>
      <c r="S70" s="3160"/>
      <c r="T70" s="3161" t="s">
        <v>62</v>
      </c>
      <c r="U70" s="3162"/>
      <c r="V70" s="3163"/>
      <c r="W70" s="3164">
        <v>1300000</v>
      </c>
      <c r="X70" s="3164"/>
      <c r="Y70" s="3164"/>
      <c r="Z70" s="3164"/>
      <c r="AA70" s="3164"/>
      <c r="AB70" s="3165">
        <f t="shared" si="0"/>
        <v>0</v>
      </c>
      <c r="AC70" s="3165"/>
      <c r="AD70" s="3165"/>
      <c r="AE70" s="3165"/>
      <c r="AF70" s="3165"/>
      <c r="AG70" s="3165"/>
      <c r="AH70" s="1808"/>
      <c r="AI70" s="1809"/>
      <c r="AJ70" s="1809"/>
      <c r="AK70" s="1809"/>
      <c r="AL70" s="1809"/>
      <c r="AM70" s="1809"/>
      <c r="AN70" s="1809"/>
      <c r="AO70" s="1809"/>
      <c r="AP70" s="1808"/>
      <c r="AQ70" s="1808"/>
      <c r="AR70" s="1809"/>
      <c r="AS70" s="1809"/>
      <c r="AT70" s="1809"/>
      <c r="AU70" s="1809"/>
      <c r="AV70" s="1810"/>
      <c r="AW70" s="1810"/>
    </row>
    <row r="71" spans="1:49" s="1811" customFormat="1" ht="11.25">
      <c r="A71" s="2200"/>
      <c r="B71" s="2201"/>
      <c r="C71" s="2202" t="s">
        <v>706</v>
      </c>
      <c r="D71" s="2203"/>
      <c r="E71" s="2203"/>
      <c r="F71" s="2203"/>
      <c r="G71" s="2203"/>
      <c r="H71" s="2203"/>
      <c r="I71" s="2203"/>
      <c r="J71" s="2203"/>
      <c r="K71" s="2203"/>
      <c r="L71" s="2203"/>
      <c r="M71" s="2203"/>
      <c r="N71" s="2203"/>
      <c r="O71" s="2203"/>
      <c r="P71" s="2204"/>
      <c r="Q71" s="3160"/>
      <c r="R71" s="3160"/>
      <c r="S71" s="3160"/>
      <c r="T71" s="3161" t="s">
        <v>62</v>
      </c>
      <c r="U71" s="3162"/>
      <c r="V71" s="3163"/>
      <c r="W71" s="3164">
        <v>1300000</v>
      </c>
      <c r="X71" s="3164"/>
      <c r="Y71" s="3164"/>
      <c r="Z71" s="3164"/>
      <c r="AA71" s="3164"/>
      <c r="AB71" s="3165">
        <f t="shared" si="0"/>
        <v>0</v>
      </c>
      <c r="AC71" s="3165"/>
      <c r="AD71" s="3165"/>
      <c r="AE71" s="3165"/>
      <c r="AF71" s="3165"/>
      <c r="AG71" s="3165"/>
      <c r="AH71" s="1808"/>
      <c r="AI71" s="1809"/>
      <c r="AJ71" s="1809"/>
      <c r="AK71" s="1809"/>
      <c r="AL71" s="1809"/>
      <c r="AM71" s="1809"/>
      <c r="AN71" s="1809"/>
      <c r="AO71" s="1809"/>
      <c r="AP71" s="1808"/>
      <c r="AQ71" s="1808"/>
      <c r="AR71" s="1809"/>
      <c r="AS71" s="1809"/>
      <c r="AT71" s="1809"/>
      <c r="AU71" s="1809"/>
      <c r="AV71" s="1810"/>
      <c r="AW71" s="1810"/>
    </row>
    <row r="72" spans="1:49" s="1811" customFormat="1" ht="11.25">
      <c r="A72" s="2200"/>
      <c r="B72" s="2201"/>
      <c r="C72" s="2202" t="s">
        <v>707</v>
      </c>
      <c r="D72" s="2203"/>
      <c r="E72" s="2203"/>
      <c r="F72" s="2203"/>
      <c r="G72" s="2203"/>
      <c r="H72" s="2203"/>
      <c r="I72" s="2203"/>
      <c r="J72" s="2203"/>
      <c r="K72" s="2203"/>
      <c r="L72" s="2203"/>
      <c r="M72" s="2203"/>
      <c r="N72" s="2203"/>
      <c r="O72" s="2203"/>
      <c r="P72" s="2204"/>
      <c r="Q72" s="3160"/>
      <c r="R72" s="3160"/>
      <c r="S72" s="3160"/>
      <c r="T72" s="3161" t="s">
        <v>62</v>
      </c>
      <c r="U72" s="3162"/>
      <c r="V72" s="3163"/>
      <c r="W72" s="3164">
        <v>1125000</v>
      </c>
      <c r="X72" s="3164"/>
      <c r="Y72" s="3164"/>
      <c r="Z72" s="3164"/>
      <c r="AA72" s="3164"/>
      <c r="AB72" s="3165">
        <f t="shared" si="0"/>
        <v>0</v>
      </c>
      <c r="AC72" s="3165"/>
      <c r="AD72" s="3165"/>
      <c r="AE72" s="3165"/>
      <c r="AF72" s="3165"/>
      <c r="AG72" s="3165"/>
      <c r="AH72" s="1808"/>
      <c r="AI72" s="1809"/>
      <c r="AJ72" s="1809"/>
      <c r="AK72" s="1809"/>
      <c r="AL72" s="1809"/>
      <c r="AM72" s="1809"/>
      <c r="AN72" s="1809"/>
      <c r="AO72" s="1809"/>
      <c r="AP72" s="1808"/>
      <c r="AQ72" s="1808"/>
      <c r="AR72" s="1809"/>
      <c r="AS72" s="1809"/>
      <c r="AT72" s="1809"/>
      <c r="AU72" s="1809"/>
      <c r="AV72" s="1810"/>
      <c r="AW72" s="1810"/>
    </row>
    <row r="73" spans="1:49" s="1811" customFormat="1" ht="11.25">
      <c r="A73" s="2200"/>
      <c r="B73" s="2201"/>
      <c r="C73" s="2202" t="s">
        <v>708</v>
      </c>
      <c r="D73" s="2203"/>
      <c r="E73" s="2203"/>
      <c r="F73" s="2203"/>
      <c r="G73" s="2203"/>
      <c r="H73" s="2203"/>
      <c r="I73" s="2203"/>
      <c r="J73" s="2203"/>
      <c r="K73" s="2203"/>
      <c r="L73" s="2203"/>
      <c r="M73" s="2203"/>
      <c r="N73" s="2203"/>
      <c r="O73" s="2203"/>
      <c r="P73" s="2204"/>
      <c r="Q73" s="3160"/>
      <c r="R73" s="3160"/>
      <c r="S73" s="3160"/>
      <c r="T73" s="3161" t="s">
        <v>62</v>
      </c>
      <c r="U73" s="3162"/>
      <c r="V73" s="3163"/>
      <c r="W73" s="3164">
        <v>750000</v>
      </c>
      <c r="X73" s="3164"/>
      <c r="Y73" s="3164"/>
      <c r="Z73" s="3164"/>
      <c r="AA73" s="3164"/>
      <c r="AB73" s="3165">
        <f t="shared" si="0"/>
        <v>0</v>
      </c>
      <c r="AC73" s="3165"/>
      <c r="AD73" s="3165"/>
      <c r="AE73" s="3165"/>
      <c r="AF73" s="3165"/>
      <c r="AG73" s="3165"/>
      <c r="AH73" s="1808"/>
      <c r="AI73" s="1809"/>
      <c r="AJ73" s="1809"/>
      <c r="AK73" s="1809"/>
      <c r="AL73" s="1809"/>
      <c r="AM73" s="1809"/>
      <c r="AN73" s="1809"/>
      <c r="AO73" s="1809"/>
      <c r="AP73" s="1808"/>
      <c r="AQ73" s="1808"/>
      <c r="AR73" s="1809"/>
      <c r="AS73" s="1809"/>
      <c r="AT73" s="1809"/>
      <c r="AU73" s="1809"/>
      <c r="AV73" s="1810"/>
      <c r="AW73" s="1810"/>
    </row>
    <row r="74" spans="1:49" s="1811" customFormat="1" ht="11.25">
      <c r="A74" s="2200"/>
      <c r="B74" s="2201"/>
      <c r="C74" s="2202" t="s">
        <v>709</v>
      </c>
      <c r="D74" s="2203"/>
      <c r="E74" s="2203"/>
      <c r="F74" s="2203"/>
      <c r="G74" s="2203"/>
      <c r="H74" s="2203"/>
      <c r="I74" s="2203"/>
      <c r="J74" s="2203"/>
      <c r="K74" s="2203"/>
      <c r="L74" s="2203"/>
      <c r="M74" s="2203"/>
      <c r="N74" s="2203"/>
      <c r="O74" s="2203"/>
      <c r="P74" s="2204"/>
      <c r="Q74" s="3160"/>
      <c r="R74" s="3160"/>
      <c r="S74" s="3160"/>
      <c r="T74" s="3161" t="s">
        <v>62</v>
      </c>
      <c r="U74" s="3162"/>
      <c r="V74" s="3163"/>
      <c r="W74" s="3164">
        <v>750000</v>
      </c>
      <c r="X74" s="3164"/>
      <c r="Y74" s="3164"/>
      <c r="Z74" s="3164"/>
      <c r="AA74" s="3164"/>
      <c r="AB74" s="3165">
        <f t="shared" si="0"/>
        <v>0</v>
      </c>
      <c r="AC74" s="3165"/>
      <c r="AD74" s="3165"/>
      <c r="AE74" s="3165"/>
      <c r="AF74" s="3165"/>
      <c r="AG74" s="3165"/>
      <c r="AH74" s="1808"/>
      <c r="AI74" s="1809"/>
      <c r="AJ74" s="1809"/>
      <c r="AK74" s="1809"/>
      <c r="AL74" s="1809"/>
      <c r="AM74" s="1809"/>
      <c r="AN74" s="1809"/>
      <c r="AO74" s="1809"/>
      <c r="AP74" s="1808"/>
      <c r="AQ74" s="1808"/>
      <c r="AR74" s="1809"/>
      <c r="AS74" s="1809"/>
      <c r="AT74" s="1809"/>
      <c r="AU74" s="1809"/>
      <c r="AV74" s="1810"/>
      <c r="AW74" s="1810"/>
    </row>
    <row r="75" spans="1:49" s="1811" customFormat="1" ht="11.25">
      <c r="A75" s="2200"/>
      <c r="B75" s="2201"/>
      <c r="C75" s="2202" t="s">
        <v>460</v>
      </c>
      <c r="D75" s="2203"/>
      <c r="E75" s="2203"/>
      <c r="F75" s="2203"/>
      <c r="G75" s="2203"/>
      <c r="H75" s="2203"/>
      <c r="I75" s="2203"/>
      <c r="J75" s="2203"/>
      <c r="K75" s="2203"/>
      <c r="L75" s="2203"/>
      <c r="M75" s="2203"/>
      <c r="N75" s="2203"/>
      <c r="O75" s="2203"/>
      <c r="P75" s="2204"/>
      <c r="Q75" s="3160"/>
      <c r="R75" s="3160"/>
      <c r="S75" s="3160"/>
      <c r="T75" s="3161" t="s">
        <v>62</v>
      </c>
      <c r="U75" s="3162"/>
      <c r="V75" s="3163"/>
      <c r="W75" s="3164">
        <v>1700000</v>
      </c>
      <c r="X75" s="3164"/>
      <c r="Y75" s="3164"/>
      <c r="Z75" s="3164"/>
      <c r="AA75" s="3164"/>
      <c r="AB75" s="3165">
        <f t="shared" si="0"/>
        <v>0</v>
      </c>
      <c r="AC75" s="3165"/>
      <c r="AD75" s="3165"/>
      <c r="AE75" s="3165"/>
      <c r="AF75" s="3165"/>
      <c r="AG75" s="3165"/>
      <c r="AH75" s="1808"/>
      <c r="AI75" s="1809"/>
      <c r="AJ75" s="1809"/>
      <c r="AK75" s="1809"/>
      <c r="AL75" s="1809"/>
      <c r="AM75" s="1809"/>
      <c r="AN75" s="1809"/>
      <c r="AO75" s="1809"/>
      <c r="AP75" s="1808"/>
      <c r="AQ75" s="1808"/>
      <c r="AR75" s="1809"/>
      <c r="AS75" s="1809"/>
      <c r="AT75" s="1809"/>
      <c r="AU75" s="1809"/>
      <c r="AV75" s="1810"/>
      <c r="AW75" s="1810"/>
    </row>
    <row r="76" spans="1:49" s="2213" customFormat="1" ht="11.25">
      <c r="A76" s="2205"/>
      <c r="B76" s="2206"/>
      <c r="C76" s="2207" t="s">
        <v>1699</v>
      </c>
      <c r="D76" s="2208"/>
      <c r="E76" s="2208"/>
      <c r="F76" s="2208"/>
      <c r="G76" s="2208"/>
      <c r="H76" s="2208"/>
      <c r="I76" s="2208"/>
      <c r="J76" s="2208"/>
      <c r="K76" s="2208"/>
      <c r="L76" s="2208"/>
      <c r="M76" s="2208"/>
      <c r="N76" s="2208"/>
      <c r="O76" s="2208"/>
      <c r="P76" s="2209"/>
      <c r="Q76" s="3166">
        <f>3*12</f>
        <v>36</v>
      </c>
      <c r="R76" s="3166"/>
      <c r="S76" s="3166"/>
      <c r="T76" s="3167" t="s">
        <v>62</v>
      </c>
      <c r="U76" s="3168"/>
      <c r="V76" s="3169"/>
      <c r="W76" s="3170">
        <v>1300000</v>
      </c>
      <c r="X76" s="3170"/>
      <c r="Y76" s="3170"/>
      <c r="Z76" s="3170"/>
      <c r="AA76" s="3170"/>
      <c r="AB76" s="3171">
        <f t="shared" si="0"/>
        <v>46800000</v>
      </c>
      <c r="AC76" s="3171"/>
      <c r="AD76" s="3171"/>
      <c r="AE76" s="3171"/>
      <c r="AF76" s="3171"/>
      <c r="AG76" s="3171"/>
      <c r="AH76" s="2210"/>
      <c r="AI76" s="2211"/>
      <c r="AJ76" s="2211"/>
      <c r="AK76" s="2211"/>
      <c r="AL76" s="2211"/>
      <c r="AM76" s="2211"/>
      <c r="AN76" s="2211"/>
      <c r="AO76" s="2211"/>
      <c r="AP76" s="2210"/>
      <c r="AQ76" s="2210"/>
      <c r="AR76" s="2211"/>
      <c r="AS76" s="2211"/>
      <c r="AT76" s="2211"/>
      <c r="AU76" s="2211"/>
      <c r="AV76" s="2212"/>
      <c r="AW76" s="2212"/>
    </row>
    <row r="77" spans="1:49" s="1807" customFormat="1" ht="11.25">
      <c r="A77" s="1799"/>
      <c r="B77" s="1800"/>
      <c r="C77" s="1801" t="s">
        <v>1227</v>
      </c>
      <c r="D77" s="1802"/>
      <c r="E77" s="1802"/>
      <c r="F77" s="1802"/>
      <c r="G77" s="1802"/>
      <c r="H77" s="1802"/>
      <c r="I77" s="1802"/>
      <c r="J77" s="1802"/>
      <c r="K77" s="1802"/>
      <c r="L77" s="1802"/>
      <c r="M77" s="1802"/>
      <c r="N77" s="1802"/>
      <c r="O77" s="1802"/>
      <c r="P77" s="1803"/>
      <c r="Q77" s="3154"/>
      <c r="R77" s="3154"/>
      <c r="S77" s="3154"/>
      <c r="T77" s="3155" t="s">
        <v>62</v>
      </c>
      <c r="U77" s="3156"/>
      <c r="V77" s="3157"/>
      <c r="W77" s="3158">
        <v>800000</v>
      </c>
      <c r="X77" s="3158"/>
      <c r="Y77" s="3158"/>
      <c r="Z77" s="3158"/>
      <c r="AA77" s="3158"/>
      <c r="AB77" s="3159">
        <f t="shared" si="0"/>
        <v>0</v>
      </c>
      <c r="AC77" s="3159"/>
      <c r="AD77" s="3159"/>
      <c r="AE77" s="3159"/>
      <c r="AF77" s="3159"/>
      <c r="AG77" s="3159"/>
      <c r="AH77" s="1804"/>
      <c r="AI77" s="1805"/>
      <c r="AJ77" s="1805"/>
      <c r="AK77" s="1805"/>
      <c r="AL77" s="1805"/>
      <c r="AM77" s="1805"/>
      <c r="AN77" s="1805"/>
      <c r="AO77" s="1805"/>
      <c r="AP77" s="1804"/>
      <c r="AQ77" s="1804"/>
      <c r="AR77" s="1805"/>
      <c r="AS77" s="1805"/>
      <c r="AT77" s="1805"/>
      <c r="AU77" s="1805"/>
      <c r="AV77" s="1806"/>
      <c r="AW77" s="1806"/>
    </row>
    <row r="78" spans="1:49" s="1807" customFormat="1" ht="11.25">
      <c r="A78" s="1799"/>
      <c r="B78" s="1800"/>
      <c r="C78" s="1801" t="s">
        <v>1228</v>
      </c>
      <c r="D78" s="1802"/>
      <c r="E78" s="1802"/>
      <c r="F78" s="1802"/>
      <c r="G78" s="1802"/>
      <c r="H78" s="1802"/>
      <c r="I78" s="1802"/>
      <c r="J78" s="1802"/>
      <c r="K78" s="1802"/>
      <c r="L78" s="1802"/>
      <c r="M78" s="1802"/>
      <c r="N78" s="1802"/>
      <c r="O78" s="1802"/>
      <c r="P78" s="1803"/>
      <c r="Q78" s="3154">
        <v>12</v>
      </c>
      <c r="R78" s="3154"/>
      <c r="S78" s="3154"/>
      <c r="T78" s="3155" t="s">
        <v>62</v>
      </c>
      <c r="U78" s="3156"/>
      <c r="V78" s="3157"/>
      <c r="W78" s="3158">
        <v>1200000</v>
      </c>
      <c r="X78" s="3158"/>
      <c r="Y78" s="3158"/>
      <c r="Z78" s="3158"/>
      <c r="AA78" s="3158"/>
      <c r="AB78" s="3159">
        <f>Q78*W78</f>
        <v>14400000</v>
      </c>
      <c r="AC78" s="3159"/>
      <c r="AD78" s="3159"/>
      <c r="AE78" s="3159"/>
      <c r="AF78" s="3159"/>
      <c r="AG78" s="3159"/>
      <c r="AH78" s="1804"/>
      <c r="AI78" s="1805"/>
      <c r="AJ78" s="1805"/>
      <c r="AK78" s="1805"/>
      <c r="AL78" s="1805"/>
      <c r="AM78" s="1805"/>
      <c r="AN78" s="1805"/>
      <c r="AO78" s="1805"/>
      <c r="AP78" s="1804"/>
      <c r="AQ78" s="1804"/>
      <c r="AR78" s="1805"/>
      <c r="AS78" s="1805"/>
      <c r="AT78" s="1805"/>
      <c r="AU78" s="1805"/>
      <c r="AV78" s="1806"/>
      <c r="AW78" s="1806"/>
    </row>
    <row r="79" spans="1:49" s="1811" customFormat="1" ht="11.25">
      <c r="A79" s="2200"/>
      <c r="B79" s="2201"/>
      <c r="C79" s="2202" t="s">
        <v>1229</v>
      </c>
      <c r="D79" s="2203"/>
      <c r="E79" s="2203"/>
      <c r="F79" s="2203"/>
      <c r="G79" s="2203"/>
      <c r="H79" s="2203"/>
      <c r="I79" s="2203"/>
      <c r="J79" s="2203"/>
      <c r="K79" s="2203"/>
      <c r="L79" s="2203"/>
      <c r="M79" s="2203"/>
      <c r="N79" s="2203"/>
      <c r="O79" s="2203"/>
      <c r="P79" s="2204"/>
      <c r="Q79" s="3160">
        <v>24</v>
      </c>
      <c r="R79" s="3160"/>
      <c r="S79" s="3160"/>
      <c r="T79" s="3161" t="s">
        <v>62</v>
      </c>
      <c r="U79" s="3162"/>
      <c r="V79" s="3163"/>
      <c r="W79" s="3164">
        <v>1002500</v>
      </c>
      <c r="X79" s="3164"/>
      <c r="Y79" s="3164"/>
      <c r="Z79" s="3164"/>
      <c r="AA79" s="3164"/>
      <c r="AB79" s="3165">
        <f t="shared" si="0"/>
        <v>24060000</v>
      </c>
      <c r="AC79" s="3165"/>
      <c r="AD79" s="3165"/>
      <c r="AE79" s="3165"/>
      <c r="AF79" s="3165"/>
      <c r="AG79" s="3165"/>
      <c r="AH79" s="1808"/>
      <c r="AI79" s="1809"/>
      <c r="AJ79" s="1809"/>
      <c r="AK79" s="1809"/>
      <c r="AL79" s="1809"/>
      <c r="AM79" s="1809"/>
      <c r="AN79" s="1809"/>
      <c r="AO79" s="1809"/>
      <c r="AP79" s="1808"/>
      <c r="AQ79" s="1808"/>
      <c r="AR79" s="1809"/>
      <c r="AS79" s="1809"/>
      <c r="AT79" s="1809"/>
      <c r="AU79" s="1809"/>
      <c r="AV79" s="1810"/>
      <c r="AW79" s="1810"/>
    </row>
    <row r="80" spans="1:49" s="1326" customFormat="1" ht="11.25" customHeight="1">
      <c r="A80" s="1321" t="s">
        <v>710</v>
      </c>
      <c r="B80" s="3129" t="s">
        <v>711</v>
      </c>
      <c r="C80" s="3129"/>
      <c r="D80" s="3129"/>
      <c r="E80" s="3129"/>
      <c r="F80" s="3129"/>
      <c r="G80" s="3129"/>
      <c r="H80" s="3129"/>
      <c r="I80" s="3129"/>
      <c r="J80" s="3129"/>
      <c r="K80" s="3129"/>
      <c r="L80" s="3129"/>
      <c r="M80" s="3129"/>
      <c r="N80" s="3129"/>
      <c r="O80" s="3129"/>
      <c r="P80" s="3129"/>
      <c r="Q80" s="3131"/>
      <c r="R80" s="3131"/>
      <c r="S80" s="3131"/>
      <c r="T80" s="3131"/>
      <c r="U80" s="3131"/>
      <c r="V80" s="3131"/>
      <c r="W80" s="3132"/>
      <c r="X80" s="3132"/>
      <c r="Y80" s="3132"/>
      <c r="Z80" s="3132"/>
      <c r="AA80" s="3132"/>
      <c r="AB80" s="3133">
        <f>SUM(AB81:AG96)</f>
        <v>7836000000</v>
      </c>
      <c r="AC80" s="3133"/>
      <c r="AD80" s="3133"/>
      <c r="AE80" s="3133"/>
      <c r="AF80" s="3133"/>
      <c r="AG80" s="3133"/>
      <c r="AH80" s="1322"/>
      <c r="AI80" s="1323"/>
      <c r="AJ80" s="1323"/>
      <c r="AK80" s="1323"/>
      <c r="AL80" s="1323"/>
      <c r="AM80" s="1323"/>
      <c r="AN80" s="1323"/>
      <c r="AO80" s="1323"/>
      <c r="AP80" s="1324"/>
      <c r="AQ80" s="1324"/>
      <c r="AR80" s="1323"/>
      <c r="AS80" s="1323"/>
      <c r="AT80" s="1323"/>
      <c r="AU80" s="1323"/>
      <c r="AV80" s="1325"/>
      <c r="AW80" s="1325"/>
    </row>
    <row r="81" spans="1:49" s="1260" customFormat="1" ht="11.25">
      <c r="A81" s="1327"/>
      <c r="B81" s="1327"/>
      <c r="C81" s="1328" t="s">
        <v>461</v>
      </c>
      <c r="D81" s="1328"/>
      <c r="E81" s="1328"/>
      <c r="F81" s="1329"/>
      <c r="G81" s="1329"/>
      <c r="H81" s="1329"/>
      <c r="I81" s="1329"/>
      <c r="J81" s="1329"/>
      <c r="K81" s="3151"/>
      <c r="L81" s="3151"/>
      <c r="M81" s="3151"/>
      <c r="N81" s="1329"/>
      <c r="O81" s="3152">
        <f>O82+O86</f>
        <v>253</v>
      </c>
      <c r="P81" s="3153"/>
      <c r="Q81" s="3117"/>
      <c r="R81" s="3117"/>
      <c r="S81" s="3117"/>
      <c r="T81" s="3117"/>
      <c r="U81" s="3117"/>
      <c r="V81" s="3117"/>
      <c r="W81" s="3118"/>
      <c r="X81" s="3118"/>
      <c r="Y81" s="3118"/>
      <c r="Z81" s="3118"/>
      <c r="AA81" s="3118"/>
      <c r="AB81" s="3134"/>
      <c r="AC81" s="3134"/>
      <c r="AD81" s="3134"/>
      <c r="AE81" s="3134"/>
      <c r="AF81" s="3134"/>
      <c r="AG81" s="3134"/>
      <c r="AH81" s="1256"/>
      <c r="AI81" s="1277"/>
      <c r="AJ81" s="1277"/>
      <c r="AK81" s="1277"/>
      <c r="AL81" s="1277"/>
      <c r="AM81" s="1277"/>
      <c r="AN81" s="1257"/>
      <c r="AO81" s="1257"/>
      <c r="AP81" s="1256"/>
      <c r="AQ81" s="1256"/>
      <c r="AR81" s="1257"/>
      <c r="AS81" s="1257"/>
      <c r="AT81" s="1257"/>
      <c r="AU81" s="1257"/>
      <c r="AV81" s="1278"/>
      <c r="AW81" s="1278"/>
    </row>
    <row r="82" spans="1:49" s="1260" customFormat="1" ht="11.25">
      <c r="A82" s="1327"/>
      <c r="B82" s="1327"/>
      <c r="C82" s="1328" t="str">
        <f>C25</f>
        <v>Eselon II.b</v>
      </c>
      <c r="D82" s="1301"/>
      <c r="E82" s="1328"/>
      <c r="F82" s="1329"/>
      <c r="G82" s="1329"/>
      <c r="H82" s="3141">
        <v>1</v>
      </c>
      <c r="I82" s="3141"/>
      <c r="J82" s="3142">
        <v>12</v>
      </c>
      <c r="K82" s="3142"/>
      <c r="L82" s="3142"/>
      <c r="M82" s="1328"/>
      <c r="N82" s="1328"/>
      <c r="O82" s="3149">
        <f>SUM(H82:I85)</f>
        <v>21</v>
      </c>
      <c r="P82" s="3150"/>
      <c r="Q82" s="3116">
        <f>H82*J82</f>
        <v>12</v>
      </c>
      <c r="R82" s="3116"/>
      <c r="S82" s="3116"/>
      <c r="T82" s="3117" t="s">
        <v>62</v>
      </c>
      <c r="U82" s="3117"/>
      <c r="V82" s="3117"/>
      <c r="W82" s="3118">
        <v>10000000</v>
      </c>
      <c r="X82" s="3118"/>
      <c r="Y82" s="3118"/>
      <c r="Z82" s="3118"/>
      <c r="AA82" s="3118"/>
      <c r="AB82" s="3128">
        <f>W82*Q82</f>
        <v>120000000</v>
      </c>
      <c r="AC82" s="3128"/>
      <c r="AD82" s="3128"/>
      <c r="AE82" s="3128"/>
      <c r="AF82" s="3128"/>
      <c r="AG82" s="3128"/>
      <c r="AH82" s="1256"/>
      <c r="AI82" s="1257"/>
      <c r="AJ82" s="1277"/>
      <c r="AK82" s="1277"/>
      <c r="AL82" s="1277"/>
      <c r="AM82" s="1277"/>
      <c r="AN82" s="1257"/>
      <c r="AO82" s="1257"/>
      <c r="AP82" s="1315"/>
      <c r="AQ82" s="1256"/>
      <c r="AR82" s="1257"/>
      <c r="AS82" s="1257"/>
      <c r="AT82" s="1257"/>
      <c r="AU82" s="1257"/>
      <c r="AV82" s="1278"/>
      <c r="AW82" s="1278"/>
    </row>
    <row r="83" spans="1:49" s="1260" customFormat="1" ht="11.25">
      <c r="A83" s="1327"/>
      <c r="B83" s="1327"/>
      <c r="C83" s="1328" t="str">
        <f>C26</f>
        <v>Eselon III.a</v>
      </c>
      <c r="D83" s="1301"/>
      <c r="E83" s="1328"/>
      <c r="F83" s="1329"/>
      <c r="G83" s="1329"/>
      <c r="H83" s="3141">
        <v>2</v>
      </c>
      <c r="I83" s="3141"/>
      <c r="J83" s="3142">
        <v>12</v>
      </c>
      <c r="K83" s="3142"/>
      <c r="L83" s="3142"/>
      <c r="M83" s="1328"/>
      <c r="N83" s="1328"/>
      <c r="O83" s="1328"/>
      <c r="P83" s="1330"/>
      <c r="Q83" s="3116">
        <f>H83*J83</f>
        <v>24</v>
      </c>
      <c r="R83" s="3116"/>
      <c r="S83" s="3116"/>
      <c r="T83" s="3117" t="s">
        <v>62</v>
      </c>
      <c r="U83" s="3117"/>
      <c r="V83" s="3117"/>
      <c r="W83" s="3118">
        <v>7500000</v>
      </c>
      <c r="X83" s="3118"/>
      <c r="Y83" s="3118"/>
      <c r="Z83" s="3118"/>
      <c r="AA83" s="3118"/>
      <c r="AB83" s="3128">
        <f>W83*Q83</f>
        <v>180000000</v>
      </c>
      <c r="AC83" s="3128"/>
      <c r="AD83" s="3128"/>
      <c r="AE83" s="3128"/>
      <c r="AF83" s="3128"/>
      <c r="AG83" s="3128"/>
      <c r="AH83" s="1256"/>
      <c r="AI83" s="1257"/>
      <c r="AJ83" s="1257"/>
      <c r="AK83" s="1257"/>
      <c r="AL83" s="1257"/>
      <c r="AM83" s="1257"/>
      <c r="AN83" s="1257"/>
      <c r="AO83" s="1257"/>
      <c r="AP83" s="1256"/>
      <c r="AQ83" s="1256"/>
      <c r="AR83" s="1257"/>
      <c r="AS83" s="1257"/>
      <c r="AT83" s="1257"/>
      <c r="AU83" s="1257"/>
      <c r="AV83" s="1278"/>
      <c r="AW83" s="1278"/>
    </row>
    <row r="84" spans="1:49" s="1260" customFormat="1" ht="11.25">
      <c r="A84" s="1327"/>
      <c r="B84" s="1327"/>
      <c r="C84" s="1328" t="str">
        <f>C27</f>
        <v>Eselon III.b</v>
      </c>
      <c r="D84" s="1301"/>
      <c r="E84" s="1328"/>
      <c r="F84" s="1329"/>
      <c r="G84" s="1329"/>
      <c r="H84" s="3141">
        <v>6</v>
      </c>
      <c r="I84" s="3141"/>
      <c r="J84" s="3142">
        <v>12</v>
      </c>
      <c r="K84" s="3142"/>
      <c r="L84" s="3142"/>
      <c r="M84" s="1328"/>
      <c r="N84" s="1328"/>
      <c r="O84" s="1328"/>
      <c r="P84" s="1330"/>
      <c r="Q84" s="3116">
        <f>H84*J84</f>
        <v>72</v>
      </c>
      <c r="R84" s="3116"/>
      <c r="S84" s="3116"/>
      <c r="T84" s="3117" t="s">
        <v>62</v>
      </c>
      <c r="U84" s="3117"/>
      <c r="V84" s="3117"/>
      <c r="W84" s="3118">
        <v>5500000</v>
      </c>
      <c r="X84" s="3118"/>
      <c r="Y84" s="3118"/>
      <c r="Z84" s="3118"/>
      <c r="AA84" s="3118"/>
      <c r="AB84" s="3128">
        <f>W84*Q84</f>
        <v>396000000</v>
      </c>
      <c r="AC84" s="3128"/>
      <c r="AD84" s="3128"/>
      <c r="AE84" s="3128"/>
      <c r="AF84" s="3128"/>
      <c r="AG84" s="3128"/>
      <c r="AH84" s="1256"/>
      <c r="AI84" s="1257"/>
      <c r="AJ84" s="1257"/>
      <c r="AK84" s="1257"/>
      <c r="AL84" s="1257"/>
      <c r="AM84" s="1257"/>
      <c r="AN84" s="1257"/>
      <c r="AO84" s="1257"/>
      <c r="AP84" s="1256"/>
      <c r="AQ84" s="1256"/>
      <c r="AR84" s="1257"/>
      <c r="AS84" s="1257"/>
      <c r="AT84" s="1257"/>
      <c r="AU84" s="1257"/>
      <c r="AV84" s="1278"/>
      <c r="AW84" s="1278"/>
    </row>
    <row r="85" spans="1:49" s="1260" customFormat="1" ht="11.25">
      <c r="A85" s="1327"/>
      <c r="B85" s="1331"/>
      <c r="C85" s="1332" t="s">
        <v>684</v>
      </c>
      <c r="D85" s="1303"/>
      <c r="E85" s="1332"/>
      <c r="F85" s="1333"/>
      <c r="G85" s="1333"/>
      <c r="H85" s="3135">
        <v>12</v>
      </c>
      <c r="I85" s="3135"/>
      <c r="J85" s="3136">
        <v>12</v>
      </c>
      <c r="K85" s="3136"/>
      <c r="L85" s="3136"/>
      <c r="M85" s="3148"/>
      <c r="N85" s="3148"/>
      <c r="O85" s="3148"/>
      <c r="P85" s="1334"/>
      <c r="Q85" s="3137">
        <f>H85*J85</f>
        <v>144</v>
      </c>
      <c r="R85" s="3137"/>
      <c r="S85" s="3137"/>
      <c r="T85" s="3138" t="s">
        <v>62</v>
      </c>
      <c r="U85" s="3138"/>
      <c r="V85" s="3138"/>
      <c r="W85" s="3139">
        <v>4500000</v>
      </c>
      <c r="X85" s="3139"/>
      <c r="Y85" s="3139"/>
      <c r="Z85" s="3139"/>
      <c r="AA85" s="3139"/>
      <c r="AB85" s="3140">
        <f>W85*Q85</f>
        <v>648000000</v>
      </c>
      <c r="AC85" s="3140"/>
      <c r="AD85" s="3140"/>
      <c r="AE85" s="3140"/>
      <c r="AF85" s="3140"/>
      <c r="AG85" s="3140"/>
      <c r="AH85" s="1256"/>
      <c r="AI85" s="1257"/>
      <c r="AJ85" s="1257"/>
      <c r="AK85" s="1257"/>
      <c r="AL85" s="1257"/>
      <c r="AM85" s="1257"/>
      <c r="AN85" s="1257"/>
      <c r="AO85" s="1257"/>
      <c r="AP85" s="1256"/>
      <c r="AQ85" s="1256"/>
      <c r="AR85" s="1257"/>
      <c r="AS85" s="1257"/>
      <c r="AT85" s="1257"/>
      <c r="AU85" s="1257"/>
      <c r="AV85" s="1278"/>
      <c r="AW85" s="1278"/>
    </row>
    <row r="86" spans="1:49" s="1260" customFormat="1" ht="11.25">
      <c r="A86" s="1335"/>
      <c r="B86" s="1336"/>
      <c r="C86" s="1337" t="s">
        <v>462</v>
      </c>
      <c r="D86" s="1337"/>
      <c r="E86" s="1337"/>
      <c r="F86" s="1338"/>
      <c r="G86" s="1338"/>
      <c r="H86" s="1337"/>
      <c r="I86" s="1337"/>
      <c r="J86" s="1337"/>
      <c r="K86" s="1339"/>
      <c r="L86" s="1339"/>
      <c r="M86" s="1339"/>
      <c r="N86" s="1337"/>
      <c r="O86" s="3143">
        <f>SUM(K87:L96)</f>
        <v>232</v>
      </c>
      <c r="P86" s="3144"/>
      <c r="Q86" s="3145"/>
      <c r="R86" s="3145"/>
      <c r="S86" s="3145"/>
      <c r="T86" s="3146"/>
      <c r="U86" s="3146"/>
      <c r="V86" s="3146"/>
      <c r="W86" s="3132"/>
      <c r="X86" s="3132"/>
      <c r="Y86" s="3132"/>
      <c r="Z86" s="3132"/>
      <c r="AA86" s="3132"/>
      <c r="AB86" s="3147"/>
      <c r="AC86" s="3147"/>
      <c r="AD86" s="3147"/>
      <c r="AE86" s="3147"/>
      <c r="AF86" s="3147"/>
      <c r="AG86" s="3147"/>
      <c r="AH86" s="1256"/>
      <c r="AI86" s="1257"/>
      <c r="AJ86" s="1257"/>
      <c r="AK86" s="1257"/>
      <c r="AL86" s="1257"/>
      <c r="AM86" s="1257"/>
      <c r="AN86" s="1257"/>
      <c r="AO86" s="1257"/>
      <c r="AP86" s="1256"/>
      <c r="AQ86" s="1256"/>
      <c r="AR86" s="1257"/>
      <c r="AS86" s="1257"/>
      <c r="AT86" s="1257"/>
      <c r="AU86" s="1257"/>
      <c r="AV86" s="1278"/>
      <c r="AW86" s="1278"/>
    </row>
    <row r="87" spans="1:49" s="1260" customFormat="1" ht="11.25">
      <c r="A87" s="1327"/>
      <c r="B87" s="1327"/>
      <c r="C87" s="1328" t="s">
        <v>712</v>
      </c>
      <c r="D87" s="1301"/>
      <c r="E87" s="1328"/>
      <c r="F87" s="1329"/>
      <c r="G87" s="1329"/>
      <c r="H87" s="1328"/>
      <c r="I87" s="1328"/>
      <c r="J87" s="1291"/>
      <c r="K87" s="3141">
        <v>0</v>
      </c>
      <c r="L87" s="3141"/>
      <c r="M87" s="3142">
        <v>12</v>
      </c>
      <c r="N87" s="3142"/>
      <c r="O87" s="3142"/>
      <c r="P87" s="1330"/>
      <c r="Q87" s="3116">
        <f t="shared" ref="Q87:Q96" si="1">K87*M87</f>
        <v>0</v>
      </c>
      <c r="R87" s="3116"/>
      <c r="S87" s="3116"/>
      <c r="T87" s="3117" t="s">
        <v>62</v>
      </c>
      <c r="U87" s="3117"/>
      <c r="V87" s="3117"/>
      <c r="W87" s="3118">
        <v>4000000</v>
      </c>
      <c r="X87" s="3118"/>
      <c r="Y87" s="3118"/>
      <c r="Z87" s="3118"/>
      <c r="AA87" s="3118"/>
      <c r="AB87" s="3128">
        <f t="shared" ref="AB87:AB96" si="2">W87*Q87</f>
        <v>0</v>
      </c>
      <c r="AC87" s="3128"/>
      <c r="AD87" s="3128"/>
      <c r="AE87" s="3128"/>
      <c r="AF87" s="3128"/>
      <c r="AG87" s="3128"/>
      <c r="AH87" s="1256"/>
      <c r="AI87" s="1257"/>
      <c r="AJ87" s="1277"/>
      <c r="AK87" s="1277"/>
      <c r="AL87" s="1257"/>
      <c r="AM87" s="1257"/>
      <c r="AN87" s="1257"/>
      <c r="AO87" s="1257"/>
      <c r="AP87" s="1256"/>
      <c r="AQ87" s="1256"/>
      <c r="AR87" s="1257"/>
      <c r="AS87" s="1257"/>
      <c r="AT87" s="1257"/>
      <c r="AU87" s="1257"/>
      <c r="AV87" s="1278"/>
      <c r="AW87" s="1278"/>
    </row>
    <row r="88" spans="1:49" s="1260" customFormat="1" ht="11.25">
      <c r="A88" s="1327"/>
      <c r="B88" s="1327"/>
      <c r="C88" s="1328" t="s">
        <v>713</v>
      </c>
      <c r="D88" s="1301"/>
      <c r="E88" s="1328"/>
      <c r="F88" s="1329"/>
      <c r="G88" s="1329"/>
      <c r="H88" s="1328"/>
      <c r="I88" s="1328"/>
      <c r="J88" s="1291"/>
      <c r="K88" s="3141">
        <v>0</v>
      </c>
      <c r="L88" s="3141"/>
      <c r="M88" s="3142">
        <v>12</v>
      </c>
      <c r="N88" s="3142"/>
      <c r="O88" s="3142"/>
      <c r="P88" s="1330"/>
      <c r="Q88" s="3116">
        <f t="shared" si="1"/>
        <v>0</v>
      </c>
      <c r="R88" s="3116"/>
      <c r="S88" s="3116"/>
      <c r="T88" s="3117" t="s">
        <v>62</v>
      </c>
      <c r="U88" s="3117"/>
      <c r="V88" s="3117"/>
      <c r="W88" s="3118">
        <v>3750000</v>
      </c>
      <c r="X88" s="3118"/>
      <c r="Y88" s="3118"/>
      <c r="Z88" s="3118"/>
      <c r="AA88" s="3118"/>
      <c r="AB88" s="3128">
        <f t="shared" si="2"/>
        <v>0</v>
      </c>
      <c r="AC88" s="3128"/>
      <c r="AD88" s="3128"/>
      <c r="AE88" s="3128"/>
      <c r="AF88" s="3128"/>
      <c r="AG88" s="3128"/>
      <c r="AH88" s="1256"/>
      <c r="AI88" s="1257"/>
      <c r="AJ88" s="1257"/>
      <c r="AK88" s="1257"/>
      <c r="AL88" s="1257"/>
      <c r="AM88" s="1257"/>
      <c r="AN88" s="1257"/>
      <c r="AO88" s="1257"/>
      <c r="AP88" s="1256"/>
      <c r="AQ88" s="1256"/>
      <c r="AR88" s="1257"/>
      <c r="AS88" s="1257"/>
      <c r="AT88" s="1257"/>
      <c r="AU88" s="1257"/>
      <c r="AV88" s="1278"/>
      <c r="AW88" s="1278"/>
    </row>
    <row r="89" spans="1:49" s="1260" customFormat="1" ht="11.25">
      <c r="A89" s="1327"/>
      <c r="B89" s="1327"/>
      <c r="C89" s="1328" t="s">
        <v>714</v>
      </c>
      <c r="D89" s="1301"/>
      <c r="E89" s="1328"/>
      <c r="F89" s="1329"/>
      <c r="G89" s="1329"/>
      <c r="H89" s="1328"/>
      <c r="I89" s="1328"/>
      <c r="J89" s="1291"/>
      <c r="K89" s="3141">
        <v>0</v>
      </c>
      <c r="L89" s="3141"/>
      <c r="M89" s="3142">
        <v>12</v>
      </c>
      <c r="N89" s="3142"/>
      <c r="O89" s="3142"/>
      <c r="P89" s="1330"/>
      <c r="Q89" s="3116">
        <f t="shared" si="1"/>
        <v>0</v>
      </c>
      <c r="R89" s="3116"/>
      <c r="S89" s="3116"/>
      <c r="T89" s="3117" t="s">
        <v>62</v>
      </c>
      <c r="U89" s="3117"/>
      <c r="V89" s="3117"/>
      <c r="W89" s="3118">
        <v>3500000</v>
      </c>
      <c r="X89" s="3118"/>
      <c r="Y89" s="3118"/>
      <c r="Z89" s="3118"/>
      <c r="AA89" s="3118"/>
      <c r="AB89" s="3128">
        <f t="shared" si="2"/>
        <v>0</v>
      </c>
      <c r="AC89" s="3128"/>
      <c r="AD89" s="3128"/>
      <c r="AE89" s="3128"/>
      <c r="AF89" s="3128"/>
      <c r="AG89" s="3128"/>
      <c r="AH89" s="1256"/>
      <c r="AI89" s="1257"/>
      <c r="AJ89" s="1257"/>
      <c r="AK89" s="1257"/>
      <c r="AL89" s="1257"/>
      <c r="AM89" s="1257"/>
      <c r="AN89" s="1257"/>
      <c r="AO89" s="1257"/>
      <c r="AP89" s="1256"/>
      <c r="AQ89" s="1256"/>
      <c r="AR89" s="1257"/>
      <c r="AS89" s="1257"/>
      <c r="AT89" s="1257"/>
      <c r="AU89" s="1257"/>
      <c r="AV89" s="1278"/>
      <c r="AW89" s="1278"/>
    </row>
    <row r="90" spans="1:49" s="1260" customFormat="1" ht="11.25">
      <c r="A90" s="1327"/>
      <c r="B90" s="1327"/>
      <c r="C90" s="1328" t="s">
        <v>715</v>
      </c>
      <c r="D90" s="1301"/>
      <c r="E90" s="1328"/>
      <c r="F90" s="1329"/>
      <c r="G90" s="1329"/>
      <c r="H90" s="1328"/>
      <c r="I90" s="1328"/>
      <c r="J90" s="1291"/>
      <c r="K90" s="3141">
        <v>2</v>
      </c>
      <c r="L90" s="3141"/>
      <c r="M90" s="3142">
        <v>12</v>
      </c>
      <c r="N90" s="3142"/>
      <c r="O90" s="3142"/>
      <c r="P90" s="1330"/>
      <c r="Q90" s="3116">
        <f t="shared" si="1"/>
        <v>24</v>
      </c>
      <c r="R90" s="3116"/>
      <c r="S90" s="3116"/>
      <c r="T90" s="3117" t="s">
        <v>62</v>
      </c>
      <c r="U90" s="3117"/>
      <c r="V90" s="3117"/>
      <c r="W90" s="3118">
        <v>3250000</v>
      </c>
      <c r="X90" s="3118"/>
      <c r="Y90" s="3118"/>
      <c r="Z90" s="3118"/>
      <c r="AA90" s="3118"/>
      <c r="AB90" s="3128">
        <f t="shared" si="2"/>
        <v>78000000</v>
      </c>
      <c r="AC90" s="3128"/>
      <c r="AD90" s="3128"/>
      <c r="AE90" s="3128"/>
      <c r="AF90" s="3128"/>
      <c r="AG90" s="3128"/>
      <c r="AH90" s="1256"/>
      <c r="AI90" s="1257"/>
      <c r="AJ90" s="1257"/>
      <c r="AK90" s="1257"/>
      <c r="AL90" s="1257"/>
      <c r="AM90" s="1257"/>
      <c r="AN90" s="1257"/>
      <c r="AO90" s="1257"/>
      <c r="AP90" s="1256"/>
      <c r="AQ90" s="1256"/>
      <c r="AR90" s="1257"/>
      <c r="AS90" s="1257"/>
      <c r="AT90" s="1257"/>
      <c r="AU90" s="1257"/>
      <c r="AV90" s="1278"/>
      <c r="AW90" s="1278"/>
    </row>
    <row r="91" spans="1:49" s="1260" customFormat="1" ht="11.25">
      <c r="A91" s="1327"/>
      <c r="B91" s="1327"/>
      <c r="C91" s="1328" t="s">
        <v>716</v>
      </c>
      <c r="D91" s="1301"/>
      <c r="E91" s="1328"/>
      <c r="F91" s="1329"/>
      <c r="G91" s="1329"/>
      <c r="H91" s="1328"/>
      <c r="I91" s="1328"/>
      <c r="J91" s="1291"/>
      <c r="K91" s="3141">
        <v>16</v>
      </c>
      <c r="L91" s="3141"/>
      <c r="M91" s="3142">
        <v>12</v>
      </c>
      <c r="N91" s="3142"/>
      <c r="O91" s="3142"/>
      <c r="P91" s="1330"/>
      <c r="Q91" s="3116">
        <f t="shared" si="1"/>
        <v>192</v>
      </c>
      <c r="R91" s="3116"/>
      <c r="S91" s="3116"/>
      <c r="T91" s="3117" t="s">
        <v>62</v>
      </c>
      <c r="U91" s="3117"/>
      <c r="V91" s="3117"/>
      <c r="W91" s="3118">
        <v>3000000</v>
      </c>
      <c r="X91" s="3118"/>
      <c r="Y91" s="3118"/>
      <c r="Z91" s="3118"/>
      <c r="AA91" s="3118"/>
      <c r="AB91" s="3128">
        <f t="shared" si="2"/>
        <v>576000000</v>
      </c>
      <c r="AC91" s="3128"/>
      <c r="AD91" s="3128"/>
      <c r="AE91" s="3128"/>
      <c r="AF91" s="3128"/>
      <c r="AG91" s="3128"/>
      <c r="AH91" s="1256"/>
      <c r="AI91" s="1257"/>
      <c r="AJ91" s="1257"/>
      <c r="AK91" s="1257"/>
      <c r="AL91" s="1257"/>
      <c r="AM91" s="1257"/>
      <c r="AN91" s="1257"/>
      <c r="AO91" s="1257"/>
      <c r="AP91" s="1256"/>
      <c r="AQ91" s="1256"/>
      <c r="AR91" s="1257"/>
      <c r="AS91" s="1257"/>
      <c r="AT91" s="1257"/>
      <c r="AU91" s="1257"/>
      <c r="AV91" s="1278"/>
      <c r="AW91" s="1278"/>
    </row>
    <row r="92" spans="1:49" s="1260" customFormat="1" ht="11.25">
      <c r="A92" s="1327"/>
      <c r="B92" s="1327"/>
      <c r="C92" s="1328" t="s">
        <v>717</v>
      </c>
      <c r="D92" s="1301"/>
      <c r="E92" s="1328"/>
      <c r="F92" s="1329"/>
      <c r="G92" s="1329"/>
      <c r="H92" s="1328"/>
      <c r="I92" s="1328"/>
      <c r="J92" s="1291"/>
      <c r="K92" s="3141">
        <v>46</v>
      </c>
      <c r="L92" s="3141"/>
      <c r="M92" s="3142">
        <v>12</v>
      </c>
      <c r="N92" s="3142"/>
      <c r="O92" s="3142"/>
      <c r="P92" s="1330"/>
      <c r="Q92" s="3116">
        <f t="shared" si="1"/>
        <v>552</v>
      </c>
      <c r="R92" s="3116"/>
      <c r="S92" s="3116"/>
      <c r="T92" s="3117" t="s">
        <v>62</v>
      </c>
      <c r="U92" s="3117"/>
      <c r="V92" s="3117"/>
      <c r="W92" s="3118">
        <v>2750000</v>
      </c>
      <c r="X92" s="3118"/>
      <c r="Y92" s="3118"/>
      <c r="Z92" s="3118"/>
      <c r="AA92" s="3118"/>
      <c r="AB92" s="3128">
        <f t="shared" si="2"/>
        <v>1518000000</v>
      </c>
      <c r="AC92" s="3128"/>
      <c r="AD92" s="3128"/>
      <c r="AE92" s="3128"/>
      <c r="AF92" s="3128"/>
      <c r="AG92" s="3128"/>
      <c r="AH92" s="1256"/>
      <c r="AI92" s="1257"/>
      <c r="AJ92" s="1257"/>
      <c r="AK92" s="1257"/>
      <c r="AL92" s="1257"/>
      <c r="AM92" s="1257"/>
      <c r="AN92" s="1257"/>
      <c r="AO92" s="1257"/>
      <c r="AP92" s="1256"/>
      <c r="AQ92" s="1256"/>
      <c r="AR92" s="1257"/>
      <c r="AS92" s="1257"/>
      <c r="AT92" s="1257"/>
      <c r="AU92" s="1257"/>
      <c r="AV92" s="1278"/>
      <c r="AW92" s="1278"/>
    </row>
    <row r="93" spans="1:49" s="1260" customFormat="1" ht="11.25">
      <c r="A93" s="1327"/>
      <c r="B93" s="1327"/>
      <c r="C93" s="1328" t="s">
        <v>718</v>
      </c>
      <c r="D93" s="1301"/>
      <c r="E93" s="1328"/>
      <c r="F93" s="1329"/>
      <c r="G93" s="1329"/>
      <c r="H93" s="1328"/>
      <c r="I93" s="1328"/>
      <c r="J93" s="1291"/>
      <c r="K93" s="3141">
        <v>53</v>
      </c>
      <c r="L93" s="3141"/>
      <c r="M93" s="3142">
        <v>12</v>
      </c>
      <c r="N93" s="3142"/>
      <c r="O93" s="3142"/>
      <c r="P93" s="1330"/>
      <c r="Q93" s="3116">
        <f t="shared" si="1"/>
        <v>636</v>
      </c>
      <c r="R93" s="3116"/>
      <c r="S93" s="3116"/>
      <c r="T93" s="3117" t="s">
        <v>62</v>
      </c>
      <c r="U93" s="3117"/>
      <c r="V93" s="3117"/>
      <c r="W93" s="3118">
        <v>2500000</v>
      </c>
      <c r="X93" s="3118"/>
      <c r="Y93" s="3118"/>
      <c r="Z93" s="3118"/>
      <c r="AA93" s="3118"/>
      <c r="AB93" s="3128">
        <f t="shared" si="2"/>
        <v>1590000000</v>
      </c>
      <c r="AC93" s="3128"/>
      <c r="AD93" s="3128"/>
      <c r="AE93" s="3128"/>
      <c r="AF93" s="3128"/>
      <c r="AG93" s="3128"/>
      <c r="AH93" s="1256"/>
      <c r="AI93" s="1257"/>
      <c r="AJ93" s="1257"/>
      <c r="AK93" s="1257"/>
      <c r="AL93" s="1257"/>
      <c r="AM93" s="1257"/>
      <c r="AN93" s="1257"/>
      <c r="AO93" s="1257"/>
      <c r="AP93" s="1256"/>
      <c r="AQ93" s="1256"/>
      <c r="AR93" s="1257"/>
      <c r="AS93" s="1257"/>
      <c r="AT93" s="1257"/>
      <c r="AU93" s="1257"/>
      <c r="AV93" s="1278"/>
      <c r="AW93" s="1278"/>
    </row>
    <row r="94" spans="1:49" s="1260" customFormat="1" ht="11.25">
      <c r="A94" s="1327"/>
      <c r="B94" s="1327"/>
      <c r="C94" s="1328" t="s">
        <v>719</v>
      </c>
      <c r="D94" s="1301"/>
      <c r="E94" s="1328"/>
      <c r="F94" s="1329"/>
      <c r="G94" s="1329"/>
      <c r="H94" s="1328"/>
      <c r="I94" s="1328"/>
      <c r="J94" s="1291"/>
      <c r="K94" s="3141">
        <v>44</v>
      </c>
      <c r="L94" s="3141"/>
      <c r="M94" s="3142">
        <v>12</v>
      </c>
      <c r="N94" s="3142"/>
      <c r="O94" s="3142"/>
      <c r="P94" s="1330"/>
      <c r="Q94" s="3116">
        <f t="shared" si="1"/>
        <v>528</v>
      </c>
      <c r="R94" s="3116"/>
      <c r="S94" s="3116"/>
      <c r="T94" s="3117" t="s">
        <v>62</v>
      </c>
      <c r="U94" s="3117"/>
      <c r="V94" s="3117"/>
      <c r="W94" s="3118">
        <v>2250000</v>
      </c>
      <c r="X94" s="3118"/>
      <c r="Y94" s="3118"/>
      <c r="Z94" s="3118"/>
      <c r="AA94" s="3118"/>
      <c r="AB94" s="3128">
        <f t="shared" si="2"/>
        <v>1188000000</v>
      </c>
      <c r="AC94" s="3128"/>
      <c r="AD94" s="3128"/>
      <c r="AE94" s="3128"/>
      <c r="AF94" s="3128"/>
      <c r="AG94" s="3128"/>
      <c r="AH94" s="1256"/>
      <c r="AI94" s="1257"/>
      <c r="AJ94" s="1257"/>
      <c r="AK94" s="1257"/>
      <c r="AL94" s="1257"/>
      <c r="AM94" s="1257"/>
      <c r="AN94" s="1257"/>
      <c r="AO94" s="1257"/>
      <c r="AP94" s="1256"/>
      <c r="AQ94" s="1256"/>
      <c r="AR94" s="1257"/>
      <c r="AS94" s="1257"/>
      <c r="AT94" s="1257"/>
      <c r="AU94" s="1257"/>
      <c r="AV94" s="1278"/>
      <c r="AW94" s="1278"/>
    </row>
    <row r="95" spans="1:49" s="1260" customFormat="1" ht="11.25">
      <c r="A95" s="1327"/>
      <c r="B95" s="1327"/>
      <c r="C95" s="1328" t="s">
        <v>720</v>
      </c>
      <c r="D95" s="1301"/>
      <c r="E95" s="1328"/>
      <c r="F95" s="1329"/>
      <c r="G95" s="1329"/>
      <c r="H95" s="1328"/>
      <c r="I95" s="1328"/>
      <c r="J95" s="1291"/>
      <c r="K95" s="3141">
        <v>44</v>
      </c>
      <c r="L95" s="3141"/>
      <c r="M95" s="3142">
        <v>12</v>
      </c>
      <c r="N95" s="3142"/>
      <c r="O95" s="3142"/>
      <c r="P95" s="1330"/>
      <c r="Q95" s="3116">
        <f t="shared" si="1"/>
        <v>528</v>
      </c>
      <c r="R95" s="3116"/>
      <c r="S95" s="3116"/>
      <c r="T95" s="3117" t="s">
        <v>62</v>
      </c>
      <c r="U95" s="3117"/>
      <c r="V95" s="3117"/>
      <c r="W95" s="3118">
        <v>2000000</v>
      </c>
      <c r="X95" s="3118"/>
      <c r="Y95" s="3118"/>
      <c r="Z95" s="3118"/>
      <c r="AA95" s="3118"/>
      <c r="AB95" s="3128">
        <f t="shared" si="2"/>
        <v>1056000000</v>
      </c>
      <c r="AC95" s="3128"/>
      <c r="AD95" s="3128"/>
      <c r="AE95" s="3128"/>
      <c r="AF95" s="3128"/>
      <c r="AG95" s="3128"/>
      <c r="AH95" s="1256"/>
      <c r="AI95" s="1277"/>
      <c r="AJ95" s="1277"/>
      <c r="AK95" s="1277"/>
      <c r="AL95" s="1277"/>
      <c r="AM95" s="1277"/>
      <c r="AN95" s="1277"/>
      <c r="AO95" s="1257"/>
      <c r="AP95" s="1256"/>
      <c r="AQ95" s="1256"/>
      <c r="AR95" s="1257"/>
      <c r="AS95" s="1257"/>
      <c r="AT95" s="1257"/>
      <c r="AU95" s="1257"/>
      <c r="AV95" s="1278"/>
      <c r="AW95" s="1278"/>
    </row>
    <row r="96" spans="1:49" s="1260" customFormat="1" ht="11.25">
      <c r="A96" s="1331"/>
      <c r="B96" s="1331"/>
      <c r="C96" s="1332" t="s">
        <v>721</v>
      </c>
      <c r="D96" s="1303"/>
      <c r="E96" s="1332"/>
      <c r="F96" s="1333"/>
      <c r="G96" s="1333"/>
      <c r="H96" s="1332"/>
      <c r="I96" s="1332"/>
      <c r="J96" s="1332"/>
      <c r="K96" s="3135">
        <v>27</v>
      </c>
      <c r="L96" s="3135"/>
      <c r="M96" s="3136">
        <v>12</v>
      </c>
      <c r="N96" s="3136"/>
      <c r="O96" s="3136"/>
      <c r="P96" s="1334"/>
      <c r="Q96" s="3137">
        <f t="shared" si="1"/>
        <v>324</v>
      </c>
      <c r="R96" s="3137"/>
      <c r="S96" s="3137"/>
      <c r="T96" s="3138" t="s">
        <v>62</v>
      </c>
      <c r="U96" s="3138"/>
      <c r="V96" s="3138"/>
      <c r="W96" s="3139">
        <v>1500000</v>
      </c>
      <c r="X96" s="3139"/>
      <c r="Y96" s="3139"/>
      <c r="Z96" s="3139"/>
      <c r="AA96" s="3139"/>
      <c r="AB96" s="3140">
        <f t="shared" si="2"/>
        <v>486000000</v>
      </c>
      <c r="AC96" s="3140"/>
      <c r="AD96" s="3140"/>
      <c r="AE96" s="3140"/>
      <c r="AF96" s="3140"/>
      <c r="AG96" s="3140"/>
      <c r="AH96" s="1256"/>
      <c r="AI96" s="1257"/>
      <c r="AJ96" s="1277"/>
      <c r="AK96" s="1277"/>
      <c r="AL96" s="1277"/>
      <c r="AM96" s="1257"/>
      <c r="AN96" s="1257"/>
      <c r="AO96" s="1257"/>
      <c r="AP96" s="1256"/>
      <c r="AQ96" s="1256"/>
      <c r="AR96" s="1257"/>
      <c r="AS96" s="1257"/>
      <c r="AT96" s="1257"/>
      <c r="AU96" s="1257"/>
      <c r="AV96" s="1278"/>
      <c r="AW96" s="1278"/>
    </row>
    <row r="97" spans="1:52" s="1326" customFormat="1" ht="11.25" customHeight="1">
      <c r="A97" s="1321" t="s">
        <v>722</v>
      </c>
      <c r="B97" s="3129" t="s">
        <v>723</v>
      </c>
      <c r="C97" s="3129"/>
      <c r="D97" s="3129"/>
      <c r="E97" s="3129"/>
      <c r="F97" s="3129"/>
      <c r="G97" s="3129"/>
      <c r="H97" s="3129"/>
      <c r="I97" s="3129"/>
      <c r="J97" s="3129"/>
      <c r="K97" s="3129"/>
      <c r="L97" s="3129"/>
      <c r="M97" s="3129"/>
      <c r="N97" s="3129"/>
      <c r="O97" s="3129"/>
      <c r="P97" s="3129"/>
      <c r="Q97" s="3130"/>
      <c r="R97" s="3130"/>
      <c r="S97" s="3130"/>
      <c r="T97" s="3131"/>
      <c r="U97" s="3131"/>
      <c r="V97" s="3131"/>
      <c r="W97" s="3132"/>
      <c r="X97" s="3132"/>
      <c r="Y97" s="3132"/>
      <c r="Z97" s="3132"/>
      <c r="AA97" s="3132"/>
      <c r="AB97" s="3133">
        <f>SUM(AB98:AG105)</f>
        <v>2505120000</v>
      </c>
      <c r="AC97" s="3133"/>
      <c r="AD97" s="3133"/>
      <c r="AE97" s="3133"/>
      <c r="AF97" s="3133"/>
      <c r="AG97" s="3133"/>
      <c r="AH97" s="1324"/>
      <c r="AI97" s="1323"/>
      <c r="AJ97" s="1323"/>
      <c r="AK97" s="1323"/>
      <c r="AL97" s="1323"/>
      <c r="AM97" s="1323"/>
      <c r="AN97" s="1323"/>
      <c r="AO97" s="1323"/>
      <c r="AP97" s="1324"/>
      <c r="AQ97" s="1324"/>
      <c r="AR97" s="1323"/>
      <c r="AS97" s="1323"/>
      <c r="AT97" s="1323"/>
      <c r="AU97" s="1323"/>
      <c r="AV97" s="1325"/>
      <c r="AW97" s="1325"/>
    </row>
    <row r="98" spans="1:52" s="1260" customFormat="1" ht="11.25">
      <c r="A98" s="1283"/>
      <c r="B98" s="1284"/>
      <c r="C98" s="3114" t="s">
        <v>724</v>
      </c>
      <c r="D98" s="3114"/>
      <c r="E98" s="3114"/>
      <c r="F98" s="3114"/>
      <c r="G98" s="3114"/>
      <c r="H98" s="3114"/>
      <c r="I98" s="3114"/>
      <c r="J98" s="3114"/>
      <c r="K98" s="3114"/>
      <c r="L98" s="3114"/>
      <c r="M98" s="3114"/>
      <c r="N98" s="3114"/>
      <c r="O98" s="3114"/>
      <c r="P98" s="3115"/>
      <c r="Q98" s="3127"/>
      <c r="R98" s="3127"/>
      <c r="S98" s="3127"/>
      <c r="T98" s="3123"/>
      <c r="U98" s="3123"/>
      <c r="V98" s="3123"/>
      <c r="W98" s="3118"/>
      <c r="X98" s="3118"/>
      <c r="Y98" s="3118"/>
      <c r="Z98" s="3118"/>
      <c r="AA98" s="3118"/>
      <c r="AB98" s="3134"/>
      <c r="AC98" s="3134"/>
      <c r="AD98" s="3134"/>
      <c r="AE98" s="3134"/>
      <c r="AF98" s="3134"/>
      <c r="AG98" s="3134"/>
      <c r="AH98" s="1256"/>
      <c r="AI98" s="1257"/>
      <c r="AJ98" s="1257"/>
      <c r="AK98" s="1257"/>
      <c r="AL98" s="1257"/>
      <c r="AM98" s="1257"/>
      <c r="AN98" s="1257"/>
      <c r="AO98" s="1257"/>
      <c r="AP98" s="1256"/>
      <c r="AQ98" s="1256"/>
      <c r="AR98" s="1257"/>
      <c r="AS98" s="1257"/>
      <c r="AT98" s="1257"/>
      <c r="AU98" s="1257"/>
      <c r="AV98" s="1278"/>
      <c r="AW98" s="1278"/>
    </row>
    <row r="99" spans="1:52" s="1260" customFormat="1" ht="11.25">
      <c r="A99" s="1283"/>
      <c r="B99" s="1284"/>
      <c r="C99" s="1291" t="s">
        <v>841</v>
      </c>
      <c r="D99" s="1301"/>
      <c r="E99" s="1291"/>
      <c r="F99" s="1291"/>
      <c r="G99" s="1291"/>
      <c r="H99" s="1291"/>
      <c r="I99" s="1291"/>
      <c r="J99" s="3120">
        <f>G16</f>
        <v>26</v>
      </c>
      <c r="K99" s="3120"/>
      <c r="L99" s="3120"/>
      <c r="M99" s="3126">
        <v>3</v>
      </c>
      <c r="N99" s="3126"/>
      <c r="O99" s="3126"/>
      <c r="P99" s="1340"/>
      <c r="Q99" s="3127">
        <f>J99*M99</f>
        <v>78</v>
      </c>
      <c r="R99" s="3127"/>
      <c r="S99" s="3127"/>
      <c r="T99" s="3123" t="s">
        <v>28</v>
      </c>
      <c r="U99" s="3123"/>
      <c r="V99" s="3123"/>
      <c r="W99" s="3118">
        <v>660000</v>
      </c>
      <c r="X99" s="3118"/>
      <c r="Y99" s="3118"/>
      <c r="Z99" s="3118"/>
      <c r="AA99" s="3118"/>
      <c r="AB99" s="3128">
        <f>Q99*W99</f>
        <v>51480000</v>
      </c>
      <c r="AC99" s="3128"/>
      <c r="AD99" s="3128"/>
      <c r="AE99" s="3128"/>
      <c r="AF99" s="3128"/>
      <c r="AG99" s="3128"/>
      <c r="AH99" s="1256"/>
      <c r="AI99" s="1257"/>
      <c r="AJ99" s="1257"/>
      <c r="AK99" s="1257"/>
      <c r="AL99" s="1257"/>
      <c r="AM99" s="1257"/>
      <c r="AN99" s="1257"/>
      <c r="AO99" s="1257"/>
      <c r="AP99" s="1256"/>
      <c r="AQ99" s="1256"/>
      <c r="AR99" s="1257"/>
      <c r="AS99" s="1257"/>
      <c r="AT99" s="1257"/>
      <c r="AU99" s="1257"/>
      <c r="AV99" s="1278"/>
      <c r="AW99" s="1278"/>
    </row>
    <row r="100" spans="1:52" s="1260" customFormat="1" ht="11.25">
      <c r="A100" s="1283"/>
      <c r="B100" s="1284"/>
      <c r="C100" s="1291" t="s">
        <v>842</v>
      </c>
      <c r="D100" s="1301"/>
      <c r="E100" s="1291"/>
      <c r="F100" s="1291"/>
      <c r="G100" s="1291"/>
      <c r="H100" s="1291"/>
      <c r="I100" s="1291"/>
      <c r="J100" s="3120">
        <f>G17+G18</f>
        <v>228</v>
      </c>
      <c r="K100" s="3120"/>
      <c r="L100" s="3120"/>
      <c r="M100" s="3126">
        <v>3</v>
      </c>
      <c r="N100" s="3126"/>
      <c r="O100" s="3126"/>
      <c r="P100" s="1252">
        <f>J100+J99</f>
        <v>254</v>
      </c>
      <c r="Q100" s="3127">
        <f>J100*M100</f>
        <v>684</v>
      </c>
      <c r="R100" s="3127"/>
      <c r="S100" s="3127"/>
      <c r="T100" s="3123" t="s">
        <v>28</v>
      </c>
      <c r="U100" s="3123"/>
      <c r="V100" s="3123"/>
      <c r="W100" s="3118">
        <v>600000</v>
      </c>
      <c r="X100" s="3118"/>
      <c r="Y100" s="3118"/>
      <c r="Z100" s="3118"/>
      <c r="AA100" s="3118"/>
      <c r="AB100" s="3128">
        <f>Q100*W100</f>
        <v>410400000</v>
      </c>
      <c r="AC100" s="3128"/>
      <c r="AD100" s="3128"/>
      <c r="AE100" s="3128"/>
      <c r="AF100" s="3128"/>
      <c r="AG100" s="3128"/>
      <c r="AH100" s="1256"/>
      <c r="AI100" s="1257"/>
      <c r="AJ100" s="1257"/>
      <c r="AK100" s="1257"/>
      <c r="AL100" s="1257"/>
      <c r="AM100" s="1257"/>
      <c r="AN100" s="1257"/>
      <c r="AO100" s="1257"/>
      <c r="AP100" s="1256"/>
      <c r="AQ100" s="1256"/>
      <c r="AR100" s="1257"/>
      <c r="AS100" s="1257"/>
      <c r="AT100" s="1257"/>
      <c r="AU100" s="1257"/>
      <c r="AV100" s="1278"/>
      <c r="AW100" s="1278"/>
    </row>
    <row r="101" spans="1:52" s="1260" customFormat="1" ht="11.25">
      <c r="A101" s="1283"/>
      <c r="B101" s="1284"/>
      <c r="C101" s="1291" t="s">
        <v>725</v>
      </c>
      <c r="D101" s="1301"/>
      <c r="E101" s="1291"/>
      <c r="F101" s="1291"/>
      <c r="G101" s="1291"/>
      <c r="H101" s="1291"/>
      <c r="I101" s="1291"/>
      <c r="J101" s="3120">
        <v>166</v>
      </c>
      <c r="K101" s="3120"/>
      <c r="L101" s="3120"/>
      <c r="M101" s="3126">
        <v>3</v>
      </c>
      <c r="N101" s="3126"/>
      <c r="O101" s="3126"/>
      <c r="P101" s="1340"/>
      <c r="Q101" s="3127">
        <f>J101*M101</f>
        <v>498</v>
      </c>
      <c r="R101" s="3127"/>
      <c r="S101" s="3127"/>
      <c r="T101" s="3123" t="s">
        <v>28</v>
      </c>
      <c r="U101" s="3123"/>
      <c r="V101" s="3123"/>
      <c r="W101" s="3118">
        <v>400000</v>
      </c>
      <c r="X101" s="3118"/>
      <c r="Y101" s="3118"/>
      <c r="Z101" s="3118"/>
      <c r="AA101" s="3118"/>
      <c r="AB101" s="3128">
        <f>Q101*W101</f>
        <v>199200000</v>
      </c>
      <c r="AC101" s="3128"/>
      <c r="AD101" s="3128"/>
      <c r="AE101" s="3128"/>
      <c r="AF101" s="3128"/>
      <c r="AG101" s="3128"/>
      <c r="AH101" s="1256"/>
      <c r="AI101" s="1257"/>
      <c r="AJ101" s="1257"/>
      <c r="AK101" s="1257"/>
      <c r="AL101" s="1257"/>
      <c r="AM101" s="1257"/>
      <c r="AN101" s="1257"/>
      <c r="AO101" s="1257"/>
      <c r="AP101" s="1256"/>
      <c r="AQ101" s="1256"/>
      <c r="AR101" s="1257"/>
      <c r="AS101" s="1257"/>
      <c r="AT101" s="1257"/>
      <c r="AU101" s="1257"/>
      <c r="AV101" s="1278"/>
      <c r="AW101" s="1278"/>
    </row>
    <row r="102" spans="1:52" s="1260" customFormat="1" ht="11.25">
      <c r="A102" s="1283"/>
      <c r="B102" s="1284"/>
      <c r="C102" s="3114" t="s">
        <v>726</v>
      </c>
      <c r="D102" s="3114"/>
      <c r="E102" s="3114"/>
      <c r="F102" s="3114"/>
      <c r="G102" s="3114"/>
      <c r="H102" s="3114"/>
      <c r="I102" s="3114"/>
      <c r="J102" s="3114"/>
      <c r="K102" s="3114"/>
      <c r="L102" s="3114"/>
      <c r="M102" s="3114"/>
      <c r="N102" s="3114"/>
      <c r="O102" s="3114"/>
      <c r="P102" s="3115"/>
      <c r="Q102" s="3116"/>
      <c r="R102" s="3116"/>
      <c r="S102" s="3116"/>
      <c r="T102" s="3117"/>
      <c r="U102" s="3117"/>
      <c r="V102" s="3117"/>
      <c r="W102" s="3118"/>
      <c r="X102" s="3118"/>
      <c r="Y102" s="3118"/>
      <c r="Z102" s="3118"/>
      <c r="AA102" s="3118"/>
      <c r="AB102" s="3119"/>
      <c r="AC102" s="3119"/>
      <c r="AD102" s="3119"/>
      <c r="AE102" s="3119"/>
      <c r="AF102" s="3119"/>
      <c r="AG102" s="3119"/>
      <c r="AH102" s="1256"/>
      <c r="AI102" s="1257"/>
      <c r="AJ102" s="1257"/>
      <c r="AK102" s="1257"/>
      <c r="AL102" s="1257"/>
      <c r="AM102" s="1257"/>
      <c r="AN102" s="1257"/>
      <c r="AO102" s="1257"/>
      <c r="AP102" s="1256"/>
      <c r="AQ102" s="1256"/>
      <c r="AR102" s="1257"/>
      <c r="AS102" s="1257"/>
      <c r="AT102" s="1257"/>
      <c r="AU102" s="1257"/>
      <c r="AV102" s="1278"/>
      <c r="AW102" s="1278"/>
    </row>
    <row r="103" spans="1:52" s="1260" customFormat="1" ht="11.25">
      <c r="A103" s="1283"/>
      <c r="B103" s="1284"/>
      <c r="C103" s="1285" t="s">
        <v>669</v>
      </c>
      <c r="D103" s="1285"/>
      <c r="E103" s="1285"/>
      <c r="F103" s="1285"/>
      <c r="G103" s="3120">
        <v>26</v>
      </c>
      <c r="H103" s="3120"/>
      <c r="I103" s="3120"/>
      <c r="J103" s="3121">
        <v>22</v>
      </c>
      <c r="K103" s="3121"/>
      <c r="L103" s="3121"/>
      <c r="M103" s="3201">
        <v>11</v>
      </c>
      <c r="N103" s="3201"/>
      <c r="O103" s="3201"/>
      <c r="P103" s="1288"/>
      <c r="Q103" s="3122">
        <f>G103*J103*M103</f>
        <v>6292</v>
      </c>
      <c r="R103" s="3122"/>
      <c r="S103" s="3122"/>
      <c r="T103" s="3123" t="s">
        <v>27</v>
      </c>
      <c r="U103" s="3123"/>
      <c r="V103" s="3123"/>
      <c r="W103" s="3118">
        <v>30000</v>
      </c>
      <c r="X103" s="3118"/>
      <c r="Y103" s="3118"/>
      <c r="Z103" s="3118"/>
      <c r="AA103" s="3118"/>
      <c r="AB103" s="3124">
        <f>W103*Q103</f>
        <v>188760000</v>
      </c>
      <c r="AC103" s="3124"/>
      <c r="AD103" s="3124"/>
      <c r="AE103" s="3124"/>
      <c r="AF103" s="3124"/>
      <c r="AG103" s="3124"/>
      <c r="AH103" s="1289"/>
      <c r="AI103" s="3125">
        <v>101201100</v>
      </c>
      <c r="AJ103" s="3125"/>
      <c r="AK103" s="3125"/>
      <c r="AL103" s="3125"/>
      <c r="AM103" s="3125"/>
      <c r="AN103" s="3192">
        <v>26</v>
      </c>
      <c r="AO103" s="3192"/>
      <c r="AP103" s="3192"/>
      <c r="AQ103" s="3192"/>
      <c r="AR103" s="3192">
        <f>AI103/AN103</f>
        <v>3892350</v>
      </c>
      <c r="AS103" s="3192"/>
      <c r="AT103" s="3192"/>
      <c r="AU103" s="3192"/>
      <c r="AV103" s="1278"/>
      <c r="AW103" s="1278"/>
      <c r="AX103" s="1290"/>
      <c r="AY103" s="1290"/>
      <c r="AZ103" s="1290"/>
    </row>
    <row r="104" spans="1:52" s="1260" customFormat="1" ht="11.25">
      <c r="A104" s="1283"/>
      <c r="B104" s="1284"/>
      <c r="C104" s="1291" t="s">
        <v>363</v>
      </c>
      <c r="D104" s="1291"/>
      <c r="E104" s="1291"/>
      <c r="F104" s="1291"/>
      <c r="G104" s="3120">
        <v>202</v>
      </c>
      <c r="H104" s="3120"/>
      <c r="I104" s="3120"/>
      <c r="J104" s="3121">
        <v>22</v>
      </c>
      <c r="K104" s="3121"/>
      <c r="L104" s="3121"/>
      <c r="M104" s="3201">
        <v>11</v>
      </c>
      <c r="N104" s="3201"/>
      <c r="O104" s="3201"/>
      <c r="P104" s="1288"/>
      <c r="Q104" s="3122">
        <f t="shared" ref="Q104:Q105" si="3">G104*J104*M104</f>
        <v>48884</v>
      </c>
      <c r="R104" s="3122"/>
      <c r="S104" s="3122"/>
      <c r="T104" s="3123" t="s">
        <v>27</v>
      </c>
      <c r="U104" s="3123"/>
      <c r="V104" s="3123"/>
      <c r="W104" s="3118">
        <v>30000</v>
      </c>
      <c r="X104" s="3118"/>
      <c r="Y104" s="3118"/>
      <c r="Z104" s="3118"/>
      <c r="AA104" s="3118"/>
      <c r="AB104" s="3124">
        <f>W104*Q104</f>
        <v>1466520000</v>
      </c>
      <c r="AC104" s="3124"/>
      <c r="AD104" s="3124"/>
      <c r="AE104" s="3124"/>
      <c r="AF104" s="3124"/>
      <c r="AG104" s="3124"/>
      <c r="AH104" s="1256"/>
      <c r="AI104" s="3125">
        <v>637878100</v>
      </c>
      <c r="AJ104" s="3125"/>
      <c r="AK104" s="3125"/>
      <c r="AL104" s="3125"/>
      <c r="AM104" s="3125"/>
      <c r="AN104" s="3192">
        <v>202</v>
      </c>
      <c r="AO104" s="3192"/>
      <c r="AP104" s="3192"/>
      <c r="AQ104" s="3192"/>
      <c r="AR104" s="3192">
        <f>AI104/AN104</f>
        <v>3157812.3762376239</v>
      </c>
      <c r="AS104" s="3192"/>
      <c r="AT104" s="3192"/>
      <c r="AU104" s="3192"/>
      <c r="AV104" s="1278"/>
      <c r="AW104" s="1278"/>
      <c r="AX104" s="1290"/>
      <c r="AY104" s="1290"/>
      <c r="AZ104" s="1290"/>
    </row>
    <row r="105" spans="1:52" s="1260" customFormat="1" ht="11.25">
      <c r="A105" s="1283"/>
      <c r="B105" s="1284"/>
      <c r="C105" s="1291" t="s">
        <v>670</v>
      </c>
      <c r="D105" s="1291"/>
      <c r="E105" s="1291"/>
      <c r="F105" s="1291"/>
      <c r="G105" s="3120">
        <v>26</v>
      </c>
      <c r="H105" s="3120"/>
      <c r="I105" s="3120"/>
      <c r="J105" s="3121">
        <v>22</v>
      </c>
      <c r="K105" s="3121"/>
      <c r="L105" s="3121"/>
      <c r="M105" s="3201">
        <v>11</v>
      </c>
      <c r="N105" s="3201"/>
      <c r="O105" s="3201"/>
      <c r="P105" s="1288"/>
      <c r="Q105" s="3122">
        <f t="shared" si="3"/>
        <v>6292</v>
      </c>
      <c r="R105" s="3122"/>
      <c r="S105" s="3122"/>
      <c r="T105" s="3123" t="s">
        <v>27</v>
      </c>
      <c r="U105" s="3123"/>
      <c r="V105" s="3123"/>
      <c r="W105" s="3118">
        <v>30000</v>
      </c>
      <c r="X105" s="3118"/>
      <c r="Y105" s="3118"/>
      <c r="Z105" s="3118"/>
      <c r="AA105" s="3118"/>
      <c r="AB105" s="3124">
        <f>W105*Q105</f>
        <v>188760000</v>
      </c>
      <c r="AC105" s="3124"/>
      <c r="AD105" s="3124"/>
      <c r="AE105" s="3124"/>
      <c r="AF105" s="3124"/>
      <c r="AG105" s="3124"/>
      <c r="AH105" s="1256"/>
      <c r="AI105" s="3125">
        <v>70553600</v>
      </c>
      <c r="AJ105" s="3125"/>
      <c r="AK105" s="3125"/>
      <c r="AL105" s="3125"/>
      <c r="AM105" s="3125"/>
      <c r="AN105" s="3192">
        <v>27</v>
      </c>
      <c r="AO105" s="3192"/>
      <c r="AP105" s="3192"/>
      <c r="AQ105" s="3192"/>
      <c r="AR105" s="3192">
        <f>AI105/AN105</f>
        <v>2613096.2962962962</v>
      </c>
      <c r="AS105" s="3192"/>
      <c r="AT105" s="3192"/>
      <c r="AU105" s="3192"/>
      <c r="AV105" s="1278"/>
      <c r="AW105" s="1278"/>
      <c r="AX105" s="1290"/>
      <c r="AY105" s="1290"/>
      <c r="AZ105" s="1290"/>
    </row>
    <row r="106" spans="1:52" s="1260" customFormat="1" ht="11.25">
      <c r="A106" s="1331"/>
      <c r="B106" s="1331"/>
      <c r="C106" s="1332"/>
      <c r="D106" s="1303"/>
      <c r="E106" s="1332"/>
      <c r="F106" s="1332"/>
      <c r="G106" s="1332"/>
      <c r="H106" s="1332"/>
      <c r="I106" s="1747"/>
      <c r="J106" s="1747"/>
      <c r="K106" s="1747"/>
      <c r="L106" s="1748"/>
      <c r="M106" s="1748"/>
      <c r="N106" s="1748"/>
      <c r="O106" s="1743"/>
      <c r="P106" s="1749"/>
      <c r="Q106" s="1750"/>
      <c r="R106" s="1751"/>
      <c r="S106" s="1752"/>
      <c r="T106" s="1753"/>
      <c r="U106" s="1754"/>
      <c r="V106" s="1755"/>
      <c r="W106" s="1740"/>
      <c r="X106" s="1741"/>
      <c r="Y106" s="1741"/>
      <c r="Z106" s="1741"/>
      <c r="AA106" s="1742"/>
      <c r="AB106" s="1744"/>
      <c r="AC106" s="1745"/>
      <c r="AD106" s="1745"/>
      <c r="AE106" s="1745"/>
      <c r="AF106" s="1745"/>
      <c r="AG106" s="1746"/>
      <c r="AH106" s="1256"/>
      <c r="AI106" s="1257"/>
      <c r="AJ106" s="1257"/>
      <c r="AK106" s="1257"/>
      <c r="AL106" s="1257"/>
      <c r="AM106" s="1257"/>
      <c r="AN106" s="1257"/>
      <c r="AO106" s="1257"/>
      <c r="AP106" s="1256"/>
      <c r="AQ106" s="1256"/>
      <c r="AR106" s="1257"/>
      <c r="AS106" s="1257"/>
      <c r="AT106" s="1257"/>
      <c r="AU106" s="1257"/>
      <c r="AV106" s="1278"/>
      <c r="AW106" s="1278"/>
    </row>
    <row r="107" spans="1:52" s="1260" customFormat="1" ht="11.25">
      <c r="A107" s="3107" t="s">
        <v>860</v>
      </c>
      <c r="B107" s="3107"/>
      <c r="C107" s="3107"/>
      <c r="D107" s="3107"/>
      <c r="E107" s="3107"/>
      <c r="F107" s="3107"/>
      <c r="G107" s="3107"/>
      <c r="H107" s="3107"/>
      <c r="I107" s="3107"/>
      <c r="J107" s="3107"/>
      <c r="K107" s="3107"/>
      <c r="L107" s="3107"/>
      <c r="M107" s="3107"/>
      <c r="N107" s="3107"/>
      <c r="O107" s="3107"/>
      <c r="P107" s="3107"/>
      <c r="Q107" s="3107"/>
      <c r="R107" s="3107"/>
      <c r="S107" s="3107"/>
      <c r="T107" s="3107"/>
      <c r="U107" s="3107"/>
      <c r="V107" s="3107"/>
      <c r="W107" s="3107"/>
      <c r="X107" s="3107"/>
      <c r="Y107" s="3107"/>
      <c r="Z107" s="3107"/>
      <c r="AA107" s="3107"/>
      <c r="AB107" s="3108">
        <f>AB12</f>
        <v>25272652623</v>
      </c>
      <c r="AC107" s="3108"/>
      <c r="AD107" s="3108"/>
      <c r="AE107" s="3108"/>
      <c r="AF107" s="3108"/>
      <c r="AG107" s="3108"/>
      <c r="AH107" s="3109">
        <v>26344047623</v>
      </c>
      <c r="AI107" s="3110"/>
      <c r="AJ107" s="3110"/>
      <c r="AK107" s="3110"/>
      <c r="AL107" s="3110"/>
      <c r="AM107" s="1277"/>
      <c r="AN107" s="1277"/>
      <c r="AO107" s="1277"/>
      <c r="AP107" s="1341"/>
      <c r="AQ107" s="1341"/>
      <c r="AR107" s="1257"/>
      <c r="AS107" s="1257"/>
      <c r="AT107" s="1257"/>
      <c r="AU107" s="1257"/>
      <c r="AV107" s="1278"/>
      <c r="AW107" s="1278"/>
    </row>
    <row r="108" spans="1:52">
      <c r="A108" s="1342"/>
      <c r="B108" s="1343"/>
      <c r="C108" s="1343"/>
      <c r="D108" s="1343"/>
      <c r="E108" s="1343"/>
      <c r="F108" s="1343"/>
      <c r="G108" s="1343"/>
      <c r="H108" s="1343"/>
      <c r="I108" s="1343"/>
      <c r="J108" s="1343"/>
      <c r="K108" s="1343"/>
      <c r="L108" s="1343"/>
      <c r="M108" s="1343"/>
      <c r="N108" s="1343"/>
      <c r="O108" s="1343"/>
      <c r="P108" s="1343"/>
      <c r="Q108" s="1344"/>
      <c r="R108" s="1344"/>
      <c r="S108" s="1344"/>
      <c r="T108" s="1344"/>
      <c r="U108" s="1344"/>
      <c r="V108" s="1344"/>
      <c r="W108" s="1344"/>
      <c r="X108" s="1344"/>
      <c r="Y108" s="1344"/>
      <c r="Z108" s="1344"/>
      <c r="AA108" s="1344"/>
      <c r="AB108" s="1344"/>
      <c r="AC108" s="1344"/>
      <c r="AD108" s="1344"/>
      <c r="AE108" s="1344"/>
      <c r="AF108" s="1344"/>
      <c r="AG108" s="1345"/>
    </row>
    <row r="109" spans="1:52">
      <c r="A109" s="1346" t="s">
        <v>727</v>
      </c>
      <c r="B109" s="1347"/>
      <c r="C109" s="1348"/>
      <c r="D109" s="1348"/>
      <c r="E109" s="1348"/>
      <c r="F109" s="1348"/>
      <c r="G109" s="1349" t="s">
        <v>523</v>
      </c>
      <c r="H109" s="1350" t="s">
        <v>728</v>
      </c>
      <c r="I109" s="1350"/>
      <c r="J109" s="1348" t="s">
        <v>729</v>
      </c>
      <c r="K109" s="1348"/>
      <c r="L109" s="1348" t="s">
        <v>523</v>
      </c>
      <c r="M109" s="1348" t="s">
        <v>730</v>
      </c>
      <c r="N109" s="1350"/>
      <c r="O109" s="1351"/>
      <c r="P109" s="1352"/>
      <c r="Q109" s="1353"/>
      <c r="R109" s="1353"/>
      <c r="S109" s="1353"/>
      <c r="T109" s="3111" t="s">
        <v>1534</v>
      </c>
      <c r="U109" s="3111"/>
      <c r="V109" s="3111"/>
      <c r="W109" s="3111"/>
      <c r="X109" s="3111"/>
      <c r="Y109" s="3111"/>
      <c r="Z109" s="3111"/>
      <c r="AA109" s="3111"/>
      <c r="AB109" s="3111"/>
      <c r="AC109" s="3111"/>
      <c r="AD109" s="3111"/>
      <c r="AE109" s="3111"/>
      <c r="AF109" s="3111"/>
      <c r="AG109" s="3112"/>
      <c r="AH109" s="3109">
        <f>AH107-AB107</f>
        <v>1071395000</v>
      </c>
      <c r="AI109" s="3113"/>
      <c r="AJ109" s="3113"/>
      <c r="AK109" s="3113"/>
      <c r="AL109" s="3113"/>
    </row>
    <row r="110" spans="1:52">
      <c r="A110" s="1354"/>
      <c r="B110" s="1350"/>
      <c r="C110" s="1350"/>
      <c r="D110" s="1350"/>
      <c r="E110" s="1350"/>
      <c r="F110" s="1350"/>
      <c r="G110" s="1350" t="s">
        <v>523</v>
      </c>
      <c r="H110" s="1350" t="s">
        <v>731</v>
      </c>
      <c r="I110" s="1348"/>
      <c r="J110" s="1348" t="s">
        <v>732</v>
      </c>
      <c r="K110" s="1348"/>
      <c r="L110" s="1348" t="s">
        <v>523</v>
      </c>
      <c r="M110" s="1348" t="s">
        <v>733</v>
      </c>
      <c r="N110" s="1348"/>
      <c r="O110" s="1351"/>
      <c r="P110" s="1352"/>
      <c r="Q110" s="1353"/>
      <c r="R110" s="1353"/>
      <c r="S110" s="1353"/>
      <c r="T110" s="3099" t="s">
        <v>272</v>
      </c>
      <c r="U110" s="3099"/>
      <c r="V110" s="3099"/>
      <c r="W110" s="3099"/>
      <c r="X110" s="3099"/>
      <c r="Y110" s="3099" t="s">
        <v>1230</v>
      </c>
      <c r="Z110" s="3099"/>
      <c r="AA110" s="3099"/>
      <c r="AB110" s="3099"/>
      <c r="AC110" s="3099"/>
      <c r="AD110" s="3099"/>
      <c r="AE110" s="3099"/>
      <c r="AF110" s="3099"/>
      <c r="AG110" s="3100"/>
    </row>
    <row r="111" spans="1:52">
      <c r="A111" s="1354"/>
      <c r="B111" s="1350"/>
      <c r="C111" s="1350"/>
      <c r="D111" s="1350"/>
      <c r="E111" s="1350"/>
      <c r="F111" s="1350"/>
      <c r="G111" s="1350" t="s">
        <v>523</v>
      </c>
      <c r="H111" s="1350" t="s">
        <v>734</v>
      </c>
      <c r="I111" s="1348"/>
      <c r="J111" s="1348" t="s">
        <v>735</v>
      </c>
      <c r="K111" s="1348"/>
      <c r="L111" s="1348" t="s">
        <v>523</v>
      </c>
      <c r="M111" s="1348" t="s">
        <v>736</v>
      </c>
      <c r="N111" s="1348"/>
      <c r="O111" s="1351"/>
      <c r="P111" s="1352"/>
      <c r="Q111" s="1353"/>
      <c r="R111" s="1353"/>
      <c r="S111" s="1353"/>
      <c r="T111" s="1353"/>
      <c r="U111" s="1353"/>
      <c r="V111" s="1353"/>
      <c r="W111" s="1353"/>
      <c r="X111" s="1353"/>
      <c r="Y111" s="3099"/>
      <c r="Z111" s="3099"/>
      <c r="AA111" s="3099"/>
      <c r="AB111" s="3099"/>
      <c r="AC111" s="3099"/>
      <c r="AD111" s="3099"/>
      <c r="AE111" s="3099"/>
      <c r="AF111" s="3099"/>
      <c r="AG111" s="3100"/>
    </row>
    <row r="112" spans="1:52">
      <c r="A112" s="1354"/>
      <c r="B112" s="1347"/>
      <c r="C112" s="1348"/>
      <c r="D112" s="1348"/>
      <c r="E112" s="1348"/>
      <c r="F112" s="1348"/>
      <c r="G112" s="1348" t="s">
        <v>523</v>
      </c>
      <c r="H112" s="1350" t="s">
        <v>737</v>
      </c>
      <c r="I112" s="1348"/>
      <c r="J112" s="1348"/>
      <c r="K112" s="1348"/>
      <c r="L112" s="1348"/>
      <c r="M112" s="1348"/>
      <c r="N112" s="1348"/>
      <c r="O112" s="1351"/>
      <c r="P112" s="1352"/>
      <c r="Q112" s="1353"/>
      <c r="R112" s="1353"/>
      <c r="S112" s="1353"/>
      <c r="T112" s="1353"/>
      <c r="U112" s="1353"/>
      <c r="V112" s="1353"/>
      <c r="W112" s="1353"/>
      <c r="X112" s="1353"/>
      <c r="Y112" s="1353"/>
      <c r="Z112" s="1353"/>
      <c r="AA112" s="1353"/>
      <c r="AB112" s="1353"/>
      <c r="AC112" s="1353"/>
      <c r="AD112" s="1353"/>
      <c r="AE112" s="1353"/>
      <c r="AF112" s="1353"/>
      <c r="AG112" s="1355"/>
    </row>
    <row r="113" spans="1:49">
      <c r="A113" s="1356"/>
      <c r="B113" s="1351"/>
      <c r="C113" s="1348"/>
      <c r="D113" s="1348"/>
      <c r="E113" s="1348"/>
      <c r="F113" s="1348"/>
      <c r="G113" s="1348" t="s">
        <v>523</v>
      </c>
      <c r="H113" s="1348" t="s">
        <v>738</v>
      </c>
      <c r="I113" s="1348"/>
      <c r="J113" s="1348"/>
      <c r="K113" s="1351"/>
      <c r="L113" s="1351"/>
      <c r="M113" s="1351"/>
      <c r="N113" s="1351"/>
      <c r="O113" s="1351"/>
      <c r="P113" s="1352"/>
      <c r="Q113" s="1353"/>
      <c r="R113" s="1353"/>
      <c r="S113" s="1353"/>
      <c r="T113" s="3101" t="s">
        <v>904</v>
      </c>
      <c r="U113" s="3101"/>
      <c r="V113" s="3101"/>
      <c r="W113" s="3101"/>
      <c r="X113" s="3101"/>
      <c r="Y113" s="3101"/>
      <c r="Z113" s="3101"/>
      <c r="AA113" s="3101"/>
      <c r="AB113" s="3101"/>
      <c r="AC113" s="3101"/>
      <c r="AD113" s="3101"/>
      <c r="AE113" s="3101"/>
      <c r="AF113" s="3101"/>
      <c r="AG113" s="3102"/>
    </row>
    <row r="114" spans="1:49" ht="10.9" customHeight="1">
      <c r="A114" s="1357"/>
      <c r="B114" s="1358"/>
      <c r="C114" s="1359"/>
      <c r="D114" s="1359"/>
      <c r="E114" s="1359"/>
      <c r="F114" s="1359"/>
      <c r="G114" s="1359"/>
      <c r="H114" s="1359"/>
      <c r="I114" s="1359"/>
      <c r="J114" s="1358"/>
      <c r="K114" s="1358"/>
      <c r="L114" s="1358"/>
      <c r="M114" s="1358"/>
      <c r="N114" s="1358"/>
      <c r="O114" s="1358"/>
      <c r="P114" s="1360"/>
      <c r="Q114" s="1361"/>
      <c r="R114" s="1361"/>
      <c r="S114" s="1361"/>
      <c r="T114" s="3103" t="s">
        <v>906</v>
      </c>
      <c r="U114" s="3103"/>
      <c r="V114" s="3103"/>
      <c r="W114" s="3103"/>
      <c r="X114" s="3103"/>
      <c r="Y114" s="3103"/>
      <c r="Z114" s="3103"/>
      <c r="AA114" s="3103"/>
      <c r="AB114" s="3103"/>
      <c r="AC114" s="3103"/>
      <c r="AD114" s="3103"/>
      <c r="AE114" s="3103"/>
      <c r="AF114" s="3103"/>
      <c r="AG114" s="3104"/>
    </row>
    <row r="115" spans="1:49" s="1363" customFormat="1" ht="12.75">
      <c r="A115" s="1362" t="s">
        <v>972</v>
      </c>
      <c r="B115" s="1362"/>
      <c r="C115" s="1362"/>
      <c r="D115" s="1362"/>
      <c r="E115" s="1362"/>
      <c r="F115" s="1362"/>
      <c r="H115" s="1362" t="s">
        <v>523</v>
      </c>
      <c r="Q115" s="1364"/>
      <c r="R115" s="1364"/>
      <c r="S115" s="1364"/>
      <c r="T115" s="1364"/>
      <c r="U115" s="1364"/>
      <c r="V115" s="1364"/>
      <c r="W115" s="1364"/>
      <c r="X115" s="1364"/>
      <c r="Y115" s="1364"/>
      <c r="Z115" s="1364"/>
      <c r="AA115" s="1364"/>
      <c r="AB115" s="1364"/>
      <c r="AC115" s="1364"/>
      <c r="AD115" s="1364"/>
      <c r="AE115" s="1364"/>
      <c r="AF115" s="1364"/>
      <c r="AG115" s="1364"/>
      <c r="AH115" s="1348"/>
      <c r="AI115" s="1365"/>
      <c r="AJ115" s="1365"/>
      <c r="AK115" s="1365"/>
      <c r="AL115" s="1365"/>
      <c r="AM115" s="1365"/>
      <c r="AN115" s="1365"/>
      <c r="AO115" s="1365"/>
      <c r="AP115" s="1348"/>
      <c r="AQ115" s="1348"/>
      <c r="AR115" s="1365"/>
      <c r="AS115" s="1365"/>
      <c r="AT115" s="1365"/>
      <c r="AU115" s="1365"/>
      <c r="AV115" s="1366"/>
      <c r="AW115" s="1366"/>
    </row>
    <row r="116" spans="1:49" s="1363" customFormat="1" ht="12.75">
      <c r="A116" s="1362" t="s">
        <v>973</v>
      </c>
      <c r="B116" s="1362"/>
      <c r="C116" s="1362"/>
      <c r="D116" s="1362"/>
      <c r="E116" s="1362"/>
      <c r="F116" s="1362"/>
      <c r="H116" s="1362" t="s">
        <v>523</v>
      </c>
      <c r="Q116" s="1364"/>
      <c r="R116" s="1364"/>
      <c r="S116" s="1364"/>
      <c r="T116" s="1364"/>
      <c r="U116" s="1364"/>
      <c r="V116" s="1364"/>
      <c r="W116" s="1364"/>
      <c r="X116" s="1364"/>
      <c r="Y116" s="1364"/>
      <c r="Z116" s="1364"/>
      <c r="AA116" s="1364"/>
      <c r="AB116" s="1364"/>
      <c r="AC116" s="1364"/>
      <c r="AD116" s="1364"/>
      <c r="AE116" s="1364"/>
      <c r="AF116" s="1364"/>
      <c r="AG116" s="1364"/>
      <c r="AH116" s="1348"/>
      <c r="AI116" s="1365"/>
      <c r="AJ116" s="1365"/>
      <c r="AK116" s="1365"/>
      <c r="AL116" s="1365"/>
      <c r="AM116" s="1365"/>
      <c r="AN116" s="1365"/>
      <c r="AO116" s="1365"/>
      <c r="AP116" s="1348"/>
      <c r="AQ116" s="1348"/>
      <c r="AR116" s="1365"/>
      <c r="AS116" s="1365"/>
      <c r="AT116" s="1365"/>
      <c r="AU116" s="1365"/>
      <c r="AV116" s="1366"/>
      <c r="AW116" s="1366"/>
    </row>
    <row r="117" spans="1:49" s="1363" customFormat="1" ht="12.75">
      <c r="A117" s="1362" t="s">
        <v>974</v>
      </c>
      <c r="B117" s="1362"/>
      <c r="C117" s="1362"/>
      <c r="D117" s="1362"/>
      <c r="E117" s="1362"/>
      <c r="F117" s="1362"/>
      <c r="H117" s="1362" t="s">
        <v>523</v>
      </c>
      <c r="Q117" s="1364"/>
      <c r="R117" s="1364"/>
      <c r="S117" s="1364"/>
      <c r="T117" s="1364"/>
      <c r="U117" s="1364"/>
      <c r="V117" s="1364"/>
      <c r="W117" s="1364"/>
      <c r="X117" s="1364"/>
      <c r="Y117" s="1364"/>
      <c r="Z117" s="1364"/>
      <c r="AA117" s="1364"/>
      <c r="AB117" s="1364"/>
      <c r="AC117" s="1364"/>
      <c r="AD117" s="1364"/>
      <c r="AE117" s="1364"/>
      <c r="AF117" s="1364"/>
      <c r="AG117" s="1364"/>
      <c r="AH117" s="1348"/>
      <c r="AI117" s="1365"/>
      <c r="AJ117" s="1365"/>
      <c r="AK117" s="1365"/>
      <c r="AL117" s="1365"/>
      <c r="AM117" s="1365"/>
      <c r="AN117" s="1365"/>
      <c r="AO117" s="1365"/>
      <c r="AP117" s="1348"/>
      <c r="AQ117" s="1348"/>
      <c r="AR117" s="1365"/>
      <c r="AS117" s="1365"/>
      <c r="AT117" s="1365"/>
      <c r="AU117" s="1365"/>
      <c r="AV117" s="1366"/>
      <c r="AW117" s="1366"/>
    </row>
    <row r="118" spans="1:49" s="1363" customFormat="1" ht="12.75">
      <c r="A118" s="3105" t="s">
        <v>975</v>
      </c>
      <c r="B118" s="3105"/>
      <c r="C118" s="3105"/>
      <c r="D118" s="3105"/>
      <c r="E118" s="3105"/>
      <c r="F118" s="3105"/>
      <c r="G118" s="3105"/>
      <c r="H118" s="3105"/>
      <c r="I118" s="3105"/>
      <c r="J118" s="3105"/>
      <c r="K118" s="3105"/>
      <c r="L118" s="3105"/>
      <c r="M118" s="3105"/>
      <c r="N118" s="3105"/>
      <c r="O118" s="3105"/>
      <c r="P118" s="3105"/>
      <c r="Q118" s="3105"/>
      <c r="R118" s="3105"/>
      <c r="S118" s="3105"/>
      <c r="T118" s="3105"/>
      <c r="U118" s="3105"/>
      <c r="V118" s="3105"/>
      <c r="W118" s="3105"/>
      <c r="X118" s="3105"/>
      <c r="Y118" s="3105"/>
      <c r="Z118" s="3105"/>
      <c r="AA118" s="3105"/>
      <c r="AB118" s="3105"/>
      <c r="AC118" s="3105"/>
      <c r="AD118" s="3105"/>
      <c r="AE118" s="3105"/>
      <c r="AF118" s="3105"/>
      <c r="AG118" s="3105"/>
      <c r="AH118" s="1348"/>
      <c r="AI118" s="1365"/>
      <c r="AJ118" s="1365"/>
      <c r="AK118" s="1365"/>
      <c r="AL118" s="1365"/>
      <c r="AM118" s="1365"/>
      <c r="AN118" s="1365"/>
      <c r="AO118" s="1365"/>
      <c r="AP118" s="1348"/>
      <c r="AQ118" s="1348"/>
      <c r="AR118" s="1365"/>
      <c r="AS118" s="1365"/>
      <c r="AT118" s="1365"/>
      <c r="AU118" s="1365"/>
      <c r="AV118" s="1366"/>
      <c r="AW118" s="1366"/>
    </row>
    <row r="119" spans="1:49" s="1362" customFormat="1" ht="11.25">
      <c r="A119" s="1367" t="s">
        <v>861</v>
      </c>
      <c r="B119" s="3106"/>
      <c r="C119" s="3106"/>
      <c r="D119" s="3106"/>
      <c r="E119" s="3106"/>
      <c r="F119" s="3106"/>
      <c r="G119" s="3106"/>
      <c r="H119" s="3106"/>
      <c r="I119" s="3106"/>
      <c r="J119" s="3106"/>
      <c r="K119" s="3106"/>
      <c r="L119" s="3106" t="s">
        <v>976</v>
      </c>
      <c r="M119" s="3106"/>
      <c r="N119" s="3106"/>
      <c r="O119" s="3106"/>
      <c r="P119" s="3106"/>
      <c r="Q119" s="3106"/>
      <c r="R119" s="3106" t="s">
        <v>977</v>
      </c>
      <c r="S119" s="3106"/>
      <c r="T119" s="3106"/>
      <c r="U119" s="3106"/>
      <c r="V119" s="3106"/>
      <c r="W119" s="3106"/>
      <c r="X119" s="3106"/>
      <c r="Y119" s="3106"/>
      <c r="Z119" s="3106"/>
      <c r="AA119" s="3106"/>
      <c r="AB119" s="3106"/>
      <c r="AC119" s="3106"/>
      <c r="AD119" s="3106" t="s">
        <v>1231</v>
      </c>
      <c r="AE119" s="3106"/>
      <c r="AF119" s="3106"/>
      <c r="AG119" s="3106"/>
      <c r="AH119" s="1368"/>
      <c r="AI119" s="1369"/>
      <c r="AJ119" s="1369"/>
      <c r="AK119" s="1369"/>
      <c r="AL119" s="1369"/>
      <c r="AM119" s="1369"/>
      <c r="AN119" s="1369"/>
      <c r="AO119" s="1369"/>
      <c r="AP119" s="1368"/>
      <c r="AQ119" s="1368"/>
      <c r="AR119" s="1369"/>
      <c r="AS119" s="1369"/>
      <c r="AT119" s="1369"/>
      <c r="AU119" s="1369"/>
      <c r="AV119" s="1370"/>
      <c r="AW119" s="1370"/>
    </row>
    <row r="120" spans="1:49" s="1373" customFormat="1" ht="11.25">
      <c r="A120" s="1371">
        <v>1</v>
      </c>
      <c r="B120" s="3096"/>
      <c r="C120" s="3096"/>
      <c r="D120" s="3096"/>
      <c r="E120" s="3096"/>
      <c r="F120" s="3096"/>
      <c r="G120" s="3096"/>
      <c r="H120" s="3096"/>
      <c r="I120" s="3096"/>
      <c r="J120" s="3096"/>
      <c r="K120" s="3096"/>
      <c r="L120" s="3098" t="s">
        <v>978</v>
      </c>
      <c r="M120" s="3097"/>
      <c r="N120" s="3097"/>
      <c r="O120" s="3097"/>
      <c r="P120" s="3097"/>
      <c r="Q120" s="3097"/>
      <c r="R120" s="3096" t="s">
        <v>979</v>
      </c>
      <c r="S120" s="3096"/>
      <c r="T120" s="3096"/>
      <c r="U120" s="3096"/>
      <c r="V120" s="3096"/>
      <c r="W120" s="3096"/>
      <c r="X120" s="3096"/>
      <c r="Y120" s="3096"/>
      <c r="Z120" s="3096"/>
      <c r="AA120" s="3096"/>
      <c r="AB120" s="3096"/>
      <c r="AC120" s="3096"/>
      <c r="AD120" s="3097"/>
      <c r="AE120" s="3097"/>
      <c r="AF120" s="3097"/>
      <c r="AG120" s="3097"/>
      <c r="AH120" s="1348"/>
      <c r="AI120" s="1365"/>
      <c r="AJ120" s="1365"/>
      <c r="AK120" s="1365"/>
      <c r="AL120" s="1365"/>
      <c r="AM120" s="1365"/>
      <c r="AN120" s="1365"/>
      <c r="AO120" s="1365"/>
      <c r="AP120" s="1348"/>
      <c r="AQ120" s="1348"/>
      <c r="AR120" s="1365"/>
      <c r="AS120" s="1365"/>
      <c r="AT120" s="1365"/>
      <c r="AU120" s="1365"/>
      <c r="AV120" s="1372"/>
      <c r="AW120" s="1372"/>
    </row>
    <row r="121" spans="1:49" s="1373" customFormat="1" ht="11.25">
      <c r="A121" s="1371">
        <v>2</v>
      </c>
      <c r="B121" s="3096"/>
      <c r="C121" s="3096"/>
      <c r="D121" s="3096"/>
      <c r="E121" s="3096"/>
      <c r="F121" s="3096"/>
      <c r="G121" s="3096"/>
      <c r="H121" s="3096"/>
      <c r="I121" s="3096"/>
      <c r="J121" s="3096"/>
      <c r="K121" s="3096"/>
      <c r="L121" s="3097" t="s">
        <v>980</v>
      </c>
      <c r="M121" s="3097"/>
      <c r="N121" s="3097"/>
      <c r="O121" s="3097"/>
      <c r="P121" s="3097"/>
      <c r="Q121" s="3097"/>
      <c r="R121" s="3096" t="s">
        <v>981</v>
      </c>
      <c r="S121" s="3096"/>
      <c r="T121" s="3096"/>
      <c r="U121" s="3096"/>
      <c r="V121" s="3096"/>
      <c r="W121" s="3096"/>
      <c r="X121" s="3096"/>
      <c r="Y121" s="3096"/>
      <c r="Z121" s="3096"/>
      <c r="AA121" s="3096"/>
      <c r="AB121" s="3096"/>
      <c r="AC121" s="3096"/>
      <c r="AD121" s="3097"/>
      <c r="AE121" s="3097"/>
      <c r="AF121" s="3097"/>
      <c r="AG121" s="3097"/>
      <c r="AH121" s="1348"/>
      <c r="AI121" s="1365"/>
      <c r="AJ121" s="1365"/>
      <c r="AK121" s="1365"/>
      <c r="AL121" s="1365"/>
      <c r="AM121" s="1365"/>
      <c r="AN121" s="1365"/>
      <c r="AO121" s="1365"/>
      <c r="AP121" s="1348"/>
      <c r="AQ121" s="1348"/>
      <c r="AR121" s="1365"/>
      <c r="AS121" s="1365"/>
      <c r="AT121" s="1365"/>
      <c r="AU121" s="1365"/>
      <c r="AV121" s="1372"/>
      <c r="AW121" s="1372"/>
    </row>
    <row r="122" spans="1:49" s="1373" customFormat="1" ht="11.25">
      <c r="A122" s="1371">
        <v>3</v>
      </c>
      <c r="B122" s="3096"/>
      <c r="C122" s="3096"/>
      <c r="D122" s="3096"/>
      <c r="E122" s="3096"/>
      <c r="F122" s="3096"/>
      <c r="G122" s="3096"/>
      <c r="H122" s="3096"/>
      <c r="I122" s="3096"/>
      <c r="J122" s="3096"/>
      <c r="K122" s="3096"/>
      <c r="L122" s="3097" t="s">
        <v>982</v>
      </c>
      <c r="M122" s="3097"/>
      <c r="N122" s="3097"/>
      <c r="O122" s="3097"/>
      <c r="P122" s="3097"/>
      <c r="Q122" s="3097"/>
      <c r="R122" s="3096" t="s">
        <v>983</v>
      </c>
      <c r="S122" s="3096"/>
      <c r="T122" s="3096"/>
      <c r="U122" s="3096"/>
      <c r="V122" s="3096"/>
      <c r="W122" s="3096"/>
      <c r="X122" s="3096"/>
      <c r="Y122" s="3096"/>
      <c r="Z122" s="3096"/>
      <c r="AA122" s="3096"/>
      <c r="AB122" s="3096"/>
      <c r="AC122" s="3096"/>
      <c r="AD122" s="3097"/>
      <c r="AE122" s="3097"/>
      <c r="AF122" s="3097"/>
      <c r="AG122" s="3097"/>
      <c r="AH122" s="1348"/>
      <c r="AI122" s="1365"/>
      <c r="AJ122" s="1365"/>
      <c r="AK122" s="1365"/>
      <c r="AL122" s="1365"/>
      <c r="AM122" s="1365"/>
      <c r="AN122" s="1365"/>
      <c r="AO122" s="1365"/>
      <c r="AP122" s="1348"/>
      <c r="AQ122" s="1348"/>
      <c r="AR122" s="1365"/>
      <c r="AS122" s="1365"/>
      <c r="AT122" s="1365"/>
      <c r="AU122" s="1365"/>
      <c r="AV122" s="1372"/>
      <c r="AW122" s="1372"/>
    </row>
    <row r="123" spans="1:49" s="1373" customFormat="1" ht="11.25">
      <c r="A123" s="1371">
        <v>4</v>
      </c>
      <c r="B123" s="3096"/>
      <c r="C123" s="3096"/>
      <c r="D123" s="3096"/>
      <c r="E123" s="3096"/>
      <c r="F123" s="3096"/>
      <c r="G123" s="3096"/>
      <c r="H123" s="3096"/>
      <c r="I123" s="3096"/>
      <c r="J123" s="3096"/>
      <c r="K123" s="3096"/>
      <c r="L123" s="3097" t="s">
        <v>984</v>
      </c>
      <c r="M123" s="3097"/>
      <c r="N123" s="3097"/>
      <c r="O123" s="3097"/>
      <c r="P123" s="3097"/>
      <c r="Q123" s="3097"/>
      <c r="R123" s="3096" t="s">
        <v>985</v>
      </c>
      <c r="S123" s="3096"/>
      <c r="T123" s="3096"/>
      <c r="U123" s="3096"/>
      <c r="V123" s="3096"/>
      <c r="W123" s="3096"/>
      <c r="X123" s="3096"/>
      <c r="Y123" s="3096"/>
      <c r="Z123" s="3096"/>
      <c r="AA123" s="3096"/>
      <c r="AB123" s="3096"/>
      <c r="AC123" s="3096"/>
      <c r="AD123" s="3097"/>
      <c r="AE123" s="3097"/>
      <c r="AF123" s="3097"/>
      <c r="AG123" s="3097"/>
      <c r="AH123" s="1348"/>
      <c r="AI123" s="1365"/>
      <c r="AJ123" s="1365"/>
      <c r="AK123" s="1365"/>
      <c r="AL123" s="1365"/>
      <c r="AM123" s="1365"/>
      <c r="AN123" s="1365"/>
      <c r="AO123" s="1365"/>
      <c r="AP123" s="1348"/>
      <c r="AQ123" s="1348"/>
      <c r="AR123" s="1365"/>
      <c r="AS123" s="1365"/>
      <c r="AT123" s="1365"/>
      <c r="AU123" s="1365"/>
      <c r="AV123" s="1372"/>
      <c r="AW123" s="1372"/>
    </row>
    <row r="124" spans="1:49">
      <c r="Q124" s="1274"/>
      <c r="R124" s="1274"/>
      <c r="S124" s="1274"/>
      <c r="T124" s="1274"/>
      <c r="U124" s="1274"/>
      <c r="V124" s="1274"/>
      <c r="W124" s="1274"/>
      <c r="X124" s="1274"/>
      <c r="Y124" s="1274"/>
      <c r="Z124" s="1274"/>
      <c r="AA124" s="1274"/>
      <c r="AB124" s="1274"/>
      <c r="AC124" s="1274"/>
      <c r="AD124" s="1274"/>
      <c r="AE124" s="1274"/>
      <c r="AF124" s="1274"/>
      <c r="AG124" s="1274"/>
    </row>
    <row r="125" spans="1:49" s="1260" customFormat="1" ht="11.25">
      <c r="AH125" s="1256"/>
      <c r="AI125" s="1257"/>
      <c r="AJ125" s="1257"/>
      <c r="AK125" s="1257"/>
      <c r="AL125" s="1257"/>
      <c r="AM125" s="1257"/>
      <c r="AN125" s="1257"/>
      <c r="AO125" s="1257"/>
      <c r="AP125" s="1256"/>
      <c r="AQ125" s="1256"/>
      <c r="AR125" s="1257"/>
      <c r="AS125" s="1257"/>
      <c r="AT125" s="1257"/>
      <c r="AU125" s="1257"/>
      <c r="AV125" s="1278"/>
      <c r="AW125" s="1278"/>
    </row>
    <row r="126" spans="1:49" s="1260" customFormat="1" ht="11.25">
      <c r="AH126" s="1256"/>
      <c r="AI126" s="1257"/>
      <c r="AJ126" s="1257"/>
      <c r="AK126" s="1257"/>
      <c r="AL126" s="1257"/>
      <c r="AM126" s="1257"/>
      <c r="AN126" s="1257"/>
      <c r="AO126" s="1257"/>
      <c r="AP126" s="1256"/>
      <c r="AQ126" s="1256"/>
      <c r="AR126" s="1257"/>
      <c r="AS126" s="1257"/>
      <c r="AT126" s="1257"/>
      <c r="AU126" s="1257"/>
      <c r="AV126" s="1278"/>
      <c r="AW126" s="1278"/>
    </row>
    <row r="127" spans="1:49" s="1260" customFormat="1" ht="11.25">
      <c r="AH127" s="1256"/>
      <c r="AI127" s="1257"/>
      <c r="AJ127" s="1257"/>
      <c r="AK127" s="1257"/>
      <c r="AL127" s="1257"/>
      <c r="AM127" s="1257"/>
      <c r="AN127" s="1257"/>
      <c r="AO127" s="1257"/>
      <c r="AP127" s="1256"/>
      <c r="AQ127" s="1256"/>
      <c r="AR127" s="1257"/>
      <c r="AS127" s="1257"/>
      <c r="AT127" s="1257"/>
      <c r="AU127" s="1257"/>
      <c r="AV127" s="1278"/>
      <c r="AW127" s="1278"/>
    </row>
    <row r="128" spans="1:49">
      <c r="Q128" s="1274"/>
      <c r="R128" s="1274"/>
      <c r="S128" s="1274"/>
      <c r="T128" s="1274"/>
      <c r="U128" s="1274"/>
      <c r="V128" s="1274"/>
      <c r="W128" s="1274"/>
      <c r="X128" s="1274"/>
      <c r="Y128" s="1274"/>
      <c r="Z128" s="1274"/>
      <c r="AA128" s="1274"/>
      <c r="AB128" s="1274"/>
      <c r="AC128" s="1274"/>
      <c r="AD128" s="1274"/>
      <c r="AE128" s="1274"/>
      <c r="AF128" s="1274"/>
      <c r="AG128" s="1274"/>
    </row>
    <row r="129" spans="1:52">
      <c r="Q129" s="1274"/>
      <c r="R129" s="1274"/>
      <c r="S129" s="1274"/>
      <c r="T129" s="1274"/>
      <c r="U129" s="1274"/>
      <c r="V129" s="1274"/>
      <c r="W129" s="1274"/>
      <c r="X129" s="1274"/>
      <c r="Y129" s="1274"/>
      <c r="Z129" s="1274"/>
      <c r="AA129" s="1274"/>
      <c r="AB129" s="1274"/>
      <c r="AC129" s="1274"/>
      <c r="AD129" s="1274"/>
      <c r="AE129" s="1274"/>
      <c r="AF129" s="1274"/>
      <c r="AG129" s="1274"/>
    </row>
    <row r="130" spans="1:52" s="1256" customFormat="1">
      <c r="A130" s="1259"/>
      <c r="B130" s="1259"/>
      <c r="C130" s="1259"/>
      <c r="D130" s="1259"/>
      <c r="E130" s="1259"/>
      <c r="F130" s="1259"/>
      <c r="G130" s="1259"/>
      <c r="H130" s="1259"/>
      <c r="I130" s="1259"/>
      <c r="J130" s="1259"/>
      <c r="K130" s="1259"/>
      <c r="L130" s="1259"/>
      <c r="M130" s="1259"/>
      <c r="N130" s="1259"/>
      <c r="O130" s="1259"/>
      <c r="P130" s="1259"/>
      <c r="Q130" s="1274"/>
      <c r="R130" s="1274"/>
      <c r="S130" s="1274"/>
      <c r="T130" s="1274"/>
      <c r="U130" s="1274"/>
      <c r="V130" s="1274"/>
      <c r="W130" s="1274"/>
      <c r="X130" s="1274"/>
      <c r="Y130" s="1274"/>
      <c r="Z130" s="1274"/>
      <c r="AA130" s="1274"/>
      <c r="AB130" s="1274"/>
      <c r="AC130" s="1274"/>
      <c r="AD130" s="1274"/>
      <c r="AE130" s="1274"/>
      <c r="AF130" s="1274"/>
      <c r="AG130" s="1274"/>
      <c r="AI130" s="1257"/>
      <c r="AJ130" s="1257"/>
      <c r="AK130" s="1257"/>
      <c r="AL130" s="1257"/>
      <c r="AM130" s="1257"/>
      <c r="AN130" s="1257"/>
      <c r="AO130" s="1257"/>
      <c r="AR130" s="1257"/>
      <c r="AS130" s="1257"/>
      <c r="AT130" s="1257"/>
      <c r="AU130" s="1257"/>
      <c r="AV130" s="1258"/>
      <c r="AW130" s="1258"/>
      <c r="AX130" s="1259"/>
      <c r="AY130" s="1259"/>
      <c r="AZ130" s="1259"/>
    </row>
    <row r="131" spans="1:52" s="1256" customFormat="1">
      <c r="A131" s="1259"/>
      <c r="B131" s="1259"/>
      <c r="C131" s="1259"/>
      <c r="D131" s="1259"/>
      <c r="E131" s="1259"/>
      <c r="F131" s="1259"/>
      <c r="G131" s="1259"/>
      <c r="H131" s="1259"/>
      <c r="I131" s="1259"/>
      <c r="J131" s="1259"/>
      <c r="K131" s="1259"/>
      <c r="L131" s="1259"/>
      <c r="M131" s="1259"/>
      <c r="N131" s="1259"/>
      <c r="O131" s="1259"/>
      <c r="P131" s="1259"/>
      <c r="Q131" s="1274"/>
      <c r="R131" s="1274"/>
      <c r="S131" s="1274"/>
      <c r="T131" s="1274"/>
      <c r="U131" s="1274"/>
      <c r="V131" s="1274"/>
      <c r="W131" s="1274"/>
      <c r="X131" s="1274"/>
      <c r="Y131" s="1274"/>
      <c r="Z131" s="1274"/>
      <c r="AA131" s="1274"/>
      <c r="AB131" s="1274"/>
      <c r="AC131" s="1274"/>
      <c r="AD131" s="1274"/>
      <c r="AE131" s="1274"/>
      <c r="AF131" s="1274"/>
      <c r="AG131" s="1274"/>
      <c r="AI131" s="1257"/>
      <c r="AJ131" s="1257"/>
      <c r="AK131" s="1257"/>
      <c r="AL131" s="1257"/>
      <c r="AM131" s="1257"/>
      <c r="AN131" s="1257"/>
      <c r="AO131" s="1257"/>
      <c r="AR131" s="1257"/>
      <c r="AS131" s="1257"/>
      <c r="AT131" s="1257"/>
      <c r="AU131" s="1257"/>
      <c r="AV131" s="1258"/>
      <c r="AW131" s="1258"/>
      <c r="AX131" s="1259"/>
      <c r="AY131" s="1259"/>
      <c r="AZ131" s="1259"/>
    </row>
    <row r="132" spans="1:52" s="1256" customFormat="1">
      <c r="A132" s="1259"/>
      <c r="B132" s="1259"/>
      <c r="C132" s="1259"/>
      <c r="D132" s="1259"/>
      <c r="E132" s="1259"/>
      <c r="F132" s="1259"/>
      <c r="G132" s="1259"/>
      <c r="H132" s="1259"/>
      <c r="I132" s="1259"/>
      <c r="J132" s="1259"/>
      <c r="K132" s="1259"/>
      <c r="L132" s="1259"/>
      <c r="M132" s="1259"/>
      <c r="N132" s="1259"/>
      <c r="O132" s="1259"/>
      <c r="P132" s="1259"/>
      <c r="Q132" s="1274"/>
      <c r="R132" s="1274"/>
      <c r="S132" s="1274"/>
      <c r="T132" s="1274"/>
      <c r="U132" s="1274"/>
      <c r="V132" s="1274"/>
      <c r="W132" s="1274"/>
      <c r="X132" s="1274"/>
      <c r="Y132" s="1274"/>
      <c r="Z132" s="1274"/>
      <c r="AA132" s="1274"/>
      <c r="AB132" s="1274"/>
      <c r="AC132" s="1274"/>
      <c r="AD132" s="1274"/>
      <c r="AE132" s="1274"/>
      <c r="AF132" s="1274"/>
      <c r="AG132" s="1274"/>
      <c r="AI132" s="1257"/>
      <c r="AJ132" s="1257"/>
      <c r="AK132" s="1257"/>
      <c r="AL132" s="1257"/>
      <c r="AM132" s="1257"/>
      <c r="AN132" s="1257"/>
      <c r="AO132" s="1257"/>
      <c r="AR132" s="1257"/>
      <c r="AS132" s="1257"/>
      <c r="AT132" s="1257"/>
      <c r="AU132" s="1257"/>
      <c r="AV132" s="1258"/>
      <c r="AW132" s="1258"/>
      <c r="AX132" s="1259"/>
      <c r="AY132" s="1259"/>
      <c r="AZ132" s="1259"/>
    </row>
    <row r="133" spans="1:52" s="1256" customFormat="1">
      <c r="A133" s="1259"/>
      <c r="B133" s="1259"/>
      <c r="C133" s="1259"/>
      <c r="D133" s="1259"/>
      <c r="E133" s="1259"/>
      <c r="F133" s="1259"/>
      <c r="G133" s="1259"/>
      <c r="H133" s="1259"/>
      <c r="I133" s="1259"/>
      <c r="J133" s="1259"/>
      <c r="K133" s="1259"/>
      <c r="L133" s="1259"/>
      <c r="M133" s="1259"/>
      <c r="N133" s="1259"/>
      <c r="O133" s="1259"/>
      <c r="P133" s="1259"/>
      <c r="Q133" s="1274"/>
      <c r="R133" s="1274"/>
      <c r="S133" s="1274"/>
      <c r="T133" s="1274"/>
      <c r="U133" s="1274"/>
      <c r="V133" s="1274"/>
      <c r="W133" s="1274"/>
      <c r="X133" s="1274"/>
      <c r="Y133" s="1274"/>
      <c r="Z133" s="1274"/>
      <c r="AA133" s="1274"/>
      <c r="AB133" s="1274"/>
      <c r="AC133" s="1274"/>
      <c r="AD133" s="1274"/>
      <c r="AE133" s="1274"/>
      <c r="AF133" s="1274"/>
      <c r="AG133" s="1274"/>
      <c r="AI133" s="1257"/>
      <c r="AJ133" s="1257"/>
      <c r="AK133" s="1257"/>
      <c r="AL133" s="1257"/>
      <c r="AM133" s="1257"/>
      <c r="AN133" s="1257"/>
      <c r="AO133" s="1257"/>
      <c r="AR133" s="1257"/>
      <c r="AS133" s="1257"/>
      <c r="AT133" s="1257"/>
      <c r="AU133" s="1257"/>
      <c r="AV133" s="1258"/>
      <c r="AW133" s="1258"/>
      <c r="AX133" s="1259"/>
      <c r="AY133" s="1259"/>
      <c r="AZ133" s="1259"/>
    </row>
    <row r="134" spans="1:52" s="1256" customFormat="1">
      <c r="A134" s="1259"/>
      <c r="B134" s="1259"/>
      <c r="C134" s="1259"/>
      <c r="D134" s="1259"/>
      <c r="E134" s="1259"/>
      <c r="F134" s="1259"/>
      <c r="G134" s="1259"/>
      <c r="H134" s="1259"/>
      <c r="I134" s="1259"/>
      <c r="J134" s="1259"/>
      <c r="K134" s="1259"/>
      <c r="L134" s="1259"/>
      <c r="M134" s="1259"/>
      <c r="N134" s="1259"/>
      <c r="O134" s="1259"/>
      <c r="P134" s="1259"/>
      <c r="Q134" s="1274"/>
      <c r="R134" s="1274"/>
      <c r="S134" s="1274"/>
      <c r="T134" s="1274"/>
      <c r="U134" s="1274"/>
      <c r="V134" s="1274"/>
      <c r="W134" s="1274"/>
      <c r="X134" s="1274"/>
      <c r="Y134" s="1274"/>
      <c r="Z134" s="1274"/>
      <c r="AA134" s="1274"/>
      <c r="AB134" s="1274"/>
      <c r="AC134" s="1274"/>
      <c r="AD134" s="1274"/>
      <c r="AE134" s="1274"/>
      <c r="AF134" s="1274"/>
      <c r="AG134" s="1274"/>
      <c r="AI134" s="1257"/>
      <c r="AJ134" s="1257"/>
      <c r="AK134" s="1257"/>
      <c r="AL134" s="1257"/>
      <c r="AM134" s="1257"/>
      <c r="AN134" s="1257"/>
      <c r="AO134" s="1257"/>
      <c r="AR134" s="1257"/>
      <c r="AS134" s="1257"/>
      <c r="AT134" s="1257"/>
      <c r="AU134" s="1257"/>
      <c r="AV134" s="1258"/>
      <c r="AW134" s="1258"/>
      <c r="AX134" s="1259"/>
      <c r="AY134" s="1259"/>
      <c r="AZ134" s="1259"/>
    </row>
    <row r="135" spans="1:52" s="1256" customFormat="1">
      <c r="A135" s="1259"/>
      <c r="B135" s="1259"/>
      <c r="C135" s="1259"/>
      <c r="D135" s="1259"/>
      <c r="E135" s="1259"/>
      <c r="F135" s="1259"/>
      <c r="G135" s="1259"/>
      <c r="H135" s="1259"/>
      <c r="I135" s="1259"/>
      <c r="J135" s="1259"/>
      <c r="K135" s="1259"/>
      <c r="L135" s="1259"/>
      <c r="M135" s="1259"/>
      <c r="N135" s="1259"/>
      <c r="O135" s="1259"/>
      <c r="P135" s="1259"/>
      <c r="Q135" s="1274"/>
      <c r="R135" s="1274"/>
      <c r="S135" s="1274"/>
      <c r="T135" s="1274"/>
      <c r="U135" s="1274"/>
      <c r="V135" s="1274"/>
      <c r="W135" s="1274"/>
      <c r="X135" s="1274"/>
      <c r="Y135" s="1274"/>
      <c r="Z135" s="1274"/>
      <c r="AA135" s="1274"/>
      <c r="AB135" s="1274"/>
      <c r="AC135" s="1274"/>
      <c r="AD135" s="1274"/>
      <c r="AE135" s="1274"/>
      <c r="AF135" s="1274"/>
      <c r="AG135" s="1274"/>
      <c r="AI135" s="1257"/>
      <c r="AJ135" s="1257"/>
      <c r="AK135" s="1257"/>
      <c r="AL135" s="1257"/>
      <c r="AM135" s="1257"/>
      <c r="AN135" s="1257"/>
      <c r="AO135" s="1257"/>
      <c r="AR135" s="1257"/>
      <c r="AS135" s="1257"/>
      <c r="AT135" s="1257"/>
      <c r="AU135" s="1257"/>
      <c r="AV135" s="1258"/>
      <c r="AW135" s="1258"/>
      <c r="AX135" s="1259"/>
      <c r="AY135" s="1259"/>
      <c r="AZ135" s="1259"/>
    </row>
    <row r="136" spans="1:52" s="1256" customFormat="1">
      <c r="A136" s="1259"/>
      <c r="B136" s="1259"/>
      <c r="C136" s="1259"/>
      <c r="D136" s="1259"/>
      <c r="E136" s="1259"/>
      <c r="F136" s="1259"/>
      <c r="G136" s="1259"/>
      <c r="H136" s="1259"/>
      <c r="I136" s="1259"/>
      <c r="J136" s="1259"/>
      <c r="K136" s="1259"/>
      <c r="L136" s="1259"/>
      <c r="M136" s="1259"/>
      <c r="N136" s="1259"/>
      <c r="O136" s="1259"/>
      <c r="P136" s="1259"/>
      <c r="Q136" s="1274"/>
      <c r="R136" s="1274"/>
      <c r="S136" s="1274"/>
      <c r="T136" s="1274"/>
      <c r="U136" s="1274"/>
      <c r="V136" s="1274"/>
      <c r="W136" s="1274"/>
      <c r="X136" s="1274"/>
      <c r="Y136" s="1274"/>
      <c r="Z136" s="1274"/>
      <c r="AA136" s="1274"/>
      <c r="AB136" s="1274"/>
      <c r="AC136" s="1274"/>
      <c r="AD136" s="1274"/>
      <c r="AE136" s="1274"/>
      <c r="AF136" s="1274"/>
      <c r="AG136" s="1274"/>
      <c r="AI136" s="1257"/>
      <c r="AJ136" s="1257"/>
      <c r="AK136" s="1257"/>
      <c r="AL136" s="1257"/>
      <c r="AM136" s="1257"/>
      <c r="AN136" s="1257"/>
      <c r="AO136" s="1257"/>
      <c r="AR136" s="1257"/>
      <c r="AS136" s="1257"/>
      <c r="AT136" s="1257"/>
      <c r="AU136" s="1257"/>
      <c r="AV136" s="1258"/>
      <c r="AW136" s="1258"/>
      <c r="AX136" s="1259"/>
      <c r="AY136" s="1259"/>
      <c r="AZ136" s="1259"/>
    </row>
    <row r="137" spans="1:52" s="1256" customFormat="1">
      <c r="A137" s="1259"/>
      <c r="B137" s="1259"/>
      <c r="C137" s="1259"/>
      <c r="D137" s="1259"/>
      <c r="E137" s="1259"/>
      <c r="F137" s="1259"/>
      <c r="G137" s="1259"/>
      <c r="H137" s="1259"/>
      <c r="I137" s="1259"/>
      <c r="J137" s="1259"/>
      <c r="K137" s="1259"/>
      <c r="L137" s="1259"/>
      <c r="M137" s="1259"/>
      <c r="N137" s="1259"/>
      <c r="O137" s="1259"/>
      <c r="P137" s="1259"/>
      <c r="Q137" s="1274"/>
      <c r="R137" s="1274"/>
      <c r="S137" s="1274"/>
      <c r="T137" s="1274"/>
      <c r="U137" s="1274"/>
      <c r="V137" s="1274"/>
      <c r="W137" s="1274"/>
      <c r="X137" s="1274"/>
      <c r="Y137" s="1274"/>
      <c r="Z137" s="1274"/>
      <c r="AA137" s="1274"/>
      <c r="AB137" s="1274"/>
      <c r="AC137" s="1274"/>
      <c r="AD137" s="1274"/>
      <c r="AE137" s="1274"/>
      <c r="AF137" s="1274"/>
      <c r="AG137" s="1274"/>
      <c r="AI137" s="1257"/>
      <c r="AJ137" s="1257"/>
      <c r="AK137" s="1257"/>
      <c r="AL137" s="1257"/>
      <c r="AM137" s="1257"/>
      <c r="AN137" s="1257"/>
      <c r="AO137" s="1257"/>
      <c r="AR137" s="1257"/>
      <c r="AS137" s="1257"/>
      <c r="AT137" s="1257"/>
      <c r="AU137" s="1257"/>
      <c r="AV137" s="1258"/>
      <c r="AW137" s="1258"/>
      <c r="AX137" s="1259"/>
      <c r="AY137" s="1259"/>
      <c r="AZ137" s="1259"/>
    </row>
    <row r="138" spans="1:52" s="1256" customFormat="1">
      <c r="A138" s="1259"/>
      <c r="B138" s="1259"/>
      <c r="C138" s="1259"/>
      <c r="D138" s="1259"/>
      <c r="E138" s="1259"/>
      <c r="F138" s="1259"/>
      <c r="G138" s="1259"/>
      <c r="H138" s="1259"/>
      <c r="I138" s="1259"/>
      <c r="J138" s="1259"/>
      <c r="K138" s="1259"/>
      <c r="L138" s="1259"/>
      <c r="M138" s="1259"/>
      <c r="N138" s="1259"/>
      <c r="O138" s="1259"/>
      <c r="P138" s="1259"/>
      <c r="Q138" s="1274"/>
      <c r="R138" s="1274"/>
      <c r="S138" s="1274"/>
      <c r="T138" s="1274"/>
      <c r="U138" s="1274"/>
      <c r="V138" s="1274"/>
      <c r="W138" s="1274"/>
      <c r="X138" s="1274"/>
      <c r="Y138" s="1274"/>
      <c r="Z138" s="1274"/>
      <c r="AA138" s="1274"/>
      <c r="AB138" s="1274"/>
      <c r="AC138" s="1274"/>
      <c r="AD138" s="1274"/>
      <c r="AE138" s="1274"/>
      <c r="AF138" s="1274"/>
      <c r="AG138" s="1274"/>
      <c r="AI138" s="1257"/>
      <c r="AJ138" s="1257"/>
      <c r="AK138" s="1257"/>
      <c r="AL138" s="1257"/>
      <c r="AM138" s="1257"/>
      <c r="AN138" s="1257"/>
      <c r="AO138" s="1257"/>
      <c r="AR138" s="1257"/>
      <c r="AS138" s="1257"/>
      <c r="AT138" s="1257"/>
      <c r="AU138" s="1257"/>
      <c r="AV138" s="1258"/>
      <c r="AW138" s="1258"/>
      <c r="AX138" s="1259"/>
      <c r="AY138" s="1259"/>
      <c r="AZ138" s="1259"/>
    </row>
    <row r="139" spans="1:52" s="1256" customFormat="1">
      <c r="A139" s="1259"/>
      <c r="B139" s="1259"/>
      <c r="C139" s="1259"/>
      <c r="D139" s="1259"/>
      <c r="E139" s="1259"/>
      <c r="F139" s="1259"/>
      <c r="G139" s="1259"/>
      <c r="H139" s="1259"/>
      <c r="I139" s="1259"/>
      <c r="J139" s="1259"/>
      <c r="K139" s="1259"/>
      <c r="L139" s="1259"/>
      <c r="M139" s="1259"/>
      <c r="N139" s="1259"/>
      <c r="O139" s="1259"/>
      <c r="P139" s="1259"/>
      <c r="Q139" s="1274"/>
      <c r="R139" s="1274"/>
      <c r="S139" s="1274"/>
      <c r="T139" s="1274"/>
      <c r="U139" s="1274"/>
      <c r="V139" s="1274"/>
      <c r="W139" s="1274"/>
      <c r="X139" s="1274"/>
      <c r="Y139" s="1274"/>
      <c r="Z139" s="1274"/>
      <c r="AA139" s="1274"/>
      <c r="AB139" s="1274"/>
      <c r="AC139" s="1274"/>
      <c r="AD139" s="1274"/>
      <c r="AE139" s="1274"/>
      <c r="AF139" s="1274"/>
      <c r="AG139" s="1274"/>
      <c r="AI139" s="1257"/>
      <c r="AJ139" s="1257"/>
      <c r="AK139" s="1257"/>
      <c r="AL139" s="1257"/>
      <c r="AM139" s="1257"/>
      <c r="AN139" s="1257"/>
      <c r="AO139" s="1257"/>
      <c r="AR139" s="1257"/>
      <c r="AS139" s="1257"/>
      <c r="AT139" s="1257"/>
      <c r="AU139" s="1257"/>
      <c r="AV139" s="1258"/>
      <c r="AW139" s="1258"/>
      <c r="AX139" s="1259"/>
      <c r="AY139" s="1259"/>
      <c r="AZ139" s="1259"/>
    </row>
    <row r="140" spans="1:52" s="1256" customFormat="1">
      <c r="A140" s="1259"/>
      <c r="B140" s="1259"/>
      <c r="C140" s="1259"/>
      <c r="D140" s="1259"/>
      <c r="E140" s="1259"/>
      <c r="F140" s="1259"/>
      <c r="G140" s="1259"/>
      <c r="H140" s="1259"/>
      <c r="I140" s="1259"/>
      <c r="J140" s="1259"/>
      <c r="K140" s="1259"/>
      <c r="L140" s="1259"/>
      <c r="M140" s="1259"/>
      <c r="N140" s="1259"/>
      <c r="O140" s="1259"/>
      <c r="P140" s="1259"/>
      <c r="Q140" s="1274"/>
      <c r="R140" s="1274"/>
      <c r="S140" s="1274"/>
      <c r="T140" s="1274"/>
      <c r="U140" s="1274"/>
      <c r="V140" s="1274"/>
      <c r="W140" s="1274"/>
      <c r="X140" s="1274"/>
      <c r="Y140" s="1274"/>
      <c r="Z140" s="1274"/>
      <c r="AA140" s="1274"/>
      <c r="AB140" s="1274"/>
      <c r="AC140" s="1274"/>
      <c r="AD140" s="1274"/>
      <c r="AE140" s="1274"/>
      <c r="AF140" s="1274"/>
      <c r="AG140" s="1274"/>
      <c r="AI140" s="1257"/>
      <c r="AJ140" s="1257"/>
      <c r="AK140" s="1257"/>
      <c r="AL140" s="1257"/>
      <c r="AM140" s="1257"/>
      <c r="AN140" s="1257"/>
      <c r="AO140" s="1257"/>
      <c r="AR140" s="1257"/>
      <c r="AS140" s="1257"/>
      <c r="AT140" s="1257"/>
      <c r="AU140" s="1257"/>
      <c r="AV140" s="1258"/>
      <c r="AW140" s="1258"/>
      <c r="AX140" s="1259"/>
      <c r="AY140" s="1259"/>
      <c r="AZ140" s="1259"/>
    </row>
    <row r="141" spans="1:52" s="1256" customFormat="1">
      <c r="A141" s="1259"/>
      <c r="B141" s="1259"/>
      <c r="C141" s="1259"/>
      <c r="D141" s="1259"/>
      <c r="E141" s="1259"/>
      <c r="F141" s="1259"/>
      <c r="G141" s="1259"/>
      <c r="H141" s="1259"/>
      <c r="I141" s="1259"/>
      <c r="J141" s="1259"/>
      <c r="K141" s="1259"/>
      <c r="L141" s="1259"/>
      <c r="M141" s="1259"/>
      <c r="N141" s="1259"/>
      <c r="O141" s="1259"/>
      <c r="P141" s="1259"/>
      <c r="Q141" s="1274"/>
      <c r="R141" s="1274"/>
      <c r="S141" s="1274"/>
      <c r="T141" s="1274"/>
      <c r="U141" s="1274"/>
      <c r="V141" s="1274"/>
      <c r="W141" s="1274"/>
      <c r="X141" s="1274"/>
      <c r="Y141" s="1274"/>
      <c r="Z141" s="1274"/>
      <c r="AA141" s="1274"/>
      <c r="AB141" s="1274"/>
      <c r="AC141" s="1274"/>
      <c r="AD141" s="1274"/>
      <c r="AE141" s="1274"/>
      <c r="AF141" s="1274"/>
      <c r="AG141" s="1274"/>
      <c r="AI141" s="1257"/>
      <c r="AJ141" s="1257"/>
      <c r="AK141" s="1257"/>
      <c r="AL141" s="1257"/>
      <c r="AM141" s="1257"/>
      <c r="AN141" s="1257"/>
      <c r="AO141" s="1257"/>
      <c r="AR141" s="1257"/>
      <c r="AS141" s="1257"/>
      <c r="AT141" s="1257"/>
      <c r="AU141" s="1257"/>
      <c r="AV141" s="1258"/>
      <c r="AW141" s="1258"/>
      <c r="AX141" s="1259"/>
      <c r="AY141" s="1259"/>
      <c r="AZ141" s="1259"/>
    </row>
    <row r="142" spans="1:52" s="1256" customFormat="1">
      <c r="A142" s="1259"/>
      <c r="B142" s="1259"/>
      <c r="C142" s="1259"/>
      <c r="D142" s="1259"/>
      <c r="E142" s="1259"/>
      <c r="F142" s="1259"/>
      <c r="G142" s="1259"/>
      <c r="H142" s="1259"/>
      <c r="I142" s="1259"/>
      <c r="J142" s="1259"/>
      <c r="K142" s="1259"/>
      <c r="L142" s="1259"/>
      <c r="M142" s="1259"/>
      <c r="N142" s="1259"/>
      <c r="O142" s="1259"/>
      <c r="P142" s="1259"/>
      <c r="Q142" s="1274"/>
      <c r="R142" s="1274"/>
      <c r="S142" s="1274"/>
      <c r="T142" s="1274"/>
      <c r="U142" s="1274"/>
      <c r="V142" s="1274"/>
      <c r="W142" s="1274"/>
      <c r="X142" s="1274"/>
      <c r="Y142" s="1274"/>
      <c r="Z142" s="1274"/>
      <c r="AA142" s="1274"/>
      <c r="AB142" s="1274"/>
      <c r="AC142" s="1274"/>
      <c r="AD142" s="1274"/>
      <c r="AE142" s="1274"/>
      <c r="AF142" s="1274"/>
      <c r="AG142" s="1274"/>
      <c r="AI142" s="1257"/>
      <c r="AJ142" s="1257"/>
      <c r="AK142" s="1257"/>
      <c r="AL142" s="1257"/>
      <c r="AM142" s="1257"/>
      <c r="AN142" s="1257"/>
      <c r="AO142" s="1257"/>
      <c r="AR142" s="1257"/>
      <c r="AS142" s="1257"/>
      <c r="AT142" s="1257"/>
      <c r="AU142" s="1257"/>
      <c r="AV142" s="1258"/>
      <c r="AW142" s="1258"/>
      <c r="AX142" s="1259"/>
      <c r="AY142" s="1259"/>
      <c r="AZ142" s="1259"/>
    </row>
    <row r="143" spans="1:52" s="1256" customFormat="1">
      <c r="A143" s="1259"/>
      <c r="B143" s="1259"/>
      <c r="C143" s="1259"/>
      <c r="D143" s="1259"/>
      <c r="E143" s="1259"/>
      <c r="F143" s="1259"/>
      <c r="G143" s="1259"/>
      <c r="H143" s="1259"/>
      <c r="I143" s="1259"/>
      <c r="J143" s="1259"/>
      <c r="K143" s="1259"/>
      <c r="L143" s="1259"/>
      <c r="M143" s="1259"/>
      <c r="N143" s="1259"/>
      <c r="O143" s="1259"/>
      <c r="P143" s="1259"/>
      <c r="Q143" s="1274"/>
      <c r="R143" s="1274"/>
      <c r="S143" s="1274"/>
      <c r="T143" s="1274"/>
      <c r="U143" s="1274"/>
      <c r="V143" s="1274"/>
      <c r="W143" s="1274"/>
      <c r="X143" s="1274"/>
      <c r="Y143" s="1274"/>
      <c r="Z143" s="1274"/>
      <c r="AA143" s="1274"/>
      <c r="AB143" s="1274"/>
      <c r="AC143" s="1274"/>
      <c r="AD143" s="1274"/>
      <c r="AE143" s="1274"/>
      <c r="AF143" s="1274"/>
      <c r="AG143" s="1274"/>
      <c r="AI143" s="1257"/>
      <c r="AJ143" s="1257"/>
      <c r="AK143" s="1257"/>
      <c r="AL143" s="1257"/>
      <c r="AM143" s="1257"/>
      <c r="AN143" s="1257"/>
      <c r="AO143" s="1257"/>
      <c r="AR143" s="1257"/>
      <c r="AS143" s="1257"/>
      <c r="AT143" s="1257"/>
      <c r="AU143" s="1257"/>
      <c r="AV143" s="1258"/>
      <c r="AW143" s="1258"/>
      <c r="AX143" s="1259"/>
      <c r="AY143" s="1259"/>
      <c r="AZ143" s="1259"/>
    </row>
    <row r="144" spans="1:52" s="1256" customFormat="1">
      <c r="A144" s="1259"/>
      <c r="B144" s="1259"/>
      <c r="C144" s="1259"/>
      <c r="D144" s="1259"/>
      <c r="E144" s="1259"/>
      <c r="F144" s="1259"/>
      <c r="G144" s="1259"/>
      <c r="H144" s="1259"/>
      <c r="I144" s="1259"/>
      <c r="J144" s="1259"/>
      <c r="K144" s="1259"/>
      <c r="L144" s="1259"/>
      <c r="M144" s="1259"/>
      <c r="N144" s="1259"/>
      <c r="O144" s="1259"/>
      <c r="P144" s="1259"/>
      <c r="Q144" s="1274"/>
      <c r="R144" s="1274"/>
      <c r="S144" s="1274"/>
      <c r="T144" s="1274"/>
      <c r="U144" s="1274"/>
      <c r="V144" s="1274"/>
      <c r="W144" s="1274"/>
      <c r="X144" s="1274"/>
      <c r="Y144" s="1274"/>
      <c r="Z144" s="1274"/>
      <c r="AA144" s="1274"/>
      <c r="AB144" s="1274"/>
      <c r="AC144" s="1274"/>
      <c r="AD144" s="1274"/>
      <c r="AE144" s="1274"/>
      <c r="AF144" s="1274"/>
      <c r="AG144" s="1274"/>
      <c r="AI144" s="1257"/>
      <c r="AJ144" s="1257"/>
      <c r="AK144" s="1257"/>
      <c r="AL144" s="1257"/>
      <c r="AM144" s="1257"/>
      <c r="AN144" s="1257"/>
      <c r="AO144" s="1257"/>
      <c r="AR144" s="1257"/>
      <c r="AS144" s="1257"/>
      <c r="AT144" s="1257"/>
      <c r="AU144" s="1257"/>
      <c r="AV144" s="1258"/>
      <c r="AW144" s="1258"/>
      <c r="AX144" s="1259"/>
      <c r="AY144" s="1259"/>
      <c r="AZ144" s="1259"/>
    </row>
  </sheetData>
  <mergeCells count="611">
    <mergeCell ref="AN105:AQ105"/>
    <mergeCell ref="AR105:AU105"/>
    <mergeCell ref="M105:O105"/>
    <mergeCell ref="AN103:AQ103"/>
    <mergeCell ref="AR103:AU103"/>
    <mergeCell ref="G104:I104"/>
    <mergeCell ref="J104:L104"/>
    <mergeCell ref="Q104:S104"/>
    <mergeCell ref="T104:V104"/>
    <mergeCell ref="W104:AA104"/>
    <mergeCell ref="AB104:AG104"/>
    <mergeCell ref="AI104:AM104"/>
    <mergeCell ref="AN104:AQ104"/>
    <mergeCell ref="AR104:AU104"/>
    <mergeCell ref="M103:O103"/>
    <mergeCell ref="M104:O104"/>
    <mergeCell ref="D1:Y1"/>
    <mergeCell ref="Z1:AG2"/>
    <mergeCell ref="AN1:AQ1"/>
    <mergeCell ref="D2:Y2"/>
    <mergeCell ref="AN2:AQ2"/>
    <mergeCell ref="D3:AG3"/>
    <mergeCell ref="AN3:AQ3"/>
    <mergeCell ref="AI9:AM9"/>
    <mergeCell ref="AN9:AQ9"/>
    <mergeCell ref="AR9:AU9"/>
    <mergeCell ref="B10:P10"/>
    <mergeCell ref="Q10:S10"/>
    <mergeCell ref="T10:V10"/>
    <mergeCell ref="W10:AA10"/>
    <mergeCell ref="AB10:AG10"/>
    <mergeCell ref="D4:AG4"/>
    <mergeCell ref="A7:AG7"/>
    <mergeCell ref="A8:A9"/>
    <mergeCell ref="B8:P9"/>
    <mergeCell ref="Q8:AA8"/>
    <mergeCell ref="AB8:AG9"/>
    <mergeCell ref="Q9:S9"/>
    <mergeCell ref="T9:V9"/>
    <mergeCell ref="W9:AA9"/>
    <mergeCell ref="B12:P12"/>
    <mergeCell ref="Q12:S12"/>
    <mergeCell ref="T12:V12"/>
    <mergeCell ref="W12:AA12"/>
    <mergeCell ref="AB12:AG12"/>
    <mergeCell ref="AJ12:AM12"/>
    <mergeCell ref="B11:P11"/>
    <mergeCell ref="Q11:S11"/>
    <mergeCell ref="T11:V11"/>
    <mergeCell ref="W11:AA11"/>
    <mergeCell ref="AB11:AG11"/>
    <mergeCell ref="AJ11:AM11"/>
    <mergeCell ref="AJ14:AM14"/>
    <mergeCell ref="B15:P15"/>
    <mergeCell ref="Q15:S15"/>
    <mergeCell ref="T15:V15"/>
    <mergeCell ref="W15:AA15"/>
    <mergeCell ref="AB15:AG15"/>
    <mergeCell ref="B13:P13"/>
    <mergeCell ref="Q13:S13"/>
    <mergeCell ref="T13:V13"/>
    <mergeCell ref="W13:AA13"/>
    <mergeCell ref="AB13:AG13"/>
    <mergeCell ref="B14:P14"/>
    <mergeCell ref="Q14:S14"/>
    <mergeCell ref="T14:V14"/>
    <mergeCell ref="W14:AA14"/>
    <mergeCell ref="AB14:AG14"/>
    <mergeCell ref="AI16:AM16"/>
    <mergeCell ref="AN16:AQ16"/>
    <mergeCell ref="AR16:AU16"/>
    <mergeCell ref="G17:I17"/>
    <mergeCell ref="J17:L17"/>
    <mergeCell ref="Q17:S17"/>
    <mergeCell ref="T17:V17"/>
    <mergeCell ref="W17:AA17"/>
    <mergeCell ref="AB17:AG17"/>
    <mergeCell ref="AI17:AM17"/>
    <mergeCell ref="G16:I16"/>
    <mergeCell ref="J16:L16"/>
    <mergeCell ref="Q16:S16"/>
    <mergeCell ref="T16:V16"/>
    <mergeCell ref="W16:AA16"/>
    <mergeCell ref="AB16:AG16"/>
    <mergeCell ref="AR18:AU18"/>
    <mergeCell ref="G19:J19"/>
    <mergeCell ref="Q19:S19"/>
    <mergeCell ref="T19:V19"/>
    <mergeCell ref="W19:AA19"/>
    <mergeCell ref="AB19:AG19"/>
    <mergeCell ref="AN17:AQ17"/>
    <mergeCell ref="AR17:AU17"/>
    <mergeCell ref="G18:I18"/>
    <mergeCell ref="J18:L18"/>
    <mergeCell ref="Q18:S18"/>
    <mergeCell ref="T18:V18"/>
    <mergeCell ref="W18:AA18"/>
    <mergeCell ref="AB18:AG18"/>
    <mergeCell ref="AI18:AM18"/>
    <mergeCell ref="AN18:AQ18"/>
    <mergeCell ref="B20:P20"/>
    <mergeCell ref="Q20:S20"/>
    <mergeCell ref="T20:V20"/>
    <mergeCell ref="W20:AA20"/>
    <mergeCell ref="AB20:AG20"/>
    <mergeCell ref="G21:I21"/>
    <mergeCell ref="J21:L21"/>
    <mergeCell ref="Q21:S21"/>
    <mergeCell ref="T21:V21"/>
    <mergeCell ref="W21:AA21"/>
    <mergeCell ref="AI22:AM22"/>
    <mergeCell ref="AN22:AQ22"/>
    <mergeCell ref="AR22:AU22"/>
    <mergeCell ref="G23:I23"/>
    <mergeCell ref="Q23:S23"/>
    <mergeCell ref="T23:V23"/>
    <mergeCell ref="W23:AA23"/>
    <mergeCell ref="AB23:AG23"/>
    <mergeCell ref="AB21:AG21"/>
    <mergeCell ref="AI21:AM21"/>
    <mergeCell ref="AN21:AQ21"/>
    <mergeCell ref="AR21:AU21"/>
    <mergeCell ref="G22:I22"/>
    <mergeCell ref="J22:L22"/>
    <mergeCell ref="Q22:S22"/>
    <mergeCell ref="T22:V22"/>
    <mergeCell ref="W22:AA22"/>
    <mergeCell ref="AB22:AG22"/>
    <mergeCell ref="B24:P24"/>
    <mergeCell ref="Q24:S24"/>
    <mergeCell ref="T24:V24"/>
    <mergeCell ref="W24:AA24"/>
    <mergeCell ref="AB24:AG24"/>
    <mergeCell ref="G25:I25"/>
    <mergeCell ref="J25:L25"/>
    <mergeCell ref="Q25:S25"/>
    <mergeCell ref="T25:V25"/>
    <mergeCell ref="W25:AA25"/>
    <mergeCell ref="AB25:AG25"/>
    <mergeCell ref="AI25:AM25"/>
    <mergeCell ref="G26:I26"/>
    <mergeCell ref="J26:L26"/>
    <mergeCell ref="Q26:S26"/>
    <mergeCell ref="T26:V26"/>
    <mergeCell ref="W26:AA26"/>
    <mergeCell ref="AB26:AG26"/>
    <mergeCell ref="AI26:AM26"/>
    <mergeCell ref="AI27:AM27"/>
    <mergeCell ref="G28:I28"/>
    <mergeCell ref="J28:L28"/>
    <mergeCell ref="Q28:S28"/>
    <mergeCell ref="T28:V28"/>
    <mergeCell ref="W28:AA28"/>
    <mergeCell ref="AB28:AG28"/>
    <mergeCell ref="AI28:AM28"/>
    <mergeCell ref="G27:I27"/>
    <mergeCell ref="J27:L27"/>
    <mergeCell ref="Q27:S27"/>
    <mergeCell ref="T27:V27"/>
    <mergeCell ref="W27:AA27"/>
    <mergeCell ref="AB27:AG27"/>
    <mergeCell ref="G29:I29"/>
    <mergeCell ref="Q29:S29"/>
    <mergeCell ref="T29:V29"/>
    <mergeCell ref="W29:AA29"/>
    <mergeCell ref="AB29:AG29"/>
    <mergeCell ref="B30:P30"/>
    <mergeCell ref="Q30:S30"/>
    <mergeCell ref="T30:V30"/>
    <mergeCell ref="W30:AA30"/>
    <mergeCell ref="AB30:AG30"/>
    <mergeCell ref="AI31:AM31"/>
    <mergeCell ref="AN31:AQ31"/>
    <mergeCell ref="AR31:AU31"/>
    <mergeCell ref="G32:I32"/>
    <mergeCell ref="J32:L32"/>
    <mergeCell ref="Q32:S32"/>
    <mergeCell ref="T32:V32"/>
    <mergeCell ref="W32:AA32"/>
    <mergeCell ref="AB32:AG32"/>
    <mergeCell ref="AI32:AM32"/>
    <mergeCell ref="G31:I31"/>
    <mergeCell ref="J31:L31"/>
    <mergeCell ref="Q31:S31"/>
    <mergeCell ref="T31:V31"/>
    <mergeCell ref="W31:AA31"/>
    <mergeCell ref="AB31:AG31"/>
    <mergeCell ref="AR33:AU33"/>
    <mergeCell ref="G34:J34"/>
    <mergeCell ref="Q34:S34"/>
    <mergeCell ref="T34:V34"/>
    <mergeCell ref="W34:AA34"/>
    <mergeCell ref="AB34:AG34"/>
    <mergeCell ref="AN32:AQ32"/>
    <mergeCell ref="AR32:AU32"/>
    <mergeCell ref="G33:I33"/>
    <mergeCell ref="J33:L33"/>
    <mergeCell ref="Q33:S33"/>
    <mergeCell ref="T33:V33"/>
    <mergeCell ref="W33:AA33"/>
    <mergeCell ref="AB33:AG33"/>
    <mergeCell ref="AI33:AM33"/>
    <mergeCell ref="AN33:AQ33"/>
    <mergeCell ref="B35:P35"/>
    <mergeCell ref="Q35:S35"/>
    <mergeCell ref="T35:V35"/>
    <mergeCell ref="W35:AA35"/>
    <mergeCell ref="AB35:AG35"/>
    <mergeCell ref="G36:I36"/>
    <mergeCell ref="J36:L36"/>
    <mergeCell ref="Q36:S36"/>
    <mergeCell ref="T36:V36"/>
    <mergeCell ref="W36:AA36"/>
    <mergeCell ref="AB36:AG36"/>
    <mergeCell ref="AI36:AM36"/>
    <mergeCell ref="AN36:AQ36"/>
    <mergeCell ref="AR36:AU36"/>
    <mergeCell ref="G37:I37"/>
    <mergeCell ref="J37:L37"/>
    <mergeCell ref="Q37:S37"/>
    <mergeCell ref="T37:V37"/>
    <mergeCell ref="W37:AA37"/>
    <mergeCell ref="AB37:AG37"/>
    <mergeCell ref="AN38:AQ38"/>
    <mergeCell ref="AR38:AU38"/>
    <mergeCell ref="H39:I39"/>
    <mergeCell ref="K39:L39"/>
    <mergeCell ref="Q39:S39"/>
    <mergeCell ref="T39:V39"/>
    <mergeCell ref="W39:AA39"/>
    <mergeCell ref="AB39:AG39"/>
    <mergeCell ref="AI37:AM37"/>
    <mergeCell ref="AN37:AQ37"/>
    <mergeCell ref="AR37:AU37"/>
    <mergeCell ref="G38:I38"/>
    <mergeCell ref="J38:L38"/>
    <mergeCell ref="Q38:S38"/>
    <mergeCell ref="T38:V38"/>
    <mergeCell ref="W38:AA38"/>
    <mergeCell ref="AB38:AG38"/>
    <mergeCell ref="AI38:AM38"/>
    <mergeCell ref="B40:P40"/>
    <mergeCell ref="Q40:S40"/>
    <mergeCell ref="T40:V40"/>
    <mergeCell ref="W40:AA40"/>
    <mergeCell ref="AB40:AG40"/>
    <mergeCell ref="H41:J41"/>
    <mergeCell ref="K41:M41"/>
    <mergeCell ref="Q41:S41"/>
    <mergeCell ref="T41:V41"/>
    <mergeCell ref="W41:AA41"/>
    <mergeCell ref="AB41:AG41"/>
    <mergeCell ref="Q42:S42"/>
    <mergeCell ref="T42:V42"/>
    <mergeCell ref="W42:AA42"/>
    <mergeCell ref="AB42:AG42"/>
    <mergeCell ref="B43:P43"/>
    <mergeCell ref="Q43:S43"/>
    <mergeCell ref="T43:V43"/>
    <mergeCell ref="W43:AA43"/>
    <mergeCell ref="AB43:AG43"/>
    <mergeCell ref="AI44:AM44"/>
    <mergeCell ref="AN44:AQ44"/>
    <mergeCell ref="AR44:AU44"/>
    <mergeCell ref="Q45:S45"/>
    <mergeCell ref="T45:V45"/>
    <mergeCell ref="W45:AA45"/>
    <mergeCell ref="AB45:AG45"/>
    <mergeCell ref="H44:J44"/>
    <mergeCell ref="K44:M44"/>
    <mergeCell ref="Q44:S44"/>
    <mergeCell ref="T44:V44"/>
    <mergeCell ref="W44:AA44"/>
    <mergeCell ref="AB44:AG44"/>
    <mergeCell ref="B46:P46"/>
    <mergeCell ref="Q46:S46"/>
    <mergeCell ref="T46:V46"/>
    <mergeCell ref="W46:AA46"/>
    <mergeCell ref="AB46:AG46"/>
    <mergeCell ref="H47:J47"/>
    <mergeCell ref="K47:M47"/>
    <mergeCell ref="Q47:S47"/>
    <mergeCell ref="T47:V47"/>
    <mergeCell ref="W47:AA47"/>
    <mergeCell ref="AB47:AG47"/>
    <mergeCell ref="Q48:S48"/>
    <mergeCell ref="T48:V48"/>
    <mergeCell ref="W48:AA48"/>
    <mergeCell ref="AB48:AG48"/>
    <mergeCell ref="B49:P49"/>
    <mergeCell ref="Q49:S49"/>
    <mergeCell ref="T49:V49"/>
    <mergeCell ref="W49:AA49"/>
    <mergeCell ref="AB49:AG49"/>
    <mergeCell ref="AI50:AM50"/>
    <mergeCell ref="AN50:AQ50"/>
    <mergeCell ref="Q51:S51"/>
    <mergeCell ref="T51:V51"/>
    <mergeCell ref="W51:AA51"/>
    <mergeCell ref="AB51:AG51"/>
    <mergeCell ref="K50:M50"/>
    <mergeCell ref="N50:P50"/>
    <mergeCell ref="Q50:S50"/>
    <mergeCell ref="T50:V50"/>
    <mergeCell ref="W50:AA50"/>
    <mergeCell ref="AB50:AG50"/>
    <mergeCell ref="AB53:AG53"/>
    <mergeCell ref="AI53:AM53"/>
    <mergeCell ref="AN53:AQ53"/>
    <mergeCell ref="Q54:S54"/>
    <mergeCell ref="T54:V54"/>
    <mergeCell ref="W54:AA54"/>
    <mergeCell ref="AB54:AG54"/>
    <mergeCell ref="B52:P52"/>
    <mergeCell ref="Q52:S52"/>
    <mergeCell ref="T52:V52"/>
    <mergeCell ref="W52:AA52"/>
    <mergeCell ref="AB52:AG52"/>
    <mergeCell ref="K53:M53"/>
    <mergeCell ref="N53:P53"/>
    <mergeCell ref="Q53:S53"/>
    <mergeCell ref="T53:V53"/>
    <mergeCell ref="W53:AA53"/>
    <mergeCell ref="B55:P55"/>
    <mergeCell ref="Q55:S55"/>
    <mergeCell ref="T55:V55"/>
    <mergeCell ref="W55:AA55"/>
    <mergeCell ref="AB55:AG55"/>
    <mergeCell ref="L56:N56"/>
    <mergeCell ref="O56:P56"/>
    <mergeCell ref="Q56:S56"/>
    <mergeCell ref="T56:V56"/>
    <mergeCell ref="W56:AA56"/>
    <mergeCell ref="B58:P58"/>
    <mergeCell ref="Q58:S58"/>
    <mergeCell ref="T58:V58"/>
    <mergeCell ref="W58:AA58"/>
    <mergeCell ref="AB58:AG58"/>
    <mergeCell ref="AJ58:AM58"/>
    <mergeCell ref="AB56:AG56"/>
    <mergeCell ref="AI56:AM56"/>
    <mergeCell ref="AN56:AQ56"/>
    <mergeCell ref="Q57:S57"/>
    <mergeCell ref="T57:V57"/>
    <mergeCell ref="W57:AA57"/>
    <mergeCell ref="AB57:AG57"/>
    <mergeCell ref="Q59:S59"/>
    <mergeCell ref="T59:V59"/>
    <mergeCell ref="W59:AA59"/>
    <mergeCell ref="AB59:AG59"/>
    <mergeCell ref="AL59:AM59"/>
    <mergeCell ref="Q60:S60"/>
    <mergeCell ref="T60:V60"/>
    <mergeCell ref="W60:AA60"/>
    <mergeCell ref="AB60:AG60"/>
    <mergeCell ref="Q63:S63"/>
    <mergeCell ref="T63:V63"/>
    <mergeCell ref="W63:AA63"/>
    <mergeCell ref="AB63:AG63"/>
    <mergeCell ref="Q64:S64"/>
    <mergeCell ref="T64:V64"/>
    <mergeCell ref="W64:AA64"/>
    <mergeCell ref="AB64:AG64"/>
    <mergeCell ref="Q61:S61"/>
    <mergeCell ref="T61:V61"/>
    <mergeCell ref="W61:AA61"/>
    <mergeCell ref="AB61:AG61"/>
    <mergeCell ref="Q62:S62"/>
    <mergeCell ref="T62:V62"/>
    <mergeCell ref="W62:AA62"/>
    <mergeCell ref="AB62:AG62"/>
    <mergeCell ref="Q67:S67"/>
    <mergeCell ref="T67:V67"/>
    <mergeCell ref="W67:AA67"/>
    <mergeCell ref="AB67:AG67"/>
    <mergeCell ref="Q65:S65"/>
    <mergeCell ref="T65:V65"/>
    <mergeCell ref="W65:AA65"/>
    <mergeCell ref="AB65:AG65"/>
    <mergeCell ref="C66:P66"/>
    <mergeCell ref="Q66:S66"/>
    <mergeCell ref="T66:V66"/>
    <mergeCell ref="W66:AA66"/>
    <mergeCell ref="AB66:AG66"/>
    <mergeCell ref="Q70:S70"/>
    <mergeCell ref="T70:V70"/>
    <mergeCell ref="W70:AA70"/>
    <mergeCell ref="AB70:AG70"/>
    <mergeCell ref="Q71:S71"/>
    <mergeCell ref="T71:V71"/>
    <mergeCell ref="W71:AA71"/>
    <mergeCell ref="AB71:AG71"/>
    <mergeCell ref="Q68:S68"/>
    <mergeCell ref="T68:V68"/>
    <mergeCell ref="W68:AA68"/>
    <mergeCell ref="AB68:AG68"/>
    <mergeCell ref="Q69:S69"/>
    <mergeCell ref="T69:V69"/>
    <mergeCell ref="W69:AA69"/>
    <mergeCell ref="AB69:AG69"/>
    <mergeCell ref="Q74:S74"/>
    <mergeCell ref="T74:V74"/>
    <mergeCell ref="W74:AA74"/>
    <mergeCell ref="AB74:AG74"/>
    <mergeCell ref="Q75:S75"/>
    <mergeCell ref="T75:V75"/>
    <mergeCell ref="W75:AA75"/>
    <mergeCell ref="AB75:AG75"/>
    <mergeCell ref="Q72:S72"/>
    <mergeCell ref="T72:V72"/>
    <mergeCell ref="W72:AA72"/>
    <mergeCell ref="AB72:AG72"/>
    <mergeCell ref="Q73:S73"/>
    <mergeCell ref="T73:V73"/>
    <mergeCell ref="W73:AA73"/>
    <mergeCell ref="AB73:AG73"/>
    <mergeCell ref="Q78:S78"/>
    <mergeCell ref="T78:V78"/>
    <mergeCell ref="W78:AA78"/>
    <mergeCell ref="AB78:AG78"/>
    <mergeCell ref="Q79:S79"/>
    <mergeCell ref="T79:V79"/>
    <mergeCell ref="W79:AA79"/>
    <mergeCell ref="AB79:AG79"/>
    <mergeCell ref="Q76:S76"/>
    <mergeCell ref="T76:V76"/>
    <mergeCell ref="W76:AA76"/>
    <mergeCell ref="AB76:AG76"/>
    <mergeCell ref="Q77:S77"/>
    <mergeCell ref="T77:V77"/>
    <mergeCell ref="W77:AA77"/>
    <mergeCell ref="AB77:AG77"/>
    <mergeCell ref="AB81:AG81"/>
    <mergeCell ref="H82:I82"/>
    <mergeCell ref="J82:L82"/>
    <mergeCell ref="O82:P82"/>
    <mergeCell ref="Q82:S82"/>
    <mergeCell ref="T82:V82"/>
    <mergeCell ref="W82:AA82"/>
    <mergeCell ref="AB82:AG82"/>
    <mergeCell ref="B80:P80"/>
    <mergeCell ref="Q80:S80"/>
    <mergeCell ref="T80:V80"/>
    <mergeCell ref="W80:AA80"/>
    <mergeCell ref="AB80:AG80"/>
    <mergeCell ref="K81:M81"/>
    <mergeCell ref="O81:P81"/>
    <mergeCell ref="Q81:S81"/>
    <mergeCell ref="T81:V81"/>
    <mergeCell ref="W81:AA81"/>
    <mergeCell ref="H84:I84"/>
    <mergeCell ref="J84:L84"/>
    <mergeCell ref="Q84:S84"/>
    <mergeCell ref="T84:V84"/>
    <mergeCell ref="W84:AA84"/>
    <mergeCell ref="AB84:AG84"/>
    <mergeCell ref="H83:I83"/>
    <mergeCell ref="J83:L83"/>
    <mergeCell ref="Q83:S83"/>
    <mergeCell ref="T83:V83"/>
    <mergeCell ref="W83:AA83"/>
    <mergeCell ref="AB83:AG83"/>
    <mergeCell ref="AB85:AG85"/>
    <mergeCell ref="O86:P86"/>
    <mergeCell ref="Q86:S86"/>
    <mergeCell ref="T86:V86"/>
    <mergeCell ref="W86:AA86"/>
    <mergeCell ref="AB86:AG86"/>
    <mergeCell ref="H85:I85"/>
    <mergeCell ref="J85:L85"/>
    <mergeCell ref="M85:O85"/>
    <mergeCell ref="Q85:S85"/>
    <mergeCell ref="T85:V85"/>
    <mergeCell ref="W85:AA85"/>
    <mergeCell ref="K88:L88"/>
    <mergeCell ref="M88:O88"/>
    <mergeCell ref="Q88:S88"/>
    <mergeCell ref="T88:V88"/>
    <mergeCell ref="W88:AA88"/>
    <mergeCell ref="AB88:AG88"/>
    <mergeCell ref="K87:L87"/>
    <mergeCell ref="M87:O87"/>
    <mergeCell ref="Q87:S87"/>
    <mergeCell ref="T87:V87"/>
    <mergeCell ref="W87:AA87"/>
    <mergeCell ref="AB87:AG87"/>
    <mergeCell ref="K90:L90"/>
    <mergeCell ref="M90:O90"/>
    <mergeCell ref="Q90:S90"/>
    <mergeCell ref="T90:V90"/>
    <mergeCell ref="W90:AA90"/>
    <mergeCell ref="AB90:AG90"/>
    <mergeCell ref="K89:L89"/>
    <mergeCell ref="M89:O89"/>
    <mergeCell ref="Q89:S89"/>
    <mergeCell ref="T89:V89"/>
    <mergeCell ref="W89:AA89"/>
    <mergeCell ref="AB89:AG89"/>
    <mergeCell ref="K92:L92"/>
    <mergeCell ref="M92:O92"/>
    <mergeCell ref="Q92:S92"/>
    <mergeCell ref="T92:V92"/>
    <mergeCell ref="W92:AA92"/>
    <mergeCell ref="AB92:AG92"/>
    <mergeCell ref="K91:L91"/>
    <mergeCell ref="M91:O91"/>
    <mergeCell ref="Q91:S91"/>
    <mergeCell ref="T91:V91"/>
    <mergeCell ref="W91:AA91"/>
    <mergeCell ref="AB91:AG91"/>
    <mergeCell ref="K94:L94"/>
    <mergeCell ref="M94:O94"/>
    <mergeCell ref="Q94:S94"/>
    <mergeCell ref="T94:V94"/>
    <mergeCell ref="W94:AA94"/>
    <mergeCell ref="AB94:AG94"/>
    <mergeCell ref="K93:L93"/>
    <mergeCell ref="M93:O93"/>
    <mergeCell ref="Q93:S93"/>
    <mergeCell ref="T93:V93"/>
    <mergeCell ref="W93:AA93"/>
    <mergeCell ref="AB93:AG93"/>
    <mergeCell ref="K96:L96"/>
    <mergeCell ref="M96:O96"/>
    <mergeCell ref="Q96:S96"/>
    <mergeCell ref="T96:V96"/>
    <mergeCell ref="W96:AA96"/>
    <mergeCell ref="AB96:AG96"/>
    <mergeCell ref="K95:L95"/>
    <mergeCell ref="M95:O95"/>
    <mergeCell ref="Q95:S95"/>
    <mergeCell ref="T95:V95"/>
    <mergeCell ref="W95:AA95"/>
    <mergeCell ref="AB95:AG95"/>
    <mergeCell ref="J99:L99"/>
    <mergeCell ref="M99:O99"/>
    <mergeCell ref="Q99:S99"/>
    <mergeCell ref="T99:V99"/>
    <mergeCell ref="W99:AA99"/>
    <mergeCell ref="AB99:AG99"/>
    <mergeCell ref="B97:P97"/>
    <mergeCell ref="Q97:S97"/>
    <mergeCell ref="T97:V97"/>
    <mergeCell ref="W97:AA97"/>
    <mergeCell ref="AB97:AG97"/>
    <mergeCell ref="C98:P98"/>
    <mergeCell ref="Q98:S98"/>
    <mergeCell ref="T98:V98"/>
    <mergeCell ref="W98:AA98"/>
    <mergeCell ref="AB98:AG98"/>
    <mergeCell ref="J101:L101"/>
    <mergeCell ref="M101:O101"/>
    <mergeCell ref="Q101:S101"/>
    <mergeCell ref="T101:V101"/>
    <mergeCell ref="W101:AA101"/>
    <mergeCell ref="AB101:AG101"/>
    <mergeCell ref="J100:L100"/>
    <mergeCell ref="M100:O100"/>
    <mergeCell ref="Q100:S100"/>
    <mergeCell ref="T100:V100"/>
    <mergeCell ref="W100:AA100"/>
    <mergeCell ref="AB100:AG100"/>
    <mergeCell ref="A107:AA107"/>
    <mergeCell ref="AB107:AG107"/>
    <mergeCell ref="AH107:AL107"/>
    <mergeCell ref="T109:AG109"/>
    <mergeCell ref="AH109:AL109"/>
    <mergeCell ref="C102:P102"/>
    <mergeCell ref="Q102:S102"/>
    <mergeCell ref="T102:V102"/>
    <mergeCell ref="W102:AA102"/>
    <mergeCell ref="AB102:AG102"/>
    <mergeCell ref="G103:I103"/>
    <mergeCell ref="J103:L103"/>
    <mergeCell ref="Q103:S103"/>
    <mergeCell ref="T103:V103"/>
    <mergeCell ref="W103:AA103"/>
    <mergeCell ref="AB103:AG103"/>
    <mergeCell ref="AI103:AM103"/>
    <mergeCell ref="G105:I105"/>
    <mergeCell ref="J105:L105"/>
    <mergeCell ref="Q105:S105"/>
    <mergeCell ref="T105:V105"/>
    <mergeCell ref="W105:AA105"/>
    <mergeCell ref="AB105:AG105"/>
    <mergeCell ref="AI105:AM105"/>
    <mergeCell ref="T110:AG110"/>
    <mergeCell ref="Y111:AG111"/>
    <mergeCell ref="T113:AG113"/>
    <mergeCell ref="T114:AG114"/>
    <mergeCell ref="A118:AG118"/>
    <mergeCell ref="B119:K119"/>
    <mergeCell ref="L119:Q119"/>
    <mergeCell ref="R119:AC119"/>
    <mergeCell ref="AD119:AG119"/>
    <mergeCell ref="B122:K122"/>
    <mergeCell ref="L122:Q122"/>
    <mergeCell ref="R122:AC122"/>
    <mergeCell ref="AD122:AG122"/>
    <mergeCell ref="B123:K123"/>
    <mergeCell ref="L123:Q123"/>
    <mergeCell ref="R123:AC123"/>
    <mergeCell ref="AD123:AG123"/>
    <mergeCell ref="B120:K120"/>
    <mergeCell ref="L120:Q120"/>
    <mergeCell ref="R120:AC120"/>
    <mergeCell ref="AD120:AG120"/>
    <mergeCell ref="B121:K121"/>
    <mergeCell ref="L121:Q121"/>
    <mergeCell ref="R121:AC121"/>
    <mergeCell ref="AD121:AG121"/>
  </mergeCells>
  <printOptions horizontalCentered="1"/>
  <pageMargins left="0.43307086614173229" right="0.35433070866141736" top="0.47244094488188981" bottom="1.4" header="0.15748031496062992" footer="0.31496062992125984"/>
  <pageSetup paperSize="5" orientation="portrait" horizontalDpi="4294967293" verticalDpi="180" r:id="rId1"/>
  <headerFooter alignWithMargins="0"/>
  <rowBreaks count="2" manualBreakCount="2">
    <brk id="76" max="32" man="1"/>
    <brk id="114" max="42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3:O12"/>
  <sheetViews>
    <sheetView workbookViewId="0">
      <selection activeCell="C7" sqref="C7"/>
    </sheetView>
  </sheetViews>
  <sheetFormatPr defaultRowHeight="15"/>
  <cols>
    <col min="1" max="1" width="31.28515625" bestFit="1" customWidth="1"/>
    <col min="2" max="2" width="16.5703125" bestFit="1" customWidth="1"/>
    <col min="3" max="3" width="14" bestFit="1" customWidth="1"/>
    <col min="4" max="4" width="16.5703125" bestFit="1" customWidth="1"/>
    <col min="5" max="5" width="14" bestFit="1" customWidth="1"/>
    <col min="6" max="6" width="16.5703125" bestFit="1" customWidth="1"/>
    <col min="7" max="7" width="14" bestFit="1" customWidth="1"/>
    <col min="9" max="9" width="28.140625" bestFit="1" customWidth="1"/>
    <col min="10" max="12" width="14" bestFit="1" customWidth="1"/>
    <col min="13" max="13" width="14.28515625" bestFit="1" customWidth="1"/>
    <col min="14" max="14" width="15.28515625" bestFit="1" customWidth="1"/>
    <col min="15" max="15" width="16.85546875" bestFit="1" customWidth="1"/>
  </cols>
  <sheetData>
    <row r="3" spans="1:15">
      <c r="A3" s="366"/>
      <c r="B3" s="3394">
        <v>2017</v>
      </c>
      <c r="C3" s="3396"/>
      <c r="D3" s="3704">
        <v>2016</v>
      </c>
      <c r="E3" s="3705"/>
      <c r="F3" s="3704">
        <v>2015</v>
      </c>
      <c r="G3" s="3705"/>
      <c r="I3" s="366"/>
      <c r="J3" s="1389">
        <v>2015</v>
      </c>
      <c r="K3" s="1389">
        <v>2016</v>
      </c>
      <c r="L3" s="1383">
        <v>2017</v>
      </c>
      <c r="M3" s="1383">
        <v>2018</v>
      </c>
    </row>
    <row r="4" spans="1:15">
      <c r="A4" s="366"/>
      <c r="B4" s="1387" t="s">
        <v>1255</v>
      </c>
      <c r="C4" s="424" t="s">
        <v>1256</v>
      </c>
      <c r="D4" s="1387" t="s">
        <v>1255</v>
      </c>
      <c r="E4" s="424" t="s">
        <v>1256</v>
      </c>
      <c r="F4" s="1387" t="s">
        <v>1255</v>
      </c>
      <c r="G4" s="424" t="s">
        <v>1256</v>
      </c>
      <c r="I4" s="366"/>
      <c r="J4" s="424" t="s">
        <v>1256</v>
      </c>
      <c r="K4" s="424" t="s">
        <v>1256</v>
      </c>
      <c r="L4" s="424" t="s">
        <v>1256</v>
      </c>
      <c r="M4" s="424" t="s">
        <v>1256</v>
      </c>
    </row>
    <row r="5" spans="1:15">
      <c r="A5" s="366" t="s">
        <v>192</v>
      </c>
      <c r="B5" s="1388">
        <f>C5*12</f>
        <v>5276703.4285714291</v>
      </c>
      <c r="C5" s="471">
        <f>3078077/7</f>
        <v>439725.28571428574</v>
      </c>
      <c r="D5" s="471">
        <v>8051858</v>
      </c>
      <c r="E5" s="1384">
        <f>D5/12</f>
        <v>670988.16666666663</v>
      </c>
      <c r="F5" s="471">
        <v>66711768</v>
      </c>
      <c r="G5" s="1384">
        <f>F5/12</f>
        <v>5559314</v>
      </c>
      <c r="I5" s="558" t="s">
        <v>192</v>
      </c>
      <c r="J5" s="1384">
        <v>5559314</v>
      </c>
      <c r="K5" s="1384">
        <v>670988.16666666663</v>
      </c>
      <c r="L5" s="471">
        <f>3078077/7</f>
        <v>439725.28571428574</v>
      </c>
      <c r="M5" s="1391">
        <f>(J5+K5+L5)/3</f>
        <v>2223342.4841269841</v>
      </c>
      <c r="N5" s="1393">
        <v>6000000</v>
      </c>
    </row>
    <row r="6" spans="1:15">
      <c r="A6" s="366" t="s">
        <v>125</v>
      </c>
      <c r="B6" s="1388">
        <f>C6*12</f>
        <v>107369571.42857143</v>
      </c>
      <c r="C6" s="471">
        <f>62632250/7</f>
        <v>8947464.2857142854</v>
      </c>
      <c r="D6" s="471">
        <v>130965925</v>
      </c>
      <c r="E6" s="1384">
        <f>D6/12</f>
        <v>10913827.083333334</v>
      </c>
      <c r="F6" s="471">
        <v>105204996</v>
      </c>
      <c r="G6" s="1384">
        <f>F6/12</f>
        <v>8767083</v>
      </c>
      <c r="I6" s="558" t="s">
        <v>125</v>
      </c>
      <c r="J6" s="1384">
        <v>8767083</v>
      </c>
      <c r="K6" s="1384">
        <v>10913827.083333334</v>
      </c>
      <c r="L6" s="471">
        <f>62632250/7</f>
        <v>8947464.2857142854</v>
      </c>
      <c r="M6" s="1391">
        <f t="shared" ref="M6" si="0">(J6+K6+L6)/3</f>
        <v>9542791.4563492071</v>
      </c>
      <c r="N6" s="1390">
        <f>M6*2</f>
        <v>19085582.912698414</v>
      </c>
    </row>
    <row r="7" spans="1:15">
      <c r="A7" s="366" t="s">
        <v>193</v>
      </c>
      <c r="B7" s="1388">
        <f t="shared" ref="B7:B9" si="1">C7*12</f>
        <v>995910000</v>
      </c>
      <c r="C7" s="471">
        <f>580947500/7</f>
        <v>82992500</v>
      </c>
      <c r="D7" s="471">
        <v>969768600</v>
      </c>
      <c r="E7" s="1384">
        <f>D7/12</f>
        <v>80814050</v>
      </c>
      <c r="F7" s="471">
        <v>974088400</v>
      </c>
      <c r="G7" s="1384">
        <f>F7/12</f>
        <v>81174033.333333328</v>
      </c>
      <c r="I7" s="558" t="s">
        <v>193</v>
      </c>
      <c r="J7" s="1384">
        <v>81174033.333333328</v>
      </c>
      <c r="K7" s="1384">
        <v>80814050</v>
      </c>
      <c r="L7" s="471">
        <f>580947500/7</f>
        <v>82992500</v>
      </c>
      <c r="M7" s="1391">
        <f>(J7+K7+L7)/3</f>
        <v>81660194.444444433</v>
      </c>
      <c r="N7" s="1390">
        <f>(M7*30%)+M7</f>
        <v>106158252.77777776</v>
      </c>
    </row>
    <row r="8" spans="1:15" ht="26.25">
      <c r="A8" s="366" t="s">
        <v>195</v>
      </c>
      <c r="B8" s="1388">
        <f t="shared" si="1"/>
        <v>30435017.142857142</v>
      </c>
      <c r="C8" s="471">
        <f>17753760/7</f>
        <v>2536251.4285714286</v>
      </c>
      <c r="D8" s="471">
        <v>46046806</v>
      </c>
      <c r="E8" s="1384">
        <f>D8/12</f>
        <v>3837233.8333333335</v>
      </c>
      <c r="F8" s="471">
        <v>37253508</v>
      </c>
      <c r="G8" s="1384">
        <f>F8/12</f>
        <v>3104459</v>
      </c>
      <c r="I8" s="558" t="s">
        <v>195</v>
      </c>
      <c r="J8" s="1384">
        <v>3104459</v>
      </c>
      <c r="K8" s="1384">
        <v>3837233.8333333335</v>
      </c>
      <c r="L8" s="471">
        <f>17753760/7</f>
        <v>2536251.4285714286</v>
      </c>
      <c r="M8" s="1391">
        <f>(J8+K8+L8)/3</f>
        <v>3159314.7539682542</v>
      </c>
      <c r="N8" s="1393">
        <v>4800000</v>
      </c>
    </row>
    <row r="9" spans="1:15">
      <c r="A9" s="366" t="s">
        <v>1257</v>
      </c>
      <c r="B9" s="1388">
        <f t="shared" si="1"/>
        <v>30000000</v>
      </c>
      <c r="C9" s="471">
        <v>2500000</v>
      </c>
      <c r="D9" s="471"/>
      <c r="E9" s="1384"/>
      <c r="F9" s="471"/>
      <c r="G9" s="1384"/>
      <c r="I9" s="366"/>
      <c r="J9" s="1384"/>
      <c r="K9" s="1384"/>
      <c r="L9" s="471">
        <v>2500000</v>
      </c>
      <c r="M9" s="1392"/>
    </row>
    <row r="10" spans="1:15">
      <c r="A10" s="1386" t="s">
        <v>265</v>
      </c>
      <c r="B10" s="1385">
        <f>SUM(B5:B9)</f>
        <v>1168991292</v>
      </c>
      <c r="C10" s="1385">
        <f>SUM(C5:C9)</f>
        <v>97415941</v>
      </c>
      <c r="D10" s="1385">
        <f>SUM(D5:D8)</f>
        <v>1154833189</v>
      </c>
      <c r="E10" s="1385">
        <f>SUM(E5:E8)</f>
        <v>96236099.083333328</v>
      </c>
      <c r="F10" s="1385">
        <f>SUM(F5:F8)</f>
        <v>1183258672</v>
      </c>
      <c r="G10" s="1385">
        <f>SUM(G5:G8)</f>
        <v>98604889.333333328</v>
      </c>
      <c r="I10" s="1386" t="s">
        <v>265</v>
      </c>
      <c r="J10" s="1385">
        <f>SUM(J5:J8)</f>
        <v>98604889.333333328</v>
      </c>
      <c r="K10" s="1385">
        <f>SUM(K5:K8)</f>
        <v>96236099.083333328</v>
      </c>
      <c r="L10" s="1385">
        <f>SUM(L5:L9)</f>
        <v>97415941</v>
      </c>
      <c r="M10" s="1385">
        <f>SUM(M5:M9)</f>
        <v>96585643.138888881</v>
      </c>
      <c r="N10" s="1394">
        <f>SUM(N5:N8)</f>
        <v>136043835.69047618</v>
      </c>
      <c r="O10" s="1390"/>
    </row>
    <row r="12" spans="1:15">
      <c r="D12" s="2091"/>
      <c r="F12" s="2091"/>
    </row>
  </sheetData>
  <mergeCells count="3">
    <mergeCell ref="D3:E3"/>
    <mergeCell ref="F3:G3"/>
    <mergeCell ref="B3:C3"/>
  </mergeCells>
  <pageMargins left="0.7" right="0.7" top="0.75" bottom="0.75" header="0.3" footer="0.3"/>
  <pageSetup paperSize="9" orientation="portrait" horizontalDpi="4294967292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4:P13"/>
  <sheetViews>
    <sheetView topLeftCell="C1" workbookViewId="0">
      <selection activeCell="P13" sqref="P13"/>
    </sheetView>
  </sheetViews>
  <sheetFormatPr defaultRowHeight="15"/>
  <cols>
    <col min="1" max="1" width="13.28515625" style="1756" bestFit="1" customWidth="1"/>
    <col min="2" max="4" width="9.140625" style="1756"/>
    <col min="5" max="5" width="2.5703125" style="1756" bestFit="1" customWidth="1"/>
    <col min="6" max="6" width="6.140625" style="1756" bestFit="1" customWidth="1"/>
    <col min="7" max="7" width="3" style="1756" bestFit="1" customWidth="1"/>
    <col min="8" max="8" width="3.28515625" style="1756" bestFit="1" customWidth="1"/>
    <col min="9" max="9" width="5" style="1756" bestFit="1" customWidth="1"/>
    <col min="10" max="10" width="5.5703125" style="1756" bestFit="1" customWidth="1"/>
    <col min="11" max="11" width="7.5703125" style="1756" bestFit="1" customWidth="1"/>
    <col min="12" max="12" width="5" style="1756" bestFit="1" customWidth="1"/>
    <col min="13" max="14" width="9.140625" style="1756"/>
    <col min="15" max="15" width="39.42578125" style="1756" customWidth="1"/>
    <col min="16" max="16384" width="9.140625" style="1756"/>
  </cols>
  <sheetData>
    <row r="4" spans="1:16">
      <c r="A4" s="1758" t="s">
        <v>147</v>
      </c>
      <c r="B4" s="1758" t="s">
        <v>1677</v>
      </c>
      <c r="C4" s="1758" t="s">
        <v>1687</v>
      </c>
      <c r="D4" s="1758" t="s">
        <v>1693</v>
      </c>
      <c r="E4" s="1758" t="s">
        <v>1684</v>
      </c>
      <c r="F4" s="1758" t="s">
        <v>1685</v>
      </c>
      <c r="G4" s="1758" t="s">
        <v>1678</v>
      </c>
      <c r="H4" s="1758" t="s">
        <v>1679</v>
      </c>
      <c r="I4" s="1758" t="s">
        <v>1680</v>
      </c>
      <c r="J4" s="1758" t="s">
        <v>1682</v>
      </c>
      <c r="K4" s="1758" t="s">
        <v>1683</v>
      </c>
      <c r="L4" s="1758" t="s">
        <v>1681</v>
      </c>
      <c r="M4" s="1758" t="s">
        <v>17</v>
      </c>
    </row>
    <row r="5" spans="1:16">
      <c r="A5" s="1759" t="s">
        <v>1686</v>
      </c>
      <c r="B5" s="1757"/>
      <c r="C5" s="1757"/>
      <c r="D5" s="1757"/>
      <c r="E5" s="1757">
        <v>1</v>
      </c>
      <c r="F5" s="1757">
        <f>2+2</f>
        <v>4</v>
      </c>
      <c r="G5" s="1757">
        <v>6</v>
      </c>
      <c r="H5" s="1757">
        <v>13</v>
      </c>
      <c r="I5" s="1757">
        <v>3</v>
      </c>
      <c r="J5" s="1757">
        <f>5+1</f>
        <v>6</v>
      </c>
      <c r="K5" s="1757">
        <v>12</v>
      </c>
      <c r="L5" s="1757"/>
      <c r="M5" s="1758">
        <f>SUM(B5:L5)</f>
        <v>45</v>
      </c>
      <c r="O5" s="48" t="s">
        <v>1168</v>
      </c>
    </row>
    <row r="6" spans="1:16">
      <c r="A6" s="1759" t="s">
        <v>1688</v>
      </c>
      <c r="B6" s="1757"/>
      <c r="C6" s="1757"/>
      <c r="D6" s="1757"/>
      <c r="E6" s="1757"/>
      <c r="F6" s="1757"/>
      <c r="G6" s="1757">
        <v>2</v>
      </c>
      <c r="H6" s="1757">
        <v>1</v>
      </c>
      <c r="I6" s="1757">
        <v>2</v>
      </c>
      <c r="J6" s="1757"/>
      <c r="K6" s="1757"/>
      <c r="L6" s="1757"/>
      <c r="M6" s="1758">
        <f>SUM(B6:L6)</f>
        <v>5</v>
      </c>
      <c r="O6" s="558" t="s">
        <v>1700</v>
      </c>
      <c r="P6" s="1756">
        <v>57</v>
      </c>
    </row>
    <row r="7" spans="1:16">
      <c r="A7" s="1759" t="s">
        <v>1689</v>
      </c>
      <c r="B7" s="1757"/>
      <c r="C7" s="1757"/>
      <c r="D7" s="1757"/>
      <c r="E7" s="1757"/>
      <c r="F7" s="1757"/>
      <c r="G7" s="1757">
        <v>2</v>
      </c>
      <c r="H7" s="1757">
        <v>3</v>
      </c>
      <c r="I7" s="1757">
        <v>2</v>
      </c>
      <c r="J7" s="1757"/>
      <c r="K7" s="1757"/>
      <c r="L7" s="1757">
        <v>1</v>
      </c>
      <c r="M7" s="1758">
        <f>SUM(B7:L7)</f>
        <v>8</v>
      </c>
      <c r="O7" s="558" t="s">
        <v>1701</v>
      </c>
      <c r="P7" s="1756">
        <v>222</v>
      </c>
    </row>
    <row r="8" spans="1:16">
      <c r="A8" s="1759" t="s">
        <v>1690</v>
      </c>
      <c r="B8" s="1757"/>
      <c r="C8" s="1757">
        <v>12</v>
      </c>
      <c r="D8" s="1757"/>
      <c r="E8" s="1757"/>
      <c r="F8" s="1757"/>
      <c r="G8" s="1757"/>
      <c r="H8" s="1757"/>
      <c r="I8" s="1757"/>
      <c r="J8" s="1757"/>
      <c r="K8" s="1757"/>
      <c r="L8" s="1757"/>
      <c r="M8" s="1758">
        <f>SUM(B8:L8)</f>
        <v>12</v>
      </c>
      <c r="O8" s="558" t="s">
        <v>1702</v>
      </c>
      <c r="P8" s="1756">
        <v>157</v>
      </c>
    </row>
    <row r="9" spans="1:16">
      <c r="A9" s="1759" t="s">
        <v>1691</v>
      </c>
      <c r="B9" s="1757">
        <f>1+2+1+1+1</f>
        <v>6</v>
      </c>
      <c r="C9" s="1757"/>
      <c r="D9" s="1757"/>
      <c r="E9" s="1757"/>
      <c r="F9" s="1757"/>
      <c r="G9" s="1757"/>
      <c r="H9" s="1757"/>
      <c r="I9" s="1757"/>
      <c r="J9" s="1757"/>
      <c r="K9" s="1757"/>
      <c r="L9" s="1757"/>
      <c r="M9" s="1758">
        <f t="shared" ref="M9:M12" si="0">SUM(B9:L9)</f>
        <v>6</v>
      </c>
      <c r="O9" s="1654" t="s">
        <v>1703</v>
      </c>
      <c r="P9" s="1756">
        <v>12</v>
      </c>
    </row>
    <row r="10" spans="1:16">
      <c r="A10" s="1759" t="s">
        <v>1692</v>
      </c>
      <c r="B10" s="1757"/>
      <c r="C10" s="1757">
        <v>7</v>
      </c>
      <c r="D10" s="1757">
        <v>1</v>
      </c>
      <c r="E10" s="1757"/>
      <c r="F10" s="1757"/>
      <c r="G10" s="1757">
        <v>5</v>
      </c>
      <c r="H10" s="1757">
        <v>71</v>
      </c>
      <c r="I10" s="1757">
        <v>3</v>
      </c>
      <c r="J10" s="1757"/>
      <c r="K10" s="1757"/>
      <c r="L10" s="1757"/>
      <c r="M10" s="1758">
        <f t="shared" si="0"/>
        <v>87</v>
      </c>
    </row>
    <row r="11" spans="1:16">
      <c r="A11" s="1759" t="s">
        <v>1694</v>
      </c>
      <c r="B11" s="1757"/>
      <c r="C11" s="1757"/>
      <c r="D11" s="1757"/>
      <c r="E11" s="1757"/>
      <c r="F11" s="1757"/>
      <c r="G11" s="1757"/>
      <c r="H11" s="1757"/>
      <c r="I11" s="1757">
        <v>1</v>
      </c>
      <c r="J11" s="1757"/>
      <c r="K11" s="1757"/>
      <c r="L11" s="1757">
        <v>1</v>
      </c>
      <c r="M11" s="1758">
        <f t="shared" si="0"/>
        <v>2</v>
      </c>
      <c r="P11" s="1756">
        <f>P8+P9</f>
        <v>169</v>
      </c>
    </row>
    <row r="12" spans="1:16">
      <c r="A12" s="1759" t="s">
        <v>593</v>
      </c>
      <c r="B12" s="1757"/>
      <c r="C12" s="1757">
        <v>1</v>
      </c>
      <c r="D12" s="1757"/>
      <c r="E12" s="1757"/>
      <c r="F12" s="1757"/>
      <c r="G12" s="1757">
        <v>6</v>
      </c>
      <c r="H12" s="1757">
        <v>17</v>
      </c>
      <c r="I12" s="1757">
        <v>6</v>
      </c>
      <c r="J12" s="1757"/>
      <c r="K12" s="1757"/>
      <c r="L12" s="1757"/>
      <c r="M12" s="1758">
        <f t="shared" si="0"/>
        <v>30</v>
      </c>
      <c r="P12" s="1756">
        <f>P11+26</f>
        <v>195</v>
      </c>
    </row>
    <row r="13" spans="1:16">
      <c r="A13" s="1758" t="s">
        <v>265</v>
      </c>
      <c r="B13" s="1757"/>
      <c r="C13" s="1757"/>
      <c r="D13" s="1757"/>
      <c r="E13" s="1757"/>
      <c r="F13" s="1757"/>
      <c r="G13" s="1757"/>
      <c r="H13" s="1757"/>
      <c r="I13" s="1757"/>
      <c r="J13" s="1757"/>
      <c r="K13" s="1757"/>
      <c r="L13" s="1757"/>
      <c r="M13" s="1758">
        <f>SUM(M5:M12)</f>
        <v>195</v>
      </c>
    </row>
  </sheetData>
  <pageMargins left="0.7" right="0.7" top="0.75" bottom="0.75" header="0.3" footer="0.3"/>
  <pageSetup paperSize="9" orientation="portrait" horizontalDpi="4294967292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Q2" sqref="Q2"/>
    </sheetView>
  </sheetViews>
  <sheetFormatPr defaultRowHeight="15"/>
  <sheetData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4:H34"/>
  <sheetViews>
    <sheetView topLeftCell="A14" workbookViewId="0">
      <selection activeCell="G30" sqref="G30"/>
    </sheetView>
  </sheetViews>
  <sheetFormatPr defaultRowHeight="15.75"/>
  <cols>
    <col min="1" max="1" width="17.42578125" style="2167" bestFit="1" customWidth="1"/>
    <col min="2" max="3" width="19.85546875" style="2167" bestFit="1" customWidth="1"/>
    <col min="4" max="4" width="18" style="2167" bestFit="1" customWidth="1"/>
    <col min="5" max="5" width="18.7109375" style="2167" bestFit="1" customWidth="1"/>
    <col min="6" max="6" width="9.140625" style="2167"/>
    <col min="7" max="7" width="18.7109375" style="2167" bestFit="1" customWidth="1"/>
    <col min="8" max="8" width="18" style="2167" bestFit="1" customWidth="1"/>
    <col min="9" max="16384" width="9.140625" style="2167"/>
  </cols>
  <sheetData>
    <row r="4" spans="1:5" s="2165" customFormat="1" ht="20.25" customHeight="1">
      <c r="A4" s="2164" t="s">
        <v>1795</v>
      </c>
      <c r="B4" s="3706" t="s">
        <v>1794</v>
      </c>
      <c r="C4" s="3706"/>
    </row>
    <row r="5" spans="1:5" s="2165" customFormat="1" ht="20.25" customHeight="1">
      <c r="A5" s="2166" t="s">
        <v>177</v>
      </c>
      <c r="B5" s="2166">
        <v>23355769510</v>
      </c>
      <c r="C5" s="2166">
        <v>23355769510</v>
      </c>
    </row>
    <row r="6" spans="1:5" s="2165" customFormat="1" ht="20.25" customHeight="1">
      <c r="A6" s="2166" t="s">
        <v>594</v>
      </c>
      <c r="B6" s="2166">
        <v>13888250002</v>
      </c>
      <c r="C6" s="2166">
        <v>13888250002</v>
      </c>
    </row>
    <row r="7" spans="1:5" s="2165" customFormat="1" ht="20.25" customHeight="1">
      <c r="A7" s="2166" t="s">
        <v>651</v>
      </c>
      <c r="B7" s="2166">
        <v>13418147500</v>
      </c>
      <c r="C7" s="2166">
        <v>13418147500</v>
      </c>
    </row>
    <row r="8" spans="1:5" s="2165" customFormat="1" ht="20.25" customHeight="1">
      <c r="A8" s="2166" t="s">
        <v>595</v>
      </c>
      <c r="B8" s="2166">
        <v>15044411000</v>
      </c>
      <c r="C8" s="2166">
        <v>6232144232</v>
      </c>
    </row>
    <row r="9" spans="1:5" s="2165" customFormat="1" ht="20.25" customHeight="1">
      <c r="A9" s="2166" t="s">
        <v>593</v>
      </c>
      <c r="B9" s="2166">
        <v>29918356800</v>
      </c>
      <c r="C9" s="2166">
        <v>29918356800</v>
      </c>
    </row>
    <row r="10" spans="1:5" s="2165" customFormat="1" ht="20.25" customHeight="1">
      <c r="A10" s="2166" t="s">
        <v>30</v>
      </c>
      <c r="B10" s="2166">
        <f>SUM(B5:B9)</f>
        <v>95624934812</v>
      </c>
      <c r="C10" s="2166">
        <f>SUM(C5:C9)</f>
        <v>86812668044</v>
      </c>
    </row>
    <row r="15" spans="1:5">
      <c r="E15" s="2167" t="s">
        <v>1796</v>
      </c>
    </row>
    <row r="16" spans="1:5">
      <c r="A16" s="1688" t="s">
        <v>1576</v>
      </c>
      <c r="B16" s="1689">
        <v>55000</v>
      </c>
      <c r="C16" s="1660" t="s">
        <v>50</v>
      </c>
      <c r="D16" s="1690">
        <v>19000</v>
      </c>
      <c r="E16" s="660">
        <f t="shared" ref="E16:E17" si="0">B16*D16</f>
        <v>1045000000</v>
      </c>
    </row>
    <row r="17" spans="1:8">
      <c r="A17" s="1688" t="s">
        <v>1577</v>
      </c>
      <c r="B17" s="1689">
        <v>36500</v>
      </c>
      <c r="C17" s="1660" t="s">
        <v>50</v>
      </c>
      <c r="D17" s="1690">
        <v>8750</v>
      </c>
      <c r="E17" s="660">
        <f t="shared" si="0"/>
        <v>319375000</v>
      </c>
    </row>
    <row r="18" spans="1:8">
      <c r="E18" s="2167">
        <f>SUM(E16:E17)</f>
        <v>1364375000</v>
      </c>
      <c r="G18" s="2167">
        <v>1663375000</v>
      </c>
      <c r="H18" s="2167" t="s">
        <v>1798</v>
      </c>
    </row>
    <row r="19" spans="1:8">
      <c r="E19" s="2167" t="s">
        <v>1797</v>
      </c>
      <c r="G19" s="2167">
        <f>G18-E18</f>
        <v>299000000</v>
      </c>
    </row>
    <row r="20" spans="1:8">
      <c r="A20" s="1688" t="s">
        <v>1576</v>
      </c>
      <c r="B20" s="1689">
        <v>55000</v>
      </c>
      <c r="C20" s="1660" t="s">
        <v>50</v>
      </c>
      <c r="D20" s="1690">
        <v>27000</v>
      </c>
      <c r="E20" s="660">
        <f t="shared" ref="E20:E21" si="1">B20*D20</f>
        <v>1485000000</v>
      </c>
      <c r="G20" s="2167">
        <f>G19/B17</f>
        <v>8191.7808219178078</v>
      </c>
    </row>
    <row r="21" spans="1:8">
      <c r="A21" s="1688" t="s">
        <v>1577</v>
      </c>
      <c r="B21" s="1689">
        <v>36500</v>
      </c>
      <c r="C21" s="1660" t="s">
        <v>50</v>
      </c>
      <c r="D21" s="1690">
        <v>5000</v>
      </c>
      <c r="E21" s="660">
        <f t="shared" si="1"/>
        <v>182500000</v>
      </c>
    </row>
    <row r="22" spans="1:8">
      <c r="E22" s="2167">
        <f>SUM(E20:E21)</f>
        <v>1667500000</v>
      </c>
    </row>
    <row r="23" spans="1:8">
      <c r="E23" s="2167" t="s">
        <v>1798</v>
      </c>
    </row>
    <row r="24" spans="1:8">
      <c r="A24" s="1688" t="s">
        <v>1576</v>
      </c>
      <c r="B24" s="1689">
        <v>55000</v>
      </c>
      <c r="C24" s="1660" t="s">
        <v>50</v>
      </c>
      <c r="D24" s="1690">
        <v>24300</v>
      </c>
      <c r="E24" s="660">
        <f t="shared" ref="E24:E25" si="2">B24*D24</f>
        <v>1336500000</v>
      </c>
    </row>
    <row r="25" spans="1:8">
      <c r="A25" s="1688" t="s">
        <v>1577</v>
      </c>
      <c r="B25" s="1689">
        <v>36500</v>
      </c>
      <c r="C25" s="1660" t="s">
        <v>50</v>
      </c>
      <c r="D25" s="1690">
        <v>9000</v>
      </c>
      <c r="E25" s="660">
        <f t="shared" si="2"/>
        <v>328500000</v>
      </c>
    </row>
    <row r="26" spans="1:8">
      <c r="E26" s="2167">
        <f>SUM(E24:E25)</f>
        <v>1665000000</v>
      </c>
    </row>
    <row r="28" spans="1:8">
      <c r="E28" s="2167">
        <f>E22-E26</f>
        <v>2500000</v>
      </c>
      <c r="G28" s="2167">
        <f>E26-G18</f>
        <v>1625000</v>
      </c>
    </row>
    <row r="29" spans="1:8">
      <c r="E29" s="2167">
        <f>E28/B24</f>
        <v>45.454545454545453</v>
      </c>
      <c r="G29" s="2167">
        <f>G28/B24</f>
        <v>29.545454545454547</v>
      </c>
    </row>
    <row r="31" spans="1:8">
      <c r="A31" s="1688" t="s">
        <v>1576</v>
      </c>
      <c r="B31" s="1689">
        <v>55000</v>
      </c>
      <c r="C31" s="1660" t="s">
        <v>50</v>
      </c>
      <c r="D31" s="1690">
        <v>24340</v>
      </c>
      <c r="E31" s="660">
        <f t="shared" ref="E31:E32" si="3">B31*D31</f>
        <v>1338700000</v>
      </c>
    </row>
    <row r="32" spans="1:8">
      <c r="A32" s="1688" t="s">
        <v>1577</v>
      </c>
      <c r="B32" s="1689">
        <v>36500</v>
      </c>
      <c r="C32" s="1660" t="s">
        <v>50</v>
      </c>
      <c r="D32" s="1690">
        <v>9160</v>
      </c>
      <c r="E32" s="660">
        <f t="shared" si="3"/>
        <v>334340000</v>
      </c>
    </row>
    <row r="33" spans="5:7">
      <c r="E33" s="2167">
        <f>SUM(E31:E32)</f>
        <v>1673040000</v>
      </c>
      <c r="G33" s="2167">
        <f>E22-E33</f>
        <v>-5540000</v>
      </c>
    </row>
    <row r="34" spans="5:7">
      <c r="G34" s="2167">
        <f>G33/B31</f>
        <v>-100.72727272727273</v>
      </c>
    </row>
  </sheetData>
  <mergeCells count="1">
    <mergeCell ref="B4:C4"/>
  </mergeCells>
  <pageMargins left="0.7" right="0.7" top="0.75" bottom="0.75" header="0.3" footer="0.3"/>
  <pageSetup paperSize="9" scale="150" orientation="portrait" horizontalDpi="4294967292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4:F14"/>
  <sheetViews>
    <sheetView workbookViewId="0">
      <selection activeCell="K12" sqref="K12"/>
    </sheetView>
  </sheetViews>
  <sheetFormatPr defaultRowHeight="15"/>
  <cols>
    <col min="1" max="1" width="3.85546875" bestFit="1" customWidth="1"/>
    <col min="2" max="2" width="30.7109375" bestFit="1" customWidth="1"/>
    <col min="3" max="3" width="8" customWidth="1"/>
    <col min="4" max="4" width="13.140625" customWidth="1"/>
    <col min="5" max="5" width="12.85546875" bestFit="1" customWidth="1"/>
    <col min="6" max="6" width="15.140625" bestFit="1" customWidth="1"/>
  </cols>
  <sheetData>
    <row r="4" spans="1:6" ht="31.5" customHeight="1">
      <c r="A4" s="2322" t="s">
        <v>1365</v>
      </c>
      <c r="B4" s="2322" t="s">
        <v>1851</v>
      </c>
      <c r="C4" s="2322" t="s">
        <v>1852</v>
      </c>
      <c r="D4" s="2322" t="s">
        <v>1853</v>
      </c>
      <c r="E4" s="2323" t="s">
        <v>1859</v>
      </c>
      <c r="F4" s="2323" t="s">
        <v>1860</v>
      </c>
    </row>
    <row r="5" spans="1:6">
      <c r="A5" s="1757">
        <v>1</v>
      </c>
      <c r="B5" s="2306" t="s">
        <v>1854</v>
      </c>
      <c r="C5" s="2307">
        <v>25</v>
      </c>
      <c r="D5" s="2307">
        <v>8</v>
      </c>
      <c r="E5" s="2307">
        <f>(6*6*8)</f>
        <v>288</v>
      </c>
      <c r="F5" s="2307">
        <v>25</v>
      </c>
    </row>
    <row r="6" spans="1:6">
      <c r="A6" s="1757">
        <v>2</v>
      </c>
      <c r="B6" s="2306" t="s">
        <v>1855</v>
      </c>
      <c r="C6" s="2307">
        <v>16</v>
      </c>
      <c r="D6" s="2307">
        <v>4</v>
      </c>
      <c r="E6" s="2307">
        <f>(6*6*4)</f>
        <v>144</v>
      </c>
      <c r="F6" s="2307">
        <v>15</v>
      </c>
    </row>
    <row r="7" spans="1:6">
      <c r="A7" s="1757">
        <v>3</v>
      </c>
      <c r="B7" s="2306" t="s">
        <v>1856</v>
      </c>
      <c r="C7" s="2307">
        <v>12</v>
      </c>
      <c r="D7" s="2307">
        <v>6</v>
      </c>
      <c r="E7" s="2307">
        <f>(4*4*6)</f>
        <v>96</v>
      </c>
      <c r="F7" s="2307">
        <v>16</v>
      </c>
    </row>
    <row r="8" spans="1:6">
      <c r="A8" s="1757">
        <v>4</v>
      </c>
      <c r="B8" s="2306" t="s">
        <v>1857</v>
      </c>
      <c r="C8" s="2307">
        <v>15</v>
      </c>
      <c r="D8" s="2307">
        <v>3</v>
      </c>
      <c r="E8" s="2307">
        <f>(10*10)+(4*8)+(3*4)</f>
        <v>144</v>
      </c>
      <c r="F8" s="2307">
        <v>20</v>
      </c>
    </row>
    <row r="9" spans="1:6">
      <c r="A9" s="1757">
        <v>5</v>
      </c>
      <c r="B9" s="2306" t="s">
        <v>1858</v>
      </c>
      <c r="C9" s="2307">
        <v>10</v>
      </c>
      <c r="D9" s="2307">
        <v>10</v>
      </c>
      <c r="E9" s="2307">
        <f>(6*5*13)</f>
        <v>390</v>
      </c>
      <c r="F9" s="2307">
        <v>30</v>
      </c>
    </row>
    <row r="10" spans="1:6">
      <c r="A10" s="1757">
        <v>6</v>
      </c>
      <c r="B10" s="2306" t="s">
        <v>1861</v>
      </c>
      <c r="C10" s="2307">
        <v>10</v>
      </c>
      <c r="D10" s="2307">
        <v>4</v>
      </c>
      <c r="E10" s="2307">
        <f>(13*15)</f>
        <v>195</v>
      </c>
      <c r="F10" s="2307"/>
    </row>
    <row r="11" spans="1:6">
      <c r="A11" s="1757">
        <v>7</v>
      </c>
      <c r="B11" s="2306" t="s">
        <v>761</v>
      </c>
      <c r="C11" s="2307">
        <v>4</v>
      </c>
      <c r="D11" s="2307">
        <v>1</v>
      </c>
      <c r="E11" s="2307">
        <v>100</v>
      </c>
      <c r="F11" s="2307"/>
    </row>
    <row r="12" spans="1:6">
      <c r="A12" s="1757">
        <v>8</v>
      </c>
      <c r="B12" s="2306" t="s">
        <v>762</v>
      </c>
      <c r="C12" s="2307">
        <v>4</v>
      </c>
      <c r="D12" s="2307">
        <v>1</v>
      </c>
      <c r="E12" s="2307">
        <v>100</v>
      </c>
      <c r="F12" s="2307"/>
    </row>
    <row r="13" spans="1:6">
      <c r="A13" s="1757">
        <v>9</v>
      </c>
      <c r="B13" s="2306" t="s">
        <v>1690</v>
      </c>
      <c r="C13" s="2307">
        <v>14</v>
      </c>
      <c r="D13" s="2307">
        <v>2</v>
      </c>
      <c r="E13" s="2307">
        <v>200</v>
      </c>
      <c r="F13" s="2307"/>
    </row>
    <row r="14" spans="1:6">
      <c r="A14" s="1758"/>
      <c r="B14" s="2320" t="s">
        <v>17</v>
      </c>
      <c r="C14" s="2321">
        <f>SUM(C5:C13)</f>
        <v>110</v>
      </c>
      <c r="D14" s="2321">
        <f>SUM(D5:D13)</f>
        <v>39</v>
      </c>
      <c r="E14" s="2321">
        <f t="shared" ref="E14:F14" si="0">SUM(E5:E13)</f>
        <v>1657</v>
      </c>
      <c r="F14" s="2321">
        <f t="shared" si="0"/>
        <v>106</v>
      </c>
    </row>
  </sheetData>
  <pageMargins left="0.49" right="0.5" top="0.75" bottom="0.75" header="0.3" footer="0.3"/>
  <pageSetup paperSize="9" orientation="portrait" horizontalDpi="4294967292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2:Q62"/>
  <sheetViews>
    <sheetView view="pageBreakPreview" zoomScaleSheetLayoutView="10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I25" sqref="I25"/>
    </sheetView>
  </sheetViews>
  <sheetFormatPr defaultRowHeight="15"/>
  <cols>
    <col min="1" max="1" width="3.5703125" bestFit="1" customWidth="1"/>
    <col min="2" max="2" width="28.5703125" bestFit="1" customWidth="1"/>
    <col min="3" max="3" width="13.28515625" style="1756" customWidth="1"/>
    <col min="4" max="4" width="9.42578125" bestFit="1" customWidth="1"/>
    <col min="5" max="5" width="6.42578125" bestFit="1" customWidth="1"/>
    <col min="6" max="6" width="12.5703125" style="2335" bestFit="1" customWidth="1"/>
    <col min="7" max="7" width="11.5703125" bestFit="1" customWidth="1"/>
    <col min="8" max="8" width="10.5703125" bestFit="1" customWidth="1"/>
    <col min="9" max="10" width="11.5703125" bestFit="1" customWidth="1"/>
    <col min="11" max="11" width="10.7109375" bestFit="1" customWidth="1"/>
    <col min="12" max="13" width="13.28515625" bestFit="1" customWidth="1"/>
    <col min="14" max="14" width="9" bestFit="1" customWidth="1"/>
    <col min="15" max="15" width="4.28515625" bestFit="1" customWidth="1"/>
    <col min="16" max="17" width="15.28515625" bestFit="1" customWidth="1"/>
  </cols>
  <sheetData>
    <row r="2" spans="1:17" ht="17.25">
      <c r="A2" s="3707" t="s">
        <v>1937</v>
      </c>
      <c r="B2" s="3707"/>
      <c r="C2" s="3707"/>
      <c r="D2" s="3707"/>
      <c r="E2" s="3707"/>
      <c r="F2" s="3707"/>
      <c r="G2" s="3707"/>
      <c r="H2" s="3707"/>
      <c r="I2" s="3707"/>
      <c r="J2" s="3707"/>
      <c r="K2" s="3707"/>
      <c r="L2" s="3707"/>
      <c r="M2" s="3707"/>
      <c r="N2" s="3707"/>
      <c r="O2" s="3707"/>
      <c r="P2" s="3707"/>
    </row>
    <row r="4" spans="1:17">
      <c r="A4" s="3714" t="s">
        <v>1365</v>
      </c>
      <c r="B4" s="3714" t="s">
        <v>1893</v>
      </c>
      <c r="C4" s="3720" t="s">
        <v>1918</v>
      </c>
      <c r="D4" s="3722" t="s">
        <v>1894</v>
      </c>
      <c r="E4" s="3723"/>
      <c r="F4" s="3724"/>
      <c r="G4" s="3715" t="s">
        <v>1895</v>
      </c>
      <c r="H4" s="3716"/>
      <c r="I4" s="3716"/>
      <c r="J4" s="3717" t="s">
        <v>1898</v>
      </c>
      <c r="K4" s="3718"/>
      <c r="L4" s="3718"/>
      <c r="M4" s="3718"/>
      <c r="N4" s="3718"/>
      <c r="O4" s="3718"/>
      <c r="P4" s="3719"/>
    </row>
    <row r="5" spans="1:17" ht="45" customHeight="1">
      <c r="A5" s="3714"/>
      <c r="B5" s="3714"/>
      <c r="C5" s="3721"/>
      <c r="D5" s="2353" t="s">
        <v>1913</v>
      </c>
      <c r="E5" s="2353" t="s">
        <v>1914</v>
      </c>
      <c r="F5" s="2351" t="s">
        <v>1900</v>
      </c>
      <c r="G5" s="2354" t="s">
        <v>1901</v>
      </c>
      <c r="H5" s="2354" t="s">
        <v>1896</v>
      </c>
      <c r="I5" s="2354" t="s">
        <v>1897</v>
      </c>
      <c r="J5" s="2352" t="s">
        <v>1899</v>
      </c>
      <c r="K5" s="2373" t="s">
        <v>1946</v>
      </c>
      <c r="L5" s="2352" t="s">
        <v>1900</v>
      </c>
      <c r="M5" s="2352" t="s">
        <v>1902</v>
      </c>
      <c r="N5" s="2352" t="s">
        <v>1871</v>
      </c>
      <c r="O5" s="2352" t="s">
        <v>1935</v>
      </c>
      <c r="P5" s="2352" t="s">
        <v>1915</v>
      </c>
    </row>
    <row r="6" spans="1:17" ht="15" customHeight="1">
      <c r="A6" s="2366">
        <v>1</v>
      </c>
      <c r="B6" s="2347" t="s">
        <v>1926</v>
      </c>
      <c r="C6" s="2337" t="s">
        <v>1919</v>
      </c>
      <c r="D6" s="2339">
        <v>4</v>
      </c>
      <c r="E6" s="2339">
        <v>5</v>
      </c>
      <c r="F6" s="2337" t="s">
        <v>1917</v>
      </c>
      <c r="G6" s="2360">
        <v>10000000</v>
      </c>
      <c r="H6" s="2355">
        <v>8000000</v>
      </c>
      <c r="I6" s="2360" t="s">
        <v>1940</v>
      </c>
      <c r="J6" s="2362">
        <f>40*18000</f>
        <v>720000</v>
      </c>
      <c r="K6" s="2362">
        <f>40*30000</f>
        <v>1200000</v>
      </c>
      <c r="L6" s="2355">
        <v>7350000</v>
      </c>
      <c r="M6" s="2337" t="s">
        <v>1916</v>
      </c>
      <c r="N6" s="3708">
        <v>3000000</v>
      </c>
      <c r="O6" s="2364"/>
      <c r="P6" s="2338">
        <v>82000000</v>
      </c>
      <c r="Q6" s="1393"/>
    </row>
    <row r="7" spans="1:17">
      <c r="A7" s="2366">
        <v>2</v>
      </c>
      <c r="B7" s="2347" t="s">
        <v>1903</v>
      </c>
      <c r="C7" s="2337" t="s">
        <v>1921</v>
      </c>
      <c r="D7" s="2337">
        <v>6</v>
      </c>
      <c r="E7" s="2337">
        <v>4</v>
      </c>
      <c r="F7" s="2337" t="s">
        <v>1917</v>
      </c>
      <c r="G7" s="2360">
        <v>10000000</v>
      </c>
      <c r="H7" s="2338">
        <v>3750000</v>
      </c>
      <c r="I7" s="2360" t="s">
        <v>1941</v>
      </c>
      <c r="J7" s="2362">
        <f>25*18000</f>
        <v>450000</v>
      </c>
      <c r="K7" s="2362">
        <f>25*30000</f>
        <v>750000</v>
      </c>
      <c r="L7" s="2355">
        <v>7350000</v>
      </c>
      <c r="M7" s="2337" t="s">
        <v>1916</v>
      </c>
      <c r="N7" s="3709"/>
      <c r="O7" s="2363"/>
      <c r="P7" s="2338">
        <v>70000000</v>
      </c>
      <c r="Q7" s="1393"/>
    </row>
    <row r="8" spans="1:17">
      <c r="A8" s="2366">
        <v>3</v>
      </c>
      <c r="B8" s="2347" t="s">
        <v>1927</v>
      </c>
      <c r="C8" s="2337" t="s">
        <v>1922</v>
      </c>
      <c r="D8" s="2337" t="s">
        <v>1917</v>
      </c>
      <c r="E8" s="2337" t="s">
        <v>1917</v>
      </c>
      <c r="F8" s="2338">
        <v>32400000</v>
      </c>
      <c r="G8" s="2337" t="s">
        <v>1917</v>
      </c>
      <c r="H8" s="2337" t="s">
        <v>1917</v>
      </c>
      <c r="I8" s="2360" t="s">
        <v>1942</v>
      </c>
      <c r="J8" s="2362">
        <f>30*18000</f>
        <v>540000</v>
      </c>
      <c r="K8" s="2362">
        <f>30*30000</f>
        <v>900000</v>
      </c>
      <c r="L8" s="2355">
        <v>7350000</v>
      </c>
      <c r="M8" s="2360">
        <f>30*4*10000</f>
        <v>1200000</v>
      </c>
      <c r="N8" s="3709"/>
      <c r="O8" s="3725">
        <v>36000000</v>
      </c>
      <c r="P8" s="2337" t="s">
        <v>1917</v>
      </c>
      <c r="Q8" s="1393"/>
    </row>
    <row r="9" spans="1:17">
      <c r="A9" s="2366">
        <v>4</v>
      </c>
      <c r="B9" s="2347" t="s">
        <v>1928</v>
      </c>
      <c r="C9" s="2337" t="s">
        <v>1923</v>
      </c>
      <c r="D9" s="2337" t="s">
        <v>1917</v>
      </c>
      <c r="E9" s="2337" t="s">
        <v>1917</v>
      </c>
      <c r="F9" s="2338">
        <v>16200000</v>
      </c>
      <c r="G9" s="2337" t="s">
        <v>1917</v>
      </c>
      <c r="H9" s="2337" t="s">
        <v>1917</v>
      </c>
      <c r="I9" s="2360" t="s">
        <v>1943</v>
      </c>
      <c r="J9" s="2362">
        <f>45*18000</f>
        <v>810000</v>
      </c>
      <c r="K9" s="2362">
        <f>45*30000</f>
        <v>1350000</v>
      </c>
      <c r="L9" s="2355">
        <v>7350000</v>
      </c>
      <c r="M9" s="2360">
        <f>45*10000</f>
        <v>450000</v>
      </c>
      <c r="N9" s="3709"/>
      <c r="O9" s="3725"/>
      <c r="P9" s="2338">
        <v>4000000</v>
      </c>
      <c r="Q9" s="1393"/>
    </row>
    <row r="10" spans="1:17" s="2372" customFormat="1">
      <c r="A10" s="2368">
        <v>5</v>
      </c>
      <c r="B10" s="2369" t="s">
        <v>1904</v>
      </c>
      <c r="C10" s="2368" t="s">
        <v>1923</v>
      </c>
      <c r="D10" s="2368">
        <v>1</v>
      </c>
      <c r="E10" s="2368">
        <v>3</v>
      </c>
      <c r="F10" s="2365">
        <v>16200000</v>
      </c>
      <c r="G10" s="2368" t="s">
        <v>1917</v>
      </c>
      <c r="H10" s="2368" t="s">
        <v>1917</v>
      </c>
      <c r="I10" s="2365" t="s">
        <v>1939</v>
      </c>
      <c r="J10" s="2370">
        <f>45*18000</f>
        <v>810000</v>
      </c>
      <c r="K10" s="2370">
        <f>45*30000</f>
        <v>1350000</v>
      </c>
      <c r="L10" s="2370">
        <v>7350000</v>
      </c>
      <c r="M10" s="2365">
        <f>45*10000</f>
        <v>450000</v>
      </c>
      <c r="N10" s="3709"/>
      <c r="O10" s="3725"/>
      <c r="P10" s="2365">
        <f>1500000*45</f>
        <v>67500000</v>
      </c>
      <c r="Q10" s="2371"/>
    </row>
    <row r="11" spans="1:17">
      <c r="A11" s="2366">
        <v>6</v>
      </c>
      <c r="B11" s="2347" t="s">
        <v>1929</v>
      </c>
      <c r="C11" s="2337" t="s">
        <v>1924</v>
      </c>
      <c r="D11" s="2337" t="s">
        <v>1917</v>
      </c>
      <c r="E11" s="2337" t="s">
        <v>1917</v>
      </c>
      <c r="F11" s="2338">
        <v>16200000</v>
      </c>
      <c r="G11" s="2337" t="s">
        <v>1917</v>
      </c>
      <c r="H11" s="2337" t="s">
        <v>1917</v>
      </c>
      <c r="I11" s="2338" t="s">
        <v>1944</v>
      </c>
      <c r="J11" s="2362">
        <f>50*18000</f>
        <v>900000</v>
      </c>
      <c r="K11" s="2362">
        <f>50*30000</f>
        <v>1500000</v>
      </c>
      <c r="L11" s="2355">
        <v>7350000</v>
      </c>
      <c r="M11" s="2360">
        <f>50*2*10000</f>
        <v>1000000</v>
      </c>
      <c r="N11" s="3709"/>
      <c r="O11" s="3725"/>
      <c r="P11" s="2338">
        <v>4000000</v>
      </c>
      <c r="Q11" s="1393"/>
    </row>
    <row r="12" spans="1:17">
      <c r="A12" s="2366">
        <v>7</v>
      </c>
      <c r="B12" s="2347" t="s">
        <v>1905</v>
      </c>
      <c r="C12" s="2337" t="s">
        <v>1925</v>
      </c>
      <c r="D12" s="2337" t="s">
        <v>1917</v>
      </c>
      <c r="E12" s="2337" t="s">
        <v>1917</v>
      </c>
      <c r="F12" s="2367">
        <f>(1*9*4*900000)+(2*3*3*4*6*200000)</f>
        <v>118800000</v>
      </c>
      <c r="G12" s="2337" t="s">
        <v>1917</v>
      </c>
      <c r="H12" s="2337" t="s">
        <v>1917</v>
      </c>
      <c r="I12" s="2360" t="s">
        <v>1943</v>
      </c>
      <c r="J12" s="2362">
        <f>45*18000</f>
        <v>810000</v>
      </c>
      <c r="K12" s="2362">
        <f>45*30000</f>
        <v>1350000</v>
      </c>
      <c r="L12" s="2355">
        <v>7350000</v>
      </c>
      <c r="M12" s="2362">
        <f>45*10000</f>
        <v>450000</v>
      </c>
      <c r="N12" s="3709"/>
      <c r="O12" s="3725"/>
      <c r="P12" s="2360">
        <v>0</v>
      </c>
      <c r="Q12" s="1393"/>
    </row>
    <row r="13" spans="1:17" ht="30">
      <c r="A13" s="2337">
        <v>8</v>
      </c>
      <c r="B13" s="2347" t="s">
        <v>1906</v>
      </c>
      <c r="C13" s="2337" t="s">
        <v>1919</v>
      </c>
      <c r="D13" s="2337">
        <v>3</v>
      </c>
      <c r="E13" s="2337">
        <v>4</v>
      </c>
      <c r="F13" s="2337" t="s">
        <v>1917</v>
      </c>
      <c r="G13" s="2337" t="s">
        <v>1917</v>
      </c>
      <c r="H13" s="2337" t="s">
        <v>1917</v>
      </c>
      <c r="I13" s="2360" t="s">
        <v>1945</v>
      </c>
      <c r="J13" s="2362">
        <f>25*18000</f>
        <v>450000</v>
      </c>
      <c r="K13" s="2362">
        <f>25*30000</f>
        <v>750000</v>
      </c>
      <c r="L13" s="2355">
        <v>7350000</v>
      </c>
      <c r="M13" s="2337" t="s">
        <v>1916</v>
      </c>
      <c r="N13" s="3709"/>
      <c r="O13" s="2364"/>
      <c r="P13" s="2360">
        <f>25*1500000</f>
        <v>37500000</v>
      </c>
      <c r="Q13" s="1393"/>
    </row>
    <row r="14" spans="1:17">
      <c r="A14" s="2337">
        <v>9</v>
      </c>
      <c r="B14" s="2347" t="s">
        <v>1907</v>
      </c>
      <c r="C14" s="2337" t="s">
        <v>1921</v>
      </c>
      <c r="D14" s="2337">
        <v>3</v>
      </c>
      <c r="E14" s="2337">
        <v>2</v>
      </c>
      <c r="F14" s="2337" t="s">
        <v>1917</v>
      </c>
      <c r="G14" s="2337" t="s">
        <v>1917</v>
      </c>
      <c r="H14" s="2337" t="s">
        <v>1917</v>
      </c>
      <c r="I14" s="2338" t="s">
        <v>1978</v>
      </c>
      <c r="J14" s="2362">
        <f>20*18000</f>
        <v>360000</v>
      </c>
      <c r="K14" s="2362">
        <f>20*30000</f>
        <v>600000</v>
      </c>
      <c r="L14" s="2355">
        <v>7350000</v>
      </c>
      <c r="M14" s="2338">
        <f>20*10000</f>
        <v>200000</v>
      </c>
      <c r="N14" s="3709"/>
      <c r="O14" s="2364"/>
      <c r="P14" s="2338">
        <v>35000000</v>
      </c>
      <c r="Q14" s="1393"/>
    </row>
    <row r="15" spans="1:17">
      <c r="A15" s="2337">
        <v>10</v>
      </c>
      <c r="B15" s="2347" t="s">
        <v>1931</v>
      </c>
      <c r="C15" s="2337" t="s">
        <v>1923</v>
      </c>
      <c r="D15" s="2337">
        <v>3</v>
      </c>
      <c r="E15" s="2337">
        <v>4</v>
      </c>
      <c r="F15" s="2337" t="s">
        <v>1917</v>
      </c>
      <c r="G15" s="2337" t="s">
        <v>1917</v>
      </c>
      <c r="H15" s="2337" t="s">
        <v>1917</v>
      </c>
      <c r="I15" s="2338" t="s">
        <v>1938</v>
      </c>
      <c r="J15" s="2362">
        <f>50*18000</f>
        <v>900000</v>
      </c>
      <c r="K15" s="2362">
        <f>50*30000</f>
        <v>1500000</v>
      </c>
      <c r="L15" s="2337" t="s">
        <v>1917</v>
      </c>
      <c r="M15" s="2338">
        <f>50*10000</f>
        <v>500000</v>
      </c>
      <c r="N15" s="3710"/>
      <c r="O15" s="2364"/>
      <c r="P15" s="2338">
        <v>60000000</v>
      </c>
      <c r="Q15" s="1393"/>
    </row>
    <row r="16" spans="1:17" ht="30">
      <c r="A16" s="2337">
        <v>11</v>
      </c>
      <c r="B16" s="2348" t="s">
        <v>1908</v>
      </c>
      <c r="C16" s="2341" t="s">
        <v>1930</v>
      </c>
      <c r="D16" s="2341">
        <v>2</v>
      </c>
      <c r="E16" s="2341">
        <v>100</v>
      </c>
      <c r="F16" s="2342">
        <v>40000000</v>
      </c>
      <c r="G16" s="2341" t="s">
        <v>1917</v>
      </c>
      <c r="H16" s="2341" t="s">
        <v>1917</v>
      </c>
      <c r="I16" s="2341" t="s">
        <v>1917</v>
      </c>
      <c r="J16" s="2341" t="s">
        <v>1917</v>
      </c>
      <c r="K16" s="2376"/>
      <c r="L16" s="2341" t="s">
        <v>1917</v>
      </c>
      <c r="M16" s="2341" t="s">
        <v>1916</v>
      </c>
      <c r="N16" s="2341" t="s">
        <v>1917</v>
      </c>
      <c r="O16" s="2341" t="s">
        <v>1917</v>
      </c>
      <c r="P16" s="2342">
        <v>24000000</v>
      </c>
      <c r="Q16" s="1393"/>
    </row>
    <row r="17" spans="1:17">
      <c r="A17" s="2337">
        <v>12</v>
      </c>
      <c r="B17" s="2349" t="s">
        <v>1909</v>
      </c>
      <c r="C17" s="2343" t="s">
        <v>1917</v>
      </c>
      <c r="D17" s="2343" t="s">
        <v>1917</v>
      </c>
      <c r="E17" s="2343" t="s">
        <v>1917</v>
      </c>
      <c r="F17" s="2343" t="s">
        <v>1917</v>
      </c>
      <c r="G17" s="2343" t="s">
        <v>1917</v>
      </c>
      <c r="H17" s="2343" t="s">
        <v>1917</v>
      </c>
      <c r="I17" s="2361">
        <v>12</v>
      </c>
      <c r="J17" s="2343" t="s">
        <v>1917</v>
      </c>
      <c r="K17" s="2377"/>
      <c r="L17" s="2343" t="s">
        <v>1917</v>
      </c>
      <c r="M17" s="2343" t="s">
        <v>1917</v>
      </c>
      <c r="N17" s="2343" t="s">
        <v>1917</v>
      </c>
      <c r="O17" s="2343" t="s">
        <v>1917</v>
      </c>
      <c r="P17" s="2344">
        <v>86400000</v>
      </c>
      <c r="Q17" s="1393"/>
    </row>
    <row r="18" spans="1:17">
      <c r="A18" s="2337">
        <v>13</v>
      </c>
      <c r="B18" s="2349" t="s">
        <v>1910</v>
      </c>
      <c r="C18" s="2343" t="s">
        <v>1917</v>
      </c>
      <c r="D18" s="2343" t="s">
        <v>1917</v>
      </c>
      <c r="E18" s="2343" t="s">
        <v>1917</v>
      </c>
      <c r="F18" s="2343" t="s">
        <v>1917</v>
      </c>
      <c r="G18" s="2343" t="s">
        <v>1917</v>
      </c>
      <c r="H18" s="2343" t="s">
        <v>1917</v>
      </c>
      <c r="I18" s="2343">
        <v>7</v>
      </c>
      <c r="J18" s="2343" t="s">
        <v>1917</v>
      </c>
      <c r="K18" s="2377"/>
      <c r="L18" s="2343" t="s">
        <v>1917</v>
      </c>
      <c r="M18" s="2343" t="s">
        <v>1917</v>
      </c>
      <c r="N18" s="2343" t="s">
        <v>1917</v>
      </c>
      <c r="O18" s="2343" t="s">
        <v>1917</v>
      </c>
      <c r="P18" s="2344">
        <v>63000000</v>
      </c>
      <c r="Q18" s="1393"/>
    </row>
    <row r="19" spans="1:17" ht="30">
      <c r="A19" s="2337">
        <v>14</v>
      </c>
      <c r="B19" s="2349" t="s">
        <v>1911</v>
      </c>
      <c r="C19" s="2343" t="s">
        <v>1917</v>
      </c>
      <c r="D19" s="2343" t="s">
        <v>1917</v>
      </c>
      <c r="E19" s="2343" t="s">
        <v>1917</v>
      </c>
      <c r="F19" s="2343" t="s">
        <v>1917</v>
      </c>
      <c r="G19" s="2343" t="s">
        <v>1917</v>
      </c>
      <c r="H19" s="2343" t="s">
        <v>1917</v>
      </c>
      <c r="I19" s="2343">
        <v>8</v>
      </c>
      <c r="J19" s="2343" t="s">
        <v>1917</v>
      </c>
      <c r="K19" s="2377"/>
      <c r="L19" s="2343" t="s">
        <v>1917</v>
      </c>
      <c r="M19" s="2343" t="s">
        <v>1917</v>
      </c>
      <c r="N19" s="2343" t="s">
        <v>1917</v>
      </c>
      <c r="O19" s="2343" t="s">
        <v>1917</v>
      </c>
      <c r="P19" s="2344">
        <v>78400000</v>
      </c>
      <c r="Q19" s="1393"/>
    </row>
    <row r="20" spans="1:17">
      <c r="A20" s="2337">
        <v>15</v>
      </c>
      <c r="B20" s="2349" t="s">
        <v>1912</v>
      </c>
      <c r="C20" s="2343" t="s">
        <v>1917</v>
      </c>
      <c r="D20" s="2343" t="s">
        <v>1917</v>
      </c>
      <c r="E20" s="2343" t="s">
        <v>1917</v>
      </c>
      <c r="F20" s="2343" t="s">
        <v>1917</v>
      </c>
      <c r="G20" s="2343" t="s">
        <v>1917</v>
      </c>
      <c r="H20" s="2343" t="s">
        <v>1917</v>
      </c>
      <c r="I20" s="2361">
        <v>10</v>
      </c>
      <c r="J20" s="2343" t="s">
        <v>1917</v>
      </c>
      <c r="K20" s="2377"/>
      <c r="L20" s="2343" t="s">
        <v>1917</v>
      </c>
      <c r="M20" s="2343" t="s">
        <v>1917</v>
      </c>
      <c r="N20" s="2343" t="s">
        <v>1917</v>
      </c>
      <c r="O20" s="2343" t="s">
        <v>1917</v>
      </c>
      <c r="P20" s="2344">
        <v>72000000</v>
      </c>
      <c r="Q20" s="1393"/>
    </row>
    <row r="21" spans="1:17" s="2340" customFormat="1">
      <c r="A21" s="2337">
        <v>16</v>
      </c>
      <c r="B21" s="2350" t="s">
        <v>1932</v>
      </c>
      <c r="C21" s="2346" t="s">
        <v>1934</v>
      </c>
      <c r="D21" s="2346">
        <v>10</v>
      </c>
      <c r="E21" s="2346">
        <v>3</v>
      </c>
      <c r="F21" s="2346" t="s">
        <v>1917</v>
      </c>
      <c r="G21" s="2346" t="s">
        <v>1917</v>
      </c>
      <c r="H21" s="2346" t="s">
        <v>1917</v>
      </c>
      <c r="I21" s="2346" t="s">
        <v>1917</v>
      </c>
      <c r="J21" s="2346" t="s">
        <v>1917</v>
      </c>
      <c r="K21" s="2378"/>
      <c r="L21" s="2346" t="s">
        <v>1917</v>
      </c>
      <c r="M21" s="2346" t="s">
        <v>1917</v>
      </c>
      <c r="N21" s="2346" t="s">
        <v>1917</v>
      </c>
      <c r="O21" s="2346" t="s">
        <v>1917</v>
      </c>
      <c r="P21" s="3711">
        <v>158212266</v>
      </c>
      <c r="Q21" s="1393"/>
    </row>
    <row r="22" spans="1:17">
      <c r="A22" s="2337">
        <v>17</v>
      </c>
      <c r="B22" s="2350" t="s">
        <v>1933</v>
      </c>
      <c r="C22" s="2346" t="s">
        <v>1925</v>
      </c>
      <c r="D22" s="2346">
        <v>32</v>
      </c>
      <c r="E22" s="2346">
        <v>3</v>
      </c>
      <c r="F22" s="2346" t="s">
        <v>1917</v>
      </c>
      <c r="G22" s="2346" t="s">
        <v>1917</v>
      </c>
      <c r="H22" s="2346" t="s">
        <v>1917</v>
      </c>
      <c r="I22" s="2346" t="s">
        <v>1917</v>
      </c>
      <c r="J22" s="2346" t="s">
        <v>1917</v>
      </c>
      <c r="K22" s="2378"/>
      <c r="L22" s="2346" t="s">
        <v>1917</v>
      </c>
      <c r="M22" s="2346" t="s">
        <v>1917</v>
      </c>
      <c r="N22" s="2346" t="s">
        <v>1917</v>
      </c>
      <c r="O22" s="2346" t="s">
        <v>1917</v>
      </c>
      <c r="P22" s="3712"/>
      <c r="Q22" s="1393"/>
    </row>
    <row r="23" spans="1:17" s="2340" customFormat="1" ht="30">
      <c r="A23" s="2337">
        <v>18</v>
      </c>
      <c r="B23" s="2350" t="s">
        <v>1936</v>
      </c>
      <c r="C23" s="2346" t="s">
        <v>1920</v>
      </c>
      <c r="D23" s="2346">
        <v>3</v>
      </c>
      <c r="E23" s="2346">
        <v>9</v>
      </c>
      <c r="F23" s="2346" t="s">
        <v>1917</v>
      </c>
      <c r="G23" s="2346" t="s">
        <v>1917</v>
      </c>
      <c r="H23" s="2346" t="s">
        <v>1917</v>
      </c>
      <c r="I23" s="2346" t="s">
        <v>1917</v>
      </c>
      <c r="J23" s="2346" t="s">
        <v>1917</v>
      </c>
      <c r="K23" s="2378"/>
      <c r="L23" s="2346" t="s">
        <v>1917</v>
      </c>
      <c r="M23" s="2346" t="s">
        <v>1917</v>
      </c>
      <c r="N23" s="2346" t="s">
        <v>1917</v>
      </c>
      <c r="O23" s="2346" t="s">
        <v>1917</v>
      </c>
      <c r="P23" s="3713"/>
      <c r="Q23" s="1393"/>
    </row>
    <row r="25" spans="1:17">
      <c r="F25" s="2335">
        <f>(2*3*3*4*6*200000)</f>
        <v>86400000</v>
      </c>
    </row>
    <row r="26" spans="1:17">
      <c r="F26" s="2335">
        <f>(1*9*4*900000)</f>
        <v>32400000</v>
      </c>
    </row>
    <row r="27" spans="1:17">
      <c r="F27" s="2335">
        <f>SUM(F25:F26)</f>
        <v>118800000</v>
      </c>
    </row>
    <row r="43" spans="1:17">
      <c r="A43" s="3714" t="s">
        <v>1365</v>
      </c>
      <c r="B43" s="3714" t="s">
        <v>1893</v>
      </c>
      <c r="C43" s="3720" t="s">
        <v>1918</v>
      </c>
      <c r="D43" s="3722" t="s">
        <v>1894</v>
      </c>
      <c r="E43" s="3723"/>
      <c r="F43" s="3724"/>
      <c r="G43" s="3715" t="s">
        <v>1895</v>
      </c>
      <c r="H43" s="3716"/>
      <c r="I43" s="3716"/>
      <c r="J43" s="3717" t="s">
        <v>1898</v>
      </c>
      <c r="K43" s="3718"/>
      <c r="L43" s="3718"/>
      <c r="M43" s="3718"/>
      <c r="N43" s="3718"/>
      <c r="O43" s="3718"/>
      <c r="P43" s="3719"/>
    </row>
    <row r="44" spans="1:17" ht="45" customHeight="1">
      <c r="A44" s="3714"/>
      <c r="B44" s="3714"/>
      <c r="C44" s="3721"/>
      <c r="D44" s="2353" t="s">
        <v>1913</v>
      </c>
      <c r="E44" s="2353" t="s">
        <v>1914</v>
      </c>
      <c r="F44" s="2351" t="s">
        <v>1900</v>
      </c>
      <c r="G44" s="2354" t="s">
        <v>1901</v>
      </c>
      <c r="H44" s="2354" t="s">
        <v>1896</v>
      </c>
      <c r="I44" s="2354" t="s">
        <v>1897</v>
      </c>
      <c r="J44" s="2352" t="s">
        <v>1899</v>
      </c>
      <c r="K44" s="2373"/>
      <c r="L44" s="2352" t="s">
        <v>1900</v>
      </c>
      <c r="M44" s="2352" t="s">
        <v>1902</v>
      </c>
      <c r="N44" s="2352" t="s">
        <v>1871</v>
      </c>
      <c r="O44" s="2352" t="s">
        <v>1935</v>
      </c>
      <c r="P44" s="2352" t="s">
        <v>1915</v>
      </c>
    </row>
    <row r="45" spans="1:17" ht="15" customHeight="1">
      <c r="A45" s="2337">
        <v>1</v>
      </c>
      <c r="B45" s="2347" t="s">
        <v>1926</v>
      </c>
      <c r="C45" s="2337" t="s">
        <v>1919</v>
      </c>
      <c r="D45" s="2339">
        <v>4</v>
      </c>
      <c r="E45" s="2339">
        <v>5</v>
      </c>
      <c r="F45" s="2337" t="s">
        <v>1917</v>
      </c>
      <c r="G45" s="2338">
        <v>12000000</v>
      </c>
      <c r="H45" s="2355">
        <v>8000000</v>
      </c>
      <c r="I45" s="2338">
        <f>7500000*2</f>
        <v>15000000</v>
      </c>
      <c r="J45" s="2355">
        <v>2500000</v>
      </c>
      <c r="K45" s="2374"/>
      <c r="L45" s="2355">
        <v>7350000</v>
      </c>
      <c r="M45" s="2337" t="s">
        <v>1916</v>
      </c>
      <c r="N45" s="2356">
        <v>11200000</v>
      </c>
      <c r="O45" s="2359">
        <v>36000000</v>
      </c>
      <c r="P45" s="2338">
        <v>82000000</v>
      </c>
      <c r="Q45" s="1393">
        <f>SUM(F45:P45)</f>
        <v>174050000</v>
      </c>
    </row>
    <row r="46" spans="1:17">
      <c r="A46" s="2337">
        <v>2</v>
      </c>
      <c r="B46" s="2347" t="s">
        <v>1903</v>
      </c>
      <c r="C46" s="2337" t="s">
        <v>1921</v>
      </c>
      <c r="D46" s="2337">
        <v>6</v>
      </c>
      <c r="E46" s="2337">
        <v>4</v>
      </c>
      <c r="F46" s="2337" t="s">
        <v>1917</v>
      </c>
      <c r="G46" s="2338">
        <v>12000000</v>
      </c>
      <c r="H46" s="2338">
        <v>3750000</v>
      </c>
      <c r="I46" s="2338">
        <f>3150000*2</f>
        <v>6300000</v>
      </c>
      <c r="J46" s="2355">
        <v>2500000</v>
      </c>
      <c r="K46" s="2374"/>
      <c r="L46" s="2355">
        <v>7350000</v>
      </c>
      <c r="M46" s="2337" t="s">
        <v>1916</v>
      </c>
      <c r="N46" s="2357"/>
      <c r="O46" s="2357"/>
      <c r="P46" s="2338">
        <v>70000000</v>
      </c>
      <c r="Q46" s="1393">
        <f t="shared" ref="Q46:Q62" si="0">SUM(F46:P46)</f>
        <v>101900000</v>
      </c>
    </row>
    <row r="47" spans="1:17">
      <c r="A47" s="2337">
        <v>3</v>
      </c>
      <c r="B47" s="2347" t="s">
        <v>1927</v>
      </c>
      <c r="C47" s="2337" t="s">
        <v>1922</v>
      </c>
      <c r="D47" s="2337" t="s">
        <v>1917</v>
      </c>
      <c r="E47" s="2337" t="s">
        <v>1917</v>
      </c>
      <c r="F47" s="2338">
        <v>32400000</v>
      </c>
      <c r="G47" s="2337" t="s">
        <v>1917</v>
      </c>
      <c r="H47" s="2337" t="s">
        <v>1917</v>
      </c>
      <c r="I47" s="2338">
        <f>3600000*2</f>
        <v>7200000</v>
      </c>
      <c r="J47" s="2355">
        <v>2500000</v>
      </c>
      <c r="K47" s="2374"/>
      <c r="L47" s="2355">
        <v>7350000</v>
      </c>
      <c r="M47" s="2337" t="s">
        <v>1917</v>
      </c>
      <c r="N47" s="2357"/>
      <c r="O47" s="2357"/>
      <c r="P47" s="2337" t="s">
        <v>1917</v>
      </c>
      <c r="Q47" s="1393">
        <f t="shared" si="0"/>
        <v>49450000</v>
      </c>
    </row>
    <row r="48" spans="1:17">
      <c r="A48" s="2337">
        <v>4</v>
      </c>
      <c r="B48" s="2347" t="s">
        <v>1928</v>
      </c>
      <c r="C48" s="2337" t="s">
        <v>1923</v>
      </c>
      <c r="D48" s="2337" t="s">
        <v>1917</v>
      </c>
      <c r="E48" s="2337" t="s">
        <v>1917</v>
      </c>
      <c r="F48" s="2338">
        <v>16200000</v>
      </c>
      <c r="G48" s="2337" t="s">
        <v>1917</v>
      </c>
      <c r="H48" s="2337" t="s">
        <v>1917</v>
      </c>
      <c r="I48" s="2338">
        <f>3300000*2</f>
        <v>6600000</v>
      </c>
      <c r="J48" s="2355">
        <v>2500000</v>
      </c>
      <c r="K48" s="2374"/>
      <c r="L48" s="2355">
        <v>7350000</v>
      </c>
      <c r="M48" s="2337" t="s">
        <v>1917</v>
      </c>
      <c r="N48" s="2357"/>
      <c r="O48" s="2357"/>
      <c r="P48" s="2338">
        <v>4000000</v>
      </c>
      <c r="Q48" s="1393">
        <f t="shared" si="0"/>
        <v>36650000</v>
      </c>
    </row>
    <row r="49" spans="1:17">
      <c r="A49" s="2337">
        <v>5</v>
      </c>
      <c r="B49" s="2347" t="s">
        <v>1904</v>
      </c>
      <c r="C49" s="2337" t="s">
        <v>1923</v>
      </c>
      <c r="D49" s="2337" t="s">
        <v>1917</v>
      </c>
      <c r="E49" s="2337" t="s">
        <v>1917</v>
      </c>
      <c r="F49" s="2338">
        <v>16200000</v>
      </c>
      <c r="G49" s="2337" t="s">
        <v>1917</v>
      </c>
      <c r="H49" s="2337" t="s">
        <v>1917</v>
      </c>
      <c r="I49" s="2338">
        <f>3300000*2</f>
        <v>6600000</v>
      </c>
      <c r="J49" s="2355">
        <v>2500000</v>
      </c>
      <c r="K49" s="2374"/>
      <c r="L49" s="2355">
        <v>7350000</v>
      </c>
      <c r="M49" s="2337" t="s">
        <v>1917</v>
      </c>
      <c r="N49" s="2357"/>
      <c r="O49" s="2357"/>
      <c r="P49" s="2338">
        <v>3000000</v>
      </c>
      <c r="Q49" s="1393">
        <f t="shared" si="0"/>
        <v>35650000</v>
      </c>
    </row>
    <row r="50" spans="1:17">
      <c r="A50" s="2337">
        <v>6</v>
      </c>
      <c r="B50" s="2347" t="s">
        <v>1929</v>
      </c>
      <c r="C50" s="2337" t="s">
        <v>1924</v>
      </c>
      <c r="D50" s="2337" t="s">
        <v>1917</v>
      </c>
      <c r="E50" s="2337" t="s">
        <v>1917</v>
      </c>
      <c r="F50" s="2338">
        <v>16200000</v>
      </c>
      <c r="G50" s="2337" t="s">
        <v>1917</v>
      </c>
      <c r="H50" s="2337" t="s">
        <v>1917</v>
      </c>
      <c r="I50" s="2338">
        <f>3840000*2</f>
        <v>7680000</v>
      </c>
      <c r="J50" s="2355">
        <v>2500000</v>
      </c>
      <c r="K50" s="2374"/>
      <c r="L50" s="2355">
        <v>7350000</v>
      </c>
      <c r="M50" s="2337" t="s">
        <v>1917</v>
      </c>
      <c r="N50" s="2357"/>
      <c r="O50" s="2357"/>
      <c r="P50" s="2338">
        <v>4000000</v>
      </c>
      <c r="Q50" s="1393">
        <f t="shared" si="0"/>
        <v>37730000</v>
      </c>
    </row>
    <row r="51" spans="1:17">
      <c r="A51" s="2337">
        <v>7</v>
      </c>
      <c r="B51" s="2347" t="s">
        <v>1905</v>
      </c>
      <c r="C51" s="2337" t="s">
        <v>1925</v>
      </c>
      <c r="D51" s="2337" t="s">
        <v>1917</v>
      </c>
      <c r="E51" s="2337" t="s">
        <v>1917</v>
      </c>
      <c r="F51" s="2336">
        <f>43200000+172800000</f>
        <v>216000000</v>
      </c>
      <c r="G51" s="2337" t="s">
        <v>1917</v>
      </c>
      <c r="H51" s="2337" t="s">
        <v>1917</v>
      </c>
      <c r="I51" s="2338">
        <f>6000000*2</f>
        <v>12000000</v>
      </c>
      <c r="J51" s="2355">
        <v>2500000</v>
      </c>
      <c r="K51" s="2374"/>
      <c r="L51" s="2355">
        <v>7350000</v>
      </c>
      <c r="M51" s="2355">
        <v>1500000</v>
      </c>
      <c r="N51" s="2357"/>
      <c r="O51" s="2357"/>
      <c r="P51" s="2338">
        <v>4000000</v>
      </c>
      <c r="Q51" s="1393">
        <f t="shared" si="0"/>
        <v>243350000</v>
      </c>
    </row>
    <row r="52" spans="1:17" ht="30">
      <c r="A52" s="2337">
        <v>8</v>
      </c>
      <c r="B52" s="2347" t="s">
        <v>1906</v>
      </c>
      <c r="C52" s="2337" t="s">
        <v>1919</v>
      </c>
      <c r="D52" s="2337">
        <v>3</v>
      </c>
      <c r="E52" s="2337">
        <v>4</v>
      </c>
      <c r="F52" s="2337" t="s">
        <v>1917</v>
      </c>
      <c r="G52" s="2337" t="s">
        <v>1917</v>
      </c>
      <c r="H52" s="2337" t="s">
        <v>1917</v>
      </c>
      <c r="I52" s="2338">
        <f>4500000*2</f>
        <v>9000000</v>
      </c>
      <c r="J52" s="2337" t="s">
        <v>1917</v>
      </c>
      <c r="K52" s="2375"/>
      <c r="L52" s="2355">
        <v>7350000</v>
      </c>
      <c r="M52" s="2337" t="s">
        <v>1917</v>
      </c>
      <c r="N52" s="2357"/>
      <c r="O52" s="2357"/>
      <c r="P52" s="2338">
        <v>30000000</v>
      </c>
      <c r="Q52" s="1393">
        <f t="shared" si="0"/>
        <v>46350000</v>
      </c>
    </row>
    <row r="53" spans="1:17">
      <c r="A53" s="2337">
        <v>9</v>
      </c>
      <c r="B53" s="2347" t="s">
        <v>1907</v>
      </c>
      <c r="C53" s="2337" t="s">
        <v>1921</v>
      </c>
      <c r="D53" s="2337">
        <v>3</v>
      </c>
      <c r="E53" s="2337">
        <v>2</v>
      </c>
      <c r="F53" s="2337" t="s">
        <v>1917</v>
      </c>
      <c r="G53" s="2337" t="s">
        <v>1917</v>
      </c>
      <c r="H53" s="2337" t="s">
        <v>1917</v>
      </c>
      <c r="I53" s="2338">
        <f>2700000*2</f>
        <v>5400000</v>
      </c>
      <c r="J53" s="2337" t="s">
        <v>1917</v>
      </c>
      <c r="K53" s="2375"/>
      <c r="L53" s="2355">
        <v>7350000</v>
      </c>
      <c r="M53" s="2337" t="s">
        <v>1917</v>
      </c>
      <c r="N53" s="2357"/>
      <c r="O53" s="2357"/>
      <c r="P53" s="2338">
        <v>35000000</v>
      </c>
      <c r="Q53" s="1393">
        <f t="shared" si="0"/>
        <v>47750000</v>
      </c>
    </row>
    <row r="54" spans="1:17">
      <c r="A54" s="2337">
        <v>9</v>
      </c>
      <c r="B54" s="2347" t="s">
        <v>1931</v>
      </c>
      <c r="C54" s="2337" t="s">
        <v>1923</v>
      </c>
      <c r="D54" s="2337">
        <v>3</v>
      </c>
      <c r="E54" s="2337">
        <v>4</v>
      </c>
      <c r="F54" s="2337" t="s">
        <v>1917</v>
      </c>
      <c r="G54" s="2337" t="s">
        <v>1917</v>
      </c>
      <c r="H54" s="2337" t="s">
        <v>1917</v>
      </c>
      <c r="I54" s="2338">
        <f>3600000*2</f>
        <v>7200000</v>
      </c>
      <c r="J54" s="2337" t="s">
        <v>1917</v>
      </c>
      <c r="K54" s="2375"/>
      <c r="L54" s="2337" t="s">
        <v>1917</v>
      </c>
      <c r="M54" s="2337" t="s">
        <v>1917</v>
      </c>
      <c r="N54" s="2358"/>
      <c r="O54" s="2358"/>
      <c r="P54" s="2338">
        <v>60000000</v>
      </c>
      <c r="Q54" s="1393">
        <f t="shared" si="0"/>
        <v>67200000</v>
      </c>
    </row>
    <row r="55" spans="1:17" ht="30">
      <c r="A55" s="2341">
        <v>10</v>
      </c>
      <c r="B55" s="2348" t="s">
        <v>1908</v>
      </c>
      <c r="C55" s="2341" t="s">
        <v>1930</v>
      </c>
      <c r="D55" s="2341">
        <v>2</v>
      </c>
      <c r="E55" s="2341">
        <v>100</v>
      </c>
      <c r="F55" s="2342">
        <v>40000000</v>
      </c>
      <c r="G55" s="2341" t="s">
        <v>1917</v>
      </c>
      <c r="H55" s="2341" t="s">
        <v>1917</v>
      </c>
      <c r="I55" s="2341" t="s">
        <v>1917</v>
      </c>
      <c r="J55" s="2341" t="s">
        <v>1917</v>
      </c>
      <c r="K55" s="2376"/>
      <c r="L55" s="2341" t="s">
        <v>1917</v>
      </c>
      <c r="M55" s="2341" t="s">
        <v>1917</v>
      </c>
      <c r="N55" s="2341" t="s">
        <v>1917</v>
      </c>
      <c r="O55" s="2341" t="s">
        <v>1917</v>
      </c>
      <c r="P55" s="2342">
        <v>24000000</v>
      </c>
      <c r="Q55" s="1393">
        <f t="shared" si="0"/>
        <v>64000000</v>
      </c>
    </row>
    <row r="56" spans="1:17">
      <c r="A56" s="2343">
        <v>11</v>
      </c>
      <c r="B56" s="2349" t="s">
        <v>1909</v>
      </c>
      <c r="C56" s="2343" t="s">
        <v>1917</v>
      </c>
      <c r="D56" s="2343" t="s">
        <v>1917</v>
      </c>
      <c r="E56" s="2343" t="s">
        <v>1917</v>
      </c>
      <c r="F56" s="2343" t="s">
        <v>1917</v>
      </c>
      <c r="G56" s="2343" t="s">
        <v>1917</v>
      </c>
      <c r="H56" s="2343" t="s">
        <v>1917</v>
      </c>
      <c r="I56" s="2343">
        <v>18</v>
      </c>
      <c r="J56" s="2343" t="s">
        <v>1917</v>
      </c>
      <c r="K56" s="2377"/>
      <c r="L56" s="2343" t="s">
        <v>1917</v>
      </c>
      <c r="M56" s="2343" t="s">
        <v>1917</v>
      </c>
      <c r="N56" s="2343" t="s">
        <v>1917</v>
      </c>
      <c r="O56" s="2343" t="s">
        <v>1917</v>
      </c>
      <c r="P56" s="2344">
        <v>86400000</v>
      </c>
      <c r="Q56" s="1393">
        <f t="shared" si="0"/>
        <v>86400018</v>
      </c>
    </row>
    <row r="57" spans="1:17">
      <c r="A57" s="2343">
        <v>12</v>
      </c>
      <c r="B57" s="2349" t="s">
        <v>1910</v>
      </c>
      <c r="C57" s="2343" t="s">
        <v>1917</v>
      </c>
      <c r="D57" s="2343" t="s">
        <v>1917</v>
      </c>
      <c r="E57" s="2343" t="s">
        <v>1917</v>
      </c>
      <c r="F57" s="2343" t="s">
        <v>1917</v>
      </c>
      <c r="G57" s="2343" t="s">
        <v>1917</v>
      </c>
      <c r="H57" s="2343" t="s">
        <v>1917</v>
      </c>
      <c r="I57" s="2343">
        <v>7</v>
      </c>
      <c r="J57" s="2343" t="s">
        <v>1917</v>
      </c>
      <c r="K57" s="2377"/>
      <c r="L57" s="2343" t="s">
        <v>1917</v>
      </c>
      <c r="M57" s="2343" t="s">
        <v>1917</v>
      </c>
      <c r="N57" s="2343" t="s">
        <v>1917</v>
      </c>
      <c r="O57" s="2343" t="s">
        <v>1917</v>
      </c>
      <c r="P57" s="2345">
        <v>63000000</v>
      </c>
      <c r="Q57" s="1393">
        <f t="shared" si="0"/>
        <v>63000007</v>
      </c>
    </row>
    <row r="58" spans="1:17" ht="30">
      <c r="A58" s="2343">
        <v>13</v>
      </c>
      <c r="B58" s="2349" t="s">
        <v>1911</v>
      </c>
      <c r="C58" s="2343" t="s">
        <v>1917</v>
      </c>
      <c r="D58" s="2343" t="s">
        <v>1917</v>
      </c>
      <c r="E58" s="2343" t="s">
        <v>1917</v>
      </c>
      <c r="F58" s="2343" t="s">
        <v>1917</v>
      </c>
      <c r="G58" s="2343" t="s">
        <v>1917</v>
      </c>
      <c r="H58" s="2343" t="s">
        <v>1917</v>
      </c>
      <c r="I58" s="2343">
        <v>8</v>
      </c>
      <c r="J58" s="2343" t="s">
        <v>1917</v>
      </c>
      <c r="K58" s="2377"/>
      <c r="L58" s="2343" t="s">
        <v>1917</v>
      </c>
      <c r="M58" s="2343" t="s">
        <v>1917</v>
      </c>
      <c r="N58" s="2343" t="s">
        <v>1917</v>
      </c>
      <c r="O58" s="2343" t="s">
        <v>1917</v>
      </c>
      <c r="P58" s="2345">
        <v>78400000</v>
      </c>
      <c r="Q58" s="1393">
        <f t="shared" si="0"/>
        <v>78400008</v>
      </c>
    </row>
    <row r="59" spans="1:17">
      <c r="A59" s="2343">
        <v>14</v>
      </c>
      <c r="B59" s="2349" t="s">
        <v>1912</v>
      </c>
      <c r="C59" s="2343" t="s">
        <v>1917</v>
      </c>
      <c r="D59" s="2343" t="s">
        <v>1917</v>
      </c>
      <c r="E59" s="2343" t="s">
        <v>1917</v>
      </c>
      <c r="F59" s="2343" t="s">
        <v>1917</v>
      </c>
      <c r="G59" s="2343" t="s">
        <v>1917</v>
      </c>
      <c r="H59" s="2343" t="s">
        <v>1917</v>
      </c>
      <c r="I59" s="2343">
        <v>18</v>
      </c>
      <c r="J59" s="2343" t="s">
        <v>1917</v>
      </c>
      <c r="K59" s="2377"/>
      <c r="L59" s="2343" t="s">
        <v>1917</v>
      </c>
      <c r="M59" s="2343" t="s">
        <v>1917</v>
      </c>
      <c r="N59" s="2343" t="s">
        <v>1917</v>
      </c>
      <c r="O59" s="2343" t="s">
        <v>1917</v>
      </c>
      <c r="P59" s="2345">
        <v>72000000</v>
      </c>
      <c r="Q59" s="1393">
        <f t="shared" si="0"/>
        <v>72000018</v>
      </c>
    </row>
    <row r="60" spans="1:17" s="2340" customFormat="1">
      <c r="A60" s="2346">
        <v>15</v>
      </c>
      <c r="B60" s="2350" t="s">
        <v>1932</v>
      </c>
      <c r="C60" s="2346" t="s">
        <v>1934</v>
      </c>
      <c r="D60" s="2346">
        <v>10</v>
      </c>
      <c r="E60" s="2346">
        <v>3</v>
      </c>
      <c r="F60" s="2346" t="s">
        <v>1917</v>
      </c>
      <c r="G60" s="2346" t="s">
        <v>1917</v>
      </c>
      <c r="H60" s="2346" t="s">
        <v>1917</v>
      </c>
      <c r="I60" s="2346" t="s">
        <v>1917</v>
      </c>
      <c r="J60" s="2346" t="s">
        <v>1917</v>
      </c>
      <c r="K60" s="2378"/>
      <c r="L60" s="2346" t="s">
        <v>1917</v>
      </c>
      <c r="M60" s="2346" t="s">
        <v>1917</v>
      </c>
      <c r="N60" s="2346" t="s">
        <v>1917</v>
      </c>
      <c r="O60" s="2346" t="s">
        <v>1917</v>
      </c>
      <c r="P60" s="3711">
        <v>158212266</v>
      </c>
      <c r="Q60" s="1393">
        <f t="shared" si="0"/>
        <v>158212266</v>
      </c>
    </row>
    <row r="61" spans="1:17">
      <c r="A61" s="2346">
        <v>16</v>
      </c>
      <c r="B61" s="2350" t="s">
        <v>1933</v>
      </c>
      <c r="C61" s="2346" t="s">
        <v>1925</v>
      </c>
      <c r="D61" s="2346">
        <v>32</v>
      </c>
      <c r="E61" s="2346">
        <v>3</v>
      </c>
      <c r="F61" s="2346" t="s">
        <v>1917</v>
      </c>
      <c r="G61" s="2346" t="s">
        <v>1917</v>
      </c>
      <c r="H61" s="2346" t="s">
        <v>1917</v>
      </c>
      <c r="I61" s="2346" t="s">
        <v>1917</v>
      </c>
      <c r="J61" s="2346" t="s">
        <v>1917</v>
      </c>
      <c r="K61" s="2378"/>
      <c r="L61" s="2346" t="s">
        <v>1917</v>
      </c>
      <c r="M61" s="2346" t="s">
        <v>1917</v>
      </c>
      <c r="N61" s="2346" t="s">
        <v>1917</v>
      </c>
      <c r="O61" s="2346" t="s">
        <v>1917</v>
      </c>
      <c r="P61" s="3712"/>
      <c r="Q61" s="1393">
        <f t="shared" si="0"/>
        <v>0</v>
      </c>
    </row>
    <row r="62" spans="1:17" s="2340" customFormat="1" ht="30">
      <c r="A62" s="2346">
        <v>17</v>
      </c>
      <c r="B62" s="2350" t="s">
        <v>1936</v>
      </c>
      <c r="C62" s="2346" t="s">
        <v>1920</v>
      </c>
      <c r="D62" s="2346">
        <v>3</v>
      </c>
      <c r="E62" s="2346">
        <v>9</v>
      </c>
      <c r="F62" s="2346" t="s">
        <v>1917</v>
      </c>
      <c r="G62" s="2346" t="s">
        <v>1917</v>
      </c>
      <c r="H62" s="2346" t="s">
        <v>1917</v>
      </c>
      <c r="I62" s="2346" t="s">
        <v>1917</v>
      </c>
      <c r="J62" s="2346" t="s">
        <v>1917</v>
      </c>
      <c r="K62" s="2378"/>
      <c r="L62" s="2346" t="s">
        <v>1917</v>
      </c>
      <c r="M62" s="2346" t="s">
        <v>1917</v>
      </c>
      <c r="N62" s="2346" t="s">
        <v>1917</v>
      </c>
      <c r="O62" s="2346" t="s">
        <v>1917</v>
      </c>
      <c r="P62" s="3713"/>
      <c r="Q62" s="1393">
        <f t="shared" si="0"/>
        <v>0</v>
      </c>
    </row>
  </sheetData>
  <mergeCells count="17">
    <mergeCell ref="J43:P43"/>
    <mergeCell ref="P60:P62"/>
    <mergeCell ref="O8:O12"/>
    <mergeCell ref="A43:A44"/>
    <mergeCell ref="B43:B44"/>
    <mergeCell ref="C43:C44"/>
    <mergeCell ref="D43:F43"/>
    <mergeCell ref="G43:I43"/>
    <mergeCell ref="A2:P2"/>
    <mergeCell ref="N6:N15"/>
    <mergeCell ref="P21:P23"/>
    <mergeCell ref="B4:B5"/>
    <mergeCell ref="A4:A5"/>
    <mergeCell ref="G4:I4"/>
    <mergeCell ref="J4:P4"/>
    <mergeCell ref="C4:C5"/>
    <mergeCell ref="D4:F4"/>
  </mergeCells>
  <pageMargins left="0.2" right="0.11811023622047245" top="0.19685039370078741" bottom="0.15748031496062992" header="0.31496062992125984" footer="0.31496062992125984"/>
  <pageSetup paperSize="5" scale="85" orientation="landscape" horizontalDpi="4294967292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I74"/>
  <sheetViews>
    <sheetView topLeftCell="A28" workbookViewId="0">
      <selection activeCell="F19" sqref="F19"/>
    </sheetView>
  </sheetViews>
  <sheetFormatPr defaultRowHeight="15.75"/>
  <cols>
    <col min="1" max="1" width="3.85546875" style="2422" bestFit="1" customWidth="1"/>
    <col min="2" max="2" width="56.42578125" style="2420" bestFit="1" customWidth="1"/>
    <col min="3" max="3" width="9.5703125" style="2420" bestFit="1" customWidth="1"/>
    <col min="4" max="4" width="9.140625" style="2420"/>
    <col min="5" max="5" width="15.85546875" style="2420" bestFit="1" customWidth="1"/>
    <col min="6" max="6" width="16.5703125" style="2420" bestFit="1" customWidth="1"/>
    <col min="7" max="7" width="2.140625" style="2420" customWidth="1"/>
    <col min="8" max="8" width="37.85546875" style="2420" customWidth="1"/>
    <col min="9" max="9" width="14" style="2420" bestFit="1" customWidth="1"/>
    <col min="10" max="16384" width="9.140625" style="2420"/>
  </cols>
  <sheetData>
    <row r="1" spans="1:9">
      <c r="B1" s="2420" t="s">
        <v>2012</v>
      </c>
    </row>
    <row r="2" spans="1:9">
      <c r="B2" s="2420" t="s">
        <v>2013</v>
      </c>
    </row>
    <row r="4" spans="1:9" ht="24" customHeight="1">
      <c r="A4" s="2419" t="s">
        <v>528</v>
      </c>
      <c r="B4" s="2419" t="s">
        <v>1995</v>
      </c>
      <c r="C4" s="2419" t="s">
        <v>1996</v>
      </c>
      <c r="D4" s="2419" t="s">
        <v>1997</v>
      </c>
      <c r="E4" s="2419" t="s">
        <v>1998</v>
      </c>
      <c r="F4" s="2419" t="s">
        <v>30</v>
      </c>
      <c r="G4" s="3732" t="s">
        <v>862</v>
      </c>
      <c r="H4" s="3733"/>
    </row>
    <row r="5" spans="1:9">
      <c r="A5" s="2419" t="s">
        <v>2000</v>
      </c>
      <c r="B5" s="2413" t="s">
        <v>645</v>
      </c>
      <c r="C5" s="2419"/>
      <c r="D5" s="2419"/>
      <c r="E5" s="2419"/>
      <c r="F5" s="2426">
        <f>F6+F10</f>
        <v>111340000</v>
      </c>
      <c r="G5" s="3734"/>
      <c r="H5" s="3735"/>
    </row>
    <row r="6" spans="1:9">
      <c r="A6" s="2419">
        <v>1</v>
      </c>
      <c r="B6" s="2404" t="s">
        <v>167</v>
      </c>
      <c r="C6" s="2405"/>
      <c r="D6" s="2405"/>
      <c r="E6" s="2405"/>
      <c r="F6" s="2423">
        <f>SUM(F7:F9)</f>
        <v>52740000</v>
      </c>
      <c r="G6" s="2428"/>
      <c r="H6" s="3726" t="s">
        <v>2017</v>
      </c>
    </row>
    <row r="7" spans="1:9">
      <c r="A7" s="2421"/>
      <c r="B7" s="2405" t="s">
        <v>364</v>
      </c>
      <c r="C7" s="2406">
        <v>9</v>
      </c>
      <c r="D7" s="2407" t="s">
        <v>26</v>
      </c>
      <c r="E7" s="2408">
        <v>500000</v>
      </c>
      <c r="F7" s="2416">
        <f>C7*E7</f>
        <v>4500000</v>
      </c>
      <c r="G7" s="2429"/>
      <c r="H7" s="3727"/>
    </row>
    <row r="8" spans="1:9">
      <c r="A8" s="2421"/>
      <c r="B8" s="2405" t="s">
        <v>967</v>
      </c>
      <c r="C8" s="2406">
        <f>9*4</f>
        <v>36</v>
      </c>
      <c r="D8" s="2407" t="s">
        <v>28</v>
      </c>
      <c r="E8" s="2409">
        <v>530000</v>
      </c>
      <c r="F8" s="2416">
        <f>C8*E8</f>
        <v>19080000</v>
      </c>
      <c r="G8" s="2429"/>
      <c r="H8" s="3727"/>
    </row>
    <row r="9" spans="1:9">
      <c r="A9" s="2421"/>
      <c r="B9" s="2405" t="s">
        <v>968</v>
      </c>
      <c r="C9" s="2406">
        <f>9*3</f>
        <v>27</v>
      </c>
      <c r="D9" s="2407" t="s">
        <v>27</v>
      </c>
      <c r="E9" s="2409">
        <v>1080000</v>
      </c>
      <c r="F9" s="2416">
        <f>C9*E9</f>
        <v>29160000</v>
      </c>
      <c r="G9" s="2430"/>
      <c r="H9" s="3728"/>
    </row>
    <row r="10" spans="1:9">
      <c r="A10" s="2419">
        <v>2</v>
      </c>
      <c r="B10" s="2404" t="s">
        <v>1999</v>
      </c>
      <c r="C10" s="2405"/>
      <c r="D10" s="2405"/>
      <c r="E10" s="2405"/>
      <c r="F10" s="2423">
        <f>SUM(F11:F13)</f>
        <v>58600000</v>
      </c>
      <c r="G10" s="2428"/>
      <c r="H10" s="3726" t="s">
        <v>2018</v>
      </c>
    </row>
    <row r="11" spans="1:9">
      <c r="A11" s="2421"/>
      <c r="B11" s="2405" t="s">
        <v>364</v>
      </c>
      <c r="C11" s="2406">
        <v>10</v>
      </c>
      <c r="D11" s="2407" t="s">
        <v>26</v>
      </c>
      <c r="E11" s="2408">
        <v>500000</v>
      </c>
      <c r="F11" s="2416">
        <f>C11*E11</f>
        <v>5000000</v>
      </c>
      <c r="G11" s="2429"/>
      <c r="H11" s="3727"/>
    </row>
    <row r="12" spans="1:9">
      <c r="A12" s="2421"/>
      <c r="B12" s="2405" t="s">
        <v>1359</v>
      </c>
      <c r="C12" s="2406">
        <f>10*4</f>
        <v>40</v>
      </c>
      <c r="D12" s="2407" t="s">
        <v>28</v>
      </c>
      <c r="E12" s="2409">
        <v>530000</v>
      </c>
      <c r="F12" s="2416">
        <f>C12*E12</f>
        <v>21200000</v>
      </c>
      <c r="G12" s="2429"/>
      <c r="H12" s="3727"/>
    </row>
    <row r="13" spans="1:9">
      <c r="A13" s="2421"/>
      <c r="B13" s="2405" t="s">
        <v>1360</v>
      </c>
      <c r="C13" s="2406">
        <f>10*3</f>
        <v>30</v>
      </c>
      <c r="D13" s="2407" t="s">
        <v>27</v>
      </c>
      <c r="E13" s="2409">
        <v>1080000</v>
      </c>
      <c r="F13" s="2416">
        <f>C13*E13</f>
        <v>32400000</v>
      </c>
      <c r="G13" s="2430"/>
      <c r="H13" s="3728"/>
    </row>
    <row r="14" spans="1:9">
      <c r="A14" s="2421"/>
      <c r="B14" s="2405"/>
      <c r="C14" s="2406"/>
      <c r="D14" s="2407"/>
      <c r="E14" s="2409"/>
      <c r="F14" s="2416"/>
      <c r="G14" s="2431"/>
      <c r="H14" s="2438"/>
    </row>
    <row r="15" spans="1:9">
      <c r="A15" s="2419" t="s">
        <v>2001</v>
      </c>
      <c r="B15" s="2414" t="s">
        <v>133</v>
      </c>
      <c r="C15" s="2410"/>
      <c r="D15" s="2411"/>
      <c r="E15" s="2412"/>
      <c r="F15" s="2424">
        <f>+F16+F25+F29+F34</f>
        <v>1122550000</v>
      </c>
      <c r="G15" s="2432"/>
      <c r="H15" s="2438"/>
    </row>
    <row r="16" spans="1:9">
      <c r="A16" s="2419">
        <v>1</v>
      </c>
      <c r="B16" s="2404" t="s">
        <v>167</v>
      </c>
      <c r="C16" s="2405"/>
      <c r="D16" s="2405"/>
      <c r="E16" s="2405"/>
      <c r="F16" s="2423">
        <f>SUM(F17:F24)</f>
        <v>240200000</v>
      </c>
      <c r="G16" s="2428"/>
      <c r="H16" s="3726" t="s">
        <v>2003</v>
      </c>
      <c r="I16" s="2427"/>
    </row>
    <row r="17" spans="1:8">
      <c r="A17" s="2421"/>
      <c r="B17" s="2404" t="s">
        <v>364</v>
      </c>
      <c r="C17" s="2406">
        <v>21</v>
      </c>
      <c r="D17" s="2407" t="s">
        <v>26</v>
      </c>
      <c r="E17" s="2408">
        <v>6000000</v>
      </c>
      <c r="F17" s="2416">
        <f t="shared" ref="F17:F22" si="0">C17*E17</f>
        <v>126000000</v>
      </c>
      <c r="G17" s="2429"/>
      <c r="H17" s="3727"/>
    </row>
    <row r="18" spans="1:8">
      <c r="A18" s="2421"/>
      <c r="B18" s="2405" t="s">
        <v>1813</v>
      </c>
      <c r="C18" s="2406">
        <f>10*4</f>
        <v>40</v>
      </c>
      <c r="D18" s="2407" t="s">
        <v>28</v>
      </c>
      <c r="E18" s="2409">
        <v>600000</v>
      </c>
      <c r="F18" s="2416">
        <f t="shared" si="0"/>
        <v>24000000</v>
      </c>
      <c r="G18" s="2429"/>
      <c r="H18" s="3727"/>
    </row>
    <row r="19" spans="1:8">
      <c r="A19" s="2421"/>
      <c r="B19" s="2405" t="s">
        <v>1814</v>
      </c>
      <c r="C19" s="2406">
        <f>10*3</f>
        <v>30</v>
      </c>
      <c r="D19" s="2407" t="s">
        <v>27</v>
      </c>
      <c r="E19" s="2409">
        <v>750000</v>
      </c>
      <c r="F19" s="2416">
        <f t="shared" si="0"/>
        <v>22500000</v>
      </c>
      <c r="G19" s="2430"/>
      <c r="H19" s="3728"/>
    </row>
    <row r="20" spans="1:8" ht="15.75" customHeight="1">
      <c r="A20" s="2421"/>
      <c r="B20" s="2405" t="s">
        <v>1815</v>
      </c>
      <c r="C20" s="2406">
        <f>8*4</f>
        <v>32</v>
      </c>
      <c r="D20" s="2407" t="s">
        <v>28</v>
      </c>
      <c r="E20" s="2409">
        <v>700000</v>
      </c>
      <c r="F20" s="2416">
        <f t="shared" si="0"/>
        <v>22400000</v>
      </c>
      <c r="G20" s="2433"/>
      <c r="H20" s="3736" t="s">
        <v>2002</v>
      </c>
    </row>
    <row r="21" spans="1:8">
      <c r="A21" s="2421"/>
      <c r="B21" s="2405" t="s">
        <v>1816</v>
      </c>
      <c r="C21" s="2406">
        <f>8*3</f>
        <v>24</v>
      </c>
      <c r="D21" s="2407" t="s">
        <v>27</v>
      </c>
      <c r="E21" s="2409">
        <v>850000</v>
      </c>
      <c r="F21" s="2416">
        <f t="shared" si="0"/>
        <v>20400000</v>
      </c>
      <c r="G21" s="2430"/>
      <c r="H21" s="3736"/>
    </row>
    <row r="22" spans="1:8">
      <c r="A22" s="2421"/>
      <c r="B22" s="2405" t="s">
        <v>1817</v>
      </c>
      <c r="C22" s="2406">
        <f>1*4*3</f>
        <v>12</v>
      </c>
      <c r="D22" s="2407" t="s">
        <v>28</v>
      </c>
      <c r="E22" s="2409">
        <v>800000</v>
      </c>
      <c r="F22" s="2416">
        <f t="shared" si="0"/>
        <v>9600000</v>
      </c>
      <c r="G22" s="2433"/>
      <c r="H22" s="3726" t="s">
        <v>2004</v>
      </c>
    </row>
    <row r="23" spans="1:8">
      <c r="A23" s="2421"/>
      <c r="B23" s="2405" t="s">
        <v>1818</v>
      </c>
      <c r="C23" s="2406">
        <f>1*3*3</f>
        <v>9</v>
      </c>
      <c r="D23" s="2407" t="s">
        <v>27</v>
      </c>
      <c r="E23" s="2409">
        <v>1300000</v>
      </c>
      <c r="F23" s="2416">
        <f>C23*E23</f>
        <v>11700000</v>
      </c>
      <c r="G23" s="2429"/>
      <c r="H23" s="3727"/>
    </row>
    <row r="24" spans="1:8">
      <c r="A24" s="2421"/>
      <c r="B24" s="2405" t="s">
        <v>1819</v>
      </c>
      <c r="C24" s="2406">
        <f>1*4*3</f>
        <v>12</v>
      </c>
      <c r="D24" s="2407" t="s">
        <v>27</v>
      </c>
      <c r="E24" s="2409">
        <v>300000</v>
      </c>
      <c r="F24" s="2416">
        <f>C24*E24</f>
        <v>3600000</v>
      </c>
      <c r="G24" s="2430"/>
      <c r="H24" s="3728"/>
    </row>
    <row r="25" spans="1:8">
      <c r="A25" s="2419">
        <v>2</v>
      </c>
      <c r="B25" s="2404" t="s">
        <v>553</v>
      </c>
      <c r="C25" s="2405"/>
      <c r="D25" s="2405"/>
      <c r="E25" s="2405"/>
      <c r="F25" s="2424">
        <f>SUM(F26:F28)</f>
        <v>9800000</v>
      </c>
      <c r="G25" s="2434"/>
      <c r="H25" s="3726" t="s">
        <v>2005</v>
      </c>
    </row>
    <row r="26" spans="1:8">
      <c r="A26" s="2421"/>
      <c r="B26" s="2405" t="s">
        <v>364</v>
      </c>
      <c r="C26" s="2406">
        <v>1</v>
      </c>
      <c r="D26" s="2407" t="s">
        <v>26</v>
      </c>
      <c r="E26" s="2408">
        <v>6000000</v>
      </c>
      <c r="F26" s="2416">
        <f t="shared" ref="F26:F28" si="1">C26*E26</f>
        <v>6000000</v>
      </c>
      <c r="G26" s="2429"/>
      <c r="H26" s="3727"/>
    </row>
    <row r="27" spans="1:8">
      <c r="A27" s="2421"/>
      <c r="B27" s="2405" t="s">
        <v>1752</v>
      </c>
      <c r="C27" s="2406">
        <v>3</v>
      </c>
      <c r="D27" s="2407" t="s">
        <v>27</v>
      </c>
      <c r="E27" s="2409">
        <v>700000</v>
      </c>
      <c r="F27" s="2416">
        <f t="shared" si="1"/>
        <v>2100000</v>
      </c>
      <c r="G27" s="2429"/>
      <c r="H27" s="3727"/>
    </row>
    <row r="28" spans="1:8">
      <c r="A28" s="2421"/>
      <c r="B28" s="2405" t="s">
        <v>1753</v>
      </c>
      <c r="C28" s="2406">
        <v>2</v>
      </c>
      <c r="D28" s="2407" t="s">
        <v>1823</v>
      </c>
      <c r="E28" s="2409">
        <v>850000</v>
      </c>
      <c r="F28" s="2416">
        <f t="shared" si="1"/>
        <v>1700000</v>
      </c>
      <c r="G28" s="2430"/>
      <c r="H28" s="3728"/>
    </row>
    <row r="29" spans="1:8">
      <c r="A29" s="2419">
        <v>3</v>
      </c>
      <c r="B29" s="2404" t="s">
        <v>258</v>
      </c>
      <c r="C29" s="2405"/>
      <c r="D29" s="2405"/>
      <c r="E29" s="2405"/>
      <c r="F29" s="2423">
        <f>SUM(F30:F33)</f>
        <v>95300000</v>
      </c>
      <c r="G29" s="2428"/>
      <c r="H29" s="3726" t="s">
        <v>2006</v>
      </c>
    </row>
    <row r="30" spans="1:8">
      <c r="A30" s="2421"/>
      <c r="B30" s="2415" t="s">
        <v>467</v>
      </c>
      <c r="C30" s="2416"/>
      <c r="D30" s="2417"/>
      <c r="E30" s="2418"/>
      <c r="F30" s="2425"/>
      <c r="G30" s="2435"/>
      <c r="H30" s="3727"/>
    </row>
    <row r="31" spans="1:8">
      <c r="A31" s="2421"/>
      <c r="B31" s="2405" t="s">
        <v>1076</v>
      </c>
      <c r="C31" s="2406">
        <v>4</v>
      </c>
      <c r="D31" s="2407" t="s">
        <v>26</v>
      </c>
      <c r="E31" s="2408">
        <v>2125000</v>
      </c>
      <c r="F31" s="2416">
        <f>C31*E31</f>
        <v>8500000</v>
      </c>
      <c r="G31" s="2429"/>
      <c r="H31" s="3727"/>
    </row>
    <row r="32" spans="1:8">
      <c r="A32" s="2421"/>
      <c r="B32" s="2405" t="s">
        <v>1792</v>
      </c>
      <c r="C32" s="2406">
        <f>4*14</f>
        <v>56</v>
      </c>
      <c r="D32" s="2407" t="s">
        <v>28</v>
      </c>
      <c r="E32" s="2408">
        <v>700000</v>
      </c>
      <c r="F32" s="2416">
        <f>C32*E32</f>
        <v>39200000</v>
      </c>
      <c r="G32" s="2429"/>
      <c r="H32" s="3727"/>
    </row>
    <row r="33" spans="1:8">
      <c r="A33" s="2421"/>
      <c r="B33" s="2405" t="s">
        <v>1793</v>
      </c>
      <c r="C33" s="2406">
        <f>4*14</f>
        <v>56</v>
      </c>
      <c r="D33" s="2407" t="s">
        <v>27</v>
      </c>
      <c r="E33" s="2408">
        <v>850000</v>
      </c>
      <c r="F33" s="2416">
        <f>C33*E33</f>
        <v>47600000</v>
      </c>
      <c r="G33" s="2430"/>
      <c r="H33" s="3728"/>
    </row>
    <row r="34" spans="1:8">
      <c r="A34" s="2419">
        <v>4</v>
      </c>
      <c r="B34" s="2404" t="s">
        <v>1999</v>
      </c>
      <c r="C34" s="2410"/>
      <c r="D34" s="2411"/>
      <c r="E34" s="2412"/>
      <c r="F34" s="2424">
        <f>SUM(F35:F65)</f>
        <v>777250000</v>
      </c>
      <c r="G34" s="2434"/>
      <c r="H34" s="3726" t="s">
        <v>2019</v>
      </c>
    </row>
    <row r="35" spans="1:8">
      <c r="A35" s="2421"/>
      <c r="B35" s="2414" t="s">
        <v>1358</v>
      </c>
      <c r="C35" s="2410"/>
      <c r="D35" s="2411"/>
      <c r="E35" s="2412"/>
      <c r="F35" s="2424"/>
      <c r="G35" s="2436"/>
      <c r="H35" s="3727"/>
    </row>
    <row r="36" spans="1:8">
      <c r="A36" s="2421"/>
      <c r="B36" s="2404" t="s">
        <v>1537</v>
      </c>
      <c r="C36" s="2406">
        <v>4</v>
      </c>
      <c r="D36" s="2407" t="s">
        <v>26</v>
      </c>
      <c r="E36" s="2408">
        <v>5500000</v>
      </c>
      <c r="F36" s="2416">
        <f t="shared" ref="F36:F50" si="2">C36*E36</f>
        <v>22000000</v>
      </c>
      <c r="G36" s="2429"/>
      <c r="H36" s="3727"/>
    </row>
    <row r="37" spans="1:8">
      <c r="A37" s="2421"/>
      <c r="B37" s="2405" t="s">
        <v>1759</v>
      </c>
      <c r="C37" s="2406">
        <f>4*6</f>
        <v>24</v>
      </c>
      <c r="D37" s="2407" t="s">
        <v>28</v>
      </c>
      <c r="E37" s="2409">
        <v>700000</v>
      </c>
      <c r="F37" s="2416">
        <f t="shared" si="2"/>
        <v>16800000</v>
      </c>
      <c r="G37" s="2429"/>
      <c r="H37" s="3727"/>
    </row>
    <row r="38" spans="1:8">
      <c r="A38" s="2421"/>
      <c r="B38" s="2405" t="s">
        <v>1760</v>
      </c>
      <c r="C38" s="2406">
        <f>4*5</f>
        <v>20</v>
      </c>
      <c r="D38" s="2407" t="s">
        <v>27</v>
      </c>
      <c r="E38" s="2409">
        <v>850000</v>
      </c>
      <c r="F38" s="2416">
        <f t="shared" si="2"/>
        <v>17000000</v>
      </c>
      <c r="G38" s="2430"/>
      <c r="H38" s="3728"/>
    </row>
    <row r="39" spans="1:8">
      <c r="A39" s="2421"/>
      <c r="B39" s="2404" t="s">
        <v>1538</v>
      </c>
      <c r="C39" s="2406">
        <v>6</v>
      </c>
      <c r="D39" s="2407" t="s">
        <v>26</v>
      </c>
      <c r="E39" s="2408">
        <v>5500000</v>
      </c>
      <c r="F39" s="2416">
        <f t="shared" si="2"/>
        <v>33000000</v>
      </c>
      <c r="G39" s="2433"/>
      <c r="H39" s="3726" t="s">
        <v>2020</v>
      </c>
    </row>
    <row r="40" spans="1:8">
      <c r="A40" s="2421"/>
      <c r="B40" s="2405" t="s">
        <v>1761</v>
      </c>
      <c r="C40" s="2406">
        <f>6*5</f>
        <v>30</v>
      </c>
      <c r="D40" s="2407" t="s">
        <v>28</v>
      </c>
      <c r="E40" s="2409">
        <v>700000</v>
      </c>
      <c r="F40" s="2416">
        <f t="shared" si="2"/>
        <v>21000000</v>
      </c>
      <c r="G40" s="2429"/>
      <c r="H40" s="3727"/>
    </row>
    <row r="41" spans="1:8">
      <c r="A41" s="2421"/>
      <c r="B41" s="2405" t="s">
        <v>1762</v>
      </c>
      <c r="C41" s="2406">
        <f>6*4</f>
        <v>24</v>
      </c>
      <c r="D41" s="2407" t="s">
        <v>27</v>
      </c>
      <c r="E41" s="2409">
        <v>850000</v>
      </c>
      <c r="F41" s="2416">
        <f t="shared" si="2"/>
        <v>20400000</v>
      </c>
      <c r="G41" s="2430"/>
      <c r="H41" s="3728"/>
    </row>
    <row r="42" spans="1:8">
      <c r="A42" s="2421"/>
      <c r="B42" s="2404" t="s">
        <v>1549</v>
      </c>
      <c r="C42" s="2406">
        <v>2</v>
      </c>
      <c r="D42" s="2407" t="s">
        <v>26</v>
      </c>
      <c r="E42" s="2408">
        <v>5500000</v>
      </c>
      <c r="F42" s="2416">
        <f t="shared" si="2"/>
        <v>11000000</v>
      </c>
      <c r="G42" s="2433"/>
      <c r="H42" s="3726" t="s">
        <v>2021</v>
      </c>
    </row>
    <row r="43" spans="1:8">
      <c r="A43" s="2421"/>
      <c r="B43" s="2405" t="s">
        <v>1977</v>
      </c>
      <c r="C43" s="2406">
        <f>2*4</f>
        <v>8</v>
      </c>
      <c r="D43" s="2407" t="s">
        <v>28</v>
      </c>
      <c r="E43" s="2409">
        <v>700000</v>
      </c>
      <c r="F43" s="2416">
        <f t="shared" si="2"/>
        <v>5600000</v>
      </c>
      <c r="G43" s="2429"/>
      <c r="H43" s="3727"/>
    </row>
    <row r="44" spans="1:8">
      <c r="A44" s="2421"/>
      <c r="B44" s="2405" t="s">
        <v>1976</v>
      </c>
      <c r="C44" s="2406">
        <f>2*3</f>
        <v>6</v>
      </c>
      <c r="D44" s="2407" t="s">
        <v>27</v>
      </c>
      <c r="E44" s="2409">
        <v>850000</v>
      </c>
      <c r="F44" s="2416">
        <f t="shared" si="2"/>
        <v>5100000</v>
      </c>
      <c r="G44" s="2430"/>
      <c r="H44" s="3728"/>
    </row>
    <row r="45" spans="1:8">
      <c r="A45" s="2421"/>
      <c r="B45" s="2404" t="s">
        <v>1763</v>
      </c>
      <c r="C45" s="2406">
        <v>3</v>
      </c>
      <c r="D45" s="2407" t="s">
        <v>26</v>
      </c>
      <c r="E45" s="2408">
        <v>5500000</v>
      </c>
      <c r="F45" s="2416">
        <f t="shared" si="2"/>
        <v>16500000</v>
      </c>
      <c r="G45" s="2433"/>
      <c r="H45" s="3726" t="s">
        <v>2022</v>
      </c>
    </row>
    <row r="46" spans="1:8">
      <c r="A46" s="2421"/>
      <c r="B46" s="2405" t="s">
        <v>1972</v>
      </c>
      <c r="C46" s="2406">
        <f>3*6</f>
        <v>18</v>
      </c>
      <c r="D46" s="2407" t="s">
        <v>28</v>
      </c>
      <c r="E46" s="2409">
        <v>700000</v>
      </c>
      <c r="F46" s="2416">
        <f t="shared" si="2"/>
        <v>12600000</v>
      </c>
      <c r="G46" s="2429"/>
      <c r="H46" s="3727"/>
    </row>
    <row r="47" spans="1:8">
      <c r="A47" s="2421"/>
      <c r="B47" s="2405" t="s">
        <v>1973</v>
      </c>
      <c r="C47" s="2406">
        <f>3*5</f>
        <v>15</v>
      </c>
      <c r="D47" s="2407" t="s">
        <v>27</v>
      </c>
      <c r="E47" s="2409">
        <v>850000</v>
      </c>
      <c r="F47" s="2416">
        <f t="shared" si="2"/>
        <v>12750000</v>
      </c>
      <c r="G47" s="2430"/>
      <c r="H47" s="3728"/>
    </row>
    <row r="48" spans="1:8">
      <c r="A48" s="2421"/>
      <c r="B48" s="2404" t="s">
        <v>1764</v>
      </c>
      <c r="C48" s="2406">
        <v>3</v>
      </c>
      <c r="D48" s="2407" t="s">
        <v>26</v>
      </c>
      <c r="E48" s="2408">
        <v>5500000</v>
      </c>
      <c r="F48" s="2416">
        <f t="shared" si="2"/>
        <v>16500000</v>
      </c>
      <c r="G48" s="2433"/>
      <c r="H48" s="3726" t="s">
        <v>2023</v>
      </c>
    </row>
    <row r="49" spans="1:8">
      <c r="A49" s="2421"/>
      <c r="B49" s="2405" t="s">
        <v>1974</v>
      </c>
      <c r="C49" s="2406">
        <f>3*4</f>
        <v>12</v>
      </c>
      <c r="D49" s="2407" t="s">
        <v>28</v>
      </c>
      <c r="E49" s="2409">
        <v>700000</v>
      </c>
      <c r="F49" s="2416">
        <f t="shared" si="2"/>
        <v>8400000</v>
      </c>
      <c r="G49" s="2429"/>
      <c r="H49" s="3727"/>
    </row>
    <row r="50" spans="1:8">
      <c r="A50" s="2421"/>
      <c r="B50" s="2405" t="s">
        <v>1975</v>
      </c>
      <c r="C50" s="2406">
        <f>3*3</f>
        <v>9</v>
      </c>
      <c r="D50" s="2407" t="s">
        <v>27</v>
      </c>
      <c r="E50" s="2409">
        <v>850000</v>
      </c>
      <c r="F50" s="2416">
        <f t="shared" si="2"/>
        <v>7650000</v>
      </c>
      <c r="G50" s="2430"/>
      <c r="H50" s="3728"/>
    </row>
    <row r="51" spans="1:8">
      <c r="A51" s="2421"/>
      <c r="B51" s="2404" t="s">
        <v>2007</v>
      </c>
      <c r="C51" s="2406">
        <v>3</v>
      </c>
      <c r="D51" s="2407" t="s">
        <v>26</v>
      </c>
      <c r="E51" s="2408">
        <v>5500000</v>
      </c>
      <c r="F51" s="2416">
        <f t="shared" ref="F51:F53" si="3">C51*E51</f>
        <v>16500000</v>
      </c>
      <c r="G51" s="2433"/>
      <c r="H51" s="3726" t="s">
        <v>2010</v>
      </c>
    </row>
    <row r="52" spans="1:8">
      <c r="A52" s="2421"/>
      <c r="B52" s="2405" t="s">
        <v>1556</v>
      </c>
      <c r="C52" s="2406">
        <f>3*10</f>
        <v>30</v>
      </c>
      <c r="D52" s="2407" t="s">
        <v>28</v>
      </c>
      <c r="E52" s="2409">
        <v>600000</v>
      </c>
      <c r="F52" s="2416">
        <f t="shared" si="3"/>
        <v>18000000</v>
      </c>
      <c r="G52" s="2429"/>
      <c r="H52" s="3727"/>
    </row>
    <row r="53" spans="1:8">
      <c r="A53" s="2421"/>
      <c r="B53" s="2405" t="s">
        <v>1557</v>
      </c>
      <c r="C53" s="2406">
        <f>3*9</f>
        <v>27</v>
      </c>
      <c r="D53" s="2407" t="s">
        <v>27</v>
      </c>
      <c r="E53" s="2409">
        <v>750000</v>
      </c>
      <c r="F53" s="2416">
        <f t="shared" si="3"/>
        <v>20250000</v>
      </c>
      <c r="G53" s="2430"/>
      <c r="H53" s="3728"/>
    </row>
    <row r="54" spans="1:8">
      <c r="A54" s="2421"/>
      <c r="B54" s="2404" t="s">
        <v>2008</v>
      </c>
      <c r="C54" s="2406">
        <v>2</v>
      </c>
      <c r="D54" s="2407" t="s">
        <v>26</v>
      </c>
      <c r="E54" s="2408">
        <v>5500000</v>
      </c>
      <c r="F54" s="2416">
        <f t="shared" ref="F54:F56" si="4">C54*E54</f>
        <v>11000000</v>
      </c>
      <c r="G54" s="2433"/>
      <c r="H54" s="3726" t="s">
        <v>2009</v>
      </c>
    </row>
    <row r="55" spans="1:8">
      <c r="A55" s="2421"/>
      <c r="B55" s="2405" t="s">
        <v>1782</v>
      </c>
      <c r="C55" s="2406">
        <f>2*100</f>
        <v>200</v>
      </c>
      <c r="D55" s="2407" t="s">
        <v>28</v>
      </c>
      <c r="E55" s="2409">
        <v>200000</v>
      </c>
      <c r="F55" s="2416">
        <f t="shared" si="4"/>
        <v>40000000</v>
      </c>
      <c r="G55" s="2429"/>
      <c r="H55" s="3727"/>
    </row>
    <row r="56" spans="1:8">
      <c r="A56" s="2421"/>
      <c r="B56" s="2405" t="s">
        <v>1783</v>
      </c>
      <c r="C56" s="2406">
        <f>2*100</f>
        <v>200</v>
      </c>
      <c r="D56" s="2407" t="s">
        <v>27</v>
      </c>
      <c r="E56" s="2409">
        <v>150000</v>
      </c>
      <c r="F56" s="2416">
        <f t="shared" si="4"/>
        <v>30000000</v>
      </c>
      <c r="G56" s="2430"/>
      <c r="H56" s="3728"/>
    </row>
    <row r="57" spans="1:8">
      <c r="A57" s="2421"/>
      <c r="B57" s="2404" t="s">
        <v>1357</v>
      </c>
      <c r="C57" s="2406"/>
      <c r="D57" s="2407"/>
      <c r="E57" s="2409"/>
      <c r="F57" s="2416"/>
      <c r="G57" s="2433"/>
      <c r="H57" s="3726" t="s">
        <v>2011</v>
      </c>
    </row>
    <row r="58" spans="1:8">
      <c r="A58" s="2421"/>
      <c r="B58" s="2405" t="s">
        <v>364</v>
      </c>
      <c r="C58" s="2406">
        <v>39</v>
      </c>
      <c r="D58" s="2407" t="s">
        <v>26</v>
      </c>
      <c r="E58" s="2408">
        <v>5500000</v>
      </c>
      <c r="F58" s="2416">
        <f t="shared" ref="F58:F63" si="5">C58*E58</f>
        <v>214500000</v>
      </c>
      <c r="G58" s="2429"/>
      <c r="H58" s="3727"/>
    </row>
    <row r="59" spans="1:8">
      <c r="A59" s="2421"/>
      <c r="B59" s="2405" t="s">
        <v>1989</v>
      </c>
      <c r="C59" s="2406">
        <f>24*4</f>
        <v>96</v>
      </c>
      <c r="D59" s="2407" t="s">
        <v>28</v>
      </c>
      <c r="E59" s="2409">
        <v>600000</v>
      </c>
      <c r="F59" s="2416">
        <f t="shared" si="5"/>
        <v>57600000</v>
      </c>
      <c r="G59" s="2429"/>
      <c r="H59" s="3727"/>
    </row>
    <row r="60" spans="1:8">
      <c r="A60" s="2421"/>
      <c r="B60" s="2405" t="s">
        <v>1990</v>
      </c>
      <c r="C60" s="2406">
        <f>24*3</f>
        <v>72</v>
      </c>
      <c r="D60" s="2407" t="s">
        <v>27</v>
      </c>
      <c r="E60" s="2409">
        <v>750000</v>
      </c>
      <c r="F60" s="2416">
        <f t="shared" si="5"/>
        <v>54000000</v>
      </c>
      <c r="G60" s="2429"/>
      <c r="H60" s="3727"/>
    </row>
    <row r="61" spans="1:8">
      <c r="A61" s="2421"/>
      <c r="B61" s="2405" t="s">
        <v>1988</v>
      </c>
      <c r="C61" s="2406">
        <f>12*4</f>
        <v>48</v>
      </c>
      <c r="D61" s="2407" t="s">
        <v>28</v>
      </c>
      <c r="E61" s="2409">
        <v>700000</v>
      </c>
      <c r="F61" s="2416">
        <f t="shared" si="5"/>
        <v>33600000</v>
      </c>
      <c r="G61" s="2429"/>
      <c r="H61" s="3727"/>
    </row>
    <row r="62" spans="1:8">
      <c r="A62" s="2421"/>
      <c r="B62" s="2405" t="s">
        <v>1987</v>
      </c>
      <c r="C62" s="2406">
        <f>12*3</f>
        <v>36</v>
      </c>
      <c r="D62" s="2407" t="s">
        <v>27</v>
      </c>
      <c r="E62" s="2409">
        <v>850000</v>
      </c>
      <c r="F62" s="2416">
        <f t="shared" si="5"/>
        <v>30600000</v>
      </c>
      <c r="G62" s="2429"/>
      <c r="H62" s="3727"/>
    </row>
    <row r="63" spans="1:8">
      <c r="A63" s="2421"/>
      <c r="B63" s="2405" t="s">
        <v>1817</v>
      </c>
      <c r="C63" s="2406">
        <f>1*4*3</f>
        <v>12</v>
      </c>
      <c r="D63" s="2407" t="s">
        <v>28</v>
      </c>
      <c r="E63" s="2409">
        <v>800000</v>
      </c>
      <c r="F63" s="2416">
        <f t="shared" si="5"/>
        <v>9600000</v>
      </c>
      <c r="G63" s="2429"/>
      <c r="H63" s="3727"/>
    </row>
    <row r="64" spans="1:8">
      <c r="A64" s="2421"/>
      <c r="B64" s="2405" t="s">
        <v>1818</v>
      </c>
      <c r="C64" s="2406">
        <f>1*3*3</f>
        <v>9</v>
      </c>
      <c r="D64" s="2407" t="s">
        <v>27</v>
      </c>
      <c r="E64" s="2409">
        <v>1300000</v>
      </c>
      <c r="F64" s="2416">
        <f>C64*E64</f>
        <v>11700000</v>
      </c>
      <c r="G64" s="2429"/>
      <c r="H64" s="3727"/>
    </row>
    <row r="65" spans="1:8">
      <c r="A65" s="2421"/>
      <c r="B65" s="2405" t="s">
        <v>1819</v>
      </c>
      <c r="C65" s="2406">
        <f>1*4*3</f>
        <v>12</v>
      </c>
      <c r="D65" s="2407" t="s">
        <v>27</v>
      </c>
      <c r="E65" s="2409">
        <v>300000</v>
      </c>
      <c r="F65" s="2416">
        <f>C65*E65</f>
        <v>3600000</v>
      </c>
      <c r="G65" s="2430"/>
      <c r="H65" s="3728"/>
    </row>
    <row r="66" spans="1:8">
      <c r="A66" s="2421"/>
      <c r="B66" s="2405"/>
      <c r="C66" s="2406"/>
      <c r="D66" s="2407"/>
      <c r="E66" s="2409"/>
      <c r="F66" s="2416"/>
      <c r="G66" s="2431"/>
      <c r="H66" s="2438"/>
    </row>
    <row r="67" spans="1:8">
      <c r="A67" s="2419"/>
      <c r="B67" s="2404" t="s">
        <v>265</v>
      </c>
      <c r="C67" s="2404"/>
      <c r="D67" s="2404"/>
      <c r="E67" s="2404"/>
      <c r="F67" s="2423">
        <f>F5+F15</f>
        <v>1233890000</v>
      </c>
      <c r="G67" s="2437"/>
      <c r="H67" s="2439"/>
    </row>
    <row r="69" spans="1:8">
      <c r="F69" s="3731" t="s">
        <v>2014</v>
      </c>
      <c r="G69" s="3731"/>
      <c r="H69" s="3731"/>
    </row>
    <row r="73" spans="1:8">
      <c r="F73" s="3729" t="s">
        <v>2015</v>
      </c>
      <c r="G73" s="3729"/>
      <c r="H73" s="3729"/>
    </row>
    <row r="74" spans="1:8">
      <c r="F74" s="3730" t="s">
        <v>2016</v>
      </c>
      <c r="G74" s="3730"/>
      <c r="H74" s="3730"/>
    </row>
  </sheetData>
  <mergeCells count="20">
    <mergeCell ref="H48:H50"/>
    <mergeCell ref="H16:H19"/>
    <mergeCell ref="H25:H28"/>
    <mergeCell ref="H20:H21"/>
    <mergeCell ref="H22:H24"/>
    <mergeCell ref="F73:H73"/>
    <mergeCell ref="F74:H74"/>
    <mergeCell ref="F69:H69"/>
    <mergeCell ref="G4:H4"/>
    <mergeCell ref="G5:H5"/>
    <mergeCell ref="H51:H53"/>
    <mergeCell ref="H54:H56"/>
    <mergeCell ref="H57:H65"/>
    <mergeCell ref="H6:H9"/>
    <mergeCell ref="H10:H13"/>
    <mergeCell ref="H29:H33"/>
    <mergeCell ref="H34:H38"/>
    <mergeCell ref="H39:H41"/>
    <mergeCell ref="H42:H44"/>
    <mergeCell ref="H45:H47"/>
  </mergeCells>
  <pageMargins left="0.91" right="0.70866141732283472" top="0.39" bottom="0.6692913385826772" header="0.15748031496062992" footer="0.11811023622047245"/>
  <pageSetup paperSize="5" scale="90" orientation="landscape" horizontalDpi="4294967292" verticalDpi="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C5:D7"/>
  <sheetViews>
    <sheetView zoomScale="130" zoomScaleNormal="130" workbookViewId="0">
      <selection activeCell="F5" sqref="F5"/>
    </sheetView>
  </sheetViews>
  <sheetFormatPr defaultRowHeight="15"/>
  <cols>
    <col min="4" max="4" width="18" style="1393" bestFit="1" customWidth="1"/>
  </cols>
  <sheetData>
    <row r="5" spans="3:4">
      <c r="C5" s="2306" t="s">
        <v>2034</v>
      </c>
      <c r="D5" s="2441">
        <f>SUM(D6:D7)</f>
        <v>94294811244</v>
      </c>
    </row>
    <row r="6" spans="3:4">
      <c r="C6" s="2306" t="s">
        <v>2032</v>
      </c>
      <c r="D6" s="2441">
        <v>25756515880</v>
      </c>
    </row>
    <row r="7" spans="3:4">
      <c r="C7" s="2306" t="s">
        <v>2033</v>
      </c>
      <c r="D7" s="2441">
        <v>68538295364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AZ143"/>
  <sheetViews>
    <sheetView view="pageBreakPreview" topLeftCell="A46" zoomScale="120" zoomScaleSheetLayoutView="120" workbookViewId="0">
      <selection activeCell="AB58" sqref="AB58:AG58"/>
    </sheetView>
  </sheetViews>
  <sheetFormatPr defaultRowHeight="15"/>
  <cols>
    <col min="1" max="1" width="10.85546875" style="1259" customWidth="1"/>
    <col min="2" max="2" width="1.7109375" style="1259" customWidth="1"/>
    <col min="3" max="3" width="1.5703125" style="1259" bestFit="1" customWidth="1"/>
    <col min="4" max="4" width="1.7109375" style="1259" customWidth="1"/>
    <col min="5" max="6" width="2.7109375" style="1259" customWidth="1"/>
    <col min="7" max="7" width="2.140625" style="1259" customWidth="1"/>
    <col min="8" max="8" width="2.7109375" style="1259" customWidth="1"/>
    <col min="9" max="9" width="3.5703125" style="1259" customWidth="1"/>
    <col min="10" max="10" width="2.140625" style="1259" customWidth="1"/>
    <col min="11" max="11" width="4" style="1259" customWidth="1"/>
    <col min="12" max="13" width="2.7109375" style="1259" customWidth="1"/>
    <col min="14" max="14" width="2.28515625" style="1259" customWidth="1"/>
    <col min="15" max="15" width="3.140625" style="1259" customWidth="1"/>
    <col min="16" max="16" width="7" style="1259" customWidth="1"/>
    <col min="17" max="18" width="2.7109375" style="1259" customWidth="1"/>
    <col min="19" max="19" width="1.85546875" style="1259" customWidth="1"/>
    <col min="20" max="21" width="2.7109375" style="1259" customWidth="1"/>
    <col min="22" max="22" width="1.7109375" style="1259" customWidth="1"/>
    <col min="23" max="25" width="2.7109375" style="1259" customWidth="1"/>
    <col min="26" max="26" width="2.28515625" style="1259" customWidth="1"/>
    <col min="27" max="27" width="1.7109375" style="1259" customWidth="1"/>
    <col min="28" max="29" width="2.7109375" style="1259" customWidth="1"/>
    <col min="30" max="30" width="1.85546875" style="1259" customWidth="1"/>
    <col min="31" max="31" width="2.7109375" style="1259" customWidth="1"/>
    <col min="32" max="32" width="1.5703125" style="1259" customWidth="1"/>
    <col min="33" max="33" width="2.42578125" style="1259" customWidth="1"/>
    <col min="34" max="34" width="2.7109375" style="1256" customWidth="1"/>
    <col min="35" max="35" width="12.85546875" style="1257" bestFit="1" customWidth="1"/>
    <col min="36" max="36" width="13.42578125" style="1257" bestFit="1" customWidth="1"/>
    <col min="37" max="40" width="2.7109375" style="1257" customWidth="1"/>
    <col min="41" max="41" width="10.7109375" style="1257" bestFit="1" customWidth="1"/>
    <col min="42" max="43" width="2.7109375" style="1256" customWidth="1"/>
    <col min="44" max="47" width="2.7109375" style="1257" customWidth="1"/>
    <col min="48" max="48" width="13.85546875" style="1258" bestFit="1" customWidth="1"/>
    <col min="49" max="49" width="8.7109375" style="1258" bestFit="1" customWidth="1"/>
    <col min="50" max="50" width="6.85546875" style="1259" bestFit="1" customWidth="1"/>
    <col min="51" max="51" width="9.5703125" style="1259" bestFit="1" customWidth="1"/>
    <col min="52" max="52" width="10.7109375" style="1259" bestFit="1" customWidth="1"/>
    <col min="53" max="256" width="9.140625" style="1259"/>
    <col min="257" max="257" width="10.85546875" style="1259" customWidth="1"/>
    <col min="258" max="258" width="1.7109375" style="1259" customWidth="1"/>
    <col min="259" max="259" width="1.5703125" style="1259" bestFit="1" customWidth="1"/>
    <col min="260" max="260" width="1.7109375" style="1259" customWidth="1"/>
    <col min="261" max="262" width="2.7109375" style="1259" customWidth="1"/>
    <col min="263" max="263" width="2.140625" style="1259" customWidth="1"/>
    <col min="264" max="264" width="2.7109375" style="1259" customWidth="1"/>
    <col min="265" max="265" width="3.5703125" style="1259" customWidth="1"/>
    <col min="266" max="266" width="2.140625" style="1259" customWidth="1"/>
    <col min="267" max="267" width="4" style="1259" customWidth="1"/>
    <col min="268" max="268" width="1.7109375" style="1259" customWidth="1"/>
    <col min="269" max="269" width="2.7109375" style="1259" customWidth="1"/>
    <col min="270" max="270" width="2.28515625" style="1259" customWidth="1"/>
    <col min="271" max="271" width="3.140625" style="1259" customWidth="1"/>
    <col min="272" max="272" width="7" style="1259" customWidth="1"/>
    <col min="273" max="274" width="2.7109375" style="1259" customWidth="1"/>
    <col min="275" max="275" width="1.85546875" style="1259" customWidth="1"/>
    <col min="276" max="277" width="2.7109375" style="1259" customWidth="1"/>
    <col min="278" max="278" width="1.7109375" style="1259" customWidth="1"/>
    <col min="279" max="281" width="2.7109375" style="1259" customWidth="1"/>
    <col min="282" max="282" width="2.28515625" style="1259" customWidth="1"/>
    <col min="283" max="283" width="1.7109375" style="1259" customWidth="1"/>
    <col min="284" max="285" width="2.7109375" style="1259" customWidth="1"/>
    <col min="286" max="286" width="1.85546875" style="1259" customWidth="1"/>
    <col min="287" max="287" width="2.7109375" style="1259" customWidth="1"/>
    <col min="288" max="288" width="1.5703125" style="1259" customWidth="1"/>
    <col min="289" max="289" width="2.42578125" style="1259" customWidth="1"/>
    <col min="290" max="303" width="2.7109375" style="1259" customWidth="1"/>
    <col min="304" max="304" width="13.85546875" style="1259" bestFit="1" customWidth="1"/>
    <col min="305" max="305" width="8.7109375" style="1259" bestFit="1" customWidth="1"/>
    <col min="306" max="306" width="6.85546875" style="1259" bestFit="1" customWidth="1"/>
    <col min="307" max="307" width="9.5703125" style="1259" bestFit="1" customWidth="1"/>
    <col min="308" max="308" width="10.7109375" style="1259" bestFit="1" customWidth="1"/>
    <col min="309" max="512" width="9.140625" style="1259"/>
    <col min="513" max="513" width="10.85546875" style="1259" customWidth="1"/>
    <col min="514" max="514" width="1.7109375" style="1259" customWidth="1"/>
    <col min="515" max="515" width="1.5703125" style="1259" bestFit="1" customWidth="1"/>
    <col min="516" max="516" width="1.7109375" style="1259" customWidth="1"/>
    <col min="517" max="518" width="2.7109375" style="1259" customWidth="1"/>
    <col min="519" max="519" width="2.140625" style="1259" customWidth="1"/>
    <col min="520" max="520" width="2.7109375" style="1259" customWidth="1"/>
    <col min="521" max="521" width="3.5703125" style="1259" customWidth="1"/>
    <col min="522" max="522" width="2.140625" style="1259" customWidth="1"/>
    <col min="523" max="523" width="4" style="1259" customWidth="1"/>
    <col min="524" max="524" width="1.7109375" style="1259" customWidth="1"/>
    <col min="525" max="525" width="2.7109375" style="1259" customWidth="1"/>
    <col min="526" max="526" width="2.28515625" style="1259" customWidth="1"/>
    <col min="527" max="527" width="3.140625" style="1259" customWidth="1"/>
    <col min="528" max="528" width="7" style="1259" customWidth="1"/>
    <col min="529" max="530" width="2.7109375" style="1259" customWidth="1"/>
    <col min="531" max="531" width="1.85546875" style="1259" customWidth="1"/>
    <col min="532" max="533" width="2.7109375" style="1259" customWidth="1"/>
    <col min="534" max="534" width="1.7109375" style="1259" customWidth="1"/>
    <col min="535" max="537" width="2.7109375" style="1259" customWidth="1"/>
    <col min="538" max="538" width="2.28515625" style="1259" customWidth="1"/>
    <col min="539" max="539" width="1.7109375" style="1259" customWidth="1"/>
    <col min="540" max="541" width="2.7109375" style="1259" customWidth="1"/>
    <col min="542" max="542" width="1.85546875" style="1259" customWidth="1"/>
    <col min="543" max="543" width="2.7109375" style="1259" customWidth="1"/>
    <col min="544" max="544" width="1.5703125" style="1259" customWidth="1"/>
    <col min="545" max="545" width="2.42578125" style="1259" customWidth="1"/>
    <col min="546" max="559" width="2.7109375" style="1259" customWidth="1"/>
    <col min="560" max="560" width="13.85546875" style="1259" bestFit="1" customWidth="1"/>
    <col min="561" max="561" width="8.7109375" style="1259" bestFit="1" customWidth="1"/>
    <col min="562" max="562" width="6.85546875" style="1259" bestFit="1" customWidth="1"/>
    <col min="563" max="563" width="9.5703125" style="1259" bestFit="1" customWidth="1"/>
    <col min="564" max="564" width="10.7109375" style="1259" bestFit="1" customWidth="1"/>
    <col min="565" max="768" width="9.140625" style="1259"/>
    <col min="769" max="769" width="10.85546875" style="1259" customWidth="1"/>
    <col min="770" max="770" width="1.7109375" style="1259" customWidth="1"/>
    <col min="771" max="771" width="1.5703125" style="1259" bestFit="1" customWidth="1"/>
    <col min="772" max="772" width="1.7109375" style="1259" customWidth="1"/>
    <col min="773" max="774" width="2.7109375" style="1259" customWidth="1"/>
    <col min="775" max="775" width="2.140625" style="1259" customWidth="1"/>
    <col min="776" max="776" width="2.7109375" style="1259" customWidth="1"/>
    <col min="777" max="777" width="3.5703125" style="1259" customWidth="1"/>
    <col min="778" max="778" width="2.140625" style="1259" customWidth="1"/>
    <col min="779" max="779" width="4" style="1259" customWidth="1"/>
    <col min="780" max="780" width="1.7109375" style="1259" customWidth="1"/>
    <col min="781" max="781" width="2.7109375" style="1259" customWidth="1"/>
    <col min="782" max="782" width="2.28515625" style="1259" customWidth="1"/>
    <col min="783" max="783" width="3.140625" style="1259" customWidth="1"/>
    <col min="784" max="784" width="7" style="1259" customWidth="1"/>
    <col min="785" max="786" width="2.7109375" style="1259" customWidth="1"/>
    <col min="787" max="787" width="1.85546875" style="1259" customWidth="1"/>
    <col min="788" max="789" width="2.7109375" style="1259" customWidth="1"/>
    <col min="790" max="790" width="1.7109375" style="1259" customWidth="1"/>
    <col min="791" max="793" width="2.7109375" style="1259" customWidth="1"/>
    <col min="794" max="794" width="2.28515625" style="1259" customWidth="1"/>
    <col min="795" max="795" width="1.7109375" style="1259" customWidth="1"/>
    <col min="796" max="797" width="2.7109375" style="1259" customWidth="1"/>
    <col min="798" max="798" width="1.85546875" style="1259" customWidth="1"/>
    <col min="799" max="799" width="2.7109375" style="1259" customWidth="1"/>
    <col min="800" max="800" width="1.5703125" style="1259" customWidth="1"/>
    <col min="801" max="801" width="2.42578125" style="1259" customWidth="1"/>
    <col min="802" max="815" width="2.7109375" style="1259" customWidth="1"/>
    <col min="816" max="816" width="13.85546875" style="1259" bestFit="1" customWidth="1"/>
    <col min="817" max="817" width="8.7109375" style="1259" bestFit="1" customWidth="1"/>
    <col min="818" max="818" width="6.85546875" style="1259" bestFit="1" customWidth="1"/>
    <col min="819" max="819" width="9.5703125" style="1259" bestFit="1" customWidth="1"/>
    <col min="820" max="820" width="10.7109375" style="1259" bestFit="1" customWidth="1"/>
    <col min="821" max="1024" width="9.140625" style="1259"/>
    <col min="1025" max="1025" width="10.85546875" style="1259" customWidth="1"/>
    <col min="1026" max="1026" width="1.7109375" style="1259" customWidth="1"/>
    <col min="1027" max="1027" width="1.5703125" style="1259" bestFit="1" customWidth="1"/>
    <col min="1028" max="1028" width="1.7109375" style="1259" customWidth="1"/>
    <col min="1029" max="1030" width="2.7109375" style="1259" customWidth="1"/>
    <col min="1031" max="1031" width="2.140625" style="1259" customWidth="1"/>
    <col min="1032" max="1032" width="2.7109375" style="1259" customWidth="1"/>
    <col min="1033" max="1033" width="3.5703125" style="1259" customWidth="1"/>
    <col min="1034" max="1034" width="2.140625" style="1259" customWidth="1"/>
    <col min="1035" max="1035" width="4" style="1259" customWidth="1"/>
    <col min="1036" max="1036" width="1.7109375" style="1259" customWidth="1"/>
    <col min="1037" max="1037" width="2.7109375" style="1259" customWidth="1"/>
    <col min="1038" max="1038" width="2.28515625" style="1259" customWidth="1"/>
    <col min="1039" max="1039" width="3.140625" style="1259" customWidth="1"/>
    <col min="1040" max="1040" width="7" style="1259" customWidth="1"/>
    <col min="1041" max="1042" width="2.7109375" style="1259" customWidth="1"/>
    <col min="1043" max="1043" width="1.85546875" style="1259" customWidth="1"/>
    <col min="1044" max="1045" width="2.7109375" style="1259" customWidth="1"/>
    <col min="1046" max="1046" width="1.7109375" style="1259" customWidth="1"/>
    <col min="1047" max="1049" width="2.7109375" style="1259" customWidth="1"/>
    <col min="1050" max="1050" width="2.28515625" style="1259" customWidth="1"/>
    <col min="1051" max="1051" width="1.7109375" style="1259" customWidth="1"/>
    <col min="1052" max="1053" width="2.7109375" style="1259" customWidth="1"/>
    <col min="1054" max="1054" width="1.85546875" style="1259" customWidth="1"/>
    <col min="1055" max="1055" width="2.7109375" style="1259" customWidth="1"/>
    <col min="1056" max="1056" width="1.5703125" style="1259" customWidth="1"/>
    <col min="1057" max="1057" width="2.42578125" style="1259" customWidth="1"/>
    <col min="1058" max="1071" width="2.7109375" style="1259" customWidth="1"/>
    <col min="1072" max="1072" width="13.85546875" style="1259" bestFit="1" customWidth="1"/>
    <col min="1073" max="1073" width="8.7109375" style="1259" bestFit="1" customWidth="1"/>
    <col min="1074" max="1074" width="6.85546875" style="1259" bestFit="1" customWidth="1"/>
    <col min="1075" max="1075" width="9.5703125" style="1259" bestFit="1" customWidth="1"/>
    <col min="1076" max="1076" width="10.7109375" style="1259" bestFit="1" customWidth="1"/>
    <col min="1077" max="1280" width="9.140625" style="1259"/>
    <col min="1281" max="1281" width="10.85546875" style="1259" customWidth="1"/>
    <col min="1282" max="1282" width="1.7109375" style="1259" customWidth="1"/>
    <col min="1283" max="1283" width="1.5703125" style="1259" bestFit="1" customWidth="1"/>
    <col min="1284" max="1284" width="1.7109375" style="1259" customWidth="1"/>
    <col min="1285" max="1286" width="2.7109375" style="1259" customWidth="1"/>
    <col min="1287" max="1287" width="2.140625" style="1259" customWidth="1"/>
    <col min="1288" max="1288" width="2.7109375" style="1259" customWidth="1"/>
    <col min="1289" max="1289" width="3.5703125" style="1259" customWidth="1"/>
    <col min="1290" max="1290" width="2.140625" style="1259" customWidth="1"/>
    <col min="1291" max="1291" width="4" style="1259" customWidth="1"/>
    <col min="1292" max="1292" width="1.7109375" style="1259" customWidth="1"/>
    <col min="1293" max="1293" width="2.7109375" style="1259" customWidth="1"/>
    <col min="1294" max="1294" width="2.28515625" style="1259" customWidth="1"/>
    <col min="1295" max="1295" width="3.140625" style="1259" customWidth="1"/>
    <col min="1296" max="1296" width="7" style="1259" customWidth="1"/>
    <col min="1297" max="1298" width="2.7109375" style="1259" customWidth="1"/>
    <col min="1299" max="1299" width="1.85546875" style="1259" customWidth="1"/>
    <col min="1300" max="1301" width="2.7109375" style="1259" customWidth="1"/>
    <col min="1302" max="1302" width="1.7109375" style="1259" customWidth="1"/>
    <col min="1303" max="1305" width="2.7109375" style="1259" customWidth="1"/>
    <col min="1306" max="1306" width="2.28515625" style="1259" customWidth="1"/>
    <col min="1307" max="1307" width="1.7109375" style="1259" customWidth="1"/>
    <col min="1308" max="1309" width="2.7109375" style="1259" customWidth="1"/>
    <col min="1310" max="1310" width="1.85546875" style="1259" customWidth="1"/>
    <col min="1311" max="1311" width="2.7109375" style="1259" customWidth="1"/>
    <col min="1312" max="1312" width="1.5703125" style="1259" customWidth="1"/>
    <col min="1313" max="1313" width="2.42578125" style="1259" customWidth="1"/>
    <col min="1314" max="1327" width="2.7109375" style="1259" customWidth="1"/>
    <col min="1328" max="1328" width="13.85546875" style="1259" bestFit="1" customWidth="1"/>
    <col min="1329" max="1329" width="8.7109375" style="1259" bestFit="1" customWidth="1"/>
    <col min="1330" max="1330" width="6.85546875" style="1259" bestFit="1" customWidth="1"/>
    <col min="1331" max="1331" width="9.5703125" style="1259" bestFit="1" customWidth="1"/>
    <col min="1332" max="1332" width="10.7109375" style="1259" bestFit="1" customWidth="1"/>
    <col min="1333" max="1536" width="9.140625" style="1259"/>
    <col min="1537" max="1537" width="10.85546875" style="1259" customWidth="1"/>
    <col min="1538" max="1538" width="1.7109375" style="1259" customWidth="1"/>
    <col min="1539" max="1539" width="1.5703125" style="1259" bestFit="1" customWidth="1"/>
    <col min="1540" max="1540" width="1.7109375" style="1259" customWidth="1"/>
    <col min="1541" max="1542" width="2.7109375" style="1259" customWidth="1"/>
    <col min="1543" max="1543" width="2.140625" style="1259" customWidth="1"/>
    <col min="1544" max="1544" width="2.7109375" style="1259" customWidth="1"/>
    <col min="1545" max="1545" width="3.5703125" style="1259" customWidth="1"/>
    <col min="1546" max="1546" width="2.140625" style="1259" customWidth="1"/>
    <col min="1547" max="1547" width="4" style="1259" customWidth="1"/>
    <col min="1548" max="1548" width="1.7109375" style="1259" customWidth="1"/>
    <col min="1549" max="1549" width="2.7109375" style="1259" customWidth="1"/>
    <col min="1550" max="1550" width="2.28515625" style="1259" customWidth="1"/>
    <col min="1551" max="1551" width="3.140625" style="1259" customWidth="1"/>
    <col min="1552" max="1552" width="7" style="1259" customWidth="1"/>
    <col min="1553" max="1554" width="2.7109375" style="1259" customWidth="1"/>
    <col min="1555" max="1555" width="1.85546875" style="1259" customWidth="1"/>
    <col min="1556" max="1557" width="2.7109375" style="1259" customWidth="1"/>
    <col min="1558" max="1558" width="1.7109375" style="1259" customWidth="1"/>
    <col min="1559" max="1561" width="2.7109375" style="1259" customWidth="1"/>
    <col min="1562" max="1562" width="2.28515625" style="1259" customWidth="1"/>
    <col min="1563" max="1563" width="1.7109375" style="1259" customWidth="1"/>
    <col min="1564" max="1565" width="2.7109375" style="1259" customWidth="1"/>
    <col min="1566" max="1566" width="1.85546875" style="1259" customWidth="1"/>
    <col min="1567" max="1567" width="2.7109375" style="1259" customWidth="1"/>
    <col min="1568" max="1568" width="1.5703125" style="1259" customWidth="1"/>
    <col min="1569" max="1569" width="2.42578125" style="1259" customWidth="1"/>
    <col min="1570" max="1583" width="2.7109375" style="1259" customWidth="1"/>
    <col min="1584" max="1584" width="13.85546875" style="1259" bestFit="1" customWidth="1"/>
    <col min="1585" max="1585" width="8.7109375" style="1259" bestFit="1" customWidth="1"/>
    <col min="1586" max="1586" width="6.85546875" style="1259" bestFit="1" customWidth="1"/>
    <col min="1587" max="1587" width="9.5703125" style="1259" bestFit="1" customWidth="1"/>
    <col min="1588" max="1588" width="10.7109375" style="1259" bestFit="1" customWidth="1"/>
    <col min="1589" max="1792" width="9.140625" style="1259"/>
    <col min="1793" max="1793" width="10.85546875" style="1259" customWidth="1"/>
    <col min="1794" max="1794" width="1.7109375" style="1259" customWidth="1"/>
    <col min="1795" max="1795" width="1.5703125" style="1259" bestFit="1" customWidth="1"/>
    <col min="1796" max="1796" width="1.7109375" style="1259" customWidth="1"/>
    <col min="1797" max="1798" width="2.7109375" style="1259" customWidth="1"/>
    <col min="1799" max="1799" width="2.140625" style="1259" customWidth="1"/>
    <col min="1800" max="1800" width="2.7109375" style="1259" customWidth="1"/>
    <col min="1801" max="1801" width="3.5703125" style="1259" customWidth="1"/>
    <col min="1802" max="1802" width="2.140625" style="1259" customWidth="1"/>
    <col min="1803" max="1803" width="4" style="1259" customWidth="1"/>
    <col min="1804" max="1804" width="1.7109375" style="1259" customWidth="1"/>
    <col min="1805" max="1805" width="2.7109375" style="1259" customWidth="1"/>
    <col min="1806" max="1806" width="2.28515625" style="1259" customWidth="1"/>
    <col min="1807" max="1807" width="3.140625" style="1259" customWidth="1"/>
    <col min="1808" max="1808" width="7" style="1259" customWidth="1"/>
    <col min="1809" max="1810" width="2.7109375" style="1259" customWidth="1"/>
    <col min="1811" max="1811" width="1.85546875" style="1259" customWidth="1"/>
    <col min="1812" max="1813" width="2.7109375" style="1259" customWidth="1"/>
    <col min="1814" max="1814" width="1.7109375" style="1259" customWidth="1"/>
    <col min="1815" max="1817" width="2.7109375" style="1259" customWidth="1"/>
    <col min="1818" max="1818" width="2.28515625" style="1259" customWidth="1"/>
    <col min="1819" max="1819" width="1.7109375" style="1259" customWidth="1"/>
    <col min="1820" max="1821" width="2.7109375" style="1259" customWidth="1"/>
    <col min="1822" max="1822" width="1.85546875" style="1259" customWidth="1"/>
    <col min="1823" max="1823" width="2.7109375" style="1259" customWidth="1"/>
    <col min="1824" max="1824" width="1.5703125" style="1259" customWidth="1"/>
    <col min="1825" max="1825" width="2.42578125" style="1259" customWidth="1"/>
    <col min="1826" max="1839" width="2.7109375" style="1259" customWidth="1"/>
    <col min="1840" max="1840" width="13.85546875" style="1259" bestFit="1" customWidth="1"/>
    <col min="1841" max="1841" width="8.7109375" style="1259" bestFit="1" customWidth="1"/>
    <col min="1842" max="1842" width="6.85546875" style="1259" bestFit="1" customWidth="1"/>
    <col min="1843" max="1843" width="9.5703125" style="1259" bestFit="1" customWidth="1"/>
    <col min="1844" max="1844" width="10.7109375" style="1259" bestFit="1" customWidth="1"/>
    <col min="1845" max="2048" width="9.140625" style="1259"/>
    <col min="2049" max="2049" width="10.85546875" style="1259" customWidth="1"/>
    <col min="2050" max="2050" width="1.7109375" style="1259" customWidth="1"/>
    <col min="2051" max="2051" width="1.5703125" style="1259" bestFit="1" customWidth="1"/>
    <col min="2052" max="2052" width="1.7109375" style="1259" customWidth="1"/>
    <col min="2053" max="2054" width="2.7109375" style="1259" customWidth="1"/>
    <col min="2055" max="2055" width="2.140625" style="1259" customWidth="1"/>
    <col min="2056" max="2056" width="2.7109375" style="1259" customWidth="1"/>
    <col min="2057" max="2057" width="3.5703125" style="1259" customWidth="1"/>
    <col min="2058" max="2058" width="2.140625" style="1259" customWidth="1"/>
    <col min="2059" max="2059" width="4" style="1259" customWidth="1"/>
    <col min="2060" max="2060" width="1.7109375" style="1259" customWidth="1"/>
    <col min="2061" max="2061" width="2.7109375" style="1259" customWidth="1"/>
    <col min="2062" max="2062" width="2.28515625" style="1259" customWidth="1"/>
    <col min="2063" max="2063" width="3.140625" style="1259" customWidth="1"/>
    <col min="2064" max="2064" width="7" style="1259" customWidth="1"/>
    <col min="2065" max="2066" width="2.7109375" style="1259" customWidth="1"/>
    <col min="2067" max="2067" width="1.85546875" style="1259" customWidth="1"/>
    <col min="2068" max="2069" width="2.7109375" style="1259" customWidth="1"/>
    <col min="2070" max="2070" width="1.7109375" style="1259" customWidth="1"/>
    <col min="2071" max="2073" width="2.7109375" style="1259" customWidth="1"/>
    <col min="2074" max="2074" width="2.28515625" style="1259" customWidth="1"/>
    <col min="2075" max="2075" width="1.7109375" style="1259" customWidth="1"/>
    <col min="2076" max="2077" width="2.7109375" style="1259" customWidth="1"/>
    <col min="2078" max="2078" width="1.85546875" style="1259" customWidth="1"/>
    <col min="2079" max="2079" width="2.7109375" style="1259" customWidth="1"/>
    <col min="2080" max="2080" width="1.5703125" style="1259" customWidth="1"/>
    <col min="2081" max="2081" width="2.42578125" style="1259" customWidth="1"/>
    <col min="2082" max="2095" width="2.7109375" style="1259" customWidth="1"/>
    <col min="2096" max="2096" width="13.85546875" style="1259" bestFit="1" customWidth="1"/>
    <col min="2097" max="2097" width="8.7109375" style="1259" bestFit="1" customWidth="1"/>
    <col min="2098" max="2098" width="6.85546875" style="1259" bestFit="1" customWidth="1"/>
    <col min="2099" max="2099" width="9.5703125" style="1259" bestFit="1" customWidth="1"/>
    <col min="2100" max="2100" width="10.7109375" style="1259" bestFit="1" customWidth="1"/>
    <col min="2101" max="2304" width="9.140625" style="1259"/>
    <col min="2305" max="2305" width="10.85546875" style="1259" customWidth="1"/>
    <col min="2306" max="2306" width="1.7109375" style="1259" customWidth="1"/>
    <col min="2307" max="2307" width="1.5703125" style="1259" bestFit="1" customWidth="1"/>
    <col min="2308" max="2308" width="1.7109375" style="1259" customWidth="1"/>
    <col min="2309" max="2310" width="2.7109375" style="1259" customWidth="1"/>
    <col min="2311" max="2311" width="2.140625" style="1259" customWidth="1"/>
    <col min="2312" max="2312" width="2.7109375" style="1259" customWidth="1"/>
    <col min="2313" max="2313" width="3.5703125" style="1259" customWidth="1"/>
    <col min="2314" max="2314" width="2.140625" style="1259" customWidth="1"/>
    <col min="2315" max="2315" width="4" style="1259" customWidth="1"/>
    <col min="2316" max="2316" width="1.7109375" style="1259" customWidth="1"/>
    <col min="2317" max="2317" width="2.7109375" style="1259" customWidth="1"/>
    <col min="2318" max="2318" width="2.28515625" style="1259" customWidth="1"/>
    <col min="2319" max="2319" width="3.140625" style="1259" customWidth="1"/>
    <col min="2320" max="2320" width="7" style="1259" customWidth="1"/>
    <col min="2321" max="2322" width="2.7109375" style="1259" customWidth="1"/>
    <col min="2323" max="2323" width="1.85546875" style="1259" customWidth="1"/>
    <col min="2324" max="2325" width="2.7109375" style="1259" customWidth="1"/>
    <col min="2326" max="2326" width="1.7109375" style="1259" customWidth="1"/>
    <col min="2327" max="2329" width="2.7109375" style="1259" customWidth="1"/>
    <col min="2330" max="2330" width="2.28515625" style="1259" customWidth="1"/>
    <col min="2331" max="2331" width="1.7109375" style="1259" customWidth="1"/>
    <col min="2332" max="2333" width="2.7109375" style="1259" customWidth="1"/>
    <col min="2334" max="2334" width="1.85546875" style="1259" customWidth="1"/>
    <col min="2335" max="2335" width="2.7109375" style="1259" customWidth="1"/>
    <col min="2336" max="2336" width="1.5703125" style="1259" customWidth="1"/>
    <col min="2337" max="2337" width="2.42578125" style="1259" customWidth="1"/>
    <col min="2338" max="2351" width="2.7109375" style="1259" customWidth="1"/>
    <col min="2352" max="2352" width="13.85546875" style="1259" bestFit="1" customWidth="1"/>
    <col min="2353" max="2353" width="8.7109375" style="1259" bestFit="1" customWidth="1"/>
    <col min="2354" max="2354" width="6.85546875" style="1259" bestFit="1" customWidth="1"/>
    <col min="2355" max="2355" width="9.5703125" style="1259" bestFit="1" customWidth="1"/>
    <col min="2356" max="2356" width="10.7109375" style="1259" bestFit="1" customWidth="1"/>
    <col min="2357" max="2560" width="9.140625" style="1259"/>
    <col min="2561" max="2561" width="10.85546875" style="1259" customWidth="1"/>
    <col min="2562" max="2562" width="1.7109375" style="1259" customWidth="1"/>
    <col min="2563" max="2563" width="1.5703125" style="1259" bestFit="1" customWidth="1"/>
    <col min="2564" max="2564" width="1.7109375" style="1259" customWidth="1"/>
    <col min="2565" max="2566" width="2.7109375" style="1259" customWidth="1"/>
    <col min="2567" max="2567" width="2.140625" style="1259" customWidth="1"/>
    <col min="2568" max="2568" width="2.7109375" style="1259" customWidth="1"/>
    <col min="2569" max="2569" width="3.5703125" style="1259" customWidth="1"/>
    <col min="2570" max="2570" width="2.140625" style="1259" customWidth="1"/>
    <col min="2571" max="2571" width="4" style="1259" customWidth="1"/>
    <col min="2572" max="2572" width="1.7109375" style="1259" customWidth="1"/>
    <col min="2573" max="2573" width="2.7109375" style="1259" customWidth="1"/>
    <col min="2574" max="2574" width="2.28515625" style="1259" customWidth="1"/>
    <col min="2575" max="2575" width="3.140625" style="1259" customWidth="1"/>
    <col min="2576" max="2576" width="7" style="1259" customWidth="1"/>
    <col min="2577" max="2578" width="2.7109375" style="1259" customWidth="1"/>
    <col min="2579" max="2579" width="1.85546875" style="1259" customWidth="1"/>
    <col min="2580" max="2581" width="2.7109375" style="1259" customWidth="1"/>
    <col min="2582" max="2582" width="1.7109375" style="1259" customWidth="1"/>
    <col min="2583" max="2585" width="2.7109375" style="1259" customWidth="1"/>
    <col min="2586" max="2586" width="2.28515625" style="1259" customWidth="1"/>
    <col min="2587" max="2587" width="1.7109375" style="1259" customWidth="1"/>
    <col min="2588" max="2589" width="2.7109375" style="1259" customWidth="1"/>
    <col min="2590" max="2590" width="1.85546875" style="1259" customWidth="1"/>
    <col min="2591" max="2591" width="2.7109375" style="1259" customWidth="1"/>
    <col min="2592" max="2592" width="1.5703125" style="1259" customWidth="1"/>
    <col min="2593" max="2593" width="2.42578125" style="1259" customWidth="1"/>
    <col min="2594" max="2607" width="2.7109375" style="1259" customWidth="1"/>
    <col min="2608" max="2608" width="13.85546875" style="1259" bestFit="1" customWidth="1"/>
    <col min="2609" max="2609" width="8.7109375" style="1259" bestFit="1" customWidth="1"/>
    <col min="2610" max="2610" width="6.85546875" style="1259" bestFit="1" customWidth="1"/>
    <col min="2611" max="2611" width="9.5703125" style="1259" bestFit="1" customWidth="1"/>
    <col min="2612" max="2612" width="10.7109375" style="1259" bestFit="1" customWidth="1"/>
    <col min="2613" max="2816" width="9.140625" style="1259"/>
    <col min="2817" max="2817" width="10.85546875" style="1259" customWidth="1"/>
    <col min="2818" max="2818" width="1.7109375" style="1259" customWidth="1"/>
    <col min="2819" max="2819" width="1.5703125" style="1259" bestFit="1" customWidth="1"/>
    <col min="2820" max="2820" width="1.7109375" style="1259" customWidth="1"/>
    <col min="2821" max="2822" width="2.7109375" style="1259" customWidth="1"/>
    <col min="2823" max="2823" width="2.140625" style="1259" customWidth="1"/>
    <col min="2824" max="2824" width="2.7109375" style="1259" customWidth="1"/>
    <col min="2825" max="2825" width="3.5703125" style="1259" customWidth="1"/>
    <col min="2826" max="2826" width="2.140625" style="1259" customWidth="1"/>
    <col min="2827" max="2827" width="4" style="1259" customWidth="1"/>
    <col min="2828" max="2828" width="1.7109375" style="1259" customWidth="1"/>
    <col min="2829" max="2829" width="2.7109375" style="1259" customWidth="1"/>
    <col min="2830" max="2830" width="2.28515625" style="1259" customWidth="1"/>
    <col min="2831" max="2831" width="3.140625" style="1259" customWidth="1"/>
    <col min="2832" max="2832" width="7" style="1259" customWidth="1"/>
    <col min="2833" max="2834" width="2.7109375" style="1259" customWidth="1"/>
    <col min="2835" max="2835" width="1.85546875" style="1259" customWidth="1"/>
    <col min="2836" max="2837" width="2.7109375" style="1259" customWidth="1"/>
    <col min="2838" max="2838" width="1.7109375" style="1259" customWidth="1"/>
    <col min="2839" max="2841" width="2.7109375" style="1259" customWidth="1"/>
    <col min="2842" max="2842" width="2.28515625" style="1259" customWidth="1"/>
    <col min="2843" max="2843" width="1.7109375" style="1259" customWidth="1"/>
    <col min="2844" max="2845" width="2.7109375" style="1259" customWidth="1"/>
    <col min="2846" max="2846" width="1.85546875" style="1259" customWidth="1"/>
    <col min="2847" max="2847" width="2.7109375" style="1259" customWidth="1"/>
    <col min="2848" max="2848" width="1.5703125" style="1259" customWidth="1"/>
    <col min="2849" max="2849" width="2.42578125" style="1259" customWidth="1"/>
    <col min="2850" max="2863" width="2.7109375" style="1259" customWidth="1"/>
    <col min="2864" max="2864" width="13.85546875" style="1259" bestFit="1" customWidth="1"/>
    <col min="2865" max="2865" width="8.7109375" style="1259" bestFit="1" customWidth="1"/>
    <col min="2866" max="2866" width="6.85546875" style="1259" bestFit="1" customWidth="1"/>
    <col min="2867" max="2867" width="9.5703125" style="1259" bestFit="1" customWidth="1"/>
    <col min="2868" max="2868" width="10.7109375" style="1259" bestFit="1" customWidth="1"/>
    <col min="2869" max="3072" width="9.140625" style="1259"/>
    <col min="3073" max="3073" width="10.85546875" style="1259" customWidth="1"/>
    <col min="3074" max="3074" width="1.7109375" style="1259" customWidth="1"/>
    <col min="3075" max="3075" width="1.5703125" style="1259" bestFit="1" customWidth="1"/>
    <col min="3076" max="3076" width="1.7109375" style="1259" customWidth="1"/>
    <col min="3077" max="3078" width="2.7109375" style="1259" customWidth="1"/>
    <col min="3079" max="3079" width="2.140625" style="1259" customWidth="1"/>
    <col min="3080" max="3080" width="2.7109375" style="1259" customWidth="1"/>
    <col min="3081" max="3081" width="3.5703125" style="1259" customWidth="1"/>
    <col min="3082" max="3082" width="2.140625" style="1259" customWidth="1"/>
    <col min="3083" max="3083" width="4" style="1259" customWidth="1"/>
    <col min="3084" max="3084" width="1.7109375" style="1259" customWidth="1"/>
    <col min="3085" max="3085" width="2.7109375" style="1259" customWidth="1"/>
    <col min="3086" max="3086" width="2.28515625" style="1259" customWidth="1"/>
    <col min="3087" max="3087" width="3.140625" style="1259" customWidth="1"/>
    <col min="3088" max="3088" width="7" style="1259" customWidth="1"/>
    <col min="3089" max="3090" width="2.7109375" style="1259" customWidth="1"/>
    <col min="3091" max="3091" width="1.85546875" style="1259" customWidth="1"/>
    <col min="3092" max="3093" width="2.7109375" style="1259" customWidth="1"/>
    <col min="3094" max="3094" width="1.7109375" style="1259" customWidth="1"/>
    <col min="3095" max="3097" width="2.7109375" style="1259" customWidth="1"/>
    <col min="3098" max="3098" width="2.28515625" style="1259" customWidth="1"/>
    <col min="3099" max="3099" width="1.7109375" style="1259" customWidth="1"/>
    <col min="3100" max="3101" width="2.7109375" style="1259" customWidth="1"/>
    <col min="3102" max="3102" width="1.85546875" style="1259" customWidth="1"/>
    <col min="3103" max="3103" width="2.7109375" style="1259" customWidth="1"/>
    <col min="3104" max="3104" width="1.5703125" style="1259" customWidth="1"/>
    <col min="3105" max="3105" width="2.42578125" style="1259" customWidth="1"/>
    <col min="3106" max="3119" width="2.7109375" style="1259" customWidth="1"/>
    <col min="3120" max="3120" width="13.85546875" style="1259" bestFit="1" customWidth="1"/>
    <col min="3121" max="3121" width="8.7109375" style="1259" bestFit="1" customWidth="1"/>
    <col min="3122" max="3122" width="6.85546875" style="1259" bestFit="1" customWidth="1"/>
    <col min="3123" max="3123" width="9.5703125" style="1259" bestFit="1" customWidth="1"/>
    <col min="3124" max="3124" width="10.7109375" style="1259" bestFit="1" customWidth="1"/>
    <col min="3125" max="3328" width="9.140625" style="1259"/>
    <col min="3329" max="3329" width="10.85546875" style="1259" customWidth="1"/>
    <col min="3330" max="3330" width="1.7109375" style="1259" customWidth="1"/>
    <col min="3331" max="3331" width="1.5703125" style="1259" bestFit="1" customWidth="1"/>
    <col min="3332" max="3332" width="1.7109375" style="1259" customWidth="1"/>
    <col min="3333" max="3334" width="2.7109375" style="1259" customWidth="1"/>
    <col min="3335" max="3335" width="2.140625" style="1259" customWidth="1"/>
    <col min="3336" max="3336" width="2.7109375" style="1259" customWidth="1"/>
    <col min="3337" max="3337" width="3.5703125" style="1259" customWidth="1"/>
    <col min="3338" max="3338" width="2.140625" style="1259" customWidth="1"/>
    <col min="3339" max="3339" width="4" style="1259" customWidth="1"/>
    <col min="3340" max="3340" width="1.7109375" style="1259" customWidth="1"/>
    <col min="3341" max="3341" width="2.7109375" style="1259" customWidth="1"/>
    <col min="3342" max="3342" width="2.28515625" style="1259" customWidth="1"/>
    <col min="3343" max="3343" width="3.140625" style="1259" customWidth="1"/>
    <col min="3344" max="3344" width="7" style="1259" customWidth="1"/>
    <col min="3345" max="3346" width="2.7109375" style="1259" customWidth="1"/>
    <col min="3347" max="3347" width="1.85546875" style="1259" customWidth="1"/>
    <col min="3348" max="3349" width="2.7109375" style="1259" customWidth="1"/>
    <col min="3350" max="3350" width="1.7109375" style="1259" customWidth="1"/>
    <col min="3351" max="3353" width="2.7109375" style="1259" customWidth="1"/>
    <col min="3354" max="3354" width="2.28515625" style="1259" customWidth="1"/>
    <col min="3355" max="3355" width="1.7109375" style="1259" customWidth="1"/>
    <col min="3356" max="3357" width="2.7109375" style="1259" customWidth="1"/>
    <col min="3358" max="3358" width="1.85546875" style="1259" customWidth="1"/>
    <col min="3359" max="3359" width="2.7109375" style="1259" customWidth="1"/>
    <col min="3360" max="3360" width="1.5703125" style="1259" customWidth="1"/>
    <col min="3361" max="3361" width="2.42578125" style="1259" customWidth="1"/>
    <col min="3362" max="3375" width="2.7109375" style="1259" customWidth="1"/>
    <col min="3376" max="3376" width="13.85546875" style="1259" bestFit="1" customWidth="1"/>
    <col min="3377" max="3377" width="8.7109375" style="1259" bestFit="1" customWidth="1"/>
    <col min="3378" max="3378" width="6.85546875" style="1259" bestFit="1" customWidth="1"/>
    <col min="3379" max="3379" width="9.5703125" style="1259" bestFit="1" customWidth="1"/>
    <col min="3380" max="3380" width="10.7109375" style="1259" bestFit="1" customWidth="1"/>
    <col min="3381" max="3584" width="9.140625" style="1259"/>
    <col min="3585" max="3585" width="10.85546875" style="1259" customWidth="1"/>
    <col min="3586" max="3586" width="1.7109375" style="1259" customWidth="1"/>
    <col min="3587" max="3587" width="1.5703125" style="1259" bestFit="1" customWidth="1"/>
    <col min="3588" max="3588" width="1.7109375" style="1259" customWidth="1"/>
    <col min="3589" max="3590" width="2.7109375" style="1259" customWidth="1"/>
    <col min="3591" max="3591" width="2.140625" style="1259" customWidth="1"/>
    <col min="3592" max="3592" width="2.7109375" style="1259" customWidth="1"/>
    <col min="3593" max="3593" width="3.5703125" style="1259" customWidth="1"/>
    <col min="3594" max="3594" width="2.140625" style="1259" customWidth="1"/>
    <col min="3595" max="3595" width="4" style="1259" customWidth="1"/>
    <col min="3596" max="3596" width="1.7109375" style="1259" customWidth="1"/>
    <col min="3597" max="3597" width="2.7109375" style="1259" customWidth="1"/>
    <col min="3598" max="3598" width="2.28515625" style="1259" customWidth="1"/>
    <col min="3599" max="3599" width="3.140625" style="1259" customWidth="1"/>
    <col min="3600" max="3600" width="7" style="1259" customWidth="1"/>
    <col min="3601" max="3602" width="2.7109375" style="1259" customWidth="1"/>
    <col min="3603" max="3603" width="1.85546875" style="1259" customWidth="1"/>
    <col min="3604" max="3605" width="2.7109375" style="1259" customWidth="1"/>
    <col min="3606" max="3606" width="1.7109375" style="1259" customWidth="1"/>
    <col min="3607" max="3609" width="2.7109375" style="1259" customWidth="1"/>
    <col min="3610" max="3610" width="2.28515625" style="1259" customWidth="1"/>
    <col min="3611" max="3611" width="1.7109375" style="1259" customWidth="1"/>
    <col min="3612" max="3613" width="2.7109375" style="1259" customWidth="1"/>
    <col min="3614" max="3614" width="1.85546875" style="1259" customWidth="1"/>
    <col min="3615" max="3615" width="2.7109375" style="1259" customWidth="1"/>
    <col min="3616" max="3616" width="1.5703125" style="1259" customWidth="1"/>
    <col min="3617" max="3617" width="2.42578125" style="1259" customWidth="1"/>
    <col min="3618" max="3631" width="2.7109375" style="1259" customWidth="1"/>
    <col min="3632" max="3632" width="13.85546875" style="1259" bestFit="1" customWidth="1"/>
    <col min="3633" max="3633" width="8.7109375" style="1259" bestFit="1" customWidth="1"/>
    <col min="3634" max="3634" width="6.85546875" style="1259" bestFit="1" customWidth="1"/>
    <col min="3635" max="3635" width="9.5703125" style="1259" bestFit="1" customWidth="1"/>
    <col min="3636" max="3636" width="10.7109375" style="1259" bestFit="1" customWidth="1"/>
    <col min="3637" max="3840" width="9.140625" style="1259"/>
    <col min="3841" max="3841" width="10.85546875" style="1259" customWidth="1"/>
    <col min="3842" max="3842" width="1.7109375" style="1259" customWidth="1"/>
    <col min="3843" max="3843" width="1.5703125" style="1259" bestFit="1" customWidth="1"/>
    <col min="3844" max="3844" width="1.7109375" style="1259" customWidth="1"/>
    <col min="3845" max="3846" width="2.7109375" style="1259" customWidth="1"/>
    <col min="3847" max="3847" width="2.140625" style="1259" customWidth="1"/>
    <col min="3848" max="3848" width="2.7109375" style="1259" customWidth="1"/>
    <col min="3849" max="3849" width="3.5703125" style="1259" customWidth="1"/>
    <col min="3850" max="3850" width="2.140625" style="1259" customWidth="1"/>
    <col min="3851" max="3851" width="4" style="1259" customWidth="1"/>
    <col min="3852" max="3852" width="1.7109375" style="1259" customWidth="1"/>
    <col min="3853" max="3853" width="2.7109375" style="1259" customWidth="1"/>
    <col min="3854" max="3854" width="2.28515625" style="1259" customWidth="1"/>
    <col min="3855" max="3855" width="3.140625" style="1259" customWidth="1"/>
    <col min="3856" max="3856" width="7" style="1259" customWidth="1"/>
    <col min="3857" max="3858" width="2.7109375" style="1259" customWidth="1"/>
    <col min="3859" max="3859" width="1.85546875" style="1259" customWidth="1"/>
    <col min="3860" max="3861" width="2.7109375" style="1259" customWidth="1"/>
    <col min="3862" max="3862" width="1.7109375" style="1259" customWidth="1"/>
    <col min="3863" max="3865" width="2.7109375" style="1259" customWidth="1"/>
    <col min="3866" max="3866" width="2.28515625" style="1259" customWidth="1"/>
    <col min="3867" max="3867" width="1.7109375" style="1259" customWidth="1"/>
    <col min="3868" max="3869" width="2.7109375" style="1259" customWidth="1"/>
    <col min="3870" max="3870" width="1.85546875" style="1259" customWidth="1"/>
    <col min="3871" max="3871" width="2.7109375" style="1259" customWidth="1"/>
    <col min="3872" max="3872" width="1.5703125" style="1259" customWidth="1"/>
    <col min="3873" max="3873" width="2.42578125" style="1259" customWidth="1"/>
    <col min="3874" max="3887" width="2.7109375" style="1259" customWidth="1"/>
    <col min="3888" max="3888" width="13.85546875" style="1259" bestFit="1" customWidth="1"/>
    <col min="3889" max="3889" width="8.7109375" style="1259" bestFit="1" customWidth="1"/>
    <col min="3890" max="3890" width="6.85546875" style="1259" bestFit="1" customWidth="1"/>
    <col min="3891" max="3891" width="9.5703125" style="1259" bestFit="1" customWidth="1"/>
    <col min="3892" max="3892" width="10.7109375" style="1259" bestFit="1" customWidth="1"/>
    <col min="3893" max="4096" width="9.140625" style="1259"/>
    <col min="4097" max="4097" width="10.85546875" style="1259" customWidth="1"/>
    <col min="4098" max="4098" width="1.7109375" style="1259" customWidth="1"/>
    <col min="4099" max="4099" width="1.5703125" style="1259" bestFit="1" customWidth="1"/>
    <col min="4100" max="4100" width="1.7109375" style="1259" customWidth="1"/>
    <col min="4101" max="4102" width="2.7109375" style="1259" customWidth="1"/>
    <col min="4103" max="4103" width="2.140625" style="1259" customWidth="1"/>
    <col min="4104" max="4104" width="2.7109375" style="1259" customWidth="1"/>
    <col min="4105" max="4105" width="3.5703125" style="1259" customWidth="1"/>
    <col min="4106" max="4106" width="2.140625" style="1259" customWidth="1"/>
    <col min="4107" max="4107" width="4" style="1259" customWidth="1"/>
    <col min="4108" max="4108" width="1.7109375" style="1259" customWidth="1"/>
    <col min="4109" max="4109" width="2.7109375" style="1259" customWidth="1"/>
    <col min="4110" max="4110" width="2.28515625" style="1259" customWidth="1"/>
    <col min="4111" max="4111" width="3.140625" style="1259" customWidth="1"/>
    <col min="4112" max="4112" width="7" style="1259" customWidth="1"/>
    <col min="4113" max="4114" width="2.7109375" style="1259" customWidth="1"/>
    <col min="4115" max="4115" width="1.85546875" style="1259" customWidth="1"/>
    <col min="4116" max="4117" width="2.7109375" style="1259" customWidth="1"/>
    <col min="4118" max="4118" width="1.7109375" style="1259" customWidth="1"/>
    <col min="4119" max="4121" width="2.7109375" style="1259" customWidth="1"/>
    <col min="4122" max="4122" width="2.28515625" style="1259" customWidth="1"/>
    <col min="4123" max="4123" width="1.7109375" style="1259" customWidth="1"/>
    <col min="4124" max="4125" width="2.7109375" style="1259" customWidth="1"/>
    <col min="4126" max="4126" width="1.85546875" style="1259" customWidth="1"/>
    <col min="4127" max="4127" width="2.7109375" style="1259" customWidth="1"/>
    <col min="4128" max="4128" width="1.5703125" style="1259" customWidth="1"/>
    <col min="4129" max="4129" width="2.42578125" style="1259" customWidth="1"/>
    <col min="4130" max="4143" width="2.7109375" style="1259" customWidth="1"/>
    <col min="4144" max="4144" width="13.85546875" style="1259" bestFit="1" customWidth="1"/>
    <col min="4145" max="4145" width="8.7109375" style="1259" bestFit="1" customWidth="1"/>
    <col min="4146" max="4146" width="6.85546875" style="1259" bestFit="1" customWidth="1"/>
    <col min="4147" max="4147" width="9.5703125" style="1259" bestFit="1" customWidth="1"/>
    <col min="4148" max="4148" width="10.7109375" style="1259" bestFit="1" customWidth="1"/>
    <col min="4149" max="4352" width="9.140625" style="1259"/>
    <col min="4353" max="4353" width="10.85546875" style="1259" customWidth="1"/>
    <col min="4354" max="4354" width="1.7109375" style="1259" customWidth="1"/>
    <col min="4355" max="4355" width="1.5703125" style="1259" bestFit="1" customWidth="1"/>
    <col min="4356" max="4356" width="1.7109375" style="1259" customWidth="1"/>
    <col min="4357" max="4358" width="2.7109375" style="1259" customWidth="1"/>
    <col min="4359" max="4359" width="2.140625" style="1259" customWidth="1"/>
    <col min="4360" max="4360" width="2.7109375" style="1259" customWidth="1"/>
    <col min="4361" max="4361" width="3.5703125" style="1259" customWidth="1"/>
    <col min="4362" max="4362" width="2.140625" style="1259" customWidth="1"/>
    <col min="4363" max="4363" width="4" style="1259" customWidth="1"/>
    <col min="4364" max="4364" width="1.7109375" style="1259" customWidth="1"/>
    <col min="4365" max="4365" width="2.7109375" style="1259" customWidth="1"/>
    <col min="4366" max="4366" width="2.28515625" style="1259" customWidth="1"/>
    <col min="4367" max="4367" width="3.140625" style="1259" customWidth="1"/>
    <col min="4368" max="4368" width="7" style="1259" customWidth="1"/>
    <col min="4369" max="4370" width="2.7109375" style="1259" customWidth="1"/>
    <col min="4371" max="4371" width="1.85546875" style="1259" customWidth="1"/>
    <col min="4372" max="4373" width="2.7109375" style="1259" customWidth="1"/>
    <col min="4374" max="4374" width="1.7109375" style="1259" customWidth="1"/>
    <col min="4375" max="4377" width="2.7109375" style="1259" customWidth="1"/>
    <col min="4378" max="4378" width="2.28515625" style="1259" customWidth="1"/>
    <col min="4379" max="4379" width="1.7109375" style="1259" customWidth="1"/>
    <col min="4380" max="4381" width="2.7109375" style="1259" customWidth="1"/>
    <col min="4382" max="4382" width="1.85546875" style="1259" customWidth="1"/>
    <col min="4383" max="4383" width="2.7109375" style="1259" customWidth="1"/>
    <col min="4384" max="4384" width="1.5703125" style="1259" customWidth="1"/>
    <col min="4385" max="4385" width="2.42578125" style="1259" customWidth="1"/>
    <col min="4386" max="4399" width="2.7109375" style="1259" customWidth="1"/>
    <col min="4400" max="4400" width="13.85546875" style="1259" bestFit="1" customWidth="1"/>
    <col min="4401" max="4401" width="8.7109375" style="1259" bestFit="1" customWidth="1"/>
    <col min="4402" max="4402" width="6.85546875" style="1259" bestFit="1" customWidth="1"/>
    <col min="4403" max="4403" width="9.5703125" style="1259" bestFit="1" customWidth="1"/>
    <col min="4404" max="4404" width="10.7109375" style="1259" bestFit="1" customWidth="1"/>
    <col min="4405" max="4608" width="9.140625" style="1259"/>
    <col min="4609" max="4609" width="10.85546875" style="1259" customWidth="1"/>
    <col min="4610" max="4610" width="1.7109375" style="1259" customWidth="1"/>
    <col min="4611" max="4611" width="1.5703125" style="1259" bestFit="1" customWidth="1"/>
    <col min="4612" max="4612" width="1.7109375" style="1259" customWidth="1"/>
    <col min="4613" max="4614" width="2.7109375" style="1259" customWidth="1"/>
    <col min="4615" max="4615" width="2.140625" style="1259" customWidth="1"/>
    <col min="4616" max="4616" width="2.7109375" style="1259" customWidth="1"/>
    <col min="4617" max="4617" width="3.5703125" style="1259" customWidth="1"/>
    <col min="4618" max="4618" width="2.140625" style="1259" customWidth="1"/>
    <col min="4619" max="4619" width="4" style="1259" customWidth="1"/>
    <col min="4620" max="4620" width="1.7109375" style="1259" customWidth="1"/>
    <col min="4621" max="4621" width="2.7109375" style="1259" customWidth="1"/>
    <col min="4622" max="4622" width="2.28515625" style="1259" customWidth="1"/>
    <col min="4623" max="4623" width="3.140625" style="1259" customWidth="1"/>
    <col min="4624" max="4624" width="7" style="1259" customWidth="1"/>
    <col min="4625" max="4626" width="2.7109375" style="1259" customWidth="1"/>
    <col min="4627" max="4627" width="1.85546875" style="1259" customWidth="1"/>
    <col min="4628" max="4629" width="2.7109375" style="1259" customWidth="1"/>
    <col min="4630" max="4630" width="1.7109375" style="1259" customWidth="1"/>
    <col min="4631" max="4633" width="2.7109375" style="1259" customWidth="1"/>
    <col min="4634" max="4634" width="2.28515625" style="1259" customWidth="1"/>
    <col min="4635" max="4635" width="1.7109375" style="1259" customWidth="1"/>
    <col min="4636" max="4637" width="2.7109375" style="1259" customWidth="1"/>
    <col min="4638" max="4638" width="1.85546875" style="1259" customWidth="1"/>
    <col min="4639" max="4639" width="2.7109375" style="1259" customWidth="1"/>
    <col min="4640" max="4640" width="1.5703125" style="1259" customWidth="1"/>
    <col min="4641" max="4641" width="2.42578125" style="1259" customWidth="1"/>
    <col min="4642" max="4655" width="2.7109375" style="1259" customWidth="1"/>
    <col min="4656" max="4656" width="13.85546875" style="1259" bestFit="1" customWidth="1"/>
    <col min="4657" max="4657" width="8.7109375" style="1259" bestFit="1" customWidth="1"/>
    <col min="4658" max="4658" width="6.85546875" style="1259" bestFit="1" customWidth="1"/>
    <col min="4659" max="4659" width="9.5703125" style="1259" bestFit="1" customWidth="1"/>
    <col min="4660" max="4660" width="10.7109375" style="1259" bestFit="1" customWidth="1"/>
    <col min="4661" max="4864" width="9.140625" style="1259"/>
    <col min="4865" max="4865" width="10.85546875" style="1259" customWidth="1"/>
    <col min="4866" max="4866" width="1.7109375" style="1259" customWidth="1"/>
    <col min="4867" max="4867" width="1.5703125" style="1259" bestFit="1" customWidth="1"/>
    <col min="4868" max="4868" width="1.7109375" style="1259" customWidth="1"/>
    <col min="4869" max="4870" width="2.7109375" style="1259" customWidth="1"/>
    <col min="4871" max="4871" width="2.140625" style="1259" customWidth="1"/>
    <col min="4872" max="4872" width="2.7109375" style="1259" customWidth="1"/>
    <col min="4873" max="4873" width="3.5703125" style="1259" customWidth="1"/>
    <col min="4874" max="4874" width="2.140625" style="1259" customWidth="1"/>
    <col min="4875" max="4875" width="4" style="1259" customWidth="1"/>
    <col min="4876" max="4876" width="1.7109375" style="1259" customWidth="1"/>
    <col min="4877" max="4877" width="2.7109375" style="1259" customWidth="1"/>
    <col min="4878" max="4878" width="2.28515625" style="1259" customWidth="1"/>
    <col min="4879" max="4879" width="3.140625" style="1259" customWidth="1"/>
    <col min="4880" max="4880" width="7" style="1259" customWidth="1"/>
    <col min="4881" max="4882" width="2.7109375" style="1259" customWidth="1"/>
    <col min="4883" max="4883" width="1.85546875" style="1259" customWidth="1"/>
    <col min="4884" max="4885" width="2.7109375" style="1259" customWidth="1"/>
    <col min="4886" max="4886" width="1.7109375" style="1259" customWidth="1"/>
    <col min="4887" max="4889" width="2.7109375" style="1259" customWidth="1"/>
    <col min="4890" max="4890" width="2.28515625" style="1259" customWidth="1"/>
    <col min="4891" max="4891" width="1.7109375" style="1259" customWidth="1"/>
    <col min="4892" max="4893" width="2.7109375" style="1259" customWidth="1"/>
    <col min="4894" max="4894" width="1.85546875" style="1259" customWidth="1"/>
    <col min="4895" max="4895" width="2.7109375" style="1259" customWidth="1"/>
    <col min="4896" max="4896" width="1.5703125" style="1259" customWidth="1"/>
    <col min="4897" max="4897" width="2.42578125" style="1259" customWidth="1"/>
    <col min="4898" max="4911" width="2.7109375" style="1259" customWidth="1"/>
    <col min="4912" max="4912" width="13.85546875" style="1259" bestFit="1" customWidth="1"/>
    <col min="4913" max="4913" width="8.7109375" style="1259" bestFit="1" customWidth="1"/>
    <col min="4914" max="4914" width="6.85546875" style="1259" bestFit="1" customWidth="1"/>
    <col min="4915" max="4915" width="9.5703125" style="1259" bestFit="1" customWidth="1"/>
    <col min="4916" max="4916" width="10.7109375" style="1259" bestFit="1" customWidth="1"/>
    <col min="4917" max="5120" width="9.140625" style="1259"/>
    <col min="5121" max="5121" width="10.85546875" style="1259" customWidth="1"/>
    <col min="5122" max="5122" width="1.7109375" style="1259" customWidth="1"/>
    <col min="5123" max="5123" width="1.5703125" style="1259" bestFit="1" customWidth="1"/>
    <col min="5124" max="5124" width="1.7109375" style="1259" customWidth="1"/>
    <col min="5125" max="5126" width="2.7109375" style="1259" customWidth="1"/>
    <col min="5127" max="5127" width="2.140625" style="1259" customWidth="1"/>
    <col min="5128" max="5128" width="2.7109375" style="1259" customWidth="1"/>
    <col min="5129" max="5129" width="3.5703125" style="1259" customWidth="1"/>
    <col min="5130" max="5130" width="2.140625" style="1259" customWidth="1"/>
    <col min="5131" max="5131" width="4" style="1259" customWidth="1"/>
    <col min="5132" max="5132" width="1.7109375" style="1259" customWidth="1"/>
    <col min="5133" max="5133" width="2.7109375" style="1259" customWidth="1"/>
    <col min="5134" max="5134" width="2.28515625" style="1259" customWidth="1"/>
    <col min="5135" max="5135" width="3.140625" style="1259" customWidth="1"/>
    <col min="5136" max="5136" width="7" style="1259" customWidth="1"/>
    <col min="5137" max="5138" width="2.7109375" style="1259" customWidth="1"/>
    <col min="5139" max="5139" width="1.85546875" style="1259" customWidth="1"/>
    <col min="5140" max="5141" width="2.7109375" style="1259" customWidth="1"/>
    <col min="5142" max="5142" width="1.7109375" style="1259" customWidth="1"/>
    <col min="5143" max="5145" width="2.7109375" style="1259" customWidth="1"/>
    <col min="5146" max="5146" width="2.28515625" style="1259" customWidth="1"/>
    <col min="5147" max="5147" width="1.7109375" style="1259" customWidth="1"/>
    <col min="5148" max="5149" width="2.7109375" style="1259" customWidth="1"/>
    <col min="5150" max="5150" width="1.85546875" style="1259" customWidth="1"/>
    <col min="5151" max="5151" width="2.7109375" style="1259" customWidth="1"/>
    <col min="5152" max="5152" width="1.5703125" style="1259" customWidth="1"/>
    <col min="5153" max="5153" width="2.42578125" style="1259" customWidth="1"/>
    <col min="5154" max="5167" width="2.7109375" style="1259" customWidth="1"/>
    <col min="5168" max="5168" width="13.85546875" style="1259" bestFit="1" customWidth="1"/>
    <col min="5169" max="5169" width="8.7109375" style="1259" bestFit="1" customWidth="1"/>
    <col min="5170" max="5170" width="6.85546875" style="1259" bestFit="1" customWidth="1"/>
    <col min="5171" max="5171" width="9.5703125" style="1259" bestFit="1" customWidth="1"/>
    <col min="5172" max="5172" width="10.7109375" style="1259" bestFit="1" customWidth="1"/>
    <col min="5173" max="5376" width="9.140625" style="1259"/>
    <col min="5377" max="5377" width="10.85546875" style="1259" customWidth="1"/>
    <col min="5378" max="5378" width="1.7109375" style="1259" customWidth="1"/>
    <col min="5379" max="5379" width="1.5703125" style="1259" bestFit="1" customWidth="1"/>
    <col min="5380" max="5380" width="1.7109375" style="1259" customWidth="1"/>
    <col min="5381" max="5382" width="2.7109375" style="1259" customWidth="1"/>
    <col min="5383" max="5383" width="2.140625" style="1259" customWidth="1"/>
    <col min="5384" max="5384" width="2.7109375" style="1259" customWidth="1"/>
    <col min="5385" max="5385" width="3.5703125" style="1259" customWidth="1"/>
    <col min="5386" max="5386" width="2.140625" style="1259" customWidth="1"/>
    <col min="5387" max="5387" width="4" style="1259" customWidth="1"/>
    <col min="5388" max="5388" width="1.7109375" style="1259" customWidth="1"/>
    <col min="5389" max="5389" width="2.7109375" style="1259" customWidth="1"/>
    <col min="5390" max="5390" width="2.28515625" style="1259" customWidth="1"/>
    <col min="5391" max="5391" width="3.140625" style="1259" customWidth="1"/>
    <col min="5392" max="5392" width="7" style="1259" customWidth="1"/>
    <col min="5393" max="5394" width="2.7109375" style="1259" customWidth="1"/>
    <col min="5395" max="5395" width="1.85546875" style="1259" customWidth="1"/>
    <col min="5396" max="5397" width="2.7109375" style="1259" customWidth="1"/>
    <col min="5398" max="5398" width="1.7109375" style="1259" customWidth="1"/>
    <col min="5399" max="5401" width="2.7109375" style="1259" customWidth="1"/>
    <col min="5402" max="5402" width="2.28515625" style="1259" customWidth="1"/>
    <col min="5403" max="5403" width="1.7109375" style="1259" customWidth="1"/>
    <col min="5404" max="5405" width="2.7109375" style="1259" customWidth="1"/>
    <col min="5406" max="5406" width="1.85546875" style="1259" customWidth="1"/>
    <col min="5407" max="5407" width="2.7109375" style="1259" customWidth="1"/>
    <col min="5408" max="5408" width="1.5703125" style="1259" customWidth="1"/>
    <col min="5409" max="5409" width="2.42578125" style="1259" customWidth="1"/>
    <col min="5410" max="5423" width="2.7109375" style="1259" customWidth="1"/>
    <col min="5424" max="5424" width="13.85546875" style="1259" bestFit="1" customWidth="1"/>
    <col min="5425" max="5425" width="8.7109375" style="1259" bestFit="1" customWidth="1"/>
    <col min="5426" max="5426" width="6.85546875" style="1259" bestFit="1" customWidth="1"/>
    <col min="5427" max="5427" width="9.5703125" style="1259" bestFit="1" customWidth="1"/>
    <col min="5428" max="5428" width="10.7109375" style="1259" bestFit="1" customWidth="1"/>
    <col min="5429" max="5632" width="9.140625" style="1259"/>
    <col min="5633" max="5633" width="10.85546875" style="1259" customWidth="1"/>
    <col min="5634" max="5634" width="1.7109375" style="1259" customWidth="1"/>
    <col min="5635" max="5635" width="1.5703125" style="1259" bestFit="1" customWidth="1"/>
    <col min="5636" max="5636" width="1.7109375" style="1259" customWidth="1"/>
    <col min="5637" max="5638" width="2.7109375" style="1259" customWidth="1"/>
    <col min="5639" max="5639" width="2.140625" style="1259" customWidth="1"/>
    <col min="5640" max="5640" width="2.7109375" style="1259" customWidth="1"/>
    <col min="5641" max="5641" width="3.5703125" style="1259" customWidth="1"/>
    <col min="5642" max="5642" width="2.140625" style="1259" customWidth="1"/>
    <col min="5643" max="5643" width="4" style="1259" customWidth="1"/>
    <col min="5644" max="5644" width="1.7109375" style="1259" customWidth="1"/>
    <col min="5645" max="5645" width="2.7109375" style="1259" customWidth="1"/>
    <col min="5646" max="5646" width="2.28515625" style="1259" customWidth="1"/>
    <col min="5647" max="5647" width="3.140625" style="1259" customWidth="1"/>
    <col min="5648" max="5648" width="7" style="1259" customWidth="1"/>
    <col min="5649" max="5650" width="2.7109375" style="1259" customWidth="1"/>
    <col min="5651" max="5651" width="1.85546875" style="1259" customWidth="1"/>
    <col min="5652" max="5653" width="2.7109375" style="1259" customWidth="1"/>
    <col min="5654" max="5654" width="1.7109375" style="1259" customWidth="1"/>
    <col min="5655" max="5657" width="2.7109375" style="1259" customWidth="1"/>
    <col min="5658" max="5658" width="2.28515625" style="1259" customWidth="1"/>
    <col min="5659" max="5659" width="1.7109375" style="1259" customWidth="1"/>
    <col min="5660" max="5661" width="2.7109375" style="1259" customWidth="1"/>
    <col min="5662" max="5662" width="1.85546875" style="1259" customWidth="1"/>
    <col min="5663" max="5663" width="2.7109375" style="1259" customWidth="1"/>
    <col min="5664" max="5664" width="1.5703125" style="1259" customWidth="1"/>
    <col min="5665" max="5665" width="2.42578125" style="1259" customWidth="1"/>
    <col min="5666" max="5679" width="2.7109375" style="1259" customWidth="1"/>
    <col min="5680" max="5680" width="13.85546875" style="1259" bestFit="1" customWidth="1"/>
    <col min="5681" max="5681" width="8.7109375" style="1259" bestFit="1" customWidth="1"/>
    <col min="5682" max="5682" width="6.85546875" style="1259" bestFit="1" customWidth="1"/>
    <col min="5683" max="5683" width="9.5703125" style="1259" bestFit="1" customWidth="1"/>
    <col min="5684" max="5684" width="10.7109375" style="1259" bestFit="1" customWidth="1"/>
    <col min="5685" max="5888" width="9.140625" style="1259"/>
    <col min="5889" max="5889" width="10.85546875" style="1259" customWidth="1"/>
    <col min="5890" max="5890" width="1.7109375" style="1259" customWidth="1"/>
    <col min="5891" max="5891" width="1.5703125" style="1259" bestFit="1" customWidth="1"/>
    <col min="5892" max="5892" width="1.7109375" style="1259" customWidth="1"/>
    <col min="5893" max="5894" width="2.7109375" style="1259" customWidth="1"/>
    <col min="5895" max="5895" width="2.140625" style="1259" customWidth="1"/>
    <col min="5896" max="5896" width="2.7109375" style="1259" customWidth="1"/>
    <col min="5897" max="5897" width="3.5703125" style="1259" customWidth="1"/>
    <col min="5898" max="5898" width="2.140625" style="1259" customWidth="1"/>
    <col min="5899" max="5899" width="4" style="1259" customWidth="1"/>
    <col min="5900" max="5900" width="1.7109375" style="1259" customWidth="1"/>
    <col min="5901" max="5901" width="2.7109375" style="1259" customWidth="1"/>
    <col min="5902" max="5902" width="2.28515625" style="1259" customWidth="1"/>
    <col min="5903" max="5903" width="3.140625" style="1259" customWidth="1"/>
    <col min="5904" max="5904" width="7" style="1259" customWidth="1"/>
    <col min="5905" max="5906" width="2.7109375" style="1259" customWidth="1"/>
    <col min="5907" max="5907" width="1.85546875" style="1259" customWidth="1"/>
    <col min="5908" max="5909" width="2.7109375" style="1259" customWidth="1"/>
    <col min="5910" max="5910" width="1.7109375" style="1259" customWidth="1"/>
    <col min="5911" max="5913" width="2.7109375" style="1259" customWidth="1"/>
    <col min="5914" max="5914" width="2.28515625" style="1259" customWidth="1"/>
    <col min="5915" max="5915" width="1.7109375" style="1259" customWidth="1"/>
    <col min="5916" max="5917" width="2.7109375" style="1259" customWidth="1"/>
    <col min="5918" max="5918" width="1.85546875" style="1259" customWidth="1"/>
    <col min="5919" max="5919" width="2.7109375" style="1259" customWidth="1"/>
    <col min="5920" max="5920" width="1.5703125" style="1259" customWidth="1"/>
    <col min="5921" max="5921" width="2.42578125" style="1259" customWidth="1"/>
    <col min="5922" max="5935" width="2.7109375" style="1259" customWidth="1"/>
    <col min="5936" max="5936" width="13.85546875" style="1259" bestFit="1" customWidth="1"/>
    <col min="5937" max="5937" width="8.7109375" style="1259" bestFit="1" customWidth="1"/>
    <col min="5938" max="5938" width="6.85546875" style="1259" bestFit="1" customWidth="1"/>
    <col min="5939" max="5939" width="9.5703125" style="1259" bestFit="1" customWidth="1"/>
    <col min="5940" max="5940" width="10.7109375" style="1259" bestFit="1" customWidth="1"/>
    <col min="5941" max="6144" width="9.140625" style="1259"/>
    <col min="6145" max="6145" width="10.85546875" style="1259" customWidth="1"/>
    <col min="6146" max="6146" width="1.7109375" style="1259" customWidth="1"/>
    <col min="6147" max="6147" width="1.5703125" style="1259" bestFit="1" customWidth="1"/>
    <col min="6148" max="6148" width="1.7109375" style="1259" customWidth="1"/>
    <col min="6149" max="6150" width="2.7109375" style="1259" customWidth="1"/>
    <col min="6151" max="6151" width="2.140625" style="1259" customWidth="1"/>
    <col min="6152" max="6152" width="2.7109375" style="1259" customWidth="1"/>
    <col min="6153" max="6153" width="3.5703125" style="1259" customWidth="1"/>
    <col min="6154" max="6154" width="2.140625" style="1259" customWidth="1"/>
    <col min="6155" max="6155" width="4" style="1259" customWidth="1"/>
    <col min="6156" max="6156" width="1.7109375" style="1259" customWidth="1"/>
    <col min="6157" max="6157" width="2.7109375" style="1259" customWidth="1"/>
    <col min="6158" max="6158" width="2.28515625" style="1259" customWidth="1"/>
    <col min="6159" max="6159" width="3.140625" style="1259" customWidth="1"/>
    <col min="6160" max="6160" width="7" style="1259" customWidth="1"/>
    <col min="6161" max="6162" width="2.7109375" style="1259" customWidth="1"/>
    <col min="6163" max="6163" width="1.85546875" style="1259" customWidth="1"/>
    <col min="6164" max="6165" width="2.7109375" style="1259" customWidth="1"/>
    <col min="6166" max="6166" width="1.7109375" style="1259" customWidth="1"/>
    <col min="6167" max="6169" width="2.7109375" style="1259" customWidth="1"/>
    <col min="6170" max="6170" width="2.28515625" style="1259" customWidth="1"/>
    <col min="6171" max="6171" width="1.7109375" style="1259" customWidth="1"/>
    <col min="6172" max="6173" width="2.7109375" style="1259" customWidth="1"/>
    <col min="6174" max="6174" width="1.85546875" style="1259" customWidth="1"/>
    <col min="6175" max="6175" width="2.7109375" style="1259" customWidth="1"/>
    <col min="6176" max="6176" width="1.5703125" style="1259" customWidth="1"/>
    <col min="6177" max="6177" width="2.42578125" style="1259" customWidth="1"/>
    <col min="6178" max="6191" width="2.7109375" style="1259" customWidth="1"/>
    <col min="6192" max="6192" width="13.85546875" style="1259" bestFit="1" customWidth="1"/>
    <col min="6193" max="6193" width="8.7109375" style="1259" bestFit="1" customWidth="1"/>
    <col min="6194" max="6194" width="6.85546875" style="1259" bestFit="1" customWidth="1"/>
    <col min="6195" max="6195" width="9.5703125" style="1259" bestFit="1" customWidth="1"/>
    <col min="6196" max="6196" width="10.7109375" style="1259" bestFit="1" customWidth="1"/>
    <col min="6197" max="6400" width="9.140625" style="1259"/>
    <col min="6401" max="6401" width="10.85546875" style="1259" customWidth="1"/>
    <col min="6402" max="6402" width="1.7109375" style="1259" customWidth="1"/>
    <col min="6403" max="6403" width="1.5703125" style="1259" bestFit="1" customWidth="1"/>
    <col min="6404" max="6404" width="1.7109375" style="1259" customWidth="1"/>
    <col min="6405" max="6406" width="2.7109375" style="1259" customWidth="1"/>
    <col min="6407" max="6407" width="2.140625" style="1259" customWidth="1"/>
    <col min="6408" max="6408" width="2.7109375" style="1259" customWidth="1"/>
    <col min="6409" max="6409" width="3.5703125" style="1259" customWidth="1"/>
    <col min="6410" max="6410" width="2.140625" style="1259" customWidth="1"/>
    <col min="6411" max="6411" width="4" style="1259" customWidth="1"/>
    <col min="6412" max="6412" width="1.7109375" style="1259" customWidth="1"/>
    <col min="6413" max="6413" width="2.7109375" style="1259" customWidth="1"/>
    <col min="6414" max="6414" width="2.28515625" style="1259" customWidth="1"/>
    <col min="6415" max="6415" width="3.140625" style="1259" customWidth="1"/>
    <col min="6416" max="6416" width="7" style="1259" customWidth="1"/>
    <col min="6417" max="6418" width="2.7109375" style="1259" customWidth="1"/>
    <col min="6419" max="6419" width="1.85546875" style="1259" customWidth="1"/>
    <col min="6420" max="6421" width="2.7109375" style="1259" customWidth="1"/>
    <col min="6422" max="6422" width="1.7109375" style="1259" customWidth="1"/>
    <col min="6423" max="6425" width="2.7109375" style="1259" customWidth="1"/>
    <col min="6426" max="6426" width="2.28515625" style="1259" customWidth="1"/>
    <col min="6427" max="6427" width="1.7109375" style="1259" customWidth="1"/>
    <col min="6428" max="6429" width="2.7109375" style="1259" customWidth="1"/>
    <col min="6430" max="6430" width="1.85546875" style="1259" customWidth="1"/>
    <col min="6431" max="6431" width="2.7109375" style="1259" customWidth="1"/>
    <col min="6432" max="6432" width="1.5703125" style="1259" customWidth="1"/>
    <col min="6433" max="6433" width="2.42578125" style="1259" customWidth="1"/>
    <col min="6434" max="6447" width="2.7109375" style="1259" customWidth="1"/>
    <col min="6448" max="6448" width="13.85546875" style="1259" bestFit="1" customWidth="1"/>
    <col min="6449" max="6449" width="8.7109375" style="1259" bestFit="1" customWidth="1"/>
    <col min="6450" max="6450" width="6.85546875" style="1259" bestFit="1" customWidth="1"/>
    <col min="6451" max="6451" width="9.5703125" style="1259" bestFit="1" customWidth="1"/>
    <col min="6452" max="6452" width="10.7109375" style="1259" bestFit="1" customWidth="1"/>
    <col min="6453" max="6656" width="9.140625" style="1259"/>
    <col min="6657" max="6657" width="10.85546875" style="1259" customWidth="1"/>
    <col min="6658" max="6658" width="1.7109375" style="1259" customWidth="1"/>
    <col min="6659" max="6659" width="1.5703125" style="1259" bestFit="1" customWidth="1"/>
    <col min="6660" max="6660" width="1.7109375" style="1259" customWidth="1"/>
    <col min="6661" max="6662" width="2.7109375" style="1259" customWidth="1"/>
    <col min="6663" max="6663" width="2.140625" style="1259" customWidth="1"/>
    <col min="6664" max="6664" width="2.7109375" style="1259" customWidth="1"/>
    <col min="6665" max="6665" width="3.5703125" style="1259" customWidth="1"/>
    <col min="6666" max="6666" width="2.140625" style="1259" customWidth="1"/>
    <col min="6667" max="6667" width="4" style="1259" customWidth="1"/>
    <col min="6668" max="6668" width="1.7109375" style="1259" customWidth="1"/>
    <col min="6669" max="6669" width="2.7109375" style="1259" customWidth="1"/>
    <col min="6670" max="6670" width="2.28515625" style="1259" customWidth="1"/>
    <col min="6671" max="6671" width="3.140625" style="1259" customWidth="1"/>
    <col min="6672" max="6672" width="7" style="1259" customWidth="1"/>
    <col min="6673" max="6674" width="2.7109375" style="1259" customWidth="1"/>
    <col min="6675" max="6675" width="1.85546875" style="1259" customWidth="1"/>
    <col min="6676" max="6677" width="2.7109375" style="1259" customWidth="1"/>
    <col min="6678" max="6678" width="1.7109375" style="1259" customWidth="1"/>
    <col min="6679" max="6681" width="2.7109375" style="1259" customWidth="1"/>
    <col min="6682" max="6682" width="2.28515625" style="1259" customWidth="1"/>
    <col min="6683" max="6683" width="1.7109375" style="1259" customWidth="1"/>
    <col min="6684" max="6685" width="2.7109375" style="1259" customWidth="1"/>
    <col min="6686" max="6686" width="1.85546875" style="1259" customWidth="1"/>
    <col min="6687" max="6687" width="2.7109375" style="1259" customWidth="1"/>
    <col min="6688" max="6688" width="1.5703125" style="1259" customWidth="1"/>
    <col min="6689" max="6689" width="2.42578125" style="1259" customWidth="1"/>
    <col min="6690" max="6703" width="2.7109375" style="1259" customWidth="1"/>
    <col min="6704" max="6704" width="13.85546875" style="1259" bestFit="1" customWidth="1"/>
    <col min="6705" max="6705" width="8.7109375" style="1259" bestFit="1" customWidth="1"/>
    <col min="6706" max="6706" width="6.85546875" style="1259" bestFit="1" customWidth="1"/>
    <col min="6707" max="6707" width="9.5703125" style="1259" bestFit="1" customWidth="1"/>
    <col min="6708" max="6708" width="10.7109375" style="1259" bestFit="1" customWidth="1"/>
    <col min="6709" max="6912" width="9.140625" style="1259"/>
    <col min="6913" max="6913" width="10.85546875" style="1259" customWidth="1"/>
    <col min="6914" max="6914" width="1.7109375" style="1259" customWidth="1"/>
    <col min="6915" max="6915" width="1.5703125" style="1259" bestFit="1" customWidth="1"/>
    <col min="6916" max="6916" width="1.7109375" style="1259" customWidth="1"/>
    <col min="6917" max="6918" width="2.7109375" style="1259" customWidth="1"/>
    <col min="6919" max="6919" width="2.140625" style="1259" customWidth="1"/>
    <col min="6920" max="6920" width="2.7109375" style="1259" customWidth="1"/>
    <col min="6921" max="6921" width="3.5703125" style="1259" customWidth="1"/>
    <col min="6922" max="6922" width="2.140625" style="1259" customWidth="1"/>
    <col min="6923" max="6923" width="4" style="1259" customWidth="1"/>
    <col min="6924" max="6924" width="1.7109375" style="1259" customWidth="1"/>
    <col min="6925" max="6925" width="2.7109375" style="1259" customWidth="1"/>
    <col min="6926" max="6926" width="2.28515625" style="1259" customWidth="1"/>
    <col min="6927" max="6927" width="3.140625" style="1259" customWidth="1"/>
    <col min="6928" max="6928" width="7" style="1259" customWidth="1"/>
    <col min="6929" max="6930" width="2.7109375" style="1259" customWidth="1"/>
    <col min="6931" max="6931" width="1.85546875" style="1259" customWidth="1"/>
    <col min="6932" max="6933" width="2.7109375" style="1259" customWidth="1"/>
    <col min="6934" max="6934" width="1.7109375" style="1259" customWidth="1"/>
    <col min="6935" max="6937" width="2.7109375" style="1259" customWidth="1"/>
    <col min="6938" max="6938" width="2.28515625" style="1259" customWidth="1"/>
    <col min="6939" max="6939" width="1.7109375" style="1259" customWidth="1"/>
    <col min="6940" max="6941" width="2.7109375" style="1259" customWidth="1"/>
    <col min="6942" max="6942" width="1.85546875" style="1259" customWidth="1"/>
    <col min="6943" max="6943" width="2.7109375" style="1259" customWidth="1"/>
    <col min="6944" max="6944" width="1.5703125" style="1259" customWidth="1"/>
    <col min="6945" max="6945" width="2.42578125" style="1259" customWidth="1"/>
    <col min="6946" max="6959" width="2.7109375" style="1259" customWidth="1"/>
    <col min="6960" max="6960" width="13.85546875" style="1259" bestFit="1" customWidth="1"/>
    <col min="6961" max="6961" width="8.7109375" style="1259" bestFit="1" customWidth="1"/>
    <col min="6962" max="6962" width="6.85546875" style="1259" bestFit="1" customWidth="1"/>
    <col min="6963" max="6963" width="9.5703125" style="1259" bestFit="1" customWidth="1"/>
    <col min="6964" max="6964" width="10.7109375" style="1259" bestFit="1" customWidth="1"/>
    <col min="6965" max="7168" width="9.140625" style="1259"/>
    <col min="7169" max="7169" width="10.85546875" style="1259" customWidth="1"/>
    <col min="7170" max="7170" width="1.7109375" style="1259" customWidth="1"/>
    <col min="7171" max="7171" width="1.5703125" style="1259" bestFit="1" customWidth="1"/>
    <col min="7172" max="7172" width="1.7109375" style="1259" customWidth="1"/>
    <col min="7173" max="7174" width="2.7109375" style="1259" customWidth="1"/>
    <col min="7175" max="7175" width="2.140625" style="1259" customWidth="1"/>
    <col min="7176" max="7176" width="2.7109375" style="1259" customWidth="1"/>
    <col min="7177" max="7177" width="3.5703125" style="1259" customWidth="1"/>
    <col min="7178" max="7178" width="2.140625" style="1259" customWidth="1"/>
    <col min="7179" max="7179" width="4" style="1259" customWidth="1"/>
    <col min="7180" max="7180" width="1.7109375" style="1259" customWidth="1"/>
    <col min="7181" max="7181" width="2.7109375" style="1259" customWidth="1"/>
    <col min="7182" max="7182" width="2.28515625" style="1259" customWidth="1"/>
    <col min="7183" max="7183" width="3.140625" style="1259" customWidth="1"/>
    <col min="7184" max="7184" width="7" style="1259" customWidth="1"/>
    <col min="7185" max="7186" width="2.7109375" style="1259" customWidth="1"/>
    <col min="7187" max="7187" width="1.85546875" style="1259" customWidth="1"/>
    <col min="7188" max="7189" width="2.7109375" style="1259" customWidth="1"/>
    <col min="7190" max="7190" width="1.7109375" style="1259" customWidth="1"/>
    <col min="7191" max="7193" width="2.7109375" style="1259" customWidth="1"/>
    <col min="7194" max="7194" width="2.28515625" style="1259" customWidth="1"/>
    <col min="7195" max="7195" width="1.7109375" style="1259" customWidth="1"/>
    <col min="7196" max="7197" width="2.7109375" style="1259" customWidth="1"/>
    <col min="7198" max="7198" width="1.85546875" style="1259" customWidth="1"/>
    <col min="7199" max="7199" width="2.7109375" style="1259" customWidth="1"/>
    <col min="7200" max="7200" width="1.5703125" style="1259" customWidth="1"/>
    <col min="7201" max="7201" width="2.42578125" style="1259" customWidth="1"/>
    <col min="7202" max="7215" width="2.7109375" style="1259" customWidth="1"/>
    <col min="7216" max="7216" width="13.85546875" style="1259" bestFit="1" customWidth="1"/>
    <col min="7217" max="7217" width="8.7109375" style="1259" bestFit="1" customWidth="1"/>
    <col min="7218" max="7218" width="6.85546875" style="1259" bestFit="1" customWidth="1"/>
    <col min="7219" max="7219" width="9.5703125" style="1259" bestFit="1" customWidth="1"/>
    <col min="7220" max="7220" width="10.7109375" style="1259" bestFit="1" customWidth="1"/>
    <col min="7221" max="7424" width="9.140625" style="1259"/>
    <col min="7425" max="7425" width="10.85546875" style="1259" customWidth="1"/>
    <col min="7426" max="7426" width="1.7109375" style="1259" customWidth="1"/>
    <col min="7427" max="7427" width="1.5703125" style="1259" bestFit="1" customWidth="1"/>
    <col min="7428" max="7428" width="1.7109375" style="1259" customWidth="1"/>
    <col min="7429" max="7430" width="2.7109375" style="1259" customWidth="1"/>
    <col min="7431" max="7431" width="2.140625" style="1259" customWidth="1"/>
    <col min="7432" max="7432" width="2.7109375" style="1259" customWidth="1"/>
    <col min="7433" max="7433" width="3.5703125" style="1259" customWidth="1"/>
    <col min="7434" max="7434" width="2.140625" style="1259" customWidth="1"/>
    <col min="7435" max="7435" width="4" style="1259" customWidth="1"/>
    <col min="7436" max="7436" width="1.7109375" style="1259" customWidth="1"/>
    <col min="7437" max="7437" width="2.7109375" style="1259" customWidth="1"/>
    <col min="7438" max="7438" width="2.28515625" style="1259" customWidth="1"/>
    <col min="7439" max="7439" width="3.140625" style="1259" customWidth="1"/>
    <col min="7440" max="7440" width="7" style="1259" customWidth="1"/>
    <col min="7441" max="7442" width="2.7109375" style="1259" customWidth="1"/>
    <col min="7443" max="7443" width="1.85546875" style="1259" customWidth="1"/>
    <col min="7444" max="7445" width="2.7109375" style="1259" customWidth="1"/>
    <col min="7446" max="7446" width="1.7109375" style="1259" customWidth="1"/>
    <col min="7447" max="7449" width="2.7109375" style="1259" customWidth="1"/>
    <col min="7450" max="7450" width="2.28515625" style="1259" customWidth="1"/>
    <col min="7451" max="7451" width="1.7109375" style="1259" customWidth="1"/>
    <col min="7452" max="7453" width="2.7109375" style="1259" customWidth="1"/>
    <col min="7454" max="7454" width="1.85546875" style="1259" customWidth="1"/>
    <col min="7455" max="7455" width="2.7109375" style="1259" customWidth="1"/>
    <col min="7456" max="7456" width="1.5703125" style="1259" customWidth="1"/>
    <col min="7457" max="7457" width="2.42578125" style="1259" customWidth="1"/>
    <col min="7458" max="7471" width="2.7109375" style="1259" customWidth="1"/>
    <col min="7472" max="7472" width="13.85546875" style="1259" bestFit="1" customWidth="1"/>
    <col min="7473" max="7473" width="8.7109375" style="1259" bestFit="1" customWidth="1"/>
    <col min="7474" max="7474" width="6.85546875" style="1259" bestFit="1" customWidth="1"/>
    <col min="7475" max="7475" width="9.5703125" style="1259" bestFit="1" customWidth="1"/>
    <col min="7476" max="7476" width="10.7109375" style="1259" bestFit="1" customWidth="1"/>
    <col min="7477" max="7680" width="9.140625" style="1259"/>
    <col min="7681" max="7681" width="10.85546875" style="1259" customWidth="1"/>
    <col min="7682" max="7682" width="1.7109375" style="1259" customWidth="1"/>
    <col min="7683" max="7683" width="1.5703125" style="1259" bestFit="1" customWidth="1"/>
    <col min="7684" max="7684" width="1.7109375" style="1259" customWidth="1"/>
    <col min="7685" max="7686" width="2.7109375" style="1259" customWidth="1"/>
    <col min="7687" max="7687" width="2.140625" style="1259" customWidth="1"/>
    <col min="7688" max="7688" width="2.7109375" style="1259" customWidth="1"/>
    <col min="7689" max="7689" width="3.5703125" style="1259" customWidth="1"/>
    <col min="7690" max="7690" width="2.140625" style="1259" customWidth="1"/>
    <col min="7691" max="7691" width="4" style="1259" customWidth="1"/>
    <col min="7692" max="7692" width="1.7109375" style="1259" customWidth="1"/>
    <col min="7693" max="7693" width="2.7109375" style="1259" customWidth="1"/>
    <col min="7694" max="7694" width="2.28515625" style="1259" customWidth="1"/>
    <col min="7695" max="7695" width="3.140625" style="1259" customWidth="1"/>
    <col min="7696" max="7696" width="7" style="1259" customWidth="1"/>
    <col min="7697" max="7698" width="2.7109375" style="1259" customWidth="1"/>
    <col min="7699" max="7699" width="1.85546875" style="1259" customWidth="1"/>
    <col min="7700" max="7701" width="2.7109375" style="1259" customWidth="1"/>
    <col min="7702" max="7702" width="1.7109375" style="1259" customWidth="1"/>
    <col min="7703" max="7705" width="2.7109375" style="1259" customWidth="1"/>
    <col min="7706" max="7706" width="2.28515625" style="1259" customWidth="1"/>
    <col min="7707" max="7707" width="1.7109375" style="1259" customWidth="1"/>
    <col min="7708" max="7709" width="2.7109375" style="1259" customWidth="1"/>
    <col min="7710" max="7710" width="1.85546875" style="1259" customWidth="1"/>
    <col min="7711" max="7711" width="2.7109375" style="1259" customWidth="1"/>
    <col min="7712" max="7712" width="1.5703125" style="1259" customWidth="1"/>
    <col min="7713" max="7713" width="2.42578125" style="1259" customWidth="1"/>
    <col min="7714" max="7727" width="2.7109375" style="1259" customWidth="1"/>
    <col min="7728" max="7728" width="13.85546875" style="1259" bestFit="1" customWidth="1"/>
    <col min="7729" max="7729" width="8.7109375" style="1259" bestFit="1" customWidth="1"/>
    <col min="7730" max="7730" width="6.85546875" style="1259" bestFit="1" customWidth="1"/>
    <col min="7731" max="7731" width="9.5703125" style="1259" bestFit="1" customWidth="1"/>
    <col min="7732" max="7732" width="10.7109375" style="1259" bestFit="1" customWidth="1"/>
    <col min="7733" max="7936" width="9.140625" style="1259"/>
    <col min="7937" max="7937" width="10.85546875" style="1259" customWidth="1"/>
    <col min="7938" max="7938" width="1.7109375" style="1259" customWidth="1"/>
    <col min="7939" max="7939" width="1.5703125" style="1259" bestFit="1" customWidth="1"/>
    <col min="7940" max="7940" width="1.7109375" style="1259" customWidth="1"/>
    <col min="7941" max="7942" width="2.7109375" style="1259" customWidth="1"/>
    <col min="7943" max="7943" width="2.140625" style="1259" customWidth="1"/>
    <col min="7944" max="7944" width="2.7109375" style="1259" customWidth="1"/>
    <col min="7945" max="7945" width="3.5703125" style="1259" customWidth="1"/>
    <col min="7946" max="7946" width="2.140625" style="1259" customWidth="1"/>
    <col min="7947" max="7947" width="4" style="1259" customWidth="1"/>
    <col min="7948" max="7948" width="1.7109375" style="1259" customWidth="1"/>
    <col min="7949" max="7949" width="2.7109375" style="1259" customWidth="1"/>
    <col min="7950" max="7950" width="2.28515625" style="1259" customWidth="1"/>
    <col min="7951" max="7951" width="3.140625" style="1259" customWidth="1"/>
    <col min="7952" max="7952" width="7" style="1259" customWidth="1"/>
    <col min="7953" max="7954" width="2.7109375" style="1259" customWidth="1"/>
    <col min="7955" max="7955" width="1.85546875" style="1259" customWidth="1"/>
    <col min="7956" max="7957" width="2.7109375" style="1259" customWidth="1"/>
    <col min="7958" max="7958" width="1.7109375" style="1259" customWidth="1"/>
    <col min="7959" max="7961" width="2.7109375" style="1259" customWidth="1"/>
    <col min="7962" max="7962" width="2.28515625" style="1259" customWidth="1"/>
    <col min="7963" max="7963" width="1.7109375" style="1259" customWidth="1"/>
    <col min="7964" max="7965" width="2.7109375" style="1259" customWidth="1"/>
    <col min="7966" max="7966" width="1.85546875" style="1259" customWidth="1"/>
    <col min="7967" max="7967" width="2.7109375" style="1259" customWidth="1"/>
    <col min="7968" max="7968" width="1.5703125" style="1259" customWidth="1"/>
    <col min="7969" max="7969" width="2.42578125" style="1259" customWidth="1"/>
    <col min="7970" max="7983" width="2.7109375" style="1259" customWidth="1"/>
    <col min="7984" max="7984" width="13.85546875" style="1259" bestFit="1" customWidth="1"/>
    <col min="7985" max="7985" width="8.7109375" style="1259" bestFit="1" customWidth="1"/>
    <col min="7986" max="7986" width="6.85546875" style="1259" bestFit="1" customWidth="1"/>
    <col min="7987" max="7987" width="9.5703125" style="1259" bestFit="1" customWidth="1"/>
    <col min="7988" max="7988" width="10.7109375" style="1259" bestFit="1" customWidth="1"/>
    <col min="7989" max="8192" width="9.140625" style="1259"/>
    <col min="8193" max="8193" width="10.85546875" style="1259" customWidth="1"/>
    <col min="8194" max="8194" width="1.7109375" style="1259" customWidth="1"/>
    <col min="8195" max="8195" width="1.5703125" style="1259" bestFit="1" customWidth="1"/>
    <col min="8196" max="8196" width="1.7109375" style="1259" customWidth="1"/>
    <col min="8197" max="8198" width="2.7109375" style="1259" customWidth="1"/>
    <col min="8199" max="8199" width="2.140625" style="1259" customWidth="1"/>
    <col min="8200" max="8200" width="2.7109375" style="1259" customWidth="1"/>
    <col min="8201" max="8201" width="3.5703125" style="1259" customWidth="1"/>
    <col min="8202" max="8202" width="2.140625" style="1259" customWidth="1"/>
    <col min="8203" max="8203" width="4" style="1259" customWidth="1"/>
    <col min="8204" max="8204" width="1.7109375" style="1259" customWidth="1"/>
    <col min="8205" max="8205" width="2.7109375" style="1259" customWidth="1"/>
    <col min="8206" max="8206" width="2.28515625" style="1259" customWidth="1"/>
    <col min="8207" max="8207" width="3.140625" style="1259" customWidth="1"/>
    <col min="8208" max="8208" width="7" style="1259" customWidth="1"/>
    <col min="8209" max="8210" width="2.7109375" style="1259" customWidth="1"/>
    <col min="8211" max="8211" width="1.85546875" style="1259" customWidth="1"/>
    <col min="8212" max="8213" width="2.7109375" style="1259" customWidth="1"/>
    <col min="8214" max="8214" width="1.7109375" style="1259" customWidth="1"/>
    <col min="8215" max="8217" width="2.7109375" style="1259" customWidth="1"/>
    <col min="8218" max="8218" width="2.28515625" style="1259" customWidth="1"/>
    <col min="8219" max="8219" width="1.7109375" style="1259" customWidth="1"/>
    <col min="8220" max="8221" width="2.7109375" style="1259" customWidth="1"/>
    <col min="8222" max="8222" width="1.85546875" style="1259" customWidth="1"/>
    <col min="8223" max="8223" width="2.7109375" style="1259" customWidth="1"/>
    <col min="8224" max="8224" width="1.5703125" style="1259" customWidth="1"/>
    <col min="8225" max="8225" width="2.42578125" style="1259" customWidth="1"/>
    <col min="8226" max="8239" width="2.7109375" style="1259" customWidth="1"/>
    <col min="8240" max="8240" width="13.85546875" style="1259" bestFit="1" customWidth="1"/>
    <col min="8241" max="8241" width="8.7109375" style="1259" bestFit="1" customWidth="1"/>
    <col min="8242" max="8242" width="6.85546875" style="1259" bestFit="1" customWidth="1"/>
    <col min="8243" max="8243" width="9.5703125" style="1259" bestFit="1" customWidth="1"/>
    <col min="8244" max="8244" width="10.7109375" style="1259" bestFit="1" customWidth="1"/>
    <col min="8245" max="8448" width="9.140625" style="1259"/>
    <col min="8449" max="8449" width="10.85546875" style="1259" customWidth="1"/>
    <col min="8450" max="8450" width="1.7109375" style="1259" customWidth="1"/>
    <col min="8451" max="8451" width="1.5703125" style="1259" bestFit="1" customWidth="1"/>
    <col min="8452" max="8452" width="1.7109375" style="1259" customWidth="1"/>
    <col min="8453" max="8454" width="2.7109375" style="1259" customWidth="1"/>
    <col min="8455" max="8455" width="2.140625" style="1259" customWidth="1"/>
    <col min="8456" max="8456" width="2.7109375" style="1259" customWidth="1"/>
    <col min="8457" max="8457" width="3.5703125" style="1259" customWidth="1"/>
    <col min="8458" max="8458" width="2.140625" style="1259" customWidth="1"/>
    <col min="8459" max="8459" width="4" style="1259" customWidth="1"/>
    <col min="8460" max="8460" width="1.7109375" style="1259" customWidth="1"/>
    <col min="8461" max="8461" width="2.7109375" style="1259" customWidth="1"/>
    <col min="8462" max="8462" width="2.28515625" style="1259" customWidth="1"/>
    <col min="8463" max="8463" width="3.140625" style="1259" customWidth="1"/>
    <col min="8464" max="8464" width="7" style="1259" customWidth="1"/>
    <col min="8465" max="8466" width="2.7109375" style="1259" customWidth="1"/>
    <col min="8467" max="8467" width="1.85546875" style="1259" customWidth="1"/>
    <col min="8468" max="8469" width="2.7109375" style="1259" customWidth="1"/>
    <col min="8470" max="8470" width="1.7109375" style="1259" customWidth="1"/>
    <col min="8471" max="8473" width="2.7109375" style="1259" customWidth="1"/>
    <col min="8474" max="8474" width="2.28515625" style="1259" customWidth="1"/>
    <col min="8475" max="8475" width="1.7109375" style="1259" customWidth="1"/>
    <col min="8476" max="8477" width="2.7109375" style="1259" customWidth="1"/>
    <col min="8478" max="8478" width="1.85546875" style="1259" customWidth="1"/>
    <col min="8479" max="8479" width="2.7109375" style="1259" customWidth="1"/>
    <col min="8480" max="8480" width="1.5703125" style="1259" customWidth="1"/>
    <col min="8481" max="8481" width="2.42578125" style="1259" customWidth="1"/>
    <col min="8482" max="8495" width="2.7109375" style="1259" customWidth="1"/>
    <col min="8496" max="8496" width="13.85546875" style="1259" bestFit="1" customWidth="1"/>
    <col min="8497" max="8497" width="8.7109375" style="1259" bestFit="1" customWidth="1"/>
    <col min="8498" max="8498" width="6.85546875" style="1259" bestFit="1" customWidth="1"/>
    <col min="8499" max="8499" width="9.5703125" style="1259" bestFit="1" customWidth="1"/>
    <col min="8500" max="8500" width="10.7109375" style="1259" bestFit="1" customWidth="1"/>
    <col min="8501" max="8704" width="9.140625" style="1259"/>
    <col min="8705" max="8705" width="10.85546875" style="1259" customWidth="1"/>
    <col min="8706" max="8706" width="1.7109375" style="1259" customWidth="1"/>
    <col min="8707" max="8707" width="1.5703125" style="1259" bestFit="1" customWidth="1"/>
    <col min="8708" max="8708" width="1.7109375" style="1259" customWidth="1"/>
    <col min="8709" max="8710" width="2.7109375" style="1259" customWidth="1"/>
    <col min="8711" max="8711" width="2.140625" style="1259" customWidth="1"/>
    <col min="8712" max="8712" width="2.7109375" style="1259" customWidth="1"/>
    <col min="8713" max="8713" width="3.5703125" style="1259" customWidth="1"/>
    <col min="8714" max="8714" width="2.140625" style="1259" customWidth="1"/>
    <col min="8715" max="8715" width="4" style="1259" customWidth="1"/>
    <col min="8716" max="8716" width="1.7109375" style="1259" customWidth="1"/>
    <col min="8717" max="8717" width="2.7109375" style="1259" customWidth="1"/>
    <col min="8718" max="8718" width="2.28515625" style="1259" customWidth="1"/>
    <col min="8719" max="8719" width="3.140625" style="1259" customWidth="1"/>
    <col min="8720" max="8720" width="7" style="1259" customWidth="1"/>
    <col min="8721" max="8722" width="2.7109375" style="1259" customWidth="1"/>
    <col min="8723" max="8723" width="1.85546875" style="1259" customWidth="1"/>
    <col min="8724" max="8725" width="2.7109375" style="1259" customWidth="1"/>
    <col min="8726" max="8726" width="1.7109375" style="1259" customWidth="1"/>
    <col min="8727" max="8729" width="2.7109375" style="1259" customWidth="1"/>
    <col min="8730" max="8730" width="2.28515625" style="1259" customWidth="1"/>
    <col min="8731" max="8731" width="1.7109375" style="1259" customWidth="1"/>
    <col min="8732" max="8733" width="2.7109375" style="1259" customWidth="1"/>
    <col min="8734" max="8734" width="1.85546875" style="1259" customWidth="1"/>
    <col min="8735" max="8735" width="2.7109375" style="1259" customWidth="1"/>
    <col min="8736" max="8736" width="1.5703125" style="1259" customWidth="1"/>
    <col min="8737" max="8737" width="2.42578125" style="1259" customWidth="1"/>
    <col min="8738" max="8751" width="2.7109375" style="1259" customWidth="1"/>
    <col min="8752" max="8752" width="13.85546875" style="1259" bestFit="1" customWidth="1"/>
    <col min="8753" max="8753" width="8.7109375" style="1259" bestFit="1" customWidth="1"/>
    <col min="8754" max="8754" width="6.85546875" style="1259" bestFit="1" customWidth="1"/>
    <col min="8755" max="8755" width="9.5703125" style="1259" bestFit="1" customWidth="1"/>
    <col min="8756" max="8756" width="10.7109375" style="1259" bestFit="1" customWidth="1"/>
    <col min="8757" max="8960" width="9.140625" style="1259"/>
    <col min="8961" max="8961" width="10.85546875" style="1259" customWidth="1"/>
    <col min="8962" max="8962" width="1.7109375" style="1259" customWidth="1"/>
    <col min="8963" max="8963" width="1.5703125" style="1259" bestFit="1" customWidth="1"/>
    <col min="8964" max="8964" width="1.7109375" style="1259" customWidth="1"/>
    <col min="8965" max="8966" width="2.7109375" style="1259" customWidth="1"/>
    <col min="8967" max="8967" width="2.140625" style="1259" customWidth="1"/>
    <col min="8968" max="8968" width="2.7109375" style="1259" customWidth="1"/>
    <col min="8969" max="8969" width="3.5703125" style="1259" customWidth="1"/>
    <col min="8970" max="8970" width="2.140625" style="1259" customWidth="1"/>
    <col min="8971" max="8971" width="4" style="1259" customWidth="1"/>
    <col min="8972" max="8972" width="1.7109375" style="1259" customWidth="1"/>
    <col min="8973" max="8973" width="2.7109375" style="1259" customWidth="1"/>
    <col min="8974" max="8974" width="2.28515625" style="1259" customWidth="1"/>
    <col min="8975" max="8975" width="3.140625" style="1259" customWidth="1"/>
    <col min="8976" max="8976" width="7" style="1259" customWidth="1"/>
    <col min="8977" max="8978" width="2.7109375" style="1259" customWidth="1"/>
    <col min="8979" max="8979" width="1.85546875" style="1259" customWidth="1"/>
    <col min="8980" max="8981" width="2.7109375" style="1259" customWidth="1"/>
    <col min="8982" max="8982" width="1.7109375" style="1259" customWidth="1"/>
    <col min="8983" max="8985" width="2.7109375" style="1259" customWidth="1"/>
    <col min="8986" max="8986" width="2.28515625" style="1259" customWidth="1"/>
    <col min="8987" max="8987" width="1.7109375" style="1259" customWidth="1"/>
    <col min="8988" max="8989" width="2.7109375" style="1259" customWidth="1"/>
    <col min="8990" max="8990" width="1.85546875" style="1259" customWidth="1"/>
    <col min="8991" max="8991" width="2.7109375" style="1259" customWidth="1"/>
    <col min="8992" max="8992" width="1.5703125" style="1259" customWidth="1"/>
    <col min="8993" max="8993" width="2.42578125" style="1259" customWidth="1"/>
    <col min="8994" max="9007" width="2.7109375" style="1259" customWidth="1"/>
    <col min="9008" max="9008" width="13.85546875" style="1259" bestFit="1" customWidth="1"/>
    <col min="9009" max="9009" width="8.7109375" style="1259" bestFit="1" customWidth="1"/>
    <col min="9010" max="9010" width="6.85546875" style="1259" bestFit="1" customWidth="1"/>
    <col min="9011" max="9011" width="9.5703125" style="1259" bestFit="1" customWidth="1"/>
    <col min="9012" max="9012" width="10.7109375" style="1259" bestFit="1" customWidth="1"/>
    <col min="9013" max="9216" width="9.140625" style="1259"/>
    <col min="9217" max="9217" width="10.85546875" style="1259" customWidth="1"/>
    <col min="9218" max="9218" width="1.7109375" style="1259" customWidth="1"/>
    <col min="9219" max="9219" width="1.5703125" style="1259" bestFit="1" customWidth="1"/>
    <col min="9220" max="9220" width="1.7109375" style="1259" customWidth="1"/>
    <col min="9221" max="9222" width="2.7109375" style="1259" customWidth="1"/>
    <col min="9223" max="9223" width="2.140625" style="1259" customWidth="1"/>
    <col min="9224" max="9224" width="2.7109375" style="1259" customWidth="1"/>
    <col min="9225" max="9225" width="3.5703125" style="1259" customWidth="1"/>
    <col min="9226" max="9226" width="2.140625" style="1259" customWidth="1"/>
    <col min="9227" max="9227" width="4" style="1259" customWidth="1"/>
    <col min="9228" max="9228" width="1.7109375" style="1259" customWidth="1"/>
    <col min="9229" max="9229" width="2.7109375" style="1259" customWidth="1"/>
    <col min="9230" max="9230" width="2.28515625" style="1259" customWidth="1"/>
    <col min="9231" max="9231" width="3.140625" style="1259" customWidth="1"/>
    <col min="9232" max="9232" width="7" style="1259" customWidth="1"/>
    <col min="9233" max="9234" width="2.7109375" style="1259" customWidth="1"/>
    <col min="9235" max="9235" width="1.85546875" style="1259" customWidth="1"/>
    <col min="9236" max="9237" width="2.7109375" style="1259" customWidth="1"/>
    <col min="9238" max="9238" width="1.7109375" style="1259" customWidth="1"/>
    <col min="9239" max="9241" width="2.7109375" style="1259" customWidth="1"/>
    <col min="9242" max="9242" width="2.28515625" style="1259" customWidth="1"/>
    <col min="9243" max="9243" width="1.7109375" style="1259" customWidth="1"/>
    <col min="9244" max="9245" width="2.7109375" style="1259" customWidth="1"/>
    <col min="9246" max="9246" width="1.85546875" style="1259" customWidth="1"/>
    <col min="9247" max="9247" width="2.7109375" style="1259" customWidth="1"/>
    <col min="9248" max="9248" width="1.5703125" style="1259" customWidth="1"/>
    <col min="9249" max="9249" width="2.42578125" style="1259" customWidth="1"/>
    <col min="9250" max="9263" width="2.7109375" style="1259" customWidth="1"/>
    <col min="9264" max="9264" width="13.85546875" style="1259" bestFit="1" customWidth="1"/>
    <col min="9265" max="9265" width="8.7109375" style="1259" bestFit="1" customWidth="1"/>
    <col min="9266" max="9266" width="6.85546875" style="1259" bestFit="1" customWidth="1"/>
    <col min="9267" max="9267" width="9.5703125" style="1259" bestFit="1" customWidth="1"/>
    <col min="9268" max="9268" width="10.7109375" style="1259" bestFit="1" customWidth="1"/>
    <col min="9269" max="9472" width="9.140625" style="1259"/>
    <col min="9473" max="9473" width="10.85546875" style="1259" customWidth="1"/>
    <col min="9474" max="9474" width="1.7109375" style="1259" customWidth="1"/>
    <col min="9475" max="9475" width="1.5703125" style="1259" bestFit="1" customWidth="1"/>
    <col min="9476" max="9476" width="1.7109375" style="1259" customWidth="1"/>
    <col min="9477" max="9478" width="2.7109375" style="1259" customWidth="1"/>
    <col min="9479" max="9479" width="2.140625" style="1259" customWidth="1"/>
    <col min="9480" max="9480" width="2.7109375" style="1259" customWidth="1"/>
    <col min="9481" max="9481" width="3.5703125" style="1259" customWidth="1"/>
    <col min="9482" max="9482" width="2.140625" style="1259" customWidth="1"/>
    <col min="9483" max="9483" width="4" style="1259" customWidth="1"/>
    <col min="9484" max="9484" width="1.7109375" style="1259" customWidth="1"/>
    <col min="9485" max="9485" width="2.7109375" style="1259" customWidth="1"/>
    <col min="9486" max="9486" width="2.28515625" style="1259" customWidth="1"/>
    <col min="9487" max="9487" width="3.140625" style="1259" customWidth="1"/>
    <col min="9488" max="9488" width="7" style="1259" customWidth="1"/>
    <col min="9489" max="9490" width="2.7109375" style="1259" customWidth="1"/>
    <col min="9491" max="9491" width="1.85546875" style="1259" customWidth="1"/>
    <col min="9492" max="9493" width="2.7109375" style="1259" customWidth="1"/>
    <col min="9494" max="9494" width="1.7109375" style="1259" customWidth="1"/>
    <col min="9495" max="9497" width="2.7109375" style="1259" customWidth="1"/>
    <col min="9498" max="9498" width="2.28515625" style="1259" customWidth="1"/>
    <col min="9499" max="9499" width="1.7109375" style="1259" customWidth="1"/>
    <col min="9500" max="9501" width="2.7109375" style="1259" customWidth="1"/>
    <col min="9502" max="9502" width="1.85546875" style="1259" customWidth="1"/>
    <col min="9503" max="9503" width="2.7109375" style="1259" customWidth="1"/>
    <col min="9504" max="9504" width="1.5703125" style="1259" customWidth="1"/>
    <col min="9505" max="9505" width="2.42578125" style="1259" customWidth="1"/>
    <col min="9506" max="9519" width="2.7109375" style="1259" customWidth="1"/>
    <col min="9520" max="9520" width="13.85546875" style="1259" bestFit="1" customWidth="1"/>
    <col min="9521" max="9521" width="8.7109375" style="1259" bestFit="1" customWidth="1"/>
    <col min="9522" max="9522" width="6.85546875" style="1259" bestFit="1" customWidth="1"/>
    <col min="9523" max="9523" width="9.5703125" style="1259" bestFit="1" customWidth="1"/>
    <col min="9524" max="9524" width="10.7109375" style="1259" bestFit="1" customWidth="1"/>
    <col min="9525" max="9728" width="9.140625" style="1259"/>
    <col min="9729" max="9729" width="10.85546875" style="1259" customWidth="1"/>
    <col min="9730" max="9730" width="1.7109375" style="1259" customWidth="1"/>
    <col min="9731" max="9731" width="1.5703125" style="1259" bestFit="1" customWidth="1"/>
    <col min="9732" max="9732" width="1.7109375" style="1259" customWidth="1"/>
    <col min="9733" max="9734" width="2.7109375" style="1259" customWidth="1"/>
    <col min="9735" max="9735" width="2.140625" style="1259" customWidth="1"/>
    <col min="9736" max="9736" width="2.7109375" style="1259" customWidth="1"/>
    <col min="9737" max="9737" width="3.5703125" style="1259" customWidth="1"/>
    <col min="9738" max="9738" width="2.140625" style="1259" customWidth="1"/>
    <col min="9739" max="9739" width="4" style="1259" customWidth="1"/>
    <col min="9740" max="9740" width="1.7109375" style="1259" customWidth="1"/>
    <col min="9741" max="9741" width="2.7109375" style="1259" customWidth="1"/>
    <col min="9742" max="9742" width="2.28515625" style="1259" customWidth="1"/>
    <col min="9743" max="9743" width="3.140625" style="1259" customWidth="1"/>
    <col min="9744" max="9744" width="7" style="1259" customWidth="1"/>
    <col min="9745" max="9746" width="2.7109375" style="1259" customWidth="1"/>
    <col min="9747" max="9747" width="1.85546875" style="1259" customWidth="1"/>
    <col min="9748" max="9749" width="2.7109375" style="1259" customWidth="1"/>
    <col min="9750" max="9750" width="1.7109375" style="1259" customWidth="1"/>
    <col min="9751" max="9753" width="2.7109375" style="1259" customWidth="1"/>
    <col min="9754" max="9754" width="2.28515625" style="1259" customWidth="1"/>
    <col min="9755" max="9755" width="1.7109375" style="1259" customWidth="1"/>
    <col min="9756" max="9757" width="2.7109375" style="1259" customWidth="1"/>
    <col min="9758" max="9758" width="1.85546875" style="1259" customWidth="1"/>
    <col min="9759" max="9759" width="2.7109375" style="1259" customWidth="1"/>
    <col min="9760" max="9760" width="1.5703125" style="1259" customWidth="1"/>
    <col min="9761" max="9761" width="2.42578125" style="1259" customWidth="1"/>
    <col min="9762" max="9775" width="2.7109375" style="1259" customWidth="1"/>
    <col min="9776" max="9776" width="13.85546875" style="1259" bestFit="1" customWidth="1"/>
    <col min="9777" max="9777" width="8.7109375" style="1259" bestFit="1" customWidth="1"/>
    <col min="9778" max="9778" width="6.85546875" style="1259" bestFit="1" customWidth="1"/>
    <col min="9779" max="9779" width="9.5703125" style="1259" bestFit="1" customWidth="1"/>
    <col min="9780" max="9780" width="10.7109375" style="1259" bestFit="1" customWidth="1"/>
    <col min="9781" max="9984" width="9.140625" style="1259"/>
    <col min="9985" max="9985" width="10.85546875" style="1259" customWidth="1"/>
    <col min="9986" max="9986" width="1.7109375" style="1259" customWidth="1"/>
    <col min="9987" max="9987" width="1.5703125" style="1259" bestFit="1" customWidth="1"/>
    <col min="9988" max="9988" width="1.7109375" style="1259" customWidth="1"/>
    <col min="9989" max="9990" width="2.7109375" style="1259" customWidth="1"/>
    <col min="9991" max="9991" width="2.140625" style="1259" customWidth="1"/>
    <col min="9992" max="9992" width="2.7109375" style="1259" customWidth="1"/>
    <col min="9993" max="9993" width="3.5703125" style="1259" customWidth="1"/>
    <col min="9994" max="9994" width="2.140625" style="1259" customWidth="1"/>
    <col min="9995" max="9995" width="4" style="1259" customWidth="1"/>
    <col min="9996" max="9996" width="1.7109375" style="1259" customWidth="1"/>
    <col min="9997" max="9997" width="2.7109375" style="1259" customWidth="1"/>
    <col min="9998" max="9998" width="2.28515625" style="1259" customWidth="1"/>
    <col min="9999" max="9999" width="3.140625" style="1259" customWidth="1"/>
    <col min="10000" max="10000" width="7" style="1259" customWidth="1"/>
    <col min="10001" max="10002" width="2.7109375" style="1259" customWidth="1"/>
    <col min="10003" max="10003" width="1.85546875" style="1259" customWidth="1"/>
    <col min="10004" max="10005" width="2.7109375" style="1259" customWidth="1"/>
    <col min="10006" max="10006" width="1.7109375" style="1259" customWidth="1"/>
    <col min="10007" max="10009" width="2.7109375" style="1259" customWidth="1"/>
    <col min="10010" max="10010" width="2.28515625" style="1259" customWidth="1"/>
    <col min="10011" max="10011" width="1.7109375" style="1259" customWidth="1"/>
    <col min="10012" max="10013" width="2.7109375" style="1259" customWidth="1"/>
    <col min="10014" max="10014" width="1.85546875" style="1259" customWidth="1"/>
    <col min="10015" max="10015" width="2.7109375" style="1259" customWidth="1"/>
    <col min="10016" max="10016" width="1.5703125" style="1259" customWidth="1"/>
    <col min="10017" max="10017" width="2.42578125" style="1259" customWidth="1"/>
    <col min="10018" max="10031" width="2.7109375" style="1259" customWidth="1"/>
    <col min="10032" max="10032" width="13.85546875" style="1259" bestFit="1" customWidth="1"/>
    <col min="10033" max="10033" width="8.7109375" style="1259" bestFit="1" customWidth="1"/>
    <col min="10034" max="10034" width="6.85546875" style="1259" bestFit="1" customWidth="1"/>
    <col min="10035" max="10035" width="9.5703125" style="1259" bestFit="1" customWidth="1"/>
    <col min="10036" max="10036" width="10.7109375" style="1259" bestFit="1" customWidth="1"/>
    <col min="10037" max="10240" width="9.140625" style="1259"/>
    <col min="10241" max="10241" width="10.85546875" style="1259" customWidth="1"/>
    <col min="10242" max="10242" width="1.7109375" style="1259" customWidth="1"/>
    <col min="10243" max="10243" width="1.5703125" style="1259" bestFit="1" customWidth="1"/>
    <col min="10244" max="10244" width="1.7109375" style="1259" customWidth="1"/>
    <col min="10245" max="10246" width="2.7109375" style="1259" customWidth="1"/>
    <col min="10247" max="10247" width="2.140625" style="1259" customWidth="1"/>
    <col min="10248" max="10248" width="2.7109375" style="1259" customWidth="1"/>
    <col min="10249" max="10249" width="3.5703125" style="1259" customWidth="1"/>
    <col min="10250" max="10250" width="2.140625" style="1259" customWidth="1"/>
    <col min="10251" max="10251" width="4" style="1259" customWidth="1"/>
    <col min="10252" max="10252" width="1.7109375" style="1259" customWidth="1"/>
    <col min="10253" max="10253" width="2.7109375" style="1259" customWidth="1"/>
    <col min="10254" max="10254" width="2.28515625" style="1259" customWidth="1"/>
    <col min="10255" max="10255" width="3.140625" style="1259" customWidth="1"/>
    <col min="10256" max="10256" width="7" style="1259" customWidth="1"/>
    <col min="10257" max="10258" width="2.7109375" style="1259" customWidth="1"/>
    <col min="10259" max="10259" width="1.85546875" style="1259" customWidth="1"/>
    <col min="10260" max="10261" width="2.7109375" style="1259" customWidth="1"/>
    <col min="10262" max="10262" width="1.7109375" style="1259" customWidth="1"/>
    <col min="10263" max="10265" width="2.7109375" style="1259" customWidth="1"/>
    <col min="10266" max="10266" width="2.28515625" style="1259" customWidth="1"/>
    <col min="10267" max="10267" width="1.7109375" style="1259" customWidth="1"/>
    <col min="10268" max="10269" width="2.7109375" style="1259" customWidth="1"/>
    <col min="10270" max="10270" width="1.85546875" style="1259" customWidth="1"/>
    <col min="10271" max="10271" width="2.7109375" style="1259" customWidth="1"/>
    <col min="10272" max="10272" width="1.5703125" style="1259" customWidth="1"/>
    <col min="10273" max="10273" width="2.42578125" style="1259" customWidth="1"/>
    <col min="10274" max="10287" width="2.7109375" style="1259" customWidth="1"/>
    <col min="10288" max="10288" width="13.85546875" style="1259" bestFit="1" customWidth="1"/>
    <col min="10289" max="10289" width="8.7109375" style="1259" bestFit="1" customWidth="1"/>
    <col min="10290" max="10290" width="6.85546875" style="1259" bestFit="1" customWidth="1"/>
    <col min="10291" max="10291" width="9.5703125" style="1259" bestFit="1" customWidth="1"/>
    <col min="10292" max="10292" width="10.7109375" style="1259" bestFit="1" customWidth="1"/>
    <col min="10293" max="10496" width="9.140625" style="1259"/>
    <col min="10497" max="10497" width="10.85546875" style="1259" customWidth="1"/>
    <col min="10498" max="10498" width="1.7109375" style="1259" customWidth="1"/>
    <col min="10499" max="10499" width="1.5703125" style="1259" bestFit="1" customWidth="1"/>
    <col min="10500" max="10500" width="1.7109375" style="1259" customWidth="1"/>
    <col min="10501" max="10502" width="2.7109375" style="1259" customWidth="1"/>
    <col min="10503" max="10503" width="2.140625" style="1259" customWidth="1"/>
    <col min="10504" max="10504" width="2.7109375" style="1259" customWidth="1"/>
    <col min="10505" max="10505" width="3.5703125" style="1259" customWidth="1"/>
    <col min="10506" max="10506" width="2.140625" style="1259" customWidth="1"/>
    <col min="10507" max="10507" width="4" style="1259" customWidth="1"/>
    <col min="10508" max="10508" width="1.7109375" style="1259" customWidth="1"/>
    <col min="10509" max="10509" width="2.7109375" style="1259" customWidth="1"/>
    <col min="10510" max="10510" width="2.28515625" style="1259" customWidth="1"/>
    <col min="10511" max="10511" width="3.140625" style="1259" customWidth="1"/>
    <col min="10512" max="10512" width="7" style="1259" customWidth="1"/>
    <col min="10513" max="10514" width="2.7109375" style="1259" customWidth="1"/>
    <col min="10515" max="10515" width="1.85546875" style="1259" customWidth="1"/>
    <col min="10516" max="10517" width="2.7109375" style="1259" customWidth="1"/>
    <col min="10518" max="10518" width="1.7109375" style="1259" customWidth="1"/>
    <col min="10519" max="10521" width="2.7109375" style="1259" customWidth="1"/>
    <col min="10522" max="10522" width="2.28515625" style="1259" customWidth="1"/>
    <col min="10523" max="10523" width="1.7109375" style="1259" customWidth="1"/>
    <col min="10524" max="10525" width="2.7109375" style="1259" customWidth="1"/>
    <col min="10526" max="10526" width="1.85546875" style="1259" customWidth="1"/>
    <col min="10527" max="10527" width="2.7109375" style="1259" customWidth="1"/>
    <col min="10528" max="10528" width="1.5703125" style="1259" customWidth="1"/>
    <col min="10529" max="10529" width="2.42578125" style="1259" customWidth="1"/>
    <col min="10530" max="10543" width="2.7109375" style="1259" customWidth="1"/>
    <col min="10544" max="10544" width="13.85546875" style="1259" bestFit="1" customWidth="1"/>
    <col min="10545" max="10545" width="8.7109375" style="1259" bestFit="1" customWidth="1"/>
    <col min="10546" max="10546" width="6.85546875" style="1259" bestFit="1" customWidth="1"/>
    <col min="10547" max="10547" width="9.5703125" style="1259" bestFit="1" customWidth="1"/>
    <col min="10548" max="10548" width="10.7109375" style="1259" bestFit="1" customWidth="1"/>
    <col min="10549" max="10752" width="9.140625" style="1259"/>
    <col min="10753" max="10753" width="10.85546875" style="1259" customWidth="1"/>
    <col min="10754" max="10754" width="1.7109375" style="1259" customWidth="1"/>
    <col min="10755" max="10755" width="1.5703125" style="1259" bestFit="1" customWidth="1"/>
    <col min="10756" max="10756" width="1.7109375" style="1259" customWidth="1"/>
    <col min="10757" max="10758" width="2.7109375" style="1259" customWidth="1"/>
    <col min="10759" max="10759" width="2.140625" style="1259" customWidth="1"/>
    <col min="10760" max="10760" width="2.7109375" style="1259" customWidth="1"/>
    <col min="10761" max="10761" width="3.5703125" style="1259" customWidth="1"/>
    <col min="10762" max="10762" width="2.140625" style="1259" customWidth="1"/>
    <col min="10763" max="10763" width="4" style="1259" customWidth="1"/>
    <col min="10764" max="10764" width="1.7109375" style="1259" customWidth="1"/>
    <col min="10765" max="10765" width="2.7109375" style="1259" customWidth="1"/>
    <col min="10766" max="10766" width="2.28515625" style="1259" customWidth="1"/>
    <col min="10767" max="10767" width="3.140625" style="1259" customWidth="1"/>
    <col min="10768" max="10768" width="7" style="1259" customWidth="1"/>
    <col min="10769" max="10770" width="2.7109375" style="1259" customWidth="1"/>
    <col min="10771" max="10771" width="1.85546875" style="1259" customWidth="1"/>
    <col min="10772" max="10773" width="2.7109375" style="1259" customWidth="1"/>
    <col min="10774" max="10774" width="1.7109375" style="1259" customWidth="1"/>
    <col min="10775" max="10777" width="2.7109375" style="1259" customWidth="1"/>
    <col min="10778" max="10778" width="2.28515625" style="1259" customWidth="1"/>
    <col min="10779" max="10779" width="1.7109375" style="1259" customWidth="1"/>
    <col min="10780" max="10781" width="2.7109375" style="1259" customWidth="1"/>
    <col min="10782" max="10782" width="1.85546875" style="1259" customWidth="1"/>
    <col min="10783" max="10783" width="2.7109375" style="1259" customWidth="1"/>
    <col min="10784" max="10784" width="1.5703125" style="1259" customWidth="1"/>
    <col min="10785" max="10785" width="2.42578125" style="1259" customWidth="1"/>
    <col min="10786" max="10799" width="2.7109375" style="1259" customWidth="1"/>
    <col min="10800" max="10800" width="13.85546875" style="1259" bestFit="1" customWidth="1"/>
    <col min="10801" max="10801" width="8.7109375" style="1259" bestFit="1" customWidth="1"/>
    <col min="10802" max="10802" width="6.85546875" style="1259" bestFit="1" customWidth="1"/>
    <col min="10803" max="10803" width="9.5703125" style="1259" bestFit="1" customWidth="1"/>
    <col min="10804" max="10804" width="10.7109375" style="1259" bestFit="1" customWidth="1"/>
    <col min="10805" max="11008" width="9.140625" style="1259"/>
    <col min="11009" max="11009" width="10.85546875" style="1259" customWidth="1"/>
    <col min="11010" max="11010" width="1.7109375" style="1259" customWidth="1"/>
    <col min="11011" max="11011" width="1.5703125" style="1259" bestFit="1" customWidth="1"/>
    <col min="11012" max="11012" width="1.7109375" style="1259" customWidth="1"/>
    <col min="11013" max="11014" width="2.7109375" style="1259" customWidth="1"/>
    <col min="11015" max="11015" width="2.140625" style="1259" customWidth="1"/>
    <col min="11016" max="11016" width="2.7109375" style="1259" customWidth="1"/>
    <col min="11017" max="11017" width="3.5703125" style="1259" customWidth="1"/>
    <col min="11018" max="11018" width="2.140625" style="1259" customWidth="1"/>
    <col min="11019" max="11019" width="4" style="1259" customWidth="1"/>
    <col min="11020" max="11020" width="1.7109375" style="1259" customWidth="1"/>
    <col min="11021" max="11021" width="2.7109375" style="1259" customWidth="1"/>
    <col min="11022" max="11022" width="2.28515625" style="1259" customWidth="1"/>
    <col min="11023" max="11023" width="3.140625" style="1259" customWidth="1"/>
    <col min="11024" max="11024" width="7" style="1259" customWidth="1"/>
    <col min="11025" max="11026" width="2.7109375" style="1259" customWidth="1"/>
    <col min="11027" max="11027" width="1.85546875" style="1259" customWidth="1"/>
    <col min="11028" max="11029" width="2.7109375" style="1259" customWidth="1"/>
    <col min="11030" max="11030" width="1.7109375" style="1259" customWidth="1"/>
    <col min="11031" max="11033" width="2.7109375" style="1259" customWidth="1"/>
    <col min="11034" max="11034" width="2.28515625" style="1259" customWidth="1"/>
    <col min="11035" max="11035" width="1.7109375" style="1259" customWidth="1"/>
    <col min="11036" max="11037" width="2.7109375" style="1259" customWidth="1"/>
    <col min="11038" max="11038" width="1.85546875" style="1259" customWidth="1"/>
    <col min="11039" max="11039" width="2.7109375" style="1259" customWidth="1"/>
    <col min="11040" max="11040" width="1.5703125" style="1259" customWidth="1"/>
    <col min="11041" max="11041" width="2.42578125" style="1259" customWidth="1"/>
    <col min="11042" max="11055" width="2.7109375" style="1259" customWidth="1"/>
    <col min="11056" max="11056" width="13.85546875" style="1259" bestFit="1" customWidth="1"/>
    <col min="11057" max="11057" width="8.7109375" style="1259" bestFit="1" customWidth="1"/>
    <col min="11058" max="11058" width="6.85546875" style="1259" bestFit="1" customWidth="1"/>
    <col min="11059" max="11059" width="9.5703125" style="1259" bestFit="1" customWidth="1"/>
    <col min="11060" max="11060" width="10.7109375" style="1259" bestFit="1" customWidth="1"/>
    <col min="11061" max="11264" width="9.140625" style="1259"/>
    <col min="11265" max="11265" width="10.85546875" style="1259" customWidth="1"/>
    <col min="11266" max="11266" width="1.7109375" style="1259" customWidth="1"/>
    <col min="11267" max="11267" width="1.5703125" style="1259" bestFit="1" customWidth="1"/>
    <col min="11268" max="11268" width="1.7109375" style="1259" customWidth="1"/>
    <col min="11269" max="11270" width="2.7109375" style="1259" customWidth="1"/>
    <col min="11271" max="11271" width="2.140625" style="1259" customWidth="1"/>
    <col min="11272" max="11272" width="2.7109375" style="1259" customWidth="1"/>
    <col min="11273" max="11273" width="3.5703125" style="1259" customWidth="1"/>
    <col min="11274" max="11274" width="2.140625" style="1259" customWidth="1"/>
    <col min="11275" max="11275" width="4" style="1259" customWidth="1"/>
    <col min="11276" max="11276" width="1.7109375" style="1259" customWidth="1"/>
    <col min="11277" max="11277" width="2.7109375" style="1259" customWidth="1"/>
    <col min="11278" max="11278" width="2.28515625" style="1259" customWidth="1"/>
    <col min="11279" max="11279" width="3.140625" style="1259" customWidth="1"/>
    <col min="11280" max="11280" width="7" style="1259" customWidth="1"/>
    <col min="11281" max="11282" width="2.7109375" style="1259" customWidth="1"/>
    <col min="11283" max="11283" width="1.85546875" style="1259" customWidth="1"/>
    <col min="11284" max="11285" width="2.7109375" style="1259" customWidth="1"/>
    <col min="11286" max="11286" width="1.7109375" style="1259" customWidth="1"/>
    <col min="11287" max="11289" width="2.7109375" style="1259" customWidth="1"/>
    <col min="11290" max="11290" width="2.28515625" style="1259" customWidth="1"/>
    <col min="11291" max="11291" width="1.7109375" style="1259" customWidth="1"/>
    <col min="11292" max="11293" width="2.7109375" style="1259" customWidth="1"/>
    <col min="11294" max="11294" width="1.85546875" style="1259" customWidth="1"/>
    <col min="11295" max="11295" width="2.7109375" style="1259" customWidth="1"/>
    <col min="11296" max="11296" width="1.5703125" style="1259" customWidth="1"/>
    <col min="11297" max="11297" width="2.42578125" style="1259" customWidth="1"/>
    <col min="11298" max="11311" width="2.7109375" style="1259" customWidth="1"/>
    <col min="11312" max="11312" width="13.85546875" style="1259" bestFit="1" customWidth="1"/>
    <col min="11313" max="11313" width="8.7109375" style="1259" bestFit="1" customWidth="1"/>
    <col min="11314" max="11314" width="6.85546875" style="1259" bestFit="1" customWidth="1"/>
    <col min="11315" max="11315" width="9.5703125" style="1259" bestFit="1" customWidth="1"/>
    <col min="11316" max="11316" width="10.7109375" style="1259" bestFit="1" customWidth="1"/>
    <col min="11317" max="11520" width="9.140625" style="1259"/>
    <col min="11521" max="11521" width="10.85546875" style="1259" customWidth="1"/>
    <col min="11522" max="11522" width="1.7109375" style="1259" customWidth="1"/>
    <col min="11523" max="11523" width="1.5703125" style="1259" bestFit="1" customWidth="1"/>
    <col min="11524" max="11524" width="1.7109375" style="1259" customWidth="1"/>
    <col min="11525" max="11526" width="2.7109375" style="1259" customWidth="1"/>
    <col min="11527" max="11527" width="2.140625" style="1259" customWidth="1"/>
    <col min="11528" max="11528" width="2.7109375" style="1259" customWidth="1"/>
    <col min="11529" max="11529" width="3.5703125" style="1259" customWidth="1"/>
    <col min="11530" max="11530" width="2.140625" style="1259" customWidth="1"/>
    <col min="11531" max="11531" width="4" style="1259" customWidth="1"/>
    <col min="11532" max="11532" width="1.7109375" style="1259" customWidth="1"/>
    <col min="11533" max="11533" width="2.7109375" style="1259" customWidth="1"/>
    <col min="11534" max="11534" width="2.28515625" style="1259" customWidth="1"/>
    <col min="11535" max="11535" width="3.140625" style="1259" customWidth="1"/>
    <col min="11536" max="11536" width="7" style="1259" customWidth="1"/>
    <col min="11537" max="11538" width="2.7109375" style="1259" customWidth="1"/>
    <col min="11539" max="11539" width="1.85546875" style="1259" customWidth="1"/>
    <col min="11540" max="11541" width="2.7109375" style="1259" customWidth="1"/>
    <col min="11542" max="11542" width="1.7109375" style="1259" customWidth="1"/>
    <col min="11543" max="11545" width="2.7109375" style="1259" customWidth="1"/>
    <col min="11546" max="11546" width="2.28515625" style="1259" customWidth="1"/>
    <col min="11547" max="11547" width="1.7109375" style="1259" customWidth="1"/>
    <col min="11548" max="11549" width="2.7109375" style="1259" customWidth="1"/>
    <col min="11550" max="11550" width="1.85546875" style="1259" customWidth="1"/>
    <col min="11551" max="11551" width="2.7109375" style="1259" customWidth="1"/>
    <col min="11552" max="11552" width="1.5703125" style="1259" customWidth="1"/>
    <col min="11553" max="11553" width="2.42578125" style="1259" customWidth="1"/>
    <col min="11554" max="11567" width="2.7109375" style="1259" customWidth="1"/>
    <col min="11568" max="11568" width="13.85546875" style="1259" bestFit="1" customWidth="1"/>
    <col min="11569" max="11569" width="8.7109375" style="1259" bestFit="1" customWidth="1"/>
    <col min="11570" max="11570" width="6.85546875" style="1259" bestFit="1" customWidth="1"/>
    <col min="11571" max="11571" width="9.5703125" style="1259" bestFit="1" customWidth="1"/>
    <col min="11572" max="11572" width="10.7109375" style="1259" bestFit="1" customWidth="1"/>
    <col min="11573" max="11776" width="9.140625" style="1259"/>
    <col min="11777" max="11777" width="10.85546875" style="1259" customWidth="1"/>
    <col min="11778" max="11778" width="1.7109375" style="1259" customWidth="1"/>
    <col min="11779" max="11779" width="1.5703125" style="1259" bestFit="1" customWidth="1"/>
    <col min="11780" max="11780" width="1.7109375" style="1259" customWidth="1"/>
    <col min="11781" max="11782" width="2.7109375" style="1259" customWidth="1"/>
    <col min="11783" max="11783" width="2.140625" style="1259" customWidth="1"/>
    <col min="11784" max="11784" width="2.7109375" style="1259" customWidth="1"/>
    <col min="11785" max="11785" width="3.5703125" style="1259" customWidth="1"/>
    <col min="11786" max="11786" width="2.140625" style="1259" customWidth="1"/>
    <col min="11787" max="11787" width="4" style="1259" customWidth="1"/>
    <col min="11788" max="11788" width="1.7109375" style="1259" customWidth="1"/>
    <col min="11789" max="11789" width="2.7109375" style="1259" customWidth="1"/>
    <col min="11790" max="11790" width="2.28515625" style="1259" customWidth="1"/>
    <col min="11791" max="11791" width="3.140625" style="1259" customWidth="1"/>
    <col min="11792" max="11792" width="7" style="1259" customWidth="1"/>
    <col min="11793" max="11794" width="2.7109375" style="1259" customWidth="1"/>
    <col min="11795" max="11795" width="1.85546875" style="1259" customWidth="1"/>
    <col min="11796" max="11797" width="2.7109375" style="1259" customWidth="1"/>
    <col min="11798" max="11798" width="1.7109375" style="1259" customWidth="1"/>
    <col min="11799" max="11801" width="2.7109375" style="1259" customWidth="1"/>
    <col min="11802" max="11802" width="2.28515625" style="1259" customWidth="1"/>
    <col min="11803" max="11803" width="1.7109375" style="1259" customWidth="1"/>
    <col min="11804" max="11805" width="2.7109375" style="1259" customWidth="1"/>
    <col min="11806" max="11806" width="1.85546875" style="1259" customWidth="1"/>
    <col min="11807" max="11807" width="2.7109375" style="1259" customWidth="1"/>
    <col min="11808" max="11808" width="1.5703125" style="1259" customWidth="1"/>
    <col min="11809" max="11809" width="2.42578125" style="1259" customWidth="1"/>
    <col min="11810" max="11823" width="2.7109375" style="1259" customWidth="1"/>
    <col min="11824" max="11824" width="13.85546875" style="1259" bestFit="1" customWidth="1"/>
    <col min="11825" max="11825" width="8.7109375" style="1259" bestFit="1" customWidth="1"/>
    <col min="11826" max="11826" width="6.85546875" style="1259" bestFit="1" customWidth="1"/>
    <col min="11827" max="11827" width="9.5703125" style="1259" bestFit="1" customWidth="1"/>
    <col min="11828" max="11828" width="10.7109375" style="1259" bestFit="1" customWidth="1"/>
    <col min="11829" max="12032" width="9.140625" style="1259"/>
    <col min="12033" max="12033" width="10.85546875" style="1259" customWidth="1"/>
    <col min="12034" max="12034" width="1.7109375" style="1259" customWidth="1"/>
    <col min="12035" max="12035" width="1.5703125" style="1259" bestFit="1" customWidth="1"/>
    <col min="12036" max="12036" width="1.7109375" style="1259" customWidth="1"/>
    <col min="12037" max="12038" width="2.7109375" style="1259" customWidth="1"/>
    <col min="12039" max="12039" width="2.140625" style="1259" customWidth="1"/>
    <col min="12040" max="12040" width="2.7109375" style="1259" customWidth="1"/>
    <col min="12041" max="12041" width="3.5703125" style="1259" customWidth="1"/>
    <col min="12042" max="12042" width="2.140625" style="1259" customWidth="1"/>
    <col min="12043" max="12043" width="4" style="1259" customWidth="1"/>
    <col min="12044" max="12044" width="1.7109375" style="1259" customWidth="1"/>
    <col min="12045" max="12045" width="2.7109375" style="1259" customWidth="1"/>
    <col min="12046" max="12046" width="2.28515625" style="1259" customWidth="1"/>
    <col min="12047" max="12047" width="3.140625" style="1259" customWidth="1"/>
    <col min="12048" max="12048" width="7" style="1259" customWidth="1"/>
    <col min="12049" max="12050" width="2.7109375" style="1259" customWidth="1"/>
    <col min="12051" max="12051" width="1.85546875" style="1259" customWidth="1"/>
    <col min="12052" max="12053" width="2.7109375" style="1259" customWidth="1"/>
    <col min="12054" max="12054" width="1.7109375" style="1259" customWidth="1"/>
    <col min="12055" max="12057" width="2.7109375" style="1259" customWidth="1"/>
    <col min="12058" max="12058" width="2.28515625" style="1259" customWidth="1"/>
    <col min="12059" max="12059" width="1.7109375" style="1259" customWidth="1"/>
    <col min="12060" max="12061" width="2.7109375" style="1259" customWidth="1"/>
    <col min="12062" max="12062" width="1.85546875" style="1259" customWidth="1"/>
    <col min="12063" max="12063" width="2.7109375" style="1259" customWidth="1"/>
    <col min="12064" max="12064" width="1.5703125" style="1259" customWidth="1"/>
    <col min="12065" max="12065" width="2.42578125" style="1259" customWidth="1"/>
    <col min="12066" max="12079" width="2.7109375" style="1259" customWidth="1"/>
    <col min="12080" max="12080" width="13.85546875" style="1259" bestFit="1" customWidth="1"/>
    <col min="12081" max="12081" width="8.7109375" style="1259" bestFit="1" customWidth="1"/>
    <col min="12082" max="12082" width="6.85546875" style="1259" bestFit="1" customWidth="1"/>
    <col min="12083" max="12083" width="9.5703125" style="1259" bestFit="1" customWidth="1"/>
    <col min="12084" max="12084" width="10.7109375" style="1259" bestFit="1" customWidth="1"/>
    <col min="12085" max="12288" width="9.140625" style="1259"/>
    <col min="12289" max="12289" width="10.85546875" style="1259" customWidth="1"/>
    <col min="12290" max="12290" width="1.7109375" style="1259" customWidth="1"/>
    <col min="12291" max="12291" width="1.5703125" style="1259" bestFit="1" customWidth="1"/>
    <col min="12292" max="12292" width="1.7109375" style="1259" customWidth="1"/>
    <col min="12293" max="12294" width="2.7109375" style="1259" customWidth="1"/>
    <col min="12295" max="12295" width="2.140625" style="1259" customWidth="1"/>
    <col min="12296" max="12296" width="2.7109375" style="1259" customWidth="1"/>
    <col min="12297" max="12297" width="3.5703125" style="1259" customWidth="1"/>
    <col min="12298" max="12298" width="2.140625" style="1259" customWidth="1"/>
    <col min="12299" max="12299" width="4" style="1259" customWidth="1"/>
    <col min="12300" max="12300" width="1.7109375" style="1259" customWidth="1"/>
    <col min="12301" max="12301" width="2.7109375" style="1259" customWidth="1"/>
    <col min="12302" max="12302" width="2.28515625" style="1259" customWidth="1"/>
    <col min="12303" max="12303" width="3.140625" style="1259" customWidth="1"/>
    <col min="12304" max="12304" width="7" style="1259" customWidth="1"/>
    <col min="12305" max="12306" width="2.7109375" style="1259" customWidth="1"/>
    <col min="12307" max="12307" width="1.85546875" style="1259" customWidth="1"/>
    <col min="12308" max="12309" width="2.7109375" style="1259" customWidth="1"/>
    <col min="12310" max="12310" width="1.7109375" style="1259" customWidth="1"/>
    <col min="12311" max="12313" width="2.7109375" style="1259" customWidth="1"/>
    <col min="12314" max="12314" width="2.28515625" style="1259" customWidth="1"/>
    <col min="12315" max="12315" width="1.7109375" style="1259" customWidth="1"/>
    <col min="12316" max="12317" width="2.7109375" style="1259" customWidth="1"/>
    <col min="12318" max="12318" width="1.85546875" style="1259" customWidth="1"/>
    <col min="12319" max="12319" width="2.7109375" style="1259" customWidth="1"/>
    <col min="12320" max="12320" width="1.5703125" style="1259" customWidth="1"/>
    <col min="12321" max="12321" width="2.42578125" style="1259" customWidth="1"/>
    <col min="12322" max="12335" width="2.7109375" style="1259" customWidth="1"/>
    <col min="12336" max="12336" width="13.85546875" style="1259" bestFit="1" customWidth="1"/>
    <col min="12337" max="12337" width="8.7109375" style="1259" bestFit="1" customWidth="1"/>
    <col min="12338" max="12338" width="6.85546875" style="1259" bestFit="1" customWidth="1"/>
    <col min="12339" max="12339" width="9.5703125" style="1259" bestFit="1" customWidth="1"/>
    <col min="12340" max="12340" width="10.7109375" style="1259" bestFit="1" customWidth="1"/>
    <col min="12341" max="12544" width="9.140625" style="1259"/>
    <col min="12545" max="12545" width="10.85546875" style="1259" customWidth="1"/>
    <col min="12546" max="12546" width="1.7109375" style="1259" customWidth="1"/>
    <col min="12547" max="12547" width="1.5703125" style="1259" bestFit="1" customWidth="1"/>
    <col min="12548" max="12548" width="1.7109375" style="1259" customWidth="1"/>
    <col min="12549" max="12550" width="2.7109375" style="1259" customWidth="1"/>
    <col min="12551" max="12551" width="2.140625" style="1259" customWidth="1"/>
    <col min="12552" max="12552" width="2.7109375" style="1259" customWidth="1"/>
    <col min="12553" max="12553" width="3.5703125" style="1259" customWidth="1"/>
    <col min="12554" max="12554" width="2.140625" style="1259" customWidth="1"/>
    <col min="12555" max="12555" width="4" style="1259" customWidth="1"/>
    <col min="12556" max="12556" width="1.7109375" style="1259" customWidth="1"/>
    <col min="12557" max="12557" width="2.7109375" style="1259" customWidth="1"/>
    <col min="12558" max="12558" width="2.28515625" style="1259" customWidth="1"/>
    <col min="12559" max="12559" width="3.140625" style="1259" customWidth="1"/>
    <col min="12560" max="12560" width="7" style="1259" customWidth="1"/>
    <col min="12561" max="12562" width="2.7109375" style="1259" customWidth="1"/>
    <col min="12563" max="12563" width="1.85546875" style="1259" customWidth="1"/>
    <col min="12564" max="12565" width="2.7109375" style="1259" customWidth="1"/>
    <col min="12566" max="12566" width="1.7109375" style="1259" customWidth="1"/>
    <col min="12567" max="12569" width="2.7109375" style="1259" customWidth="1"/>
    <col min="12570" max="12570" width="2.28515625" style="1259" customWidth="1"/>
    <col min="12571" max="12571" width="1.7109375" style="1259" customWidth="1"/>
    <col min="12572" max="12573" width="2.7109375" style="1259" customWidth="1"/>
    <col min="12574" max="12574" width="1.85546875" style="1259" customWidth="1"/>
    <col min="12575" max="12575" width="2.7109375" style="1259" customWidth="1"/>
    <col min="12576" max="12576" width="1.5703125" style="1259" customWidth="1"/>
    <col min="12577" max="12577" width="2.42578125" style="1259" customWidth="1"/>
    <col min="12578" max="12591" width="2.7109375" style="1259" customWidth="1"/>
    <col min="12592" max="12592" width="13.85546875" style="1259" bestFit="1" customWidth="1"/>
    <col min="12593" max="12593" width="8.7109375" style="1259" bestFit="1" customWidth="1"/>
    <col min="12594" max="12594" width="6.85546875" style="1259" bestFit="1" customWidth="1"/>
    <col min="12595" max="12595" width="9.5703125" style="1259" bestFit="1" customWidth="1"/>
    <col min="12596" max="12596" width="10.7109375" style="1259" bestFit="1" customWidth="1"/>
    <col min="12597" max="12800" width="9.140625" style="1259"/>
    <col min="12801" max="12801" width="10.85546875" style="1259" customWidth="1"/>
    <col min="12802" max="12802" width="1.7109375" style="1259" customWidth="1"/>
    <col min="12803" max="12803" width="1.5703125" style="1259" bestFit="1" customWidth="1"/>
    <col min="12804" max="12804" width="1.7109375" style="1259" customWidth="1"/>
    <col min="12805" max="12806" width="2.7109375" style="1259" customWidth="1"/>
    <col min="12807" max="12807" width="2.140625" style="1259" customWidth="1"/>
    <col min="12808" max="12808" width="2.7109375" style="1259" customWidth="1"/>
    <col min="12809" max="12809" width="3.5703125" style="1259" customWidth="1"/>
    <col min="12810" max="12810" width="2.140625" style="1259" customWidth="1"/>
    <col min="12811" max="12811" width="4" style="1259" customWidth="1"/>
    <col min="12812" max="12812" width="1.7109375" style="1259" customWidth="1"/>
    <col min="12813" max="12813" width="2.7109375" style="1259" customWidth="1"/>
    <col min="12814" max="12814" width="2.28515625" style="1259" customWidth="1"/>
    <col min="12815" max="12815" width="3.140625" style="1259" customWidth="1"/>
    <col min="12816" max="12816" width="7" style="1259" customWidth="1"/>
    <col min="12817" max="12818" width="2.7109375" style="1259" customWidth="1"/>
    <col min="12819" max="12819" width="1.85546875" style="1259" customWidth="1"/>
    <col min="12820" max="12821" width="2.7109375" style="1259" customWidth="1"/>
    <col min="12822" max="12822" width="1.7109375" style="1259" customWidth="1"/>
    <col min="12823" max="12825" width="2.7109375" style="1259" customWidth="1"/>
    <col min="12826" max="12826" width="2.28515625" style="1259" customWidth="1"/>
    <col min="12827" max="12827" width="1.7109375" style="1259" customWidth="1"/>
    <col min="12828" max="12829" width="2.7109375" style="1259" customWidth="1"/>
    <col min="12830" max="12830" width="1.85546875" style="1259" customWidth="1"/>
    <col min="12831" max="12831" width="2.7109375" style="1259" customWidth="1"/>
    <col min="12832" max="12832" width="1.5703125" style="1259" customWidth="1"/>
    <col min="12833" max="12833" width="2.42578125" style="1259" customWidth="1"/>
    <col min="12834" max="12847" width="2.7109375" style="1259" customWidth="1"/>
    <col min="12848" max="12848" width="13.85546875" style="1259" bestFit="1" customWidth="1"/>
    <col min="12849" max="12849" width="8.7109375" style="1259" bestFit="1" customWidth="1"/>
    <col min="12850" max="12850" width="6.85546875" style="1259" bestFit="1" customWidth="1"/>
    <col min="12851" max="12851" width="9.5703125" style="1259" bestFit="1" customWidth="1"/>
    <col min="12852" max="12852" width="10.7109375" style="1259" bestFit="1" customWidth="1"/>
    <col min="12853" max="13056" width="9.140625" style="1259"/>
    <col min="13057" max="13057" width="10.85546875" style="1259" customWidth="1"/>
    <col min="13058" max="13058" width="1.7109375" style="1259" customWidth="1"/>
    <col min="13059" max="13059" width="1.5703125" style="1259" bestFit="1" customWidth="1"/>
    <col min="13060" max="13060" width="1.7109375" style="1259" customWidth="1"/>
    <col min="13061" max="13062" width="2.7109375" style="1259" customWidth="1"/>
    <col min="13063" max="13063" width="2.140625" style="1259" customWidth="1"/>
    <col min="13064" max="13064" width="2.7109375" style="1259" customWidth="1"/>
    <col min="13065" max="13065" width="3.5703125" style="1259" customWidth="1"/>
    <col min="13066" max="13066" width="2.140625" style="1259" customWidth="1"/>
    <col min="13067" max="13067" width="4" style="1259" customWidth="1"/>
    <col min="13068" max="13068" width="1.7109375" style="1259" customWidth="1"/>
    <col min="13069" max="13069" width="2.7109375" style="1259" customWidth="1"/>
    <col min="13070" max="13070" width="2.28515625" style="1259" customWidth="1"/>
    <col min="13071" max="13071" width="3.140625" style="1259" customWidth="1"/>
    <col min="13072" max="13072" width="7" style="1259" customWidth="1"/>
    <col min="13073" max="13074" width="2.7109375" style="1259" customWidth="1"/>
    <col min="13075" max="13075" width="1.85546875" style="1259" customWidth="1"/>
    <col min="13076" max="13077" width="2.7109375" style="1259" customWidth="1"/>
    <col min="13078" max="13078" width="1.7109375" style="1259" customWidth="1"/>
    <col min="13079" max="13081" width="2.7109375" style="1259" customWidth="1"/>
    <col min="13082" max="13082" width="2.28515625" style="1259" customWidth="1"/>
    <col min="13083" max="13083" width="1.7109375" style="1259" customWidth="1"/>
    <col min="13084" max="13085" width="2.7109375" style="1259" customWidth="1"/>
    <col min="13086" max="13086" width="1.85546875" style="1259" customWidth="1"/>
    <col min="13087" max="13087" width="2.7109375" style="1259" customWidth="1"/>
    <col min="13088" max="13088" width="1.5703125" style="1259" customWidth="1"/>
    <col min="13089" max="13089" width="2.42578125" style="1259" customWidth="1"/>
    <col min="13090" max="13103" width="2.7109375" style="1259" customWidth="1"/>
    <col min="13104" max="13104" width="13.85546875" style="1259" bestFit="1" customWidth="1"/>
    <col min="13105" max="13105" width="8.7109375" style="1259" bestFit="1" customWidth="1"/>
    <col min="13106" max="13106" width="6.85546875" style="1259" bestFit="1" customWidth="1"/>
    <col min="13107" max="13107" width="9.5703125" style="1259" bestFit="1" customWidth="1"/>
    <col min="13108" max="13108" width="10.7109375" style="1259" bestFit="1" customWidth="1"/>
    <col min="13109" max="13312" width="9.140625" style="1259"/>
    <col min="13313" max="13313" width="10.85546875" style="1259" customWidth="1"/>
    <col min="13314" max="13314" width="1.7109375" style="1259" customWidth="1"/>
    <col min="13315" max="13315" width="1.5703125" style="1259" bestFit="1" customWidth="1"/>
    <col min="13316" max="13316" width="1.7109375" style="1259" customWidth="1"/>
    <col min="13317" max="13318" width="2.7109375" style="1259" customWidth="1"/>
    <col min="13319" max="13319" width="2.140625" style="1259" customWidth="1"/>
    <col min="13320" max="13320" width="2.7109375" style="1259" customWidth="1"/>
    <col min="13321" max="13321" width="3.5703125" style="1259" customWidth="1"/>
    <col min="13322" max="13322" width="2.140625" style="1259" customWidth="1"/>
    <col min="13323" max="13323" width="4" style="1259" customWidth="1"/>
    <col min="13324" max="13324" width="1.7109375" style="1259" customWidth="1"/>
    <col min="13325" max="13325" width="2.7109375" style="1259" customWidth="1"/>
    <col min="13326" max="13326" width="2.28515625" style="1259" customWidth="1"/>
    <col min="13327" max="13327" width="3.140625" style="1259" customWidth="1"/>
    <col min="13328" max="13328" width="7" style="1259" customWidth="1"/>
    <col min="13329" max="13330" width="2.7109375" style="1259" customWidth="1"/>
    <col min="13331" max="13331" width="1.85546875" style="1259" customWidth="1"/>
    <col min="13332" max="13333" width="2.7109375" style="1259" customWidth="1"/>
    <col min="13334" max="13334" width="1.7109375" style="1259" customWidth="1"/>
    <col min="13335" max="13337" width="2.7109375" style="1259" customWidth="1"/>
    <col min="13338" max="13338" width="2.28515625" style="1259" customWidth="1"/>
    <col min="13339" max="13339" width="1.7109375" style="1259" customWidth="1"/>
    <col min="13340" max="13341" width="2.7109375" style="1259" customWidth="1"/>
    <col min="13342" max="13342" width="1.85546875" style="1259" customWidth="1"/>
    <col min="13343" max="13343" width="2.7109375" style="1259" customWidth="1"/>
    <col min="13344" max="13344" width="1.5703125" style="1259" customWidth="1"/>
    <col min="13345" max="13345" width="2.42578125" style="1259" customWidth="1"/>
    <col min="13346" max="13359" width="2.7109375" style="1259" customWidth="1"/>
    <col min="13360" max="13360" width="13.85546875" style="1259" bestFit="1" customWidth="1"/>
    <col min="13361" max="13361" width="8.7109375" style="1259" bestFit="1" customWidth="1"/>
    <col min="13362" max="13362" width="6.85546875" style="1259" bestFit="1" customWidth="1"/>
    <col min="13363" max="13363" width="9.5703125" style="1259" bestFit="1" customWidth="1"/>
    <col min="13364" max="13364" width="10.7109375" style="1259" bestFit="1" customWidth="1"/>
    <col min="13365" max="13568" width="9.140625" style="1259"/>
    <col min="13569" max="13569" width="10.85546875" style="1259" customWidth="1"/>
    <col min="13570" max="13570" width="1.7109375" style="1259" customWidth="1"/>
    <col min="13571" max="13571" width="1.5703125" style="1259" bestFit="1" customWidth="1"/>
    <col min="13572" max="13572" width="1.7109375" style="1259" customWidth="1"/>
    <col min="13573" max="13574" width="2.7109375" style="1259" customWidth="1"/>
    <col min="13575" max="13575" width="2.140625" style="1259" customWidth="1"/>
    <col min="13576" max="13576" width="2.7109375" style="1259" customWidth="1"/>
    <col min="13577" max="13577" width="3.5703125" style="1259" customWidth="1"/>
    <col min="13578" max="13578" width="2.140625" style="1259" customWidth="1"/>
    <col min="13579" max="13579" width="4" style="1259" customWidth="1"/>
    <col min="13580" max="13580" width="1.7109375" style="1259" customWidth="1"/>
    <col min="13581" max="13581" width="2.7109375" style="1259" customWidth="1"/>
    <col min="13582" max="13582" width="2.28515625" style="1259" customWidth="1"/>
    <col min="13583" max="13583" width="3.140625" style="1259" customWidth="1"/>
    <col min="13584" max="13584" width="7" style="1259" customWidth="1"/>
    <col min="13585" max="13586" width="2.7109375" style="1259" customWidth="1"/>
    <col min="13587" max="13587" width="1.85546875" style="1259" customWidth="1"/>
    <col min="13588" max="13589" width="2.7109375" style="1259" customWidth="1"/>
    <col min="13590" max="13590" width="1.7109375" style="1259" customWidth="1"/>
    <col min="13591" max="13593" width="2.7109375" style="1259" customWidth="1"/>
    <col min="13594" max="13594" width="2.28515625" style="1259" customWidth="1"/>
    <col min="13595" max="13595" width="1.7109375" style="1259" customWidth="1"/>
    <col min="13596" max="13597" width="2.7109375" style="1259" customWidth="1"/>
    <col min="13598" max="13598" width="1.85546875" style="1259" customWidth="1"/>
    <col min="13599" max="13599" width="2.7109375" style="1259" customWidth="1"/>
    <col min="13600" max="13600" width="1.5703125" style="1259" customWidth="1"/>
    <col min="13601" max="13601" width="2.42578125" style="1259" customWidth="1"/>
    <col min="13602" max="13615" width="2.7109375" style="1259" customWidth="1"/>
    <col min="13616" max="13616" width="13.85546875" style="1259" bestFit="1" customWidth="1"/>
    <col min="13617" max="13617" width="8.7109375" style="1259" bestFit="1" customWidth="1"/>
    <col min="13618" max="13618" width="6.85546875" style="1259" bestFit="1" customWidth="1"/>
    <col min="13619" max="13619" width="9.5703125" style="1259" bestFit="1" customWidth="1"/>
    <col min="13620" max="13620" width="10.7109375" style="1259" bestFit="1" customWidth="1"/>
    <col min="13621" max="13824" width="9.140625" style="1259"/>
    <col min="13825" max="13825" width="10.85546875" style="1259" customWidth="1"/>
    <col min="13826" max="13826" width="1.7109375" style="1259" customWidth="1"/>
    <col min="13827" max="13827" width="1.5703125" style="1259" bestFit="1" customWidth="1"/>
    <col min="13828" max="13828" width="1.7109375" style="1259" customWidth="1"/>
    <col min="13829" max="13830" width="2.7109375" style="1259" customWidth="1"/>
    <col min="13831" max="13831" width="2.140625" style="1259" customWidth="1"/>
    <col min="13832" max="13832" width="2.7109375" style="1259" customWidth="1"/>
    <col min="13833" max="13833" width="3.5703125" style="1259" customWidth="1"/>
    <col min="13834" max="13834" width="2.140625" style="1259" customWidth="1"/>
    <col min="13835" max="13835" width="4" style="1259" customWidth="1"/>
    <col min="13836" max="13836" width="1.7109375" style="1259" customWidth="1"/>
    <col min="13837" max="13837" width="2.7109375" style="1259" customWidth="1"/>
    <col min="13838" max="13838" width="2.28515625" style="1259" customWidth="1"/>
    <col min="13839" max="13839" width="3.140625" style="1259" customWidth="1"/>
    <col min="13840" max="13840" width="7" style="1259" customWidth="1"/>
    <col min="13841" max="13842" width="2.7109375" style="1259" customWidth="1"/>
    <col min="13843" max="13843" width="1.85546875" style="1259" customWidth="1"/>
    <col min="13844" max="13845" width="2.7109375" style="1259" customWidth="1"/>
    <col min="13846" max="13846" width="1.7109375" style="1259" customWidth="1"/>
    <col min="13847" max="13849" width="2.7109375" style="1259" customWidth="1"/>
    <col min="13850" max="13850" width="2.28515625" style="1259" customWidth="1"/>
    <col min="13851" max="13851" width="1.7109375" style="1259" customWidth="1"/>
    <col min="13852" max="13853" width="2.7109375" style="1259" customWidth="1"/>
    <col min="13854" max="13854" width="1.85546875" style="1259" customWidth="1"/>
    <col min="13855" max="13855" width="2.7109375" style="1259" customWidth="1"/>
    <col min="13856" max="13856" width="1.5703125" style="1259" customWidth="1"/>
    <col min="13857" max="13857" width="2.42578125" style="1259" customWidth="1"/>
    <col min="13858" max="13871" width="2.7109375" style="1259" customWidth="1"/>
    <col min="13872" max="13872" width="13.85546875" style="1259" bestFit="1" customWidth="1"/>
    <col min="13873" max="13873" width="8.7109375" style="1259" bestFit="1" customWidth="1"/>
    <col min="13874" max="13874" width="6.85546875" style="1259" bestFit="1" customWidth="1"/>
    <col min="13875" max="13875" width="9.5703125" style="1259" bestFit="1" customWidth="1"/>
    <col min="13876" max="13876" width="10.7109375" style="1259" bestFit="1" customWidth="1"/>
    <col min="13877" max="14080" width="9.140625" style="1259"/>
    <col min="14081" max="14081" width="10.85546875" style="1259" customWidth="1"/>
    <col min="14082" max="14082" width="1.7109375" style="1259" customWidth="1"/>
    <col min="14083" max="14083" width="1.5703125" style="1259" bestFit="1" customWidth="1"/>
    <col min="14084" max="14084" width="1.7109375" style="1259" customWidth="1"/>
    <col min="14085" max="14086" width="2.7109375" style="1259" customWidth="1"/>
    <col min="14087" max="14087" width="2.140625" style="1259" customWidth="1"/>
    <col min="14088" max="14088" width="2.7109375" style="1259" customWidth="1"/>
    <col min="14089" max="14089" width="3.5703125" style="1259" customWidth="1"/>
    <col min="14090" max="14090" width="2.140625" style="1259" customWidth="1"/>
    <col min="14091" max="14091" width="4" style="1259" customWidth="1"/>
    <col min="14092" max="14092" width="1.7109375" style="1259" customWidth="1"/>
    <col min="14093" max="14093" width="2.7109375" style="1259" customWidth="1"/>
    <col min="14094" max="14094" width="2.28515625" style="1259" customWidth="1"/>
    <col min="14095" max="14095" width="3.140625" style="1259" customWidth="1"/>
    <col min="14096" max="14096" width="7" style="1259" customWidth="1"/>
    <col min="14097" max="14098" width="2.7109375" style="1259" customWidth="1"/>
    <col min="14099" max="14099" width="1.85546875" style="1259" customWidth="1"/>
    <col min="14100" max="14101" width="2.7109375" style="1259" customWidth="1"/>
    <col min="14102" max="14102" width="1.7109375" style="1259" customWidth="1"/>
    <col min="14103" max="14105" width="2.7109375" style="1259" customWidth="1"/>
    <col min="14106" max="14106" width="2.28515625" style="1259" customWidth="1"/>
    <col min="14107" max="14107" width="1.7109375" style="1259" customWidth="1"/>
    <col min="14108" max="14109" width="2.7109375" style="1259" customWidth="1"/>
    <col min="14110" max="14110" width="1.85546875" style="1259" customWidth="1"/>
    <col min="14111" max="14111" width="2.7109375" style="1259" customWidth="1"/>
    <col min="14112" max="14112" width="1.5703125" style="1259" customWidth="1"/>
    <col min="14113" max="14113" width="2.42578125" style="1259" customWidth="1"/>
    <col min="14114" max="14127" width="2.7109375" style="1259" customWidth="1"/>
    <col min="14128" max="14128" width="13.85546875" style="1259" bestFit="1" customWidth="1"/>
    <col min="14129" max="14129" width="8.7109375" style="1259" bestFit="1" customWidth="1"/>
    <col min="14130" max="14130" width="6.85546875" style="1259" bestFit="1" customWidth="1"/>
    <col min="14131" max="14131" width="9.5703125" style="1259" bestFit="1" customWidth="1"/>
    <col min="14132" max="14132" width="10.7109375" style="1259" bestFit="1" customWidth="1"/>
    <col min="14133" max="14336" width="9.140625" style="1259"/>
    <col min="14337" max="14337" width="10.85546875" style="1259" customWidth="1"/>
    <col min="14338" max="14338" width="1.7109375" style="1259" customWidth="1"/>
    <col min="14339" max="14339" width="1.5703125" style="1259" bestFit="1" customWidth="1"/>
    <col min="14340" max="14340" width="1.7109375" style="1259" customWidth="1"/>
    <col min="14341" max="14342" width="2.7109375" style="1259" customWidth="1"/>
    <col min="14343" max="14343" width="2.140625" style="1259" customWidth="1"/>
    <col min="14344" max="14344" width="2.7109375" style="1259" customWidth="1"/>
    <col min="14345" max="14345" width="3.5703125" style="1259" customWidth="1"/>
    <col min="14346" max="14346" width="2.140625" style="1259" customWidth="1"/>
    <col min="14347" max="14347" width="4" style="1259" customWidth="1"/>
    <col min="14348" max="14348" width="1.7109375" style="1259" customWidth="1"/>
    <col min="14349" max="14349" width="2.7109375" style="1259" customWidth="1"/>
    <col min="14350" max="14350" width="2.28515625" style="1259" customWidth="1"/>
    <col min="14351" max="14351" width="3.140625" style="1259" customWidth="1"/>
    <col min="14352" max="14352" width="7" style="1259" customWidth="1"/>
    <col min="14353" max="14354" width="2.7109375" style="1259" customWidth="1"/>
    <col min="14355" max="14355" width="1.85546875" style="1259" customWidth="1"/>
    <col min="14356" max="14357" width="2.7109375" style="1259" customWidth="1"/>
    <col min="14358" max="14358" width="1.7109375" style="1259" customWidth="1"/>
    <col min="14359" max="14361" width="2.7109375" style="1259" customWidth="1"/>
    <col min="14362" max="14362" width="2.28515625" style="1259" customWidth="1"/>
    <col min="14363" max="14363" width="1.7109375" style="1259" customWidth="1"/>
    <col min="14364" max="14365" width="2.7109375" style="1259" customWidth="1"/>
    <col min="14366" max="14366" width="1.85546875" style="1259" customWidth="1"/>
    <col min="14367" max="14367" width="2.7109375" style="1259" customWidth="1"/>
    <col min="14368" max="14368" width="1.5703125" style="1259" customWidth="1"/>
    <col min="14369" max="14369" width="2.42578125" style="1259" customWidth="1"/>
    <col min="14370" max="14383" width="2.7109375" style="1259" customWidth="1"/>
    <col min="14384" max="14384" width="13.85546875" style="1259" bestFit="1" customWidth="1"/>
    <col min="14385" max="14385" width="8.7109375" style="1259" bestFit="1" customWidth="1"/>
    <col min="14386" max="14386" width="6.85546875" style="1259" bestFit="1" customWidth="1"/>
    <col min="14387" max="14387" width="9.5703125" style="1259" bestFit="1" customWidth="1"/>
    <col min="14388" max="14388" width="10.7109375" style="1259" bestFit="1" customWidth="1"/>
    <col min="14389" max="14592" width="9.140625" style="1259"/>
    <col min="14593" max="14593" width="10.85546875" style="1259" customWidth="1"/>
    <col min="14594" max="14594" width="1.7109375" style="1259" customWidth="1"/>
    <col min="14595" max="14595" width="1.5703125" style="1259" bestFit="1" customWidth="1"/>
    <col min="14596" max="14596" width="1.7109375" style="1259" customWidth="1"/>
    <col min="14597" max="14598" width="2.7109375" style="1259" customWidth="1"/>
    <col min="14599" max="14599" width="2.140625" style="1259" customWidth="1"/>
    <col min="14600" max="14600" width="2.7109375" style="1259" customWidth="1"/>
    <col min="14601" max="14601" width="3.5703125" style="1259" customWidth="1"/>
    <col min="14602" max="14602" width="2.140625" style="1259" customWidth="1"/>
    <col min="14603" max="14603" width="4" style="1259" customWidth="1"/>
    <col min="14604" max="14604" width="1.7109375" style="1259" customWidth="1"/>
    <col min="14605" max="14605" width="2.7109375" style="1259" customWidth="1"/>
    <col min="14606" max="14606" width="2.28515625" style="1259" customWidth="1"/>
    <col min="14607" max="14607" width="3.140625" style="1259" customWidth="1"/>
    <col min="14608" max="14608" width="7" style="1259" customWidth="1"/>
    <col min="14609" max="14610" width="2.7109375" style="1259" customWidth="1"/>
    <col min="14611" max="14611" width="1.85546875" style="1259" customWidth="1"/>
    <col min="14612" max="14613" width="2.7109375" style="1259" customWidth="1"/>
    <col min="14614" max="14614" width="1.7109375" style="1259" customWidth="1"/>
    <col min="14615" max="14617" width="2.7109375" style="1259" customWidth="1"/>
    <col min="14618" max="14618" width="2.28515625" style="1259" customWidth="1"/>
    <col min="14619" max="14619" width="1.7109375" style="1259" customWidth="1"/>
    <col min="14620" max="14621" width="2.7109375" style="1259" customWidth="1"/>
    <col min="14622" max="14622" width="1.85546875" style="1259" customWidth="1"/>
    <col min="14623" max="14623" width="2.7109375" style="1259" customWidth="1"/>
    <col min="14624" max="14624" width="1.5703125" style="1259" customWidth="1"/>
    <col min="14625" max="14625" width="2.42578125" style="1259" customWidth="1"/>
    <col min="14626" max="14639" width="2.7109375" style="1259" customWidth="1"/>
    <col min="14640" max="14640" width="13.85546875" style="1259" bestFit="1" customWidth="1"/>
    <col min="14641" max="14641" width="8.7109375" style="1259" bestFit="1" customWidth="1"/>
    <col min="14642" max="14642" width="6.85546875" style="1259" bestFit="1" customWidth="1"/>
    <col min="14643" max="14643" width="9.5703125" style="1259" bestFit="1" customWidth="1"/>
    <col min="14644" max="14644" width="10.7109375" style="1259" bestFit="1" customWidth="1"/>
    <col min="14645" max="14848" width="9.140625" style="1259"/>
    <col min="14849" max="14849" width="10.85546875" style="1259" customWidth="1"/>
    <col min="14850" max="14850" width="1.7109375" style="1259" customWidth="1"/>
    <col min="14851" max="14851" width="1.5703125" style="1259" bestFit="1" customWidth="1"/>
    <col min="14852" max="14852" width="1.7109375" style="1259" customWidth="1"/>
    <col min="14853" max="14854" width="2.7109375" style="1259" customWidth="1"/>
    <col min="14855" max="14855" width="2.140625" style="1259" customWidth="1"/>
    <col min="14856" max="14856" width="2.7109375" style="1259" customWidth="1"/>
    <col min="14857" max="14857" width="3.5703125" style="1259" customWidth="1"/>
    <col min="14858" max="14858" width="2.140625" style="1259" customWidth="1"/>
    <col min="14859" max="14859" width="4" style="1259" customWidth="1"/>
    <col min="14860" max="14860" width="1.7109375" style="1259" customWidth="1"/>
    <col min="14861" max="14861" width="2.7109375" style="1259" customWidth="1"/>
    <col min="14862" max="14862" width="2.28515625" style="1259" customWidth="1"/>
    <col min="14863" max="14863" width="3.140625" style="1259" customWidth="1"/>
    <col min="14864" max="14864" width="7" style="1259" customWidth="1"/>
    <col min="14865" max="14866" width="2.7109375" style="1259" customWidth="1"/>
    <col min="14867" max="14867" width="1.85546875" style="1259" customWidth="1"/>
    <col min="14868" max="14869" width="2.7109375" style="1259" customWidth="1"/>
    <col min="14870" max="14870" width="1.7109375" style="1259" customWidth="1"/>
    <col min="14871" max="14873" width="2.7109375" style="1259" customWidth="1"/>
    <col min="14874" max="14874" width="2.28515625" style="1259" customWidth="1"/>
    <col min="14875" max="14875" width="1.7109375" style="1259" customWidth="1"/>
    <col min="14876" max="14877" width="2.7109375" style="1259" customWidth="1"/>
    <col min="14878" max="14878" width="1.85546875" style="1259" customWidth="1"/>
    <col min="14879" max="14879" width="2.7109375" style="1259" customWidth="1"/>
    <col min="14880" max="14880" width="1.5703125" style="1259" customWidth="1"/>
    <col min="14881" max="14881" width="2.42578125" style="1259" customWidth="1"/>
    <col min="14882" max="14895" width="2.7109375" style="1259" customWidth="1"/>
    <col min="14896" max="14896" width="13.85546875" style="1259" bestFit="1" customWidth="1"/>
    <col min="14897" max="14897" width="8.7109375" style="1259" bestFit="1" customWidth="1"/>
    <col min="14898" max="14898" width="6.85546875" style="1259" bestFit="1" customWidth="1"/>
    <col min="14899" max="14899" width="9.5703125" style="1259" bestFit="1" customWidth="1"/>
    <col min="14900" max="14900" width="10.7109375" style="1259" bestFit="1" customWidth="1"/>
    <col min="14901" max="15104" width="9.140625" style="1259"/>
    <col min="15105" max="15105" width="10.85546875" style="1259" customWidth="1"/>
    <col min="15106" max="15106" width="1.7109375" style="1259" customWidth="1"/>
    <col min="15107" max="15107" width="1.5703125" style="1259" bestFit="1" customWidth="1"/>
    <col min="15108" max="15108" width="1.7109375" style="1259" customWidth="1"/>
    <col min="15109" max="15110" width="2.7109375" style="1259" customWidth="1"/>
    <col min="15111" max="15111" width="2.140625" style="1259" customWidth="1"/>
    <col min="15112" max="15112" width="2.7109375" style="1259" customWidth="1"/>
    <col min="15113" max="15113" width="3.5703125" style="1259" customWidth="1"/>
    <col min="15114" max="15114" width="2.140625" style="1259" customWidth="1"/>
    <col min="15115" max="15115" width="4" style="1259" customWidth="1"/>
    <col min="15116" max="15116" width="1.7109375" style="1259" customWidth="1"/>
    <col min="15117" max="15117" width="2.7109375" style="1259" customWidth="1"/>
    <col min="15118" max="15118" width="2.28515625" style="1259" customWidth="1"/>
    <col min="15119" max="15119" width="3.140625" style="1259" customWidth="1"/>
    <col min="15120" max="15120" width="7" style="1259" customWidth="1"/>
    <col min="15121" max="15122" width="2.7109375" style="1259" customWidth="1"/>
    <col min="15123" max="15123" width="1.85546875" style="1259" customWidth="1"/>
    <col min="15124" max="15125" width="2.7109375" style="1259" customWidth="1"/>
    <col min="15126" max="15126" width="1.7109375" style="1259" customWidth="1"/>
    <col min="15127" max="15129" width="2.7109375" style="1259" customWidth="1"/>
    <col min="15130" max="15130" width="2.28515625" style="1259" customWidth="1"/>
    <col min="15131" max="15131" width="1.7109375" style="1259" customWidth="1"/>
    <col min="15132" max="15133" width="2.7109375" style="1259" customWidth="1"/>
    <col min="15134" max="15134" width="1.85546875" style="1259" customWidth="1"/>
    <col min="15135" max="15135" width="2.7109375" style="1259" customWidth="1"/>
    <col min="15136" max="15136" width="1.5703125" style="1259" customWidth="1"/>
    <col min="15137" max="15137" width="2.42578125" style="1259" customWidth="1"/>
    <col min="15138" max="15151" width="2.7109375" style="1259" customWidth="1"/>
    <col min="15152" max="15152" width="13.85546875" style="1259" bestFit="1" customWidth="1"/>
    <col min="15153" max="15153" width="8.7109375" style="1259" bestFit="1" customWidth="1"/>
    <col min="15154" max="15154" width="6.85546875" style="1259" bestFit="1" customWidth="1"/>
    <col min="15155" max="15155" width="9.5703125" style="1259" bestFit="1" customWidth="1"/>
    <col min="15156" max="15156" width="10.7109375" style="1259" bestFit="1" customWidth="1"/>
    <col min="15157" max="15360" width="9.140625" style="1259"/>
    <col min="15361" max="15361" width="10.85546875" style="1259" customWidth="1"/>
    <col min="15362" max="15362" width="1.7109375" style="1259" customWidth="1"/>
    <col min="15363" max="15363" width="1.5703125" style="1259" bestFit="1" customWidth="1"/>
    <col min="15364" max="15364" width="1.7109375" style="1259" customWidth="1"/>
    <col min="15365" max="15366" width="2.7109375" style="1259" customWidth="1"/>
    <col min="15367" max="15367" width="2.140625" style="1259" customWidth="1"/>
    <col min="15368" max="15368" width="2.7109375" style="1259" customWidth="1"/>
    <col min="15369" max="15369" width="3.5703125" style="1259" customWidth="1"/>
    <col min="15370" max="15370" width="2.140625" style="1259" customWidth="1"/>
    <col min="15371" max="15371" width="4" style="1259" customWidth="1"/>
    <col min="15372" max="15372" width="1.7109375" style="1259" customWidth="1"/>
    <col min="15373" max="15373" width="2.7109375" style="1259" customWidth="1"/>
    <col min="15374" max="15374" width="2.28515625" style="1259" customWidth="1"/>
    <col min="15375" max="15375" width="3.140625" style="1259" customWidth="1"/>
    <col min="15376" max="15376" width="7" style="1259" customWidth="1"/>
    <col min="15377" max="15378" width="2.7109375" style="1259" customWidth="1"/>
    <col min="15379" max="15379" width="1.85546875" style="1259" customWidth="1"/>
    <col min="15380" max="15381" width="2.7109375" style="1259" customWidth="1"/>
    <col min="15382" max="15382" width="1.7109375" style="1259" customWidth="1"/>
    <col min="15383" max="15385" width="2.7109375" style="1259" customWidth="1"/>
    <col min="15386" max="15386" width="2.28515625" style="1259" customWidth="1"/>
    <col min="15387" max="15387" width="1.7109375" style="1259" customWidth="1"/>
    <col min="15388" max="15389" width="2.7109375" style="1259" customWidth="1"/>
    <col min="15390" max="15390" width="1.85546875" style="1259" customWidth="1"/>
    <col min="15391" max="15391" width="2.7109375" style="1259" customWidth="1"/>
    <col min="15392" max="15392" width="1.5703125" style="1259" customWidth="1"/>
    <col min="15393" max="15393" width="2.42578125" style="1259" customWidth="1"/>
    <col min="15394" max="15407" width="2.7109375" style="1259" customWidth="1"/>
    <col min="15408" max="15408" width="13.85546875" style="1259" bestFit="1" customWidth="1"/>
    <col min="15409" max="15409" width="8.7109375" style="1259" bestFit="1" customWidth="1"/>
    <col min="15410" max="15410" width="6.85546875" style="1259" bestFit="1" customWidth="1"/>
    <col min="15411" max="15411" width="9.5703125" style="1259" bestFit="1" customWidth="1"/>
    <col min="15412" max="15412" width="10.7109375" style="1259" bestFit="1" customWidth="1"/>
    <col min="15413" max="15616" width="9.140625" style="1259"/>
    <col min="15617" max="15617" width="10.85546875" style="1259" customWidth="1"/>
    <col min="15618" max="15618" width="1.7109375" style="1259" customWidth="1"/>
    <col min="15619" max="15619" width="1.5703125" style="1259" bestFit="1" customWidth="1"/>
    <col min="15620" max="15620" width="1.7109375" style="1259" customWidth="1"/>
    <col min="15621" max="15622" width="2.7109375" style="1259" customWidth="1"/>
    <col min="15623" max="15623" width="2.140625" style="1259" customWidth="1"/>
    <col min="15624" max="15624" width="2.7109375" style="1259" customWidth="1"/>
    <col min="15625" max="15625" width="3.5703125" style="1259" customWidth="1"/>
    <col min="15626" max="15626" width="2.140625" style="1259" customWidth="1"/>
    <col min="15627" max="15627" width="4" style="1259" customWidth="1"/>
    <col min="15628" max="15628" width="1.7109375" style="1259" customWidth="1"/>
    <col min="15629" max="15629" width="2.7109375" style="1259" customWidth="1"/>
    <col min="15630" max="15630" width="2.28515625" style="1259" customWidth="1"/>
    <col min="15631" max="15631" width="3.140625" style="1259" customWidth="1"/>
    <col min="15632" max="15632" width="7" style="1259" customWidth="1"/>
    <col min="15633" max="15634" width="2.7109375" style="1259" customWidth="1"/>
    <col min="15635" max="15635" width="1.85546875" style="1259" customWidth="1"/>
    <col min="15636" max="15637" width="2.7109375" style="1259" customWidth="1"/>
    <col min="15638" max="15638" width="1.7109375" style="1259" customWidth="1"/>
    <col min="15639" max="15641" width="2.7109375" style="1259" customWidth="1"/>
    <col min="15642" max="15642" width="2.28515625" style="1259" customWidth="1"/>
    <col min="15643" max="15643" width="1.7109375" style="1259" customWidth="1"/>
    <col min="15644" max="15645" width="2.7109375" style="1259" customWidth="1"/>
    <col min="15646" max="15646" width="1.85546875" style="1259" customWidth="1"/>
    <col min="15647" max="15647" width="2.7109375" style="1259" customWidth="1"/>
    <col min="15648" max="15648" width="1.5703125" style="1259" customWidth="1"/>
    <col min="15649" max="15649" width="2.42578125" style="1259" customWidth="1"/>
    <col min="15650" max="15663" width="2.7109375" style="1259" customWidth="1"/>
    <col min="15664" max="15664" width="13.85546875" style="1259" bestFit="1" customWidth="1"/>
    <col min="15665" max="15665" width="8.7109375" style="1259" bestFit="1" customWidth="1"/>
    <col min="15666" max="15666" width="6.85546875" style="1259" bestFit="1" customWidth="1"/>
    <col min="15667" max="15667" width="9.5703125" style="1259" bestFit="1" customWidth="1"/>
    <col min="15668" max="15668" width="10.7109375" style="1259" bestFit="1" customWidth="1"/>
    <col min="15669" max="15872" width="9.140625" style="1259"/>
    <col min="15873" max="15873" width="10.85546875" style="1259" customWidth="1"/>
    <col min="15874" max="15874" width="1.7109375" style="1259" customWidth="1"/>
    <col min="15875" max="15875" width="1.5703125" style="1259" bestFit="1" customWidth="1"/>
    <col min="15876" max="15876" width="1.7109375" style="1259" customWidth="1"/>
    <col min="15877" max="15878" width="2.7109375" style="1259" customWidth="1"/>
    <col min="15879" max="15879" width="2.140625" style="1259" customWidth="1"/>
    <col min="15880" max="15880" width="2.7109375" style="1259" customWidth="1"/>
    <col min="15881" max="15881" width="3.5703125" style="1259" customWidth="1"/>
    <col min="15882" max="15882" width="2.140625" style="1259" customWidth="1"/>
    <col min="15883" max="15883" width="4" style="1259" customWidth="1"/>
    <col min="15884" max="15884" width="1.7109375" style="1259" customWidth="1"/>
    <col min="15885" max="15885" width="2.7109375" style="1259" customWidth="1"/>
    <col min="15886" max="15886" width="2.28515625" style="1259" customWidth="1"/>
    <col min="15887" max="15887" width="3.140625" style="1259" customWidth="1"/>
    <col min="15888" max="15888" width="7" style="1259" customWidth="1"/>
    <col min="15889" max="15890" width="2.7109375" style="1259" customWidth="1"/>
    <col min="15891" max="15891" width="1.85546875" style="1259" customWidth="1"/>
    <col min="15892" max="15893" width="2.7109375" style="1259" customWidth="1"/>
    <col min="15894" max="15894" width="1.7109375" style="1259" customWidth="1"/>
    <col min="15895" max="15897" width="2.7109375" style="1259" customWidth="1"/>
    <col min="15898" max="15898" width="2.28515625" style="1259" customWidth="1"/>
    <col min="15899" max="15899" width="1.7109375" style="1259" customWidth="1"/>
    <col min="15900" max="15901" width="2.7109375" style="1259" customWidth="1"/>
    <col min="15902" max="15902" width="1.85546875" style="1259" customWidth="1"/>
    <col min="15903" max="15903" width="2.7109375" style="1259" customWidth="1"/>
    <col min="15904" max="15904" width="1.5703125" style="1259" customWidth="1"/>
    <col min="15905" max="15905" width="2.42578125" style="1259" customWidth="1"/>
    <col min="15906" max="15919" width="2.7109375" style="1259" customWidth="1"/>
    <col min="15920" max="15920" width="13.85546875" style="1259" bestFit="1" customWidth="1"/>
    <col min="15921" max="15921" width="8.7109375" style="1259" bestFit="1" customWidth="1"/>
    <col min="15922" max="15922" width="6.85546875" style="1259" bestFit="1" customWidth="1"/>
    <col min="15923" max="15923" width="9.5703125" style="1259" bestFit="1" customWidth="1"/>
    <col min="15924" max="15924" width="10.7109375" style="1259" bestFit="1" customWidth="1"/>
    <col min="15925" max="16128" width="9.140625" style="1259"/>
    <col min="16129" max="16129" width="10.85546875" style="1259" customWidth="1"/>
    <col min="16130" max="16130" width="1.7109375" style="1259" customWidth="1"/>
    <col min="16131" max="16131" width="1.5703125" style="1259" bestFit="1" customWidth="1"/>
    <col min="16132" max="16132" width="1.7109375" style="1259" customWidth="1"/>
    <col min="16133" max="16134" width="2.7109375" style="1259" customWidth="1"/>
    <col min="16135" max="16135" width="2.140625" style="1259" customWidth="1"/>
    <col min="16136" max="16136" width="2.7109375" style="1259" customWidth="1"/>
    <col min="16137" max="16137" width="3.5703125" style="1259" customWidth="1"/>
    <col min="16138" max="16138" width="2.140625" style="1259" customWidth="1"/>
    <col min="16139" max="16139" width="4" style="1259" customWidth="1"/>
    <col min="16140" max="16140" width="1.7109375" style="1259" customWidth="1"/>
    <col min="16141" max="16141" width="2.7109375" style="1259" customWidth="1"/>
    <col min="16142" max="16142" width="2.28515625" style="1259" customWidth="1"/>
    <col min="16143" max="16143" width="3.140625" style="1259" customWidth="1"/>
    <col min="16144" max="16144" width="7" style="1259" customWidth="1"/>
    <col min="16145" max="16146" width="2.7109375" style="1259" customWidth="1"/>
    <col min="16147" max="16147" width="1.85546875" style="1259" customWidth="1"/>
    <col min="16148" max="16149" width="2.7109375" style="1259" customWidth="1"/>
    <col min="16150" max="16150" width="1.7109375" style="1259" customWidth="1"/>
    <col min="16151" max="16153" width="2.7109375" style="1259" customWidth="1"/>
    <col min="16154" max="16154" width="2.28515625" style="1259" customWidth="1"/>
    <col min="16155" max="16155" width="1.7109375" style="1259" customWidth="1"/>
    <col min="16156" max="16157" width="2.7109375" style="1259" customWidth="1"/>
    <col min="16158" max="16158" width="1.85546875" style="1259" customWidth="1"/>
    <col min="16159" max="16159" width="2.7109375" style="1259" customWidth="1"/>
    <col min="16160" max="16160" width="1.5703125" style="1259" customWidth="1"/>
    <col min="16161" max="16161" width="2.42578125" style="1259" customWidth="1"/>
    <col min="16162" max="16175" width="2.7109375" style="1259" customWidth="1"/>
    <col min="16176" max="16176" width="13.85546875" style="1259" bestFit="1" customWidth="1"/>
    <col min="16177" max="16177" width="8.7109375" style="1259" bestFit="1" customWidth="1"/>
    <col min="16178" max="16178" width="6.85546875" style="1259" bestFit="1" customWidth="1"/>
    <col min="16179" max="16179" width="9.5703125" style="1259" bestFit="1" customWidth="1"/>
    <col min="16180" max="16180" width="10.7109375" style="1259" bestFit="1" customWidth="1"/>
    <col min="16181" max="16384" width="9.140625" style="1259"/>
  </cols>
  <sheetData>
    <row r="1" spans="1:52" ht="15.6" customHeight="1">
      <c r="A1" s="1253"/>
      <c r="B1" s="1254"/>
      <c r="C1" s="1255"/>
      <c r="D1" s="3252" t="s">
        <v>653</v>
      </c>
      <c r="E1" s="3253"/>
      <c r="F1" s="3253"/>
      <c r="G1" s="3253"/>
      <c r="H1" s="3253"/>
      <c r="I1" s="3253"/>
      <c r="J1" s="3253"/>
      <c r="K1" s="3253"/>
      <c r="L1" s="3253"/>
      <c r="M1" s="3253"/>
      <c r="N1" s="3253"/>
      <c r="O1" s="3253"/>
      <c r="P1" s="3253"/>
      <c r="Q1" s="3253"/>
      <c r="R1" s="3253"/>
      <c r="S1" s="3253"/>
      <c r="T1" s="3253"/>
      <c r="U1" s="3253"/>
      <c r="V1" s="3253"/>
      <c r="W1" s="3253"/>
      <c r="X1" s="3253"/>
      <c r="Y1" s="3253"/>
      <c r="Z1" s="3254" t="s">
        <v>654</v>
      </c>
      <c r="AA1" s="3255"/>
      <c r="AB1" s="3255"/>
      <c r="AC1" s="3255"/>
      <c r="AD1" s="3255"/>
      <c r="AE1" s="3255"/>
      <c r="AF1" s="3255"/>
      <c r="AG1" s="3256"/>
      <c r="AJ1" s="1257" t="s">
        <v>1223</v>
      </c>
      <c r="AN1" s="3260">
        <v>15006917103</v>
      </c>
      <c r="AO1" s="3260"/>
      <c r="AP1" s="3260"/>
      <c r="AQ1" s="3260"/>
      <c r="AZ1" s="1260" t="s">
        <v>673</v>
      </c>
    </row>
    <row r="2" spans="1:52" ht="15.6" customHeight="1">
      <c r="A2" s="1261"/>
      <c r="B2" s="1262"/>
      <c r="C2" s="1263"/>
      <c r="D2" s="3234" t="s">
        <v>2</v>
      </c>
      <c r="E2" s="3235"/>
      <c r="F2" s="3235"/>
      <c r="G2" s="3235"/>
      <c r="H2" s="3235"/>
      <c r="I2" s="3235"/>
      <c r="J2" s="3235"/>
      <c r="K2" s="3235"/>
      <c r="L2" s="3235"/>
      <c r="M2" s="3235"/>
      <c r="N2" s="3235"/>
      <c r="O2" s="3235"/>
      <c r="P2" s="3235"/>
      <c r="Q2" s="3235"/>
      <c r="R2" s="3235"/>
      <c r="S2" s="3235"/>
      <c r="T2" s="3235"/>
      <c r="U2" s="3235"/>
      <c r="V2" s="3235"/>
      <c r="W2" s="3235"/>
      <c r="X2" s="3235"/>
      <c r="Y2" s="3235"/>
      <c r="Z2" s="3257"/>
      <c r="AA2" s="3258"/>
      <c r="AB2" s="3258"/>
      <c r="AC2" s="3258"/>
      <c r="AD2" s="3258"/>
      <c r="AE2" s="3258"/>
      <c r="AF2" s="3258"/>
      <c r="AG2" s="3259"/>
      <c r="AJ2" s="1257" t="s">
        <v>1224</v>
      </c>
      <c r="AN2" s="3260">
        <v>10426380000</v>
      </c>
      <c r="AO2" s="3260"/>
      <c r="AP2" s="3260"/>
      <c r="AQ2" s="3260"/>
      <c r="AZ2" s="1260" t="s">
        <v>675</v>
      </c>
    </row>
    <row r="3" spans="1:52" ht="15.75">
      <c r="A3" s="1261"/>
      <c r="B3" s="1262"/>
      <c r="C3" s="1263"/>
      <c r="D3" s="3261" t="s">
        <v>153</v>
      </c>
      <c r="E3" s="3262"/>
      <c r="F3" s="3262"/>
      <c r="G3" s="3262"/>
      <c r="H3" s="3262"/>
      <c r="I3" s="3262"/>
      <c r="J3" s="3262"/>
      <c r="K3" s="3262"/>
      <c r="L3" s="3262"/>
      <c r="M3" s="3262"/>
      <c r="N3" s="3262"/>
      <c r="O3" s="3262"/>
      <c r="P3" s="3262"/>
      <c r="Q3" s="3262"/>
      <c r="R3" s="3262"/>
      <c r="S3" s="3262"/>
      <c r="T3" s="3262"/>
      <c r="U3" s="3262"/>
      <c r="V3" s="3262"/>
      <c r="W3" s="3262"/>
      <c r="X3" s="3262"/>
      <c r="Y3" s="3262"/>
      <c r="Z3" s="3262"/>
      <c r="AA3" s="3262"/>
      <c r="AB3" s="3262"/>
      <c r="AC3" s="3262"/>
      <c r="AD3" s="3262"/>
      <c r="AE3" s="3262"/>
      <c r="AF3" s="3262"/>
      <c r="AG3" s="3263"/>
      <c r="AJ3" s="1257" t="s">
        <v>1225</v>
      </c>
      <c r="AN3" s="3260">
        <f>SUM(AN1:AQ2)</f>
        <v>25433297103</v>
      </c>
      <c r="AO3" s="3260"/>
      <c r="AP3" s="3260"/>
      <c r="AQ3" s="3260"/>
      <c r="AZ3" s="1260" t="s">
        <v>677</v>
      </c>
    </row>
    <row r="4" spans="1:52" ht="14.25" customHeight="1">
      <c r="A4" s="1264"/>
      <c r="B4" s="1265"/>
      <c r="C4" s="1266"/>
      <c r="D4" s="3234" t="s">
        <v>1226</v>
      </c>
      <c r="E4" s="3235"/>
      <c r="F4" s="3235"/>
      <c r="G4" s="3235"/>
      <c r="H4" s="3235"/>
      <c r="I4" s="3235"/>
      <c r="J4" s="3235"/>
      <c r="K4" s="3235"/>
      <c r="L4" s="3235"/>
      <c r="M4" s="3235"/>
      <c r="N4" s="3235"/>
      <c r="O4" s="3235"/>
      <c r="P4" s="3235"/>
      <c r="Q4" s="3235"/>
      <c r="R4" s="3235"/>
      <c r="S4" s="3235"/>
      <c r="T4" s="3235"/>
      <c r="U4" s="3235"/>
      <c r="V4" s="3235"/>
      <c r="W4" s="3235"/>
      <c r="X4" s="3235"/>
      <c r="Y4" s="3235"/>
      <c r="Z4" s="3235"/>
      <c r="AA4" s="3235"/>
      <c r="AB4" s="3235"/>
      <c r="AC4" s="3235"/>
      <c r="AD4" s="3235"/>
      <c r="AE4" s="3235"/>
      <c r="AF4" s="3235"/>
      <c r="AG4" s="3236"/>
    </row>
    <row r="5" spans="1:52" s="1274" customFormat="1" ht="12">
      <c r="A5" s="1267" t="s">
        <v>31</v>
      </c>
      <c r="B5" s="1268"/>
      <c r="C5" s="1268"/>
      <c r="D5" s="1268"/>
      <c r="E5" s="1268"/>
      <c r="F5" s="1269" t="s">
        <v>523</v>
      </c>
      <c r="G5" s="1270" t="s">
        <v>655</v>
      </c>
      <c r="H5" s="1270"/>
      <c r="I5" s="1270"/>
      <c r="J5" s="1270"/>
      <c r="K5" s="1270"/>
      <c r="L5" s="1270"/>
      <c r="M5" s="1270"/>
      <c r="N5" s="1270"/>
      <c r="O5" s="1270"/>
      <c r="P5" s="1270"/>
      <c r="Q5" s="1270"/>
      <c r="R5" s="1270"/>
      <c r="S5" s="1271"/>
      <c r="T5" s="1271"/>
      <c r="U5" s="1271"/>
      <c r="V5" s="1271"/>
      <c r="W5" s="1271"/>
      <c r="X5" s="1271"/>
      <c r="Y5" s="1271"/>
      <c r="Z5" s="1271"/>
      <c r="AA5" s="1271"/>
      <c r="AB5" s="1271"/>
      <c r="AC5" s="1271"/>
      <c r="AD5" s="1271"/>
      <c r="AE5" s="1271"/>
      <c r="AF5" s="1271"/>
      <c r="AG5" s="1272"/>
      <c r="AH5" s="1256"/>
      <c r="AI5" s="1257"/>
      <c r="AJ5" s="1257"/>
      <c r="AK5" s="1257"/>
      <c r="AL5" s="1257"/>
      <c r="AM5" s="1257"/>
      <c r="AN5" s="1257"/>
      <c r="AO5" s="1257"/>
      <c r="AP5" s="1256"/>
      <c r="AQ5" s="1256"/>
      <c r="AR5" s="1257"/>
      <c r="AS5" s="1257"/>
      <c r="AT5" s="1257"/>
      <c r="AU5" s="1257"/>
      <c r="AV5" s="1273"/>
      <c r="AW5" s="1273"/>
    </row>
    <row r="6" spans="1:52" s="1274" customFormat="1" ht="12">
      <c r="A6" s="1267" t="s">
        <v>32</v>
      </c>
      <c r="B6" s="1268"/>
      <c r="C6" s="1268"/>
      <c r="D6" s="1268"/>
      <c r="E6" s="1268"/>
      <c r="F6" s="1269" t="s">
        <v>523</v>
      </c>
      <c r="G6" s="1270" t="s">
        <v>656</v>
      </c>
      <c r="H6" s="1270"/>
      <c r="I6" s="1270"/>
      <c r="J6" s="1270"/>
      <c r="K6" s="1270"/>
      <c r="L6" s="1270"/>
      <c r="M6" s="1270"/>
      <c r="N6" s="1270"/>
      <c r="O6" s="1270"/>
      <c r="P6" s="1270"/>
      <c r="Q6" s="1270"/>
      <c r="R6" s="1270"/>
      <c r="S6" s="1271"/>
      <c r="T6" s="1271"/>
      <c r="U6" s="1271"/>
      <c r="V6" s="1271"/>
      <c r="W6" s="1271"/>
      <c r="X6" s="1271"/>
      <c r="Y6" s="1271"/>
      <c r="Z6" s="1271"/>
      <c r="AA6" s="1271"/>
      <c r="AB6" s="1271"/>
      <c r="AC6" s="1271"/>
      <c r="AD6" s="1271"/>
      <c r="AE6" s="1271"/>
      <c r="AF6" s="1271"/>
      <c r="AG6" s="1272"/>
      <c r="AH6" s="1256"/>
      <c r="AI6" s="1257"/>
      <c r="AJ6" s="1257"/>
      <c r="AK6" s="1257"/>
      <c r="AL6" s="1257"/>
      <c r="AM6" s="1257"/>
      <c r="AN6" s="1257"/>
      <c r="AO6" s="1257"/>
      <c r="AP6" s="1256"/>
      <c r="AQ6" s="1256"/>
      <c r="AR6" s="1257"/>
      <c r="AS6" s="1257"/>
      <c r="AT6" s="1257"/>
      <c r="AU6" s="1257"/>
      <c r="AV6" s="1273"/>
      <c r="AW6" s="1273"/>
    </row>
    <row r="7" spans="1:52" ht="24" customHeight="1">
      <c r="A7" s="3237" t="s">
        <v>657</v>
      </c>
      <c r="B7" s="3238"/>
      <c r="C7" s="3238"/>
      <c r="D7" s="3238"/>
      <c r="E7" s="3238"/>
      <c r="F7" s="3238"/>
      <c r="G7" s="3238"/>
      <c r="H7" s="3238"/>
      <c r="I7" s="3238"/>
      <c r="J7" s="3238"/>
      <c r="K7" s="3238"/>
      <c r="L7" s="3238"/>
      <c r="M7" s="3238"/>
      <c r="N7" s="3238"/>
      <c r="O7" s="3238"/>
      <c r="P7" s="3238"/>
      <c r="Q7" s="3238"/>
      <c r="R7" s="3238"/>
      <c r="S7" s="3238"/>
      <c r="T7" s="3238"/>
      <c r="U7" s="3238"/>
      <c r="V7" s="3238"/>
      <c r="W7" s="3238"/>
      <c r="X7" s="3238"/>
      <c r="Y7" s="3238"/>
      <c r="Z7" s="3238"/>
      <c r="AA7" s="3238"/>
      <c r="AB7" s="3238"/>
      <c r="AC7" s="3238"/>
      <c r="AD7" s="3238"/>
      <c r="AE7" s="3238"/>
      <c r="AF7" s="3238"/>
      <c r="AG7" s="3239"/>
    </row>
    <row r="8" spans="1:52" s="1256" customFormat="1" ht="11.25">
      <c r="A8" s="3240" t="s">
        <v>14</v>
      </c>
      <c r="B8" s="3242" t="s">
        <v>658</v>
      </c>
      <c r="C8" s="3242"/>
      <c r="D8" s="3242"/>
      <c r="E8" s="3242"/>
      <c r="F8" s="3242"/>
      <c r="G8" s="3242"/>
      <c r="H8" s="3242"/>
      <c r="I8" s="3242"/>
      <c r="J8" s="3242"/>
      <c r="K8" s="3242"/>
      <c r="L8" s="3242"/>
      <c r="M8" s="3242"/>
      <c r="N8" s="3242"/>
      <c r="O8" s="3242"/>
      <c r="P8" s="3242"/>
      <c r="Q8" s="3243" t="s">
        <v>659</v>
      </c>
      <c r="R8" s="3244"/>
      <c r="S8" s="3244"/>
      <c r="T8" s="3244"/>
      <c r="U8" s="3244"/>
      <c r="V8" s="3244"/>
      <c r="W8" s="3244"/>
      <c r="X8" s="3244"/>
      <c r="Y8" s="3244"/>
      <c r="Z8" s="3244"/>
      <c r="AA8" s="3244"/>
      <c r="AB8" s="3245" t="s">
        <v>660</v>
      </c>
      <c r="AC8" s="3246"/>
      <c r="AD8" s="3246"/>
      <c r="AE8" s="3246"/>
      <c r="AF8" s="3246"/>
      <c r="AG8" s="3247"/>
      <c r="AI8" s="1257"/>
      <c r="AJ8" s="1257"/>
      <c r="AK8" s="1257"/>
      <c r="AL8" s="1257"/>
      <c r="AM8" s="1257"/>
      <c r="AN8" s="1257"/>
      <c r="AO8" s="1257"/>
      <c r="AR8" s="1257"/>
      <c r="AS8" s="1257"/>
      <c r="AT8" s="1257"/>
      <c r="AU8" s="1257"/>
      <c r="AV8" s="1257"/>
      <c r="AW8" s="1257"/>
    </row>
    <row r="9" spans="1:52" s="1256" customFormat="1" ht="11.25">
      <c r="A9" s="3241"/>
      <c r="B9" s="3242"/>
      <c r="C9" s="3242"/>
      <c r="D9" s="3242"/>
      <c r="E9" s="3242"/>
      <c r="F9" s="3242"/>
      <c r="G9" s="3242"/>
      <c r="H9" s="3242"/>
      <c r="I9" s="3242"/>
      <c r="J9" s="3242"/>
      <c r="K9" s="3242"/>
      <c r="L9" s="3242"/>
      <c r="M9" s="3242"/>
      <c r="N9" s="3242"/>
      <c r="O9" s="3242"/>
      <c r="P9" s="3242"/>
      <c r="Q9" s="3251" t="s">
        <v>18</v>
      </c>
      <c r="R9" s="3251"/>
      <c r="S9" s="3251"/>
      <c r="T9" s="3251" t="s">
        <v>661</v>
      </c>
      <c r="U9" s="3251"/>
      <c r="V9" s="3251"/>
      <c r="W9" s="3251" t="s">
        <v>20</v>
      </c>
      <c r="X9" s="3251"/>
      <c r="Y9" s="3251"/>
      <c r="Z9" s="3251"/>
      <c r="AA9" s="3243"/>
      <c r="AB9" s="3248"/>
      <c r="AC9" s="3249"/>
      <c r="AD9" s="3249"/>
      <c r="AE9" s="3249"/>
      <c r="AF9" s="3249"/>
      <c r="AG9" s="3250"/>
      <c r="AI9" s="3125" t="s">
        <v>20</v>
      </c>
      <c r="AJ9" s="3125"/>
      <c r="AK9" s="3125"/>
      <c r="AL9" s="3125"/>
      <c r="AM9" s="3125"/>
      <c r="AN9" s="3192" t="s">
        <v>866</v>
      </c>
      <c r="AO9" s="3192"/>
      <c r="AP9" s="3192"/>
      <c r="AQ9" s="3192"/>
      <c r="AR9" s="3192" t="s">
        <v>17</v>
      </c>
      <c r="AS9" s="3192"/>
      <c r="AT9" s="3192"/>
      <c r="AU9" s="3192"/>
      <c r="AV9" s="1257"/>
      <c r="AW9" s="1257"/>
    </row>
    <row r="10" spans="1:52" s="1274" customFormat="1" ht="9" customHeight="1">
      <c r="A10" s="1275">
        <v>1</v>
      </c>
      <c r="B10" s="3233">
        <v>2</v>
      </c>
      <c r="C10" s="3233"/>
      <c r="D10" s="3233"/>
      <c r="E10" s="3233"/>
      <c r="F10" s="3233"/>
      <c r="G10" s="3233"/>
      <c r="H10" s="3233"/>
      <c r="I10" s="3233"/>
      <c r="J10" s="3233"/>
      <c r="K10" s="3233"/>
      <c r="L10" s="3233"/>
      <c r="M10" s="3233"/>
      <c r="N10" s="3233"/>
      <c r="O10" s="3233"/>
      <c r="P10" s="3233"/>
      <c r="Q10" s="3233">
        <v>3</v>
      </c>
      <c r="R10" s="3233"/>
      <c r="S10" s="3233"/>
      <c r="T10" s="3233">
        <v>4</v>
      </c>
      <c r="U10" s="3233"/>
      <c r="V10" s="3233"/>
      <c r="W10" s="3233">
        <v>5</v>
      </c>
      <c r="X10" s="3233"/>
      <c r="Y10" s="3233"/>
      <c r="Z10" s="3233"/>
      <c r="AA10" s="3233"/>
      <c r="AB10" s="3233" t="s">
        <v>662</v>
      </c>
      <c r="AC10" s="3233"/>
      <c r="AD10" s="3233"/>
      <c r="AE10" s="3233"/>
      <c r="AF10" s="3233"/>
      <c r="AG10" s="3233"/>
      <c r="AH10" s="1256"/>
      <c r="AI10" s="1257"/>
      <c r="AJ10" s="1257"/>
      <c r="AK10" s="1257"/>
      <c r="AL10" s="1257"/>
      <c r="AM10" s="1257"/>
      <c r="AN10" s="1257"/>
      <c r="AO10" s="1257"/>
      <c r="AP10" s="1256"/>
      <c r="AQ10" s="1256"/>
      <c r="AR10" s="1257"/>
      <c r="AS10" s="1257"/>
      <c r="AT10" s="1257"/>
      <c r="AU10" s="1257"/>
      <c r="AV10" s="1273"/>
      <c r="AW10" s="1273"/>
    </row>
    <row r="11" spans="1:52" s="1260" customFormat="1" ht="11.25">
      <c r="A11" s="1276">
        <v>5</v>
      </c>
      <c r="B11" s="3230" t="s">
        <v>663</v>
      </c>
      <c r="C11" s="3230"/>
      <c r="D11" s="3230"/>
      <c r="E11" s="3230"/>
      <c r="F11" s="3230"/>
      <c r="G11" s="3230"/>
      <c r="H11" s="3230"/>
      <c r="I11" s="3230"/>
      <c r="J11" s="3230"/>
      <c r="K11" s="3230"/>
      <c r="L11" s="3230"/>
      <c r="M11" s="3230"/>
      <c r="N11" s="3230"/>
      <c r="O11" s="3230"/>
      <c r="P11" s="3230"/>
      <c r="Q11" s="3131"/>
      <c r="R11" s="3131"/>
      <c r="S11" s="3131"/>
      <c r="T11" s="3131"/>
      <c r="U11" s="3131"/>
      <c r="V11" s="3131"/>
      <c r="W11" s="3131"/>
      <c r="X11" s="3131"/>
      <c r="Y11" s="3131"/>
      <c r="Z11" s="3131"/>
      <c r="AA11" s="3131"/>
      <c r="AB11" s="3231">
        <f>AB12</f>
        <v>25371011880</v>
      </c>
      <c r="AC11" s="3232"/>
      <c r="AD11" s="3232"/>
      <c r="AE11" s="3232"/>
      <c r="AF11" s="3232"/>
      <c r="AG11" s="3232"/>
      <c r="AH11" s="1256"/>
      <c r="AI11" s="1277"/>
      <c r="AJ11" s="3125">
        <f>AB11-25433297103</f>
        <v>-62285223</v>
      </c>
      <c r="AK11" s="3125"/>
      <c r="AL11" s="3125"/>
      <c r="AM11" s="3125"/>
      <c r="AN11" s="1277"/>
      <c r="AO11" s="1277"/>
      <c r="AP11" s="1256"/>
      <c r="AQ11" s="1256"/>
      <c r="AR11" s="1257"/>
      <c r="AS11" s="1257"/>
      <c r="AT11" s="1257"/>
      <c r="AU11" s="1257"/>
      <c r="AV11" s="1278"/>
      <c r="AW11" s="1278"/>
    </row>
    <row r="12" spans="1:52" s="1260" customFormat="1" ht="11.25">
      <c r="A12" s="1279" t="s">
        <v>664</v>
      </c>
      <c r="B12" s="3227" t="s">
        <v>139</v>
      </c>
      <c r="C12" s="3227"/>
      <c r="D12" s="3227"/>
      <c r="E12" s="3227"/>
      <c r="F12" s="3227"/>
      <c r="G12" s="3227"/>
      <c r="H12" s="3227"/>
      <c r="I12" s="3227"/>
      <c r="J12" s="3227"/>
      <c r="K12" s="3227"/>
      <c r="L12" s="3227"/>
      <c r="M12" s="3227"/>
      <c r="N12" s="3227"/>
      <c r="O12" s="3227"/>
      <c r="P12" s="3227"/>
      <c r="Q12" s="3123"/>
      <c r="R12" s="3123"/>
      <c r="S12" s="3123"/>
      <c r="T12" s="3123"/>
      <c r="U12" s="3123"/>
      <c r="V12" s="3123"/>
      <c r="W12" s="3123"/>
      <c r="X12" s="3123"/>
      <c r="Y12" s="3123"/>
      <c r="Z12" s="3123"/>
      <c r="AA12" s="3123"/>
      <c r="AB12" s="3228">
        <f>AB13</f>
        <v>25371011880</v>
      </c>
      <c r="AC12" s="3229"/>
      <c r="AD12" s="3229"/>
      <c r="AE12" s="3229"/>
      <c r="AF12" s="3229"/>
      <c r="AG12" s="3229"/>
      <c r="AH12" s="1256"/>
      <c r="AI12" s="1277"/>
      <c r="AJ12" s="3125">
        <f>[39]BTL17!AB11-'BTL17 (4)'!AB11</f>
        <v>800223003</v>
      </c>
      <c r="AK12" s="3125"/>
      <c r="AL12" s="3125"/>
      <c r="AM12" s="3125"/>
      <c r="AN12" s="1277"/>
      <c r="AO12" s="1277"/>
      <c r="AP12" s="1256"/>
      <c r="AQ12" s="1256"/>
      <c r="AR12" s="1257"/>
      <c r="AS12" s="1257"/>
      <c r="AT12" s="1257"/>
      <c r="AU12" s="1257"/>
      <c r="AV12" s="1278"/>
      <c r="AW12" s="1278"/>
    </row>
    <row r="13" spans="1:52" s="1260" customFormat="1" ht="11.25">
      <c r="A13" s="1280" t="s">
        <v>665</v>
      </c>
      <c r="B13" s="3222" t="s">
        <v>343</v>
      </c>
      <c r="C13" s="3222"/>
      <c r="D13" s="3222"/>
      <c r="E13" s="3222"/>
      <c r="F13" s="3222"/>
      <c r="G13" s="3222"/>
      <c r="H13" s="3222"/>
      <c r="I13" s="3222"/>
      <c r="J13" s="3222"/>
      <c r="K13" s="3222"/>
      <c r="L13" s="3222"/>
      <c r="M13" s="3222"/>
      <c r="N13" s="3222"/>
      <c r="O13" s="3222"/>
      <c r="P13" s="3222"/>
      <c r="Q13" s="3198"/>
      <c r="R13" s="3198"/>
      <c r="S13" s="3198"/>
      <c r="T13" s="3198"/>
      <c r="U13" s="3198"/>
      <c r="V13" s="3198"/>
      <c r="W13" s="3198"/>
      <c r="X13" s="3198"/>
      <c r="Y13" s="3198"/>
      <c r="Z13" s="3198"/>
      <c r="AA13" s="3198"/>
      <c r="AB13" s="3223">
        <f>AB14+AB58</f>
        <v>25371011880</v>
      </c>
      <c r="AC13" s="3224"/>
      <c r="AD13" s="3224"/>
      <c r="AE13" s="3224"/>
      <c r="AF13" s="3224"/>
      <c r="AG13" s="3224"/>
      <c r="AH13" s="1256"/>
      <c r="AI13" s="1277"/>
      <c r="AJ13" s="1277"/>
      <c r="AK13" s="1277"/>
      <c r="AL13" s="1277"/>
      <c r="AM13" s="1277"/>
      <c r="AN13" s="1277"/>
      <c r="AO13" s="1257"/>
      <c r="AP13" s="1256"/>
      <c r="AQ13" s="1256"/>
      <c r="AR13" s="1257"/>
      <c r="AS13" s="1257"/>
      <c r="AT13" s="1257"/>
      <c r="AU13" s="1257"/>
      <c r="AV13" s="1278"/>
      <c r="AW13" s="1278"/>
    </row>
    <row r="14" spans="1:52" s="1260" customFormat="1" ht="11.25">
      <c r="A14" s="1281" t="s">
        <v>666</v>
      </c>
      <c r="B14" s="3193" t="s">
        <v>667</v>
      </c>
      <c r="C14" s="3193"/>
      <c r="D14" s="3193"/>
      <c r="E14" s="3193"/>
      <c r="F14" s="3193"/>
      <c r="G14" s="3193"/>
      <c r="H14" s="3193"/>
      <c r="I14" s="3193"/>
      <c r="J14" s="3193"/>
      <c r="K14" s="3193"/>
      <c r="L14" s="3193"/>
      <c r="M14" s="3193"/>
      <c r="N14" s="3193"/>
      <c r="O14" s="3193"/>
      <c r="P14" s="3193"/>
      <c r="Q14" s="3195"/>
      <c r="R14" s="3195"/>
      <c r="S14" s="3195"/>
      <c r="T14" s="3195"/>
      <c r="U14" s="3195"/>
      <c r="V14" s="3195"/>
      <c r="W14" s="3195"/>
      <c r="X14" s="3195"/>
      <c r="Y14" s="3195"/>
      <c r="Z14" s="3195"/>
      <c r="AA14" s="3195"/>
      <c r="AB14" s="3225">
        <f>AB15+AB20+AB24+AB30+AB35+AB40+AB43+AB46+AB49+AB52+AB55</f>
        <v>15155711880</v>
      </c>
      <c r="AC14" s="3226"/>
      <c r="AD14" s="3226"/>
      <c r="AE14" s="3226"/>
      <c r="AF14" s="3226"/>
      <c r="AG14" s="3226"/>
      <c r="AH14" s="1256"/>
      <c r="AI14" s="1277">
        <f>800740700*14</f>
        <v>11210369800</v>
      </c>
      <c r="AJ14" s="3125">
        <f>15006917103-AB14</f>
        <v>-148794777</v>
      </c>
      <c r="AK14" s="3125"/>
      <c r="AL14" s="3125"/>
      <c r="AM14" s="3125"/>
      <c r="AN14" s="1257">
        <v>15130177983</v>
      </c>
      <c r="AO14" s="1257"/>
      <c r="AP14" s="1256"/>
      <c r="AQ14" s="1256"/>
      <c r="AR14" s="1257"/>
      <c r="AS14" s="1257"/>
      <c r="AT14" s="1257"/>
      <c r="AU14" s="1257"/>
      <c r="AV14" s="1278"/>
      <c r="AW14" s="1278"/>
    </row>
    <row r="15" spans="1:52" s="1260" customFormat="1" ht="11.25">
      <c r="A15" s="1276" t="s">
        <v>668</v>
      </c>
      <c r="B15" s="3129" t="s">
        <v>141</v>
      </c>
      <c r="C15" s="3129"/>
      <c r="D15" s="3129"/>
      <c r="E15" s="3129"/>
      <c r="F15" s="3129"/>
      <c r="G15" s="3129"/>
      <c r="H15" s="3129"/>
      <c r="I15" s="3129"/>
      <c r="J15" s="3129"/>
      <c r="K15" s="3129"/>
      <c r="L15" s="3129"/>
      <c r="M15" s="3129"/>
      <c r="N15" s="3129"/>
      <c r="O15" s="3129"/>
      <c r="P15" s="3129"/>
      <c r="Q15" s="3131"/>
      <c r="R15" s="3131"/>
      <c r="S15" s="3131"/>
      <c r="T15" s="3131"/>
      <c r="U15" s="3131"/>
      <c r="V15" s="3131"/>
      <c r="W15" s="3131"/>
      <c r="X15" s="3131"/>
      <c r="Y15" s="3131"/>
      <c r="Z15" s="3131"/>
      <c r="AA15" s="3131"/>
      <c r="AB15" s="3219">
        <f>SUM(AB16:AG19)</f>
        <v>11688075000</v>
      </c>
      <c r="AC15" s="3220"/>
      <c r="AD15" s="3220"/>
      <c r="AE15" s="3220"/>
      <c r="AF15" s="3220"/>
      <c r="AG15" s="3221"/>
      <c r="AH15" s="1282"/>
      <c r="AI15" s="1277"/>
      <c r="AJ15" s="1277"/>
      <c r="AK15" s="1277"/>
      <c r="AL15" s="1277"/>
      <c r="AM15" s="1277"/>
      <c r="AN15" s="1257"/>
      <c r="AO15" s="1257"/>
      <c r="AP15" s="1256"/>
      <c r="AQ15" s="1256"/>
      <c r="AR15" s="1257"/>
      <c r="AS15" s="1257"/>
      <c r="AT15" s="1257"/>
      <c r="AU15" s="1257"/>
      <c r="AV15" s="1278"/>
      <c r="AW15" s="1278"/>
    </row>
    <row r="16" spans="1:52" s="1260" customFormat="1" ht="11.25">
      <c r="A16" s="1283"/>
      <c r="B16" s="1284"/>
      <c r="C16" s="1285" t="s">
        <v>669</v>
      </c>
      <c r="D16" s="1285"/>
      <c r="E16" s="1285"/>
      <c r="F16" s="1285"/>
      <c r="G16" s="3120">
        <v>32</v>
      </c>
      <c r="H16" s="3120"/>
      <c r="I16" s="3120"/>
      <c r="J16" s="3142">
        <v>14</v>
      </c>
      <c r="K16" s="3142"/>
      <c r="L16" s="3142"/>
      <c r="M16" s="1286"/>
      <c r="N16" s="1287"/>
      <c r="O16" s="1287"/>
      <c r="P16" s="1288"/>
      <c r="Q16" s="3122">
        <f>G16*J16</f>
        <v>448</v>
      </c>
      <c r="R16" s="3122"/>
      <c r="S16" s="3122"/>
      <c r="T16" s="3123" t="s">
        <v>62</v>
      </c>
      <c r="U16" s="3123"/>
      <c r="V16" s="3123"/>
      <c r="W16" s="3118">
        <v>3900000</v>
      </c>
      <c r="X16" s="3118"/>
      <c r="Y16" s="3118"/>
      <c r="Z16" s="3118"/>
      <c r="AA16" s="3118"/>
      <c r="AB16" s="3124">
        <f>W16*Q16</f>
        <v>1747200000</v>
      </c>
      <c r="AC16" s="3124"/>
      <c r="AD16" s="3124"/>
      <c r="AE16" s="3124"/>
      <c r="AF16" s="3124"/>
      <c r="AG16" s="3124"/>
      <c r="AH16" s="1289"/>
      <c r="AI16" s="3125">
        <v>101201100</v>
      </c>
      <c r="AJ16" s="3125"/>
      <c r="AK16" s="3125"/>
      <c r="AL16" s="3125"/>
      <c r="AM16" s="3125"/>
      <c r="AN16" s="3192">
        <v>26</v>
      </c>
      <c r="AO16" s="3192"/>
      <c r="AP16" s="3192"/>
      <c r="AQ16" s="3192"/>
      <c r="AR16" s="3192">
        <f>AI16/AN16</f>
        <v>3892350</v>
      </c>
      <c r="AS16" s="3192"/>
      <c r="AT16" s="3192"/>
      <c r="AU16" s="3192"/>
      <c r="AV16" s="1278"/>
      <c r="AW16" s="1278"/>
      <c r="AX16" s="1290"/>
      <c r="AY16" s="1290"/>
      <c r="AZ16" s="1290"/>
    </row>
    <row r="17" spans="1:52" s="1260" customFormat="1" ht="11.25">
      <c r="A17" s="1283"/>
      <c r="B17" s="1284"/>
      <c r="C17" s="1291" t="s">
        <v>363</v>
      </c>
      <c r="D17" s="1291"/>
      <c r="E17" s="1291"/>
      <c r="F17" s="1291"/>
      <c r="G17" s="3120">
        <v>194</v>
      </c>
      <c r="H17" s="3120"/>
      <c r="I17" s="3120"/>
      <c r="J17" s="3142">
        <v>14</v>
      </c>
      <c r="K17" s="3142"/>
      <c r="L17" s="3142"/>
      <c r="M17" s="1292"/>
      <c r="N17" s="1287"/>
      <c r="O17" s="1287"/>
      <c r="P17" s="1288"/>
      <c r="Q17" s="3122">
        <f>G17*J17</f>
        <v>2716</v>
      </c>
      <c r="R17" s="3122"/>
      <c r="S17" s="3122"/>
      <c r="T17" s="3123" t="s">
        <v>62</v>
      </c>
      <c r="U17" s="3123"/>
      <c r="V17" s="3123"/>
      <c r="W17" s="3118">
        <v>3200000</v>
      </c>
      <c r="X17" s="3118"/>
      <c r="Y17" s="3118"/>
      <c r="Z17" s="3118"/>
      <c r="AA17" s="3118"/>
      <c r="AB17" s="3124">
        <f>W17*Q17</f>
        <v>8691200000</v>
      </c>
      <c r="AC17" s="3124"/>
      <c r="AD17" s="3124"/>
      <c r="AE17" s="3124"/>
      <c r="AF17" s="3124"/>
      <c r="AG17" s="3124"/>
      <c r="AH17" s="1256"/>
      <c r="AI17" s="3125">
        <v>637878100</v>
      </c>
      <c r="AJ17" s="3125"/>
      <c r="AK17" s="3125"/>
      <c r="AL17" s="3125"/>
      <c r="AM17" s="3125"/>
      <c r="AN17" s="3192">
        <v>202</v>
      </c>
      <c r="AO17" s="3192"/>
      <c r="AP17" s="3192"/>
      <c r="AQ17" s="3192"/>
      <c r="AR17" s="3192">
        <f>AI17/AN17</f>
        <v>3157812.3762376239</v>
      </c>
      <c r="AS17" s="3192"/>
      <c r="AT17" s="3192"/>
      <c r="AU17" s="3192"/>
      <c r="AV17" s="1278"/>
      <c r="AW17" s="1278"/>
      <c r="AX17" s="1290"/>
      <c r="AY17" s="1290"/>
      <c r="AZ17" s="1290"/>
    </row>
    <row r="18" spans="1:52" s="1260" customFormat="1" ht="11.25">
      <c r="A18" s="1283"/>
      <c r="B18" s="1284"/>
      <c r="C18" s="1291" t="s">
        <v>670</v>
      </c>
      <c r="D18" s="1291"/>
      <c r="E18" s="1291"/>
      <c r="F18" s="1291"/>
      <c r="G18" s="3120">
        <v>26</v>
      </c>
      <c r="H18" s="3120"/>
      <c r="I18" s="3120"/>
      <c r="J18" s="3142">
        <v>14</v>
      </c>
      <c r="K18" s="3142"/>
      <c r="L18" s="3142"/>
      <c r="M18" s="1292"/>
      <c r="N18" s="1287"/>
      <c r="O18" s="1287"/>
      <c r="P18" s="1288"/>
      <c r="Q18" s="3122">
        <f>G18*J18</f>
        <v>364</v>
      </c>
      <c r="R18" s="3122"/>
      <c r="S18" s="3122"/>
      <c r="T18" s="3123" t="s">
        <v>62</v>
      </c>
      <c r="U18" s="3123"/>
      <c r="V18" s="3123"/>
      <c r="W18" s="3118">
        <v>2650000</v>
      </c>
      <c r="X18" s="3118"/>
      <c r="Y18" s="3118"/>
      <c r="Z18" s="3118"/>
      <c r="AA18" s="3118"/>
      <c r="AB18" s="3124">
        <f>W18*Q18</f>
        <v>964600000</v>
      </c>
      <c r="AC18" s="3124"/>
      <c r="AD18" s="3124"/>
      <c r="AE18" s="3124"/>
      <c r="AF18" s="3124"/>
      <c r="AG18" s="3124"/>
      <c r="AH18" s="1256"/>
      <c r="AI18" s="3125">
        <v>70553600</v>
      </c>
      <c r="AJ18" s="3125"/>
      <c r="AK18" s="3125"/>
      <c r="AL18" s="3125"/>
      <c r="AM18" s="3125"/>
      <c r="AN18" s="3192">
        <v>27</v>
      </c>
      <c r="AO18" s="3192"/>
      <c r="AP18" s="3192"/>
      <c r="AQ18" s="3192"/>
      <c r="AR18" s="3192">
        <f>AI18/AN18</f>
        <v>2613096.2962962962</v>
      </c>
      <c r="AS18" s="3192"/>
      <c r="AT18" s="3192"/>
      <c r="AU18" s="3192"/>
      <c r="AV18" s="1278"/>
      <c r="AW18" s="1278"/>
      <c r="AX18" s="1290"/>
      <c r="AY18" s="1290"/>
      <c r="AZ18" s="1290"/>
    </row>
    <row r="19" spans="1:52" s="1260" customFormat="1" ht="11.25">
      <c r="A19" s="1293"/>
      <c r="B19" s="1294"/>
      <c r="C19" s="1295" t="s">
        <v>671</v>
      </c>
      <c r="D19" s="1295"/>
      <c r="E19" s="1295"/>
      <c r="F19" s="1295"/>
      <c r="G19" s="3285">
        <f>SUM(G16:H18)</f>
        <v>252</v>
      </c>
      <c r="H19" s="3285"/>
      <c r="I19" s="3285"/>
      <c r="J19" s="3285"/>
      <c r="K19" s="1296"/>
      <c r="L19" s="1296"/>
      <c r="M19" s="1297"/>
      <c r="N19" s="1297"/>
      <c r="O19" s="1297"/>
      <c r="P19" s="1298"/>
      <c r="Q19" s="3197">
        <v>1</v>
      </c>
      <c r="R19" s="3197"/>
      <c r="S19" s="3197"/>
      <c r="T19" s="3198" t="s">
        <v>63</v>
      </c>
      <c r="U19" s="3198"/>
      <c r="V19" s="3198"/>
      <c r="W19" s="3139">
        <f>ROUNDUP(2.5%*SUM(AB16:AG18),-3)</f>
        <v>285075000</v>
      </c>
      <c r="X19" s="3139"/>
      <c r="Y19" s="3139"/>
      <c r="Z19" s="3139"/>
      <c r="AA19" s="3139"/>
      <c r="AB19" s="3286">
        <f>W19*Q19</f>
        <v>285075000</v>
      </c>
      <c r="AC19" s="3287"/>
      <c r="AD19" s="3287"/>
      <c r="AE19" s="3287"/>
      <c r="AF19" s="3287"/>
      <c r="AG19" s="3288"/>
      <c r="AH19" s="1256"/>
      <c r="AI19" s="1299"/>
      <c r="AJ19" s="1299"/>
      <c r="AK19" s="1299"/>
      <c r="AL19" s="1299"/>
      <c r="AM19" s="1299"/>
      <c r="AN19" s="1257"/>
      <c r="AO19" s="1257"/>
      <c r="AP19" s="1256"/>
      <c r="AQ19" s="1256"/>
      <c r="AR19" s="1257"/>
      <c r="AS19" s="1257"/>
      <c r="AT19" s="1257"/>
      <c r="AU19" s="1257"/>
      <c r="AV19" s="1278"/>
      <c r="AW19" s="1278"/>
    </row>
    <row r="20" spans="1:52" s="1260" customFormat="1" ht="11.25">
      <c r="A20" s="1300" t="s">
        <v>672</v>
      </c>
      <c r="B20" s="3129" t="s">
        <v>867</v>
      </c>
      <c r="C20" s="3129"/>
      <c r="D20" s="3129"/>
      <c r="E20" s="3129"/>
      <c r="F20" s="3129"/>
      <c r="G20" s="3129"/>
      <c r="H20" s="3129"/>
      <c r="I20" s="3129"/>
      <c r="J20" s="3129"/>
      <c r="K20" s="3129"/>
      <c r="L20" s="3129"/>
      <c r="M20" s="3129"/>
      <c r="N20" s="3129"/>
      <c r="O20" s="3129"/>
      <c r="P20" s="3129"/>
      <c r="Q20" s="3184"/>
      <c r="R20" s="3184"/>
      <c r="S20" s="3184"/>
      <c r="T20" s="3131"/>
      <c r="U20" s="3131"/>
      <c r="V20" s="3131"/>
      <c r="W20" s="3132"/>
      <c r="X20" s="3132"/>
      <c r="Y20" s="3132"/>
      <c r="Z20" s="3132"/>
      <c r="AA20" s="3132"/>
      <c r="AB20" s="3132">
        <f>SUM(AB21:AG23)</f>
        <v>900504000</v>
      </c>
      <c r="AC20" s="3132"/>
      <c r="AD20" s="3132"/>
      <c r="AE20" s="3132"/>
      <c r="AF20" s="3132"/>
      <c r="AG20" s="3132"/>
      <c r="AH20" s="1256"/>
      <c r="AI20" s="1257">
        <f>48784650*13</f>
        <v>634200450</v>
      </c>
      <c r="AJ20" s="1257"/>
      <c r="AK20" s="1257"/>
      <c r="AL20" s="1257"/>
      <c r="AM20" s="1257"/>
      <c r="AN20" s="1257"/>
      <c r="AO20" s="1257"/>
      <c r="AP20" s="1256"/>
      <c r="AQ20" s="1256"/>
      <c r="AR20" s="1257"/>
      <c r="AS20" s="1257"/>
      <c r="AT20" s="1257"/>
      <c r="AU20" s="1257"/>
      <c r="AV20" s="1278"/>
      <c r="AW20" s="1278"/>
    </row>
    <row r="21" spans="1:52" s="1260" customFormat="1" ht="11.25">
      <c r="A21" s="1283"/>
      <c r="B21" s="1284"/>
      <c r="C21" s="1291" t="s">
        <v>674</v>
      </c>
      <c r="D21" s="1301"/>
      <c r="E21" s="1291"/>
      <c r="F21" s="1291"/>
      <c r="G21" s="3120">
        <v>158</v>
      </c>
      <c r="H21" s="3120"/>
      <c r="I21" s="3120"/>
      <c r="J21" s="3142">
        <v>13</v>
      </c>
      <c r="K21" s="3142"/>
      <c r="L21" s="3142"/>
      <c r="M21" s="1286"/>
      <c r="N21" s="1286"/>
      <c r="O21" s="1287"/>
      <c r="P21" s="1288"/>
      <c r="Q21" s="3122">
        <f>G21*J21</f>
        <v>2054</v>
      </c>
      <c r="R21" s="3122"/>
      <c r="S21" s="3122"/>
      <c r="T21" s="3123" t="s">
        <v>62</v>
      </c>
      <c r="U21" s="3123"/>
      <c r="V21" s="3123"/>
      <c r="W21" s="3118">
        <v>315000</v>
      </c>
      <c r="X21" s="3118"/>
      <c r="Y21" s="3118"/>
      <c r="Z21" s="3118"/>
      <c r="AA21" s="3118"/>
      <c r="AB21" s="3124">
        <f>Q21*W21</f>
        <v>647010000</v>
      </c>
      <c r="AC21" s="3124"/>
      <c r="AD21" s="3124"/>
      <c r="AE21" s="3124"/>
      <c r="AF21" s="3124"/>
      <c r="AG21" s="3124"/>
      <c r="AH21" s="1256"/>
      <c r="AI21" s="3125">
        <v>49893390</v>
      </c>
      <c r="AJ21" s="3125"/>
      <c r="AK21" s="3125"/>
      <c r="AL21" s="3125"/>
      <c r="AM21" s="3125"/>
      <c r="AN21" s="3192">
        <v>158</v>
      </c>
      <c r="AO21" s="3192"/>
      <c r="AP21" s="3192"/>
      <c r="AQ21" s="3192"/>
      <c r="AR21" s="3192">
        <f>AI21/AN21</f>
        <v>315780.94936708861</v>
      </c>
      <c r="AS21" s="3192"/>
      <c r="AT21" s="3192"/>
      <c r="AU21" s="3192"/>
      <c r="AV21" s="1278"/>
      <c r="AW21" s="1278"/>
      <c r="AX21" s="1290"/>
      <c r="AY21" s="1278"/>
      <c r="AZ21" s="1302"/>
    </row>
    <row r="22" spans="1:52" s="1260" customFormat="1" ht="11.25">
      <c r="A22" s="1283"/>
      <c r="B22" s="1284"/>
      <c r="C22" s="1291" t="s">
        <v>676</v>
      </c>
      <c r="D22" s="1301"/>
      <c r="E22" s="1291"/>
      <c r="F22" s="1291"/>
      <c r="G22" s="3120">
        <v>274</v>
      </c>
      <c r="H22" s="3120"/>
      <c r="I22" s="3120"/>
      <c r="J22" s="3142">
        <v>13</v>
      </c>
      <c r="K22" s="3142"/>
      <c r="L22" s="3142"/>
      <c r="M22" s="1286"/>
      <c r="N22" s="1286"/>
      <c r="O22" s="1287"/>
      <c r="P22" s="1288"/>
      <c r="Q22" s="3122">
        <f>G22*J22</f>
        <v>3562</v>
      </c>
      <c r="R22" s="3122"/>
      <c r="S22" s="3122"/>
      <c r="T22" s="3123" t="s">
        <v>62</v>
      </c>
      <c r="U22" s="3123"/>
      <c r="V22" s="3123"/>
      <c r="W22" s="3118">
        <v>65000</v>
      </c>
      <c r="X22" s="3118"/>
      <c r="Y22" s="3118"/>
      <c r="Z22" s="3118"/>
      <c r="AA22" s="3118"/>
      <c r="AB22" s="3124">
        <f>Q22*W22</f>
        <v>231530000</v>
      </c>
      <c r="AC22" s="3124"/>
      <c r="AD22" s="3124"/>
      <c r="AE22" s="3124"/>
      <c r="AF22" s="3124"/>
      <c r="AG22" s="3124"/>
      <c r="AH22" s="1256"/>
      <c r="AI22" s="3125">
        <v>17359362</v>
      </c>
      <c r="AJ22" s="3125"/>
      <c r="AK22" s="3125"/>
      <c r="AL22" s="3125"/>
      <c r="AM22" s="3125"/>
      <c r="AN22" s="3192">
        <v>273</v>
      </c>
      <c r="AO22" s="3192"/>
      <c r="AP22" s="3192"/>
      <c r="AQ22" s="3192"/>
      <c r="AR22" s="3192">
        <f>AI22/AN22</f>
        <v>63587.406593406595</v>
      </c>
      <c r="AS22" s="3192"/>
      <c r="AT22" s="3192"/>
      <c r="AU22" s="3192"/>
      <c r="AV22" s="1278"/>
      <c r="AW22" s="1278"/>
      <c r="AX22" s="1290"/>
      <c r="AY22" s="1278"/>
      <c r="AZ22" s="1278"/>
    </row>
    <row r="23" spans="1:52" s="1260" customFormat="1" ht="11.25">
      <c r="A23" s="1293"/>
      <c r="B23" s="1294"/>
      <c r="C23" s="1295" t="s">
        <v>678</v>
      </c>
      <c r="D23" s="1303"/>
      <c r="E23" s="1295"/>
      <c r="F23" s="1295"/>
      <c r="G23" s="3285">
        <f>SUM(G21:H22)</f>
        <v>432</v>
      </c>
      <c r="H23" s="3285"/>
      <c r="I23" s="3285"/>
      <c r="J23" s="1295"/>
      <c r="K23" s="1295"/>
      <c r="L23" s="1295"/>
      <c r="M23" s="1297"/>
      <c r="N23" s="1297"/>
      <c r="O23" s="1297"/>
      <c r="P23" s="1298"/>
      <c r="Q23" s="3197">
        <v>1</v>
      </c>
      <c r="R23" s="3197"/>
      <c r="S23" s="3197"/>
      <c r="T23" s="3198" t="s">
        <v>63</v>
      </c>
      <c r="U23" s="3198"/>
      <c r="V23" s="3198"/>
      <c r="W23" s="3203">
        <f>ROUNDUP(2.5%*SUM(AB21:AG22),-3)</f>
        <v>21964000</v>
      </c>
      <c r="X23" s="3204"/>
      <c r="Y23" s="3204"/>
      <c r="Z23" s="3204"/>
      <c r="AA23" s="3205"/>
      <c r="AB23" s="3199">
        <f>Q23*W23</f>
        <v>21964000</v>
      </c>
      <c r="AC23" s="3199"/>
      <c r="AD23" s="3199"/>
      <c r="AE23" s="3199"/>
      <c r="AF23" s="3199"/>
      <c r="AG23" s="3199"/>
      <c r="AH23" s="1256"/>
      <c r="AI23" s="1299"/>
      <c r="AJ23" s="1299"/>
      <c r="AK23" s="1299"/>
      <c r="AL23" s="1299"/>
      <c r="AM23" s="1299"/>
      <c r="AN23" s="1257"/>
      <c r="AO23" s="1257"/>
      <c r="AP23" s="1256"/>
      <c r="AQ23" s="1256"/>
      <c r="AR23" s="1257"/>
      <c r="AS23" s="1257"/>
      <c r="AT23" s="1257"/>
      <c r="AU23" s="1257"/>
      <c r="AV23" s="1278"/>
      <c r="AW23" s="1278"/>
    </row>
    <row r="24" spans="1:52" s="1260" customFormat="1" ht="11.25">
      <c r="A24" s="1300" t="s">
        <v>679</v>
      </c>
      <c r="B24" s="3129" t="s">
        <v>680</v>
      </c>
      <c r="C24" s="3129"/>
      <c r="D24" s="3129"/>
      <c r="E24" s="3129"/>
      <c r="F24" s="3129"/>
      <c r="G24" s="3129"/>
      <c r="H24" s="3129"/>
      <c r="I24" s="3129"/>
      <c r="J24" s="3129"/>
      <c r="K24" s="3129"/>
      <c r="L24" s="3129"/>
      <c r="M24" s="3129"/>
      <c r="N24" s="3129"/>
      <c r="O24" s="3129"/>
      <c r="P24" s="3129"/>
      <c r="Q24" s="3184"/>
      <c r="R24" s="3184"/>
      <c r="S24" s="3184"/>
      <c r="T24" s="3131"/>
      <c r="U24" s="3131"/>
      <c r="V24" s="3131"/>
      <c r="W24" s="3132"/>
      <c r="X24" s="3132"/>
      <c r="Y24" s="3132"/>
      <c r="Z24" s="3132"/>
      <c r="AA24" s="3132"/>
      <c r="AB24" s="3132">
        <f>SUM(AB25:AG29)</f>
        <v>225260000</v>
      </c>
      <c r="AC24" s="3132"/>
      <c r="AD24" s="3132"/>
      <c r="AE24" s="3132"/>
      <c r="AF24" s="3132"/>
      <c r="AG24" s="3132"/>
      <c r="AH24" s="1256"/>
      <c r="AI24" s="1299">
        <f>16905000*13</f>
        <v>219765000</v>
      </c>
      <c r="AJ24" s="1299"/>
      <c r="AK24" s="1299"/>
      <c r="AL24" s="1299"/>
      <c r="AM24" s="1299"/>
      <c r="AN24" s="1257"/>
      <c r="AO24" s="1257"/>
      <c r="AP24" s="1256"/>
      <c r="AQ24" s="1256"/>
      <c r="AR24" s="1257"/>
      <c r="AS24" s="1257"/>
      <c r="AT24" s="1257"/>
      <c r="AU24" s="1257"/>
      <c r="AV24" s="1278">
        <f>16905000*13+40000000</f>
        <v>259765000</v>
      </c>
      <c r="AW24" s="1278"/>
    </row>
    <row r="25" spans="1:52" s="1260" customFormat="1" ht="11.25">
      <c r="A25" s="1283"/>
      <c r="B25" s="1284"/>
      <c r="C25" s="1285" t="s">
        <v>681</v>
      </c>
      <c r="D25" s="1301"/>
      <c r="E25" s="1304"/>
      <c r="F25" s="1304"/>
      <c r="G25" s="3120">
        <v>1</v>
      </c>
      <c r="H25" s="3120"/>
      <c r="I25" s="3120"/>
      <c r="J25" s="3142">
        <v>13</v>
      </c>
      <c r="K25" s="3142"/>
      <c r="L25" s="3142"/>
      <c r="M25" s="1286"/>
      <c r="N25" s="1286"/>
      <c r="O25" s="1287"/>
      <c r="P25" s="1288"/>
      <c r="Q25" s="3122">
        <f>G25*J25</f>
        <v>13</v>
      </c>
      <c r="R25" s="3122"/>
      <c r="S25" s="3122"/>
      <c r="T25" s="3123" t="s">
        <v>62</v>
      </c>
      <c r="U25" s="3123"/>
      <c r="V25" s="3123"/>
      <c r="W25" s="3118">
        <v>2025000</v>
      </c>
      <c r="X25" s="3118"/>
      <c r="Y25" s="3118"/>
      <c r="Z25" s="3118"/>
      <c r="AA25" s="3118"/>
      <c r="AB25" s="3124">
        <f>Q25*W25</f>
        <v>26325000</v>
      </c>
      <c r="AC25" s="3124"/>
      <c r="AD25" s="3124"/>
      <c r="AE25" s="3124"/>
      <c r="AF25" s="3124"/>
      <c r="AG25" s="3124"/>
      <c r="AH25" s="1256"/>
      <c r="AI25" s="3125">
        <v>2025000</v>
      </c>
      <c r="AJ25" s="3125"/>
      <c r="AK25" s="3125"/>
      <c r="AL25" s="3125"/>
      <c r="AM25" s="3125"/>
      <c r="AN25" s="1257"/>
      <c r="AO25" s="1257"/>
      <c r="AP25" s="1256"/>
      <c r="AQ25" s="1256"/>
      <c r="AR25" s="1257"/>
      <c r="AS25" s="1257"/>
      <c r="AT25" s="1257"/>
      <c r="AU25" s="1257"/>
      <c r="AV25" s="1278"/>
      <c r="AW25" s="1278"/>
    </row>
    <row r="26" spans="1:52" s="1260" customFormat="1" ht="11.25">
      <c r="A26" s="1283"/>
      <c r="B26" s="1284"/>
      <c r="C26" s="1291" t="s">
        <v>682</v>
      </c>
      <c r="D26" s="1301"/>
      <c r="E26" s="1287"/>
      <c r="F26" s="1287"/>
      <c r="G26" s="3120">
        <v>2</v>
      </c>
      <c r="H26" s="3120"/>
      <c r="I26" s="3120"/>
      <c r="J26" s="3142">
        <v>13</v>
      </c>
      <c r="K26" s="3142"/>
      <c r="L26" s="3142"/>
      <c r="M26" s="1286"/>
      <c r="N26" s="1286"/>
      <c r="O26" s="1287"/>
      <c r="P26" s="1288"/>
      <c r="Q26" s="3122">
        <f>G26*J26</f>
        <v>26</v>
      </c>
      <c r="R26" s="3122"/>
      <c r="S26" s="3122"/>
      <c r="T26" s="3123" t="s">
        <v>62</v>
      </c>
      <c r="U26" s="3123"/>
      <c r="V26" s="3123"/>
      <c r="W26" s="3118">
        <v>1260000</v>
      </c>
      <c r="X26" s="3118"/>
      <c r="Y26" s="3118"/>
      <c r="Z26" s="3118"/>
      <c r="AA26" s="3118"/>
      <c r="AB26" s="3124">
        <f>Q26*W26</f>
        <v>32760000</v>
      </c>
      <c r="AC26" s="3124"/>
      <c r="AD26" s="3124"/>
      <c r="AE26" s="3124"/>
      <c r="AF26" s="3124"/>
      <c r="AG26" s="3124"/>
      <c r="AH26" s="1256"/>
      <c r="AI26" s="3125">
        <v>1260000</v>
      </c>
      <c r="AJ26" s="3125"/>
      <c r="AK26" s="3125"/>
      <c r="AL26" s="3125"/>
      <c r="AM26" s="3125"/>
      <c r="AN26" s="1257"/>
      <c r="AO26" s="1257"/>
      <c r="AP26" s="1256"/>
      <c r="AQ26" s="1256"/>
      <c r="AR26" s="1257"/>
      <c r="AS26" s="1257"/>
      <c r="AT26" s="1257"/>
      <c r="AU26" s="1257"/>
      <c r="AV26" s="1278"/>
      <c r="AW26" s="1278"/>
    </row>
    <row r="27" spans="1:52" s="1260" customFormat="1" ht="11.25">
      <c r="A27" s="1283"/>
      <c r="B27" s="1284"/>
      <c r="C27" s="1291" t="s">
        <v>683</v>
      </c>
      <c r="D27" s="1301"/>
      <c r="E27" s="1287"/>
      <c r="F27" s="1287"/>
      <c r="G27" s="3120">
        <v>6</v>
      </c>
      <c r="H27" s="3120"/>
      <c r="I27" s="3120"/>
      <c r="J27" s="3142">
        <v>13</v>
      </c>
      <c r="K27" s="3142"/>
      <c r="L27" s="3142"/>
      <c r="M27" s="1286"/>
      <c r="N27" s="1286"/>
      <c r="O27" s="1287"/>
      <c r="P27" s="1288"/>
      <c r="Q27" s="3122">
        <f>G27*J27</f>
        <v>78</v>
      </c>
      <c r="R27" s="3122"/>
      <c r="S27" s="3122"/>
      <c r="T27" s="3123" t="s">
        <v>62</v>
      </c>
      <c r="U27" s="3123"/>
      <c r="V27" s="3123"/>
      <c r="W27" s="3118">
        <v>980000</v>
      </c>
      <c r="X27" s="3118"/>
      <c r="Y27" s="3118"/>
      <c r="Z27" s="3118"/>
      <c r="AA27" s="3118"/>
      <c r="AB27" s="3124">
        <f>Q27*W27</f>
        <v>76440000</v>
      </c>
      <c r="AC27" s="3124"/>
      <c r="AD27" s="3124"/>
      <c r="AE27" s="3124"/>
      <c r="AF27" s="3124"/>
      <c r="AG27" s="3124"/>
      <c r="AH27" s="1256"/>
      <c r="AI27" s="3125">
        <v>980000</v>
      </c>
      <c r="AJ27" s="3125"/>
      <c r="AK27" s="3125"/>
      <c r="AL27" s="3125"/>
      <c r="AM27" s="3125"/>
      <c r="AN27" s="1257"/>
      <c r="AO27" s="1257"/>
      <c r="AP27" s="1256"/>
      <c r="AQ27" s="1256"/>
      <c r="AR27" s="1257"/>
      <c r="AS27" s="1257"/>
      <c r="AT27" s="1257"/>
      <c r="AU27" s="1257"/>
      <c r="AV27" s="1278"/>
      <c r="AW27" s="1278"/>
    </row>
    <row r="28" spans="1:52" s="1260" customFormat="1" ht="11.25">
      <c r="A28" s="1283"/>
      <c r="B28" s="1284"/>
      <c r="C28" s="1291" t="s">
        <v>684</v>
      </c>
      <c r="D28" s="1301"/>
      <c r="E28" s="1287"/>
      <c r="F28" s="1287"/>
      <c r="G28" s="3120">
        <v>12</v>
      </c>
      <c r="H28" s="3120"/>
      <c r="I28" s="3120"/>
      <c r="J28" s="3142">
        <v>13</v>
      </c>
      <c r="K28" s="3142"/>
      <c r="L28" s="3142"/>
      <c r="M28" s="1286"/>
      <c r="N28" s="1286"/>
      <c r="O28" s="1287"/>
      <c r="P28" s="1288"/>
      <c r="Q28" s="3122">
        <f>G28*J28</f>
        <v>156</v>
      </c>
      <c r="R28" s="3122"/>
      <c r="S28" s="3122"/>
      <c r="T28" s="3123" t="s">
        <v>62</v>
      </c>
      <c r="U28" s="3123"/>
      <c r="V28" s="3123"/>
      <c r="W28" s="3118">
        <v>540000</v>
      </c>
      <c r="X28" s="3118"/>
      <c r="Y28" s="3118"/>
      <c r="Z28" s="3118"/>
      <c r="AA28" s="3118"/>
      <c r="AB28" s="3124">
        <f>Q28*W28</f>
        <v>84240000</v>
      </c>
      <c r="AC28" s="3124"/>
      <c r="AD28" s="3124"/>
      <c r="AE28" s="3124"/>
      <c r="AF28" s="3124"/>
      <c r="AG28" s="3124"/>
      <c r="AH28" s="1256"/>
      <c r="AI28" s="3125">
        <v>540000</v>
      </c>
      <c r="AJ28" s="3125"/>
      <c r="AK28" s="3125"/>
      <c r="AL28" s="3125"/>
      <c r="AM28" s="3125"/>
      <c r="AN28" s="1257"/>
      <c r="AO28" s="1277"/>
      <c r="AP28" s="1305"/>
      <c r="AQ28" s="1256"/>
      <c r="AR28" s="1257"/>
      <c r="AS28" s="1257"/>
      <c r="AT28" s="1257"/>
      <c r="AU28" s="1257"/>
      <c r="AV28" s="1278"/>
      <c r="AW28" s="1278"/>
    </row>
    <row r="29" spans="1:52" s="1260" customFormat="1" ht="11.25">
      <c r="A29" s="1293"/>
      <c r="B29" s="1294"/>
      <c r="C29" s="1295" t="s">
        <v>678</v>
      </c>
      <c r="D29" s="1303"/>
      <c r="E29" s="1297"/>
      <c r="F29" s="1297"/>
      <c r="G29" s="3285">
        <f>SUM(G25:H28)</f>
        <v>21</v>
      </c>
      <c r="H29" s="3285"/>
      <c r="I29" s="3285"/>
      <c r="J29" s="1295"/>
      <c r="K29" s="1295"/>
      <c r="L29" s="1295"/>
      <c r="M29" s="1306"/>
      <c r="N29" s="1307"/>
      <c r="O29" s="1297"/>
      <c r="P29" s="1298"/>
      <c r="Q29" s="3197">
        <v>1</v>
      </c>
      <c r="R29" s="3197"/>
      <c r="S29" s="3197"/>
      <c r="T29" s="3198" t="s">
        <v>63</v>
      </c>
      <c r="U29" s="3198"/>
      <c r="V29" s="3198"/>
      <c r="W29" s="3139">
        <f>ROUNDUP(2.5%*SUM(AB25:AG28),-3)</f>
        <v>5495000</v>
      </c>
      <c r="X29" s="3139"/>
      <c r="Y29" s="3139"/>
      <c r="Z29" s="3139"/>
      <c r="AA29" s="3139"/>
      <c r="AB29" s="3199">
        <f>Q29*W29</f>
        <v>5495000</v>
      </c>
      <c r="AC29" s="3199"/>
      <c r="AD29" s="3199"/>
      <c r="AE29" s="3199"/>
      <c r="AF29" s="3199"/>
      <c r="AG29" s="3199"/>
      <c r="AH29" s="1256"/>
      <c r="AI29" s="1257"/>
      <c r="AJ29" s="1257"/>
      <c r="AK29" s="1257"/>
      <c r="AL29" s="1257"/>
      <c r="AM29" s="1257"/>
      <c r="AN29" s="1257"/>
      <c r="AO29" s="1277"/>
      <c r="AP29" s="1305"/>
      <c r="AQ29" s="1256"/>
      <c r="AR29" s="1257"/>
      <c r="AS29" s="1257"/>
      <c r="AT29" s="1257"/>
      <c r="AU29" s="1257"/>
      <c r="AV29" s="1278"/>
      <c r="AW29" s="1278"/>
    </row>
    <row r="30" spans="1:52" s="1260" customFormat="1" ht="11.25">
      <c r="A30" s="1300" t="s">
        <v>685</v>
      </c>
      <c r="B30" s="3129" t="s">
        <v>142</v>
      </c>
      <c r="C30" s="3129"/>
      <c r="D30" s="3129"/>
      <c r="E30" s="3129"/>
      <c r="F30" s="3129"/>
      <c r="G30" s="3129"/>
      <c r="H30" s="3129"/>
      <c r="I30" s="3129"/>
      <c r="J30" s="3129"/>
      <c r="K30" s="3129"/>
      <c r="L30" s="3129"/>
      <c r="M30" s="3129"/>
      <c r="N30" s="3129"/>
      <c r="O30" s="3129"/>
      <c r="P30" s="3129"/>
      <c r="Q30" s="3184"/>
      <c r="R30" s="3184"/>
      <c r="S30" s="3184"/>
      <c r="T30" s="3131"/>
      <c r="U30" s="3131"/>
      <c r="V30" s="3131"/>
      <c r="W30" s="3132"/>
      <c r="X30" s="3132"/>
      <c r="Y30" s="3132"/>
      <c r="Z30" s="3132"/>
      <c r="AA30" s="3132"/>
      <c r="AB30" s="3132">
        <f>SUM(AB31:AG34)</f>
        <v>1100379000</v>
      </c>
      <c r="AC30" s="3132"/>
      <c r="AD30" s="3132"/>
      <c r="AE30" s="3132"/>
      <c r="AF30" s="3132"/>
      <c r="AG30" s="3132"/>
      <c r="AH30" s="1256"/>
      <c r="AI30" s="1257">
        <f>71740000*13</f>
        <v>932620000</v>
      </c>
      <c r="AJ30" s="1277"/>
      <c r="AK30" s="1277"/>
      <c r="AL30" s="1277"/>
      <c r="AM30" s="1277"/>
      <c r="AN30" s="1277"/>
      <c r="AO30" s="1277"/>
      <c r="AP30" s="1305"/>
      <c r="AQ30" s="1256"/>
      <c r="AR30" s="1257"/>
      <c r="AS30" s="1257"/>
      <c r="AT30" s="1257"/>
      <c r="AU30" s="1257"/>
      <c r="AV30" s="1278"/>
      <c r="AW30" s="1278"/>
    </row>
    <row r="31" spans="1:52" s="1260" customFormat="1" ht="11.25">
      <c r="A31" s="1283"/>
      <c r="B31" s="1284"/>
      <c r="C31" s="1291" t="s">
        <v>686</v>
      </c>
      <c r="D31" s="1308"/>
      <c r="E31" s="1291"/>
      <c r="F31" s="1291"/>
      <c r="G31" s="3120">
        <v>18</v>
      </c>
      <c r="H31" s="3120"/>
      <c r="I31" s="3120"/>
      <c r="J31" s="3142">
        <v>13</v>
      </c>
      <c r="K31" s="3142"/>
      <c r="L31" s="3142"/>
      <c r="M31" s="1286"/>
      <c r="N31" s="1286"/>
      <c r="O31" s="1287"/>
      <c r="P31" s="1288"/>
      <c r="Q31" s="3122">
        <f>G31*J31</f>
        <v>234</v>
      </c>
      <c r="R31" s="3122"/>
      <c r="S31" s="3122"/>
      <c r="T31" s="3123" t="s">
        <v>62</v>
      </c>
      <c r="U31" s="3123"/>
      <c r="V31" s="3123"/>
      <c r="W31" s="3118">
        <v>910000</v>
      </c>
      <c r="X31" s="3118"/>
      <c r="Y31" s="3118"/>
      <c r="Z31" s="3118"/>
      <c r="AA31" s="3118"/>
      <c r="AB31" s="3124">
        <f>Q31*W31</f>
        <v>212940000</v>
      </c>
      <c r="AC31" s="3124"/>
      <c r="AD31" s="3124"/>
      <c r="AE31" s="3124"/>
      <c r="AF31" s="3124"/>
      <c r="AG31" s="3124"/>
      <c r="AH31" s="1256"/>
      <c r="AI31" s="3125">
        <v>10900000</v>
      </c>
      <c r="AJ31" s="3125"/>
      <c r="AK31" s="3125"/>
      <c r="AL31" s="3125"/>
      <c r="AM31" s="3125"/>
      <c r="AN31" s="3192">
        <v>12</v>
      </c>
      <c r="AO31" s="3192"/>
      <c r="AP31" s="3192"/>
      <c r="AQ31" s="3192"/>
      <c r="AR31" s="3192">
        <f>AI31/AN31</f>
        <v>908333.33333333337</v>
      </c>
      <c r="AS31" s="3192"/>
      <c r="AT31" s="3192"/>
      <c r="AU31" s="3192"/>
      <c r="AV31" s="1278"/>
      <c r="AW31" s="1278"/>
      <c r="AX31" s="1290"/>
    </row>
    <row r="32" spans="1:52" s="1260" customFormat="1" ht="11.25">
      <c r="A32" s="1283"/>
      <c r="B32" s="1284"/>
      <c r="C32" s="1291" t="s">
        <v>687</v>
      </c>
      <c r="D32" s="1308"/>
      <c r="E32" s="1291"/>
      <c r="F32" s="1291"/>
      <c r="G32" s="3120">
        <v>116</v>
      </c>
      <c r="H32" s="3120"/>
      <c r="I32" s="3120"/>
      <c r="J32" s="3142">
        <v>13</v>
      </c>
      <c r="K32" s="3142"/>
      <c r="L32" s="3142"/>
      <c r="M32" s="1286"/>
      <c r="N32" s="1286"/>
      <c r="O32" s="1287"/>
      <c r="P32" s="1288"/>
      <c r="Q32" s="3122">
        <f>G32*J32</f>
        <v>1508</v>
      </c>
      <c r="R32" s="3122"/>
      <c r="S32" s="3122"/>
      <c r="T32" s="3123" t="s">
        <v>62</v>
      </c>
      <c r="U32" s="3123"/>
      <c r="V32" s="3123"/>
      <c r="W32" s="3118">
        <v>550000</v>
      </c>
      <c r="X32" s="3118"/>
      <c r="Y32" s="3118"/>
      <c r="Z32" s="3118"/>
      <c r="AA32" s="3118"/>
      <c r="AB32" s="3124">
        <f>Q32*W32</f>
        <v>829400000</v>
      </c>
      <c r="AC32" s="3124"/>
      <c r="AD32" s="3124"/>
      <c r="AE32" s="3124"/>
      <c r="AF32" s="3124"/>
      <c r="AG32" s="3124"/>
      <c r="AH32" s="1256"/>
      <c r="AI32" s="3125">
        <v>60935000</v>
      </c>
      <c r="AJ32" s="3125"/>
      <c r="AK32" s="3125"/>
      <c r="AL32" s="3125"/>
      <c r="AM32" s="3125"/>
      <c r="AN32" s="3192">
        <v>127</v>
      </c>
      <c r="AO32" s="3192"/>
      <c r="AP32" s="3192"/>
      <c r="AQ32" s="3192"/>
      <c r="AR32" s="3192">
        <f>AI32/AN32</f>
        <v>479803.14960629924</v>
      </c>
      <c r="AS32" s="3192"/>
      <c r="AT32" s="3192"/>
      <c r="AU32" s="3192"/>
      <c r="AV32" s="1278"/>
      <c r="AW32" s="1278"/>
      <c r="AX32" s="1290"/>
    </row>
    <row r="33" spans="1:50" s="1260" customFormat="1" ht="11.25">
      <c r="A33" s="1283"/>
      <c r="B33" s="1284"/>
      <c r="C33" s="1291" t="s">
        <v>689</v>
      </c>
      <c r="D33" s="1308"/>
      <c r="E33" s="1291"/>
      <c r="F33" s="1291"/>
      <c r="G33" s="3120">
        <v>8</v>
      </c>
      <c r="H33" s="3120"/>
      <c r="I33" s="3120"/>
      <c r="J33" s="3142">
        <v>13</v>
      </c>
      <c r="K33" s="3142"/>
      <c r="L33" s="3142"/>
      <c r="M33" s="1286"/>
      <c r="N33" s="1286"/>
      <c r="O33" s="1287"/>
      <c r="P33" s="1288"/>
      <c r="Q33" s="3122">
        <f>G33*J33</f>
        <v>104</v>
      </c>
      <c r="R33" s="3122"/>
      <c r="S33" s="3122"/>
      <c r="T33" s="3123" t="s">
        <v>62</v>
      </c>
      <c r="U33" s="3123"/>
      <c r="V33" s="3123"/>
      <c r="W33" s="3118">
        <v>300000</v>
      </c>
      <c r="X33" s="3118"/>
      <c r="Y33" s="3118"/>
      <c r="Z33" s="3118"/>
      <c r="AA33" s="3118"/>
      <c r="AB33" s="3124">
        <f>Q33*W33</f>
        <v>31200000</v>
      </c>
      <c r="AC33" s="3124"/>
      <c r="AD33" s="3124"/>
      <c r="AE33" s="3124"/>
      <c r="AF33" s="3124"/>
      <c r="AG33" s="3124"/>
      <c r="AH33" s="1256"/>
      <c r="AI33" s="3125">
        <v>1920000</v>
      </c>
      <c r="AJ33" s="3125"/>
      <c r="AK33" s="3125"/>
      <c r="AL33" s="3125"/>
      <c r="AM33" s="3125"/>
      <c r="AN33" s="3192">
        <v>8</v>
      </c>
      <c r="AO33" s="3192"/>
      <c r="AP33" s="3192"/>
      <c r="AQ33" s="3192"/>
      <c r="AR33" s="3192">
        <f>AI33/AN33</f>
        <v>240000</v>
      </c>
      <c r="AS33" s="3192"/>
      <c r="AT33" s="3192"/>
      <c r="AU33" s="3192"/>
      <c r="AV33" s="1278"/>
      <c r="AW33" s="1278"/>
      <c r="AX33" s="1290"/>
    </row>
    <row r="34" spans="1:50" s="1260" customFormat="1" ht="11.25">
      <c r="A34" s="1293"/>
      <c r="B34" s="1294"/>
      <c r="C34" s="1295" t="s">
        <v>678</v>
      </c>
      <c r="D34" s="1309"/>
      <c r="E34" s="1295"/>
      <c r="F34" s="1295"/>
      <c r="G34" s="3285">
        <f>SUM(G31:H33)</f>
        <v>142</v>
      </c>
      <c r="H34" s="3285"/>
      <c r="I34" s="3285"/>
      <c r="J34" s="3285"/>
      <c r="K34" s="1295"/>
      <c r="L34" s="1295"/>
      <c r="M34" s="1297"/>
      <c r="N34" s="1297"/>
      <c r="O34" s="1297"/>
      <c r="P34" s="1298"/>
      <c r="Q34" s="3197">
        <v>1</v>
      </c>
      <c r="R34" s="3197"/>
      <c r="S34" s="3197"/>
      <c r="T34" s="3198" t="s">
        <v>63</v>
      </c>
      <c r="U34" s="3198"/>
      <c r="V34" s="3198"/>
      <c r="W34" s="3139">
        <f>ROUNDUP(2.5%*SUM(AB31:AG33),-3)</f>
        <v>26839000</v>
      </c>
      <c r="X34" s="3139"/>
      <c r="Y34" s="3139"/>
      <c r="Z34" s="3139"/>
      <c r="AA34" s="3139"/>
      <c r="AB34" s="3199">
        <f>Q34*W34</f>
        <v>26839000</v>
      </c>
      <c r="AC34" s="3199"/>
      <c r="AD34" s="3199"/>
      <c r="AE34" s="3199"/>
      <c r="AF34" s="3199"/>
      <c r="AG34" s="3199"/>
      <c r="AH34" s="1256"/>
      <c r="AI34" s="1257"/>
      <c r="AJ34" s="1257"/>
      <c r="AK34" s="1257"/>
      <c r="AL34" s="1257"/>
      <c r="AM34" s="1257"/>
      <c r="AN34" s="1257"/>
      <c r="AO34" s="1257"/>
      <c r="AP34" s="1256"/>
      <c r="AQ34" s="1256"/>
      <c r="AR34" s="1257"/>
      <c r="AS34" s="1257"/>
      <c r="AT34" s="1257"/>
      <c r="AU34" s="1257"/>
      <c r="AV34" s="1278"/>
      <c r="AW34" s="1278"/>
    </row>
    <row r="35" spans="1:50" s="1260" customFormat="1" ht="11.25">
      <c r="A35" s="1300" t="s">
        <v>690</v>
      </c>
      <c r="B35" s="3129" t="s">
        <v>143</v>
      </c>
      <c r="C35" s="3129"/>
      <c r="D35" s="3129"/>
      <c r="E35" s="3129"/>
      <c r="F35" s="3129"/>
      <c r="G35" s="3129"/>
      <c r="H35" s="3129"/>
      <c r="I35" s="3129"/>
      <c r="J35" s="3129"/>
      <c r="K35" s="3129"/>
      <c r="L35" s="3129"/>
      <c r="M35" s="3129"/>
      <c r="N35" s="3129"/>
      <c r="O35" s="3129"/>
      <c r="P35" s="3129"/>
      <c r="Q35" s="3184"/>
      <c r="R35" s="3184"/>
      <c r="S35" s="3184"/>
      <c r="T35" s="3131"/>
      <c r="U35" s="3131"/>
      <c r="V35" s="3131"/>
      <c r="W35" s="3132"/>
      <c r="X35" s="3132"/>
      <c r="Y35" s="3132"/>
      <c r="Z35" s="3132"/>
      <c r="AA35" s="3132"/>
      <c r="AB35" s="3132">
        <f>SUM(AB36:AG39)</f>
        <v>206205000</v>
      </c>
      <c r="AC35" s="3132"/>
      <c r="AD35" s="3132"/>
      <c r="AE35" s="3132"/>
      <c r="AF35" s="3132"/>
      <c r="AG35" s="3132"/>
      <c r="AH35" s="1256"/>
      <c r="AI35" s="1277">
        <f>14920000*13</f>
        <v>193960000</v>
      </c>
      <c r="AJ35" s="1277"/>
      <c r="AK35" s="1277"/>
      <c r="AL35" s="1277"/>
      <c r="AM35" s="1257"/>
      <c r="AN35" s="1257"/>
      <c r="AO35" s="1257"/>
      <c r="AP35" s="1256"/>
      <c r="AQ35" s="1256"/>
      <c r="AR35" s="1257"/>
      <c r="AS35" s="1257"/>
      <c r="AT35" s="1257"/>
      <c r="AU35" s="1257"/>
      <c r="AV35" s="1278"/>
      <c r="AW35" s="1278"/>
    </row>
    <row r="36" spans="1:50" s="1260" customFormat="1" ht="11.25">
      <c r="A36" s="1283"/>
      <c r="B36" s="1284"/>
      <c r="C36" s="1291" t="s">
        <v>686</v>
      </c>
      <c r="D36" s="1308"/>
      <c r="E36" s="1291"/>
      <c r="F36" s="1291"/>
      <c r="G36" s="3120">
        <v>5</v>
      </c>
      <c r="H36" s="3120"/>
      <c r="I36" s="3120"/>
      <c r="J36" s="3142">
        <v>13</v>
      </c>
      <c r="K36" s="3142"/>
      <c r="L36" s="3142"/>
      <c r="M36" s="1286"/>
      <c r="N36" s="1286"/>
      <c r="O36" s="1287"/>
      <c r="P36" s="1288"/>
      <c r="Q36" s="3122">
        <f>G36*J36</f>
        <v>65</v>
      </c>
      <c r="R36" s="3122"/>
      <c r="S36" s="3122"/>
      <c r="T36" s="3123" t="s">
        <v>62</v>
      </c>
      <c r="U36" s="3123"/>
      <c r="V36" s="3123"/>
      <c r="W36" s="3118">
        <v>190000</v>
      </c>
      <c r="X36" s="3118"/>
      <c r="Y36" s="3118"/>
      <c r="Z36" s="3118"/>
      <c r="AA36" s="3118"/>
      <c r="AB36" s="3124">
        <f>Q36*W36</f>
        <v>12350000</v>
      </c>
      <c r="AC36" s="3124"/>
      <c r="AD36" s="3124"/>
      <c r="AE36" s="3124"/>
      <c r="AF36" s="3124"/>
      <c r="AG36" s="3124"/>
      <c r="AH36" s="1256"/>
      <c r="AI36" s="3125">
        <v>190000</v>
      </c>
      <c r="AJ36" s="3125"/>
      <c r="AK36" s="3125"/>
      <c r="AL36" s="3125"/>
      <c r="AM36" s="3125"/>
      <c r="AN36" s="3192">
        <v>760000</v>
      </c>
      <c r="AO36" s="3192"/>
      <c r="AP36" s="3192"/>
      <c r="AQ36" s="3192"/>
      <c r="AR36" s="3192">
        <f>AN36/AI36</f>
        <v>4</v>
      </c>
      <c r="AS36" s="3192"/>
      <c r="AT36" s="3192"/>
      <c r="AU36" s="3192"/>
      <c r="AV36" s="1278"/>
      <c r="AW36" s="1278"/>
    </row>
    <row r="37" spans="1:50" s="1260" customFormat="1" ht="11.25">
      <c r="A37" s="1283"/>
      <c r="B37" s="1284"/>
      <c r="C37" s="1291" t="s">
        <v>687</v>
      </c>
      <c r="D37" s="1308"/>
      <c r="E37" s="1291"/>
      <c r="F37" s="1291"/>
      <c r="G37" s="3120">
        <v>61</v>
      </c>
      <c r="H37" s="3120"/>
      <c r="I37" s="3120"/>
      <c r="J37" s="3142">
        <v>13</v>
      </c>
      <c r="K37" s="3142"/>
      <c r="L37" s="3142"/>
      <c r="M37" s="1286"/>
      <c r="N37" s="1286"/>
      <c r="O37" s="1287"/>
      <c r="P37" s="1288"/>
      <c r="Q37" s="3122">
        <f>G37*J37</f>
        <v>793</v>
      </c>
      <c r="R37" s="3122"/>
      <c r="S37" s="3122"/>
      <c r="T37" s="3123" t="s">
        <v>62</v>
      </c>
      <c r="U37" s="3123"/>
      <c r="V37" s="3123"/>
      <c r="W37" s="3118">
        <v>185000</v>
      </c>
      <c r="X37" s="3118"/>
      <c r="Y37" s="3118"/>
      <c r="Z37" s="3118"/>
      <c r="AA37" s="3118"/>
      <c r="AB37" s="3124">
        <f>Q37*W37</f>
        <v>146705000</v>
      </c>
      <c r="AC37" s="3124"/>
      <c r="AD37" s="3124"/>
      <c r="AE37" s="3124"/>
      <c r="AF37" s="3124"/>
      <c r="AG37" s="3124"/>
      <c r="AH37" s="1256"/>
      <c r="AI37" s="3125">
        <v>185000</v>
      </c>
      <c r="AJ37" s="3125"/>
      <c r="AK37" s="3125"/>
      <c r="AL37" s="3125"/>
      <c r="AM37" s="3125"/>
      <c r="AN37" s="3192">
        <v>10730000</v>
      </c>
      <c r="AO37" s="3192"/>
      <c r="AP37" s="3192"/>
      <c r="AQ37" s="3192"/>
      <c r="AR37" s="3192">
        <f>AN37/AI37</f>
        <v>58</v>
      </c>
      <c r="AS37" s="3192"/>
      <c r="AT37" s="3192"/>
      <c r="AU37" s="3192"/>
      <c r="AV37" s="1278"/>
      <c r="AW37" s="1278"/>
    </row>
    <row r="38" spans="1:50" s="1260" customFormat="1" ht="11.25">
      <c r="A38" s="1283"/>
      <c r="B38" s="1284"/>
      <c r="C38" s="1291" t="s">
        <v>689</v>
      </c>
      <c r="D38" s="1308"/>
      <c r="E38" s="1291"/>
      <c r="F38" s="1291"/>
      <c r="G38" s="3120">
        <v>18</v>
      </c>
      <c r="H38" s="3120"/>
      <c r="I38" s="3120"/>
      <c r="J38" s="3142">
        <v>13</v>
      </c>
      <c r="K38" s="3142"/>
      <c r="L38" s="3142"/>
      <c r="M38" s="1286"/>
      <c r="N38" s="1286"/>
      <c r="O38" s="1287"/>
      <c r="P38" s="1288"/>
      <c r="Q38" s="3122">
        <f>G38*J38</f>
        <v>234</v>
      </c>
      <c r="R38" s="3122"/>
      <c r="S38" s="3122"/>
      <c r="T38" s="3123" t="s">
        <v>62</v>
      </c>
      <c r="U38" s="3123"/>
      <c r="V38" s="3123"/>
      <c r="W38" s="3118">
        <v>180000</v>
      </c>
      <c r="X38" s="3118"/>
      <c r="Y38" s="3118"/>
      <c r="Z38" s="3118"/>
      <c r="AA38" s="3118"/>
      <c r="AB38" s="3124">
        <f>Q38*W38</f>
        <v>42120000</v>
      </c>
      <c r="AC38" s="3124"/>
      <c r="AD38" s="3124"/>
      <c r="AE38" s="3124"/>
      <c r="AF38" s="3124"/>
      <c r="AG38" s="3124"/>
      <c r="AH38" s="1256"/>
      <c r="AI38" s="3125">
        <v>180000</v>
      </c>
      <c r="AJ38" s="3125"/>
      <c r="AK38" s="3125"/>
      <c r="AL38" s="3125"/>
      <c r="AM38" s="3125"/>
      <c r="AN38" s="3192">
        <v>3429850</v>
      </c>
      <c r="AO38" s="3192"/>
      <c r="AP38" s="3192"/>
      <c r="AQ38" s="3192"/>
      <c r="AR38" s="3192">
        <f>AN38/AI38</f>
        <v>19.054722222222221</v>
      </c>
      <c r="AS38" s="3192"/>
      <c r="AT38" s="3192"/>
      <c r="AU38" s="3192"/>
      <c r="AV38" s="1278"/>
      <c r="AW38" s="1278"/>
    </row>
    <row r="39" spans="1:50" s="1260" customFormat="1" ht="11.25">
      <c r="A39" s="1293"/>
      <c r="B39" s="1294"/>
      <c r="C39" s="1295" t="s">
        <v>678</v>
      </c>
      <c r="D39" s="1309"/>
      <c r="E39" s="1295"/>
      <c r="F39" s="1295"/>
      <c r="G39" s="1295"/>
      <c r="H39" s="3283">
        <f>SUM(G36:H38)</f>
        <v>84</v>
      </c>
      <c r="I39" s="3284"/>
      <c r="J39" s="1295"/>
      <c r="K39" s="3284">
        <f>G29+G34+H39</f>
        <v>247</v>
      </c>
      <c r="L39" s="3284"/>
      <c r="M39" s="1297"/>
      <c r="N39" s="1297"/>
      <c r="O39" s="1297"/>
      <c r="P39" s="1298"/>
      <c r="Q39" s="3197">
        <v>1</v>
      </c>
      <c r="R39" s="3197"/>
      <c r="S39" s="3197"/>
      <c r="T39" s="3198" t="s">
        <v>63</v>
      </c>
      <c r="U39" s="3198"/>
      <c r="V39" s="3198"/>
      <c r="W39" s="3139">
        <f>ROUNDUP(2.5%*SUM(AB36:AG38),-3)</f>
        <v>5030000</v>
      </c>
      <c r="X39" s="3139"/>
      <c r="Y39" s="3139"/>
      <c r="Z39" s="3139"/>
      <c r="AA39" s="3139"/>
      <c r="AB39" s="3199">
        <f>Q39*W39</f>
        <v>5030000</v>
      </c>
      <c r="AC39" s="3199"/>
      <c r="AD39" s="3199"/>
      <c r="AE39" s="3199"/>
      <c r="AF39" s="3199"/>
      <c r="AG39" s="3199"/>
      <c r="AH39" s="1256"/>
      <c r="AI39" s="1277"/>
      <c r="AJ39" s="1277"/>
      <c r="AK39" s="1257"/>
      <c r="AL39" s="1257"/>
      <c r="AM39" s="1257"/>
      <c r="AN39" s="1257"/>
      <c r="AO39" s="1257"/>
      <c r="AP39" s="1256"/>
      <c r="AQ39" s="1256"/>
      <c r="AR39" s="1257"/>
      <c r="AS39" s="1257"/>
      <c r="AT39" s="1257"/>
      <c r="AU39" s="1257"/>
      <c r="AV39" s="1278"/>
      <c r="AW39" s="1278"/>
    </row>
    <row r="40" spans="1:50" s="1260" customFormat="1" ht="11.25">
      <c r="A40" s="1300" t="s">
        <v>691</v>
      </c>
      <c r="B40" s="3129" t="s">
        <v>144</v>
      </c>
      <c r="C40" s="3129"/>
      <c r="D40" s="3129"/>
      <c r="E40" s="3129"/>
      <c r="F40" s="3129"/>
      <c r="G40" s="3129"/>
      <c r="H40" s="3129"/>
      <c r="I40" s="3129"/>
      <c r="J40" s="3129"/>
      <c r="K40" s="3129"/>
      <c r="L40" s="3129"/>
      <c r="M40" s="3129"/>
      <c r="N40" s="3129"/>
      <c r="O40" s="3129"/>
      <c r="P40" s="3129"/>
      <c r="Q40" s="3184"/>
      <c r="R40" s="3184"/>
      <c r="S40" s="3184"/>
      <c r="T40" s="3131"/>
      <c r="U40" s="3131"/>
      <c r="V40" s="3131"/>
      <c r="W40" s="3132"/>
      <c r="X40" s="3132"/>
      <c r="Y40" s="3132"/>
      <c r="Z40" s="3132"/>
      <c r="AA40" s="3132"/>
      <c r="AB40" s="3132">
        <f>SUM(AB41:AG42)</f>
        <v>609284360</v>
      </c>
      <c r="AC40" s="3132"/>
      <c r="AD40" s="3132"/>
      <c r="AE40" s="3132"/>
      <c r="AF40" s="3132"/>
      <c r="AG40" s="3132"/>
      <c r="AH40" s="1256"/>
      <c r="AI40" s="1277"/>
      <c r="AJ40" s="1277"/>
      <c r="AK40" s="1277"/>
      <c r="AL40" s="1277"/>
      <c r="AM40" s="1257"/>
      <c r="AN40" s="1257"/>
      <c r="AO40" s="1257"/>
      <c r="AP40" s="1256"/>
      <c r="AQ40" s="1256"/>
      <c r="AR40" s="1257"/>
      <c r="AS40" s="1257"/>
      <c r="AT40" s="1257"/>
      <c r="AU40" s="1257"/>
      <c r="AV40" s="1278"/>
      <c r="AW40" s="1278"/>
    </row>
    <row r="41" spans="1:50" s="1260" customFormat="1" ht="11.25">
      <c r="A41" s="1283"/>
      <c r="B41" s="1284"/>
      <c r="C41" s="1291" t="s">
        <v>144</v>
      </c>
      <c r="D41" s="1308"/>
      <c r="E41" s="1291"/>
      <c r="F41" s="1291"/>
      <c r="G41" s="1291"/>
      <c r="H41" s="3120">
        <v>684</v>
      </c>
      <c r="I41" s="3120"/>
      <c r="J41" s="3120"/>
      <c r="K41" s="3142">
        <v>12</v>
      </c>
      <c r="L41" s="3142"/>
      <c r="M41" s="3142"/>
      <c r="N41" s="1286"/>
      <c r="O41" s="1286"/>
      <c r="P41" s="1288"/>
      <c r="Q41" s="3122">
        <f>H41*K41</f>
        <v>8208</v>
      </c>
      <c r="R41" s="3122"/>
      <c r="S41" s="3122"/>
      <c r="T41" s="3123" t="s">
        <v>62</v>
      </c>
      <c r="U41" s="3123"/>
      <c r="V41" s="3123"/>
      <c r="W41" s="3118">
        <v>72420</v>
      </c>
      <c r="X41" s="3118"/>
      <c r="Y41" s="3118"/>
      <c r="Z41" s="3118"/>
      <c r="AA41" s="3118"/>
      <c r="AB41" s="3124">
        <f>Q41*W41</f>
        <v>594423360</v>
      </c>
      <c r="AC41" s="3124"/>
      <c r="AD41" s="3124"/>
      <c r="AE41" s="3124"/>
      <c r="AF41" s="3124"/>
      <c r="AG41" s="3124"/>
      <c r="AH41" s="1283"/>
      <c r="AI41" s="1277"/>
      <c r="AJ41" s="1277"/>
      <c r="AK41" s="1277"/>
      <c r="AL41" s="1277"/>
      <c r="AM41" s="1257"/>
      <c r="AN41" s="1257"/>
      <c r="AO41" s="1257"/>
      <c r="AP41" s="1256"/>
      <c r="AQ41" s="1256"/>
      <c r="AR41" s="1257"/>
      <c r="AS41" s="1257"/>
      <c r="AT41" s="1257"/>
      <c r="AU41" s="1257"/>
      <c r="AV41" s="1278"/>
      <c r="AW41" s="1278"/>
    </row>
    <row r="42" spans="1:50" s="1260" customFormat="1" ht="11.25">
      <c r="A42" s="1293"/>
      <c r="B42" s="1294"/>
      <c r="C42" s="1295" t="s">
        <v>678</v>
      </c>
      <c r="D42" s="1309"/>
      <c r="E42" s="1295"/>
      <c r="F42" s="1295"/>
      <c r="G42" s="1295"/>
      <c r="H42" s="1295"/>
      <c r="I42" s="1295"/>
      <c r="J42" s="1295"/>
      <c r="K42" s="1295"/>
      <c r="L42" s="1295"/>
      <c r="M42" s="1295"/>
      <c r="N42" s="1297"/>
      <c r="O42" s="1297"/>
      <c r="P42" s="1298"/>
      <c r="Q42" s="3197">
        <v>1</v>
      </c>
      <c r="R42" s="3197"/>
      <c r="S42" s="3197"/>
      <c r="T42" s="3198" t="s">
        <v>63</v>
      </c>
      <c r="U42" s="3198"/>
      <c r="V42" s="3198"/>
      <c r="W42" s="3139">
        <f>ROUNDUP(2.5%*SUM(AB41),-3)</f>
        <v>14861000</v>
      </c>
      <c r="X42" s="3139"/>
      <c r="Y42" s="3139"/>
      <c r="Z42" s="3139"/>
      <c r="AA42" s="3139"/>
      <c r="AB42" s="3199">
        <f>Q42*W42</f>
        <v>14861000</v>
      </c>
      <c r="AC42" s="3199"/>
      <c r="AD42" s="3199"/>
      <c r="AE42" s="3199"/>
      <c r="AF42" s="3199"/>
      <c r="AG42" s="3199"/>
      <c r="AH42" s="1256"/>
      <c r="AI42" s="1257"/>
      <c r="AJ42" s="1257"/>
      <c r="AK42" s="1257"/>
      <c r="AL42" s="1257"/>
      <c r="AM42" s="1257"/>
      <c r="AN42" s="1257"/>
      <c r="AO42" s="1257"/>
      <c r="AP42" s="1256"/>
      <c r="AQ42" s="1256"/>
      <c r="AR42" s="1257"/>
      <c r="AS42" s="1257"/>
      <c r="AT42" s="1257"/>
      <c r="AU42" s="1257"/>
      <c r="AV42" s="1278"/>
      <c r="AW42" s="1278"/>
    </row>
    <row r="43" spans="1:50" s="1260" customFormat="1" ht="11.25">
      <c r="A43" s="1300" t="s">
        <v>692</v>
      </c>
      <c r="B43" s="3129" t="s">
        <v>145</v>
      </c>
      <c r="C43" s="3129"/>
      <c r="D43" s="3129"/>
      <c r="E43" s="3129"/>
      <c r="F43" s="3129"/>
      <c r="G43" s="3129"/>
      <c r="H43" s="3129"/>
      <c r="I43" s="3129"/>
      <c r="J43" s="3129"/>
      <c r="K43" s="3129"/>
      <c r="L43" s="3129"/>
      <c r="M43" s="3129"/>
      <c r="N43" s="3129"/>
      <c r="O43" s="3129"/>
      <c r="P43" s="3129"/>
      <c r="Q43" s="3184"/>
      <c r="R43" s="3184"/>
      <c r="S43" s="3184"/>
      <c r="T43" s="3131"/>
      <c r="U43" s="3131"/>
      <c r="V43" s="3131"/>
      <c r="W43" s="3132"/>
      <c r="X43" s="3132"/>
      <c r="Y43" s="3132"/>
      <c r="Z43" s="3132"/>
      <c r="AA43" s="3132"/>
      <c r="AB43" s="3132">
        <f>SUM(AB44:AG45)</f>
        <v>28930000</v>
      </c>
      <c r="AC43" s="3132"/>
      <c r="AD43" s="3132"/>
      <c r="AE43" s="3132"/>
      <c r="AF43" s="3132"/>
      <c r="AG43" s="3132"/>
      <c r="AH43" s="1256"/>
      <c r="AI43" s="1277"/>
      <c r="AJ43" s="1277"/>
      <c r="AK43" s="1277"/>
      <c r="AL43" s="1277"/>
      <c r="AM43" s="1277"/>
      <c r="AN43" s="1277"/>
      <c r="AO43" s="1277"/>
      <c r="AP43" s="1256"/>
      <c r="AQ43" s="1256"/>
      <c r="AR43" s="1257"/>
      <c r="AS43" s="1257"/>
      <c r="AT43" s="1257"/>
      <c r="AU43" s="1257"/>
      <c r="AV43" s="1278"/>
      <c r="AW43" s="1278"/>
    </row>
    <row r="44" spans="1:50" s="1260" customFormat="1" ht="11.25">
      <c r="A44" s="1283"/>
      <c r="B44" s="1284"/>
      <c r="C44" s="1291" t="s">
        <v>693</v>
      </c>
      <c r="D44" s="1308"/>
      <c r="E44" s="1291"/>
      <c r="F44" s="1291"/>
      <c r="G44" s="1291"/>
      <c r="H44" s="3120">
        <f>G19</f>
        <v>252</v>
      </c>
      <c r="I44" s="3120"/>
      <c r="J44" s="3120"/>
      <c r="K44" s="3142">
        <v>14</v>
      </c>
      <c r="L44" s="3142"/>
      <c r="M44" s="3142"/>
      <c r="N44" s="1287"/>
      <c r="O44" s="1287"/>
      <c r="P44" s="1288"/>
      <c r="Q44" s="3122">
        <f>H44*K44</f>
        <v>3528</v>
      </c>
      <c r="R44" s="3122"/>
      <c r="S44" s="3122"/>
      <c r="T44" s="3123" t="s">
        <v>62</v>
      </c>
      <c r="U44" s="3123"/>
      <c r="V44" s="3123"/>
      <c r="W44" s="3118">
        <v>8000</v>
      </c>
      <c r="X44" s="3118"/>
      <c r="Y44" s="3118"/>
      <c r="Z44" s="3118"/>
      <c r="AA44" s="3118"/>
      <c r="AB44" s="3124">
        <f>Q44*W44</f>
        <v>28224000</v>
      </c>
      <c r="AC44" s="3124"/>
      <c r="AD44" s="3124"/>
      <c r="AE44" s="3124"/>
      <c r="AF44" s="3124"/>
      <c r="AG44" s="3124"/>
      <c r="AH44" s="1256"/>
      <c r="AI44" s="3125">
        <v>255000</v>
      </c>
      <c r="AJ44" s="3125"/>
      <c r="AK44" s="3125"/>
      <c r="AL44" s="3125"/>
      <c r="AM44" s="3125"/>
      <c r="AN44" s="3192">
        <v>253</v>
      </c>
      <c r="AO44" s="3192"/>
      <c r="AP44" s="3192"/>
      <c r="AQ44" s="3192"/>
      <c r="AR44" s="3192">
        <f>AI44/AN44</f>
        <v>1007.905138339921</v>
      </c>
      <c r="AS44" s="3192"/>
      <c r="AT44" s="3192"/>
      <c r="AU44" s="3192"/>
      <c r="AV44" s="1278"/>
      <c r="AW44" s="1278"/>
    </row>
    <row r="45" spans="1:50" s="1260" customFormat="1" ht="11.25">
      <c r="A45" s="1293"/>
      <c r="B45" s="1294"/>
      <c r="C45" s="1295" t="s">
        <v>678</v>
      </c>
      <c r="D45" s="1309"/>
      <c r="E45" s="1295"/>
      <c r="F45" s="1295"/>
      <c r="G45" s="1295"/>
      <c r="H45" s="1295"/>
      <c r="I45" s="1295"/>
      <c r="J45" s="1295"/>
      <c r="K45" s="1295"/>
      <c r="L45" s="1295"/>
      <c r="M45" s="1295"/>
      <c r="N45" s="1297"/>
      <c r="O45" s="1297"/>
      <c r="P45" s="1298"/>
      <c r="Q45" s="3197">
        <v>1</v>
      </c>
      <c r="R45" s="3197"/>
      <c r="S45" s="3197"/>
      <c r="T45" s="3198" t="s">
        <v>63</v>
      </c>
      <c r="U45" s="3198"/>
      <c r="V45" s="3198"/>
      <c r="W45" s="3139">
        <f>ROUNDUP(2.5%*SUM(AB44),-3)</f>
        <v>706000</v>
      </c>
      <c r="X45" s="3139"/>
      <c r="Y45" s="3139"/>
      <c r="Z45" s="3139"/>
      <c r="AA45" s="3139"/>
      <c r="AB45" s="3199">
        <f>Q45*W45</f>
        <v>706000</v>
      </c>
      <c r="AC45" s="3199"/>
      <c r="AD45" s="3199"/>
      <c r="AE45" s="3199"/>
      <c r="AF45" s="3199"/>
      <c r="AG45" s="3199"/>
      <c r="AH45" s="1256"/>
      <c r="AI45" s="1257"/>
      <c r="AJ45" s="1257"/>
      <c r="AK45" s="1257"/>
      <c r="AL45" s="1257"/>
      <c r="AM45" s="1277"/>
      <c r="AN45" s="1277"/>
      <c r="AO45" s="1277"/>
      <c r="AP45" s="1310"/>
      <c r="AQ45" s="1256"/>
      <c r="AR45" s="1257"/>
      <c r="AS45" s="1257"/>
      <c r="AT45" s="1257"/>
      <c r="AU45" s="1257"/>
      <c r="AV45" s="1278"/>
      <c r="AW45" s="1278"/>
    </row>
    <row r="46" spans="1:50" s="1260" customFormat="1" ht="11.25">
      <c r="A46" s="1300" t="s">
        <v>694</v>
      </c>
      <c r="B46" s="3129" t="s">
        <v>146</v>
      </c>
      <c r="C46" s="3129"/>
      <c r="D46" s="3129"/>
      <c r="E46" s="3129"/>
      <c r="F46" s="3129"/>
      <c r="G46" s="3129"/>
      <c r="H46" s="3129"/>
      <c r="I46" s="3129"/>
      <c r="J46" s="3129"/>
      <c r="K46" s="3129"/>
      <c r="L46" s="3129"/>
      <c r="M46" s="3129"/>
      <c r="N46" s="3129"/>
      <c r="O46" s="3129"/>
      <c r="P46" s="3129"/>
      <c r="Q46" s="3184"/>
      <c r="R46" s="3184"/>
      <c r="S46" s="3184"/>
      <c r="T46" s="3131"/>
      <c r="U46" s="3131"/>
      <c r="V46" s="3131"/>
      <c r="W46" s="3132"/>
      <c r="X46" s="3132"/>
      <c r="Y46" s="3132"/>
      <c r="Z46" s="3132"/>
      <c r="AA46" s="3132"/>
      <c r="AB46" s="3132">
        <f>SUM(AB47:AG48)</f>
        <v>325520</v>
      </c>
      <c r="AC46" s="3132"/>
      <c r="AD46" s="3132"/>
      <c r="AE46" s="3132"/>
      <c r="AF46" s="3132"/>
      <c r="AG46" s="3132"/>
      <c r="AH46" s="1256"/>
      <c r="AI46" s="1277"/>
      <c r="AJ46" s="1277"/>
      <c r="AK46" s="1277"/>
      <c r="AL46" s="1277">
        <v>10600804000</v>
      </c>
      <c r="AM46" s="1277">
        <v>10600804000</v>
      </c>
      <c r="AN46" s="1257"/>
      <c r="AO46" s="1257"/>
      <c r="AP46" s="1256"/>
      <c r="AQ46" s="1256"/>
      <c r="AR46" s="1257"/>
      <c r="AS46" s="1257"/>
      <c r="AT46" s="1257"/>
      <c r="AU46" s="1257"/>
      <c r="AV46" s="1278"/>
      <c r="AW46" s="1278"/>
    </row>
    <row r="47" spans="1:50" s="1260" customFormat="1" ht="11.25">
      <c r="A47" s="1283"/>
      <c r="B47" s="1284"/>
      <c r="C47" s="1291" t="s">
        <v>146</v>
      </c>
      <c r="D47" s="1308"/>
      <c r="E47" s="1291"/>
      <c r="F47" s="1291"/>
      <c r="G47" s="1291"/>
      <c r="H47" s="3120">
        <f>H44</f>
        <v>252</v>
      </c>
      <c r="I47" s="3120"/>
      <c r="J47" s="3120"/>
      <c r="K47" s="3142">
        <v>14</v>
      </c>
      <c r="L47" s="3142"/>
      <c r="M47" s="3142"/>
      <c r="N47" s="1287"/>
      <c r="O47" s="1287"/>
      <c r="P47" s="1288"/>
      <c r="Q47" s="3122">
        <f>H47*K47</f>
        <v>3528</v>
      </c>
      <c r="R47" s="3122"/>
      <c r="S47" s="3122"/>
      <c r="T47" s="3123" t="s">
        <v>62</v>
      </c>
      <c r="U47" s="3123"/>
      <c r="V47" s="3123"/>
      <c r="W47" s="3118">
        <v>90</v>
      </c>
      <c r="X47" s="3118"/>
      <c r="Y47" s="3118"/>
      <c r="Z47" s="3118"/>
      <c r="AA47" s="3118"/>
      <c r="AB47" s="3124">
        <f>Q47*W47</f>
        <v>317520</v>
      </c>
      <c r="AC47" s="3124"/>
      <c r="AD47" s="3124"/>
      <c r="AE47" s="3124"/>
      <c r="AF47" s="3124"/>
      <c r="AG47" s="3124"/>
      <c r="AH47" s="1256"/>
      <c r="AI47" s="1257"/>
      <c r="AJ47" s="1257"/>
      <c r="AK47" s="1257"/>
      <c r="AL47" s="1257"/>
      <c r="AM47" s="1257"/>
      <c r="AN47" s="1257"/>
      <c r="AO47" s="1257"/>
      <c r="AP47" s="1256"/>
      <c r="AQ47" s="1256"/>
      <c r="AR47" s="1257"/>
      <c r="AS47" s="1257"/>
      <c r="AT47" s="1257"/>
      <c r="AU47" s="1257"/>
      <c r="AV47" s="1278"/>
      <c r="AW47" s="1278"/>
    </row>
    <row r="48" spans="1:50" s="1260" customFormat="1" ht="11.25">
      <c r="A48" s="1293"/>
      <c r="B48" s="1294"/>
      <c r="C48" s="1295" t="s">
        <v>678</v>
      </c>
      <c r="D48" s="1309"/>
      <c r="E48" s="1295"/>
      <c r="F48" s="1295"/>
      <c r="G48" s="1295"/>
      <c r="H48" s="1295"/>
      <c r="I48" s="1295"/>
      <c r="J48" s="1295"/>
      <c r="K48" s="1295"/>
      <c r="L48" s="1295"/>
      <c r="M48" s="1295"/>
      <c r="N48" s="1297"/>
      <c r="O48" s="1297"/>
      <c r="P48" s="1298"/>
      <c r="Q48" s="3197">
        <v>1</v>
      </c>
      <c r="R48" s="3197"/>
      <c r="S48" s="3197"/>
      <c r="T48" s="3198" t="s">
        <v>63</v>
      </c>
      <c r="U48" s="3198"/>
      <c r="V48" s="3198"/>
      <c r="W48" s="3139">
        <f>ROUNDUP(2.5%*SUM(AB47),-3)</f>
        <v>8000</v>
      </c>
      <c r="X48" s="3139"/>
      <c r="Y48" s="3139"/>
      <c r="Z48" s="3139"/>
      <c r="AA48" s="3139"/>
      <c r="AB48" s="3199">
        <f>Q48*W48</f>
        <v>8000</v>
      </c>
      <c r="AC48" s="3199"/>
      <c r="AD48" s="3199"/>
      <c r="AE48" s="3199"/>
      <c r="AF48" s="3199"/>
      <c r="AG48" s="3199"/>
      <c r="AH48" s="1256"/>
      <c r="AI48" s="1257"/>
      <c r="AJ48" s="1257"/>
      <c r="AK48" s="1257"/>
      <c r="AL48" s="1257"/>
      <c r="AM48" s="1257"/>
      <c r="AN48" s="1257"/>
      <c r="AO48" s="1257"/>
      <c r="AP48" s="1256"/>
      <c r="AQ48" s="1256"/>
      <c r="AR48" s="1257"/>
      <c r="AS48" s="1257"/>
      <c r="AT48" s="1257"/>
      <c r="AU48" s="1257"/>
      <c r="AV48" s="1278"/>
      <c r="AW48" s="1278"/>
    </row>
    <row r="49" spans="1:49" s="1260" customFormat="1" ht="11.25">
      <c r="A49" s="1300" t="s">
        <v>853</v>
      </c>
      <c r="B49" s="3129" t="s">
        <v>854</v>
      </c>
      <c r="C49" s="3129"/>
      <c r="D49" s="3129"/>
      <c r="E49" s="3129"/>
      <c r="F49" s="3129"/>
      <c r="G49" s="3129"/>
      <c r="H49" s="3129"/>
      <c r="I49" s="3129"/>
      <c r="J49" s="3129"/>
      <c r="K49" s="3129"/>
      <c r="L49" s="3129"/>
      <c r="M49" s="3129"/>
      <c r="N49" s="3129"/>
      <c r="O49" s="3129"/>
      <c r="P49" s="3129"/>
      <c r="Q49" s="3184"/>
      <c r="R49" s="3184"/>
      <c r="S49" s="3184"/>
      <c r="T49" s="3131"/>
      <c r="U49" s="3131"/>
      <c r="V49" s="3131"/>
      <c r="W49" s="3132"/>
      <c r="X49" s="3132"/>
      <c r="Y49" s="3132"/>
      <c r="Z49" s="3132"/>
      <c r="AA49" s="3132"/>
      <c r="AB49" s="3132">
        <f>SUM(AB50:AG51)</f>
        <v>30996000</v>
      </c>
      <c r="AC49" s="3132"/>
      <c r="AD49" s="3132"/>
      <c r="AE49" s="3132"/>
      <c r="AF49" s="3132"/>
      <c r="AG49" s="3132"/>
      <c r="AH49" s="1256"/>
      <c r="AI49" s="1277"/>
      <c r="AJ49" s="1277"/>
      <c r="AK49" s="1277"/>
      <c r="AL49" s="1277"/>
      <c r="AM49" s="1257"/>
      <c r="AN49" s="1257"/>
      <c r="AO49" s="1257"/>
      <c r="AP49" s="1256"/>
      <c r="AQ49" s="1256"/>
      <c r="AR49" s="1257"/>
      <c r="AS49" s="1257"/>
      <c r="AT49" s="1257"/>
      <c r="AU49" s="1257"/>
      <c r="AV49" s="1278"/>
      <c r="AW49" s="1278"/>
    </row>
    <row r="50" spans="1:49" s="1260" customFormat="1" ht="11.25">
      <c r="A50" s="1283"/>
      <c r="B50" s="1284"/>
      <c r="C50" s="1291" t="s">
        <v>854</v>
      </c>
      <c r="D50" s="1308"/>
      <c r="E50" s="1291"/>
      <c r="F50" s="1291"/>
      <c r="G50" s="1291"/>
      <c r="K50" s="3120">
        <f>G19</f>
        <v>252</v>
      </c>
      <c r="L50" s="3120"/>
      <c r="M50" s="3120"/>
      <c r="N50" s="3142">
        <v>12</v>
      </c>
      <c r="O50" s="3142"/>
      <c r="P50" s="3142"/>
      <c r="Q50" s="3122">
        <f>K50*N50</f>
        <v>3024</v>
      </c>
      <c r="R50" s="3122"/>
      <c r="S50" s="3122"/>
      <c r="T50" s="3123" t="s">
        <v>62</v>
      </c>
      <c r="U50" s="3123"/>
      <c r="V50" s="3123"/>
      <c r="W50" s="3118">
        <v>10000</v>
      </c>
      <c r="X50" s="3118"/>
      <c r="Y50" s="3118"/>
      <c r="Z50" s="3118"/>
      <c r="AA50" s="3118"/>
      <c r="AB50" s="3124">
        <f>Q50*W50</f>
        <v>30240000</v>
      </c>
      <c r="AC50" s="3124"/>
      <c r="AD50" s="3124"/>
      <c r="AE50" s="3124"/>
      <c r="AF50" s="3124"/>
      <c r="AG50" s="3124"/>
      <c r="AH50" s="1283"/>
      <c r="AI50" s="3125">
        <v>1943113</v>
      </c>
      <c r="AJ50" s="3125"/>
      <c r="AK50" s="3125"/>
      <c r="AL50" s="3125"/>
      <c r="AM50" s="3125"/>
      <c r="AN50" s="3192">
        <f>AI50/K50</f>
        <v>7710.7658730158728</v>
      </c>
      <c r="AO50" s="3192"/>
      <c r="AP50" s="3192"/>
      <c r="AQ50" s="3192"/>
      <c r="AR50" s="1257"/>
      <c r="AS50" s="1257"/>
      <c r="AT50" s="1257"/>
      <c r="AU50" s="1257"/>
      <c r="AV50" s="1278"/>
      <c r="AW50" s="1278"/>
    </row>
    <row r="51" spans="1:49" s="1260" customFormat="1" ht="11.25">
      <c r="A51" s="1293"/>
      <c r="B51" s="1294"/>
      <c r="C51" s="1295" t="s">
        <v>678</v>
      </c>
      <c r="D51" s="1309"/>
      <c r="E51" s="1295"/>
      <c r="F51" s="1295"/>
      <c r="G51" s="1295"/>
      <c r="H51" s="1295"/>
      <c r="I51" s="1295"/>
      <c r="J51" s="1295"/>
      <c r="K51" s="1295"/>
      <c r="L51" s="1295"/>
      <c r="M51" s="1295"/>
      <c r="N51" s="1297"/>
      <c r="O51" s="1297"/>
      <c r="P51" s="1298"/>
      <c r="Q51" s="3197">
        <v>1</v>
      </c>
      <c r="R51" s="3197"/>
      <c r="S51" s="3197"/>
      <c r="T51" s="3198" t="s">
        <v>63</v>
      </c>
      <c r="U51" s="3198"/>
      <c r="V51" s="3198"/>
      <c r="W51" s="3203">
        <f>ROUNDUP(2.5%*SUM(AB50),-3)</f>
        <v>756000</v>
      </c>
      <c r="X51" s="3204"/>
      <c r="Y51" s="3204"/>
      <c r="Z51" s="3204"/>
      <c r="AA51" s="3205"/>
      <c r="AB51" s="3199">
        <f>Q51*W51</f>
        <v>756000</v>
      </c>
      <c r="AC51" s="3199"/>
      <c r="AD51" s="3199"/>
      <c r="AE51" s="3199"/>
      <c r="AF51" s="3199"/>
      <c r="AG51" s="3199"/>
      <c r="AH51" s="1256"/>
      <c r="AI51" s="1257"/>
      <c r="AJ51" s="1257"/>
      <c r="AK51" s="1257"/>
      <c r="AL51" s="1257"/>
      <c r="AM51" s="1257"/>
      <c r="AN51" s="1257"/>
      <c r="AO51" s="1257"/>
      <c r="AP51" s="1256"/>
      <c r="AQ51" s="1256"/>
      <c r="AR51" s="1257"/>
      <c r="AS51" s="1257"/>
      <c r="AT51" s="1257"/>
      <c r="AU51" s="1257"/>
      <c r="AV51" s="1278"/>
      <c r="AW51" s="1278"/>
    </row>
    <row r="52" spans="1:49" s="1260" customFormat="1" ht="11.25">
      <c r="A52" s="1300" t="s">
        <v>855</v>
      </c>
      <c r="B52" s="3129" t="s">
        <v>856</v>
      </c>
      <c r="C52" s="3129"/>
      <c r="D52" s="3129"/>
      <c r="E52" s="3129"/>
      <c r="F52" s="3129"/>
      <c r="G52" s="3129"/>
      <c r="H52" s="3129"/>
      <c r="I52" s="3129"/>
      <c r="J52" s="3129"/>
      <c r="K52" s="3129"/>
      <c r="L52" s="3129"/>
      <c r="M52" s="3129"/>
      <c r="N52" s="3129"/>
      <c r="O52" s="3129"/>
      <c r="P52" s="3129"/>
      <c r="Q52" s="3184"/>
      <c r="R52" s="3184"/>
      <c r="S52" s="3184"/>
      <c r="T52" s="3131"/>
      <c r="U52" s="3131"/>
      <c r="V52" s="3131"/>
      <c r="W52" s="3132"/>
      <c r="X52" s="3132"/>
      <c r="Y52" s="3132"/>
      <c r="Z52" s="3132"/>
      <c r="AA52" s="3132"/>
      <c r="AB52" s="3132">
        <f>SUM(AB53:AG54)</f>
        <v>40295000</v>
      </c>
      <c r="AC52" s="3132"/>
      <c r="AD52" s="3132"/>
      <c r="AE52" s="3132"/>
      <c r="AF52" s="3132"/>
      <c r="AG52" s="3132"/>
      <c r="AH52" s="1256"/>
      <c r="AI52" s="1277"/>
      <c r="AJ52" s="1277"/>
      <c r="AK52" s="1277"/>
      <c r="AL52" s="1277"/>
      <c r="AM52" s="1257"/>
      <c r="AN52" s="1257"/>
      <c r="AO52" s="1257"/>
      <c r="AP52" s="1256"/>
      <c r="AQ52" s="1256"/>
      <c r="AR52" s="1257"/>
      <c r="AS52" s="1257"/>
      <c r="AT52" s="1257"/>
      <c r="AU52" s="1257"/>
      <c r="AV52" s="1278"/>
      <c r="AW52" s="1278"/>
    </row>
    <row r="53" spans="1:49" s="1260" customFormat="1" ht="11.25">
      <c r="A53" s="1283"/>
      <c r="B53" s="1284"/>
      <c r="C53" s="1291" t="s">
        <v>856</v>
      </c>
      <c r="D53" s="1308"/>
      <c r="E53" s="1291"/>
      <c r="F53" s="1291"/>
      <c r="G53" s="1291"/>
      <c r="K53" s="3120">
        <f>K50</f>
        <v>252</v>
      </c>
      <c r="L53" s="3120"/>
      <c r="M53" s="3120"/>
      <c r="N53" s="3142">
        <v>12</v>
      </c>
      <c r="O53" s="3142"/>
      <c r="P53" s="3142"/>
      <c r="Q53" s="3122">
        <f>K53*N53</f>
        <v>3024</v>
      </c>
      <c r="R53" s="3122"/>
      <c r="S53" s="3122"/>
      <c r="T53" s="3123" t="s">
        <v>62</v>
      </c>
      <c r="U53" s="3123"/>
      <c r="V53" s="3123"/>
      <c r="W53" s="3118">
        <v>13000</v>
      </c>
      <c r="X53" s="3118"/>
      <c r="Y53" s="3118"/>
      <c r="Z53" s="3118"/>
      <c r="AA53" s="3118"/>
      <c r="AB53" s="3124">
        <f>Q53*W53</f>
        <v>39312000</v>
      </c>
      <c r="AC53" s="3124"/>
      <c r="AD53" s="3124"/>
      <c r="AE53" s="3124"/>
      <c r="AF53" s="3124"/>
      <c r="AG53" s="3124"/>
      <c r="AH53" s="1283"/>
      <c r="AI53" s="3125">
        <v>2428916</v>
      </c>
      <c r="AJ53" s="3125"/>
      <c r="AK53" s="3125"/>
      <c r="AL53" s="3125"/>
      <c r="AM53" s="3125"/>
      <c r="AN53" s="3192">
        <f>AI53/K53</f>
        <v>9638.5555555555547</v>
      </c>
      <c r="AO53" s="3192"/>
      <c r="AP53" s="3192"/>
      <c r="AQ53" s="3192"/>
      <c r="AR53" s="1257"/>
      <c r="AS53" s="1257"/>
      <c r="AT53" s="1257"/>
      <c r="AU53" s="1257"/>
      <c r="AV53" s="1278"/>
      <c r="AW53" s="1278"/>
    </row>
    <row r="54" spans="1:49" s="1260" customFormat="1" ht="11.25">
      <c r="A54" s="1293"/>
      <c r="B54" s="1294"/>
      <c r="C54" s="1295" t="s">
        <v>678</v>
      </c>
      <c r="D54" s="1309"/>
      <c r="E54" s="1295"/>
      <c r="F54" s="1295"/>
      <c r="G54" s="1295"/>
      <c r="H54" s="1295"/>
      <c r="I54" s="1295"/>
      <c r="J54" s="1295"/>
      <c r="K54" s="1295"/>
      <c r="L54" s="1295"/>
      <c r="M54" s="1295"/>
      <c r="N54" s="1297"/>
      <c r="O54" s="1297"/>
      <c r="P54" s="1298"/>
      <c r="Q54" s="3197">
        <v>1</v>
      </c>
      <c r="R54" s="3197"/>
      <c r="S54" s="3197"/>
      <c r="T54" s="3198" t="s">
        <v>63</v>
      </c>
      <c r="U54" s="3198"/>
      <c r="V54" s="3198"/>
      <c r="W54" s="3139">
        <f>ROUNDUP(2.5%*SUM(AB53),-3)</f>
        <v>983000</v>
      </c>
      <c r="X54" s="3139"/>
      <c r="Y54" s="3139"/>
      <c r="Z54" s="3139"/>
      <c r="AA54" s="3139"/>
      <c r="AB54" s="3199">
        <f>Q54*W54</f>
        <v>983000</v>
      </c>
      <c r="AC54" s="3199"/>
      <c r="AD54" s="3199"/>
      <c r="AE54" s="3199"/>
      <c r="AF54" s="3199"/>
      <c r="AG54" s="3199"/>
      <c r="AH54" s="1256"/>
      <c r="AI54" s="1257"/>
      <c r="AJ54" s="1257"/>
      <c r="AK54" s="1257"/>
      <c r="AL54" s="1257"/>
      <c r="AM54" s="1257"/>
      <c r="AN54" s="1257"/>
      <c r="AO54" s="1257"/>
      <c r="AP54" s="1256"/>
      <c r="AQ54" s="1256"/>
      <c r="AR54" s="1257"/>
      <c r="AS54" s="1257"/>
      <c r="AT54" s="1257"/>
      <c r="AU54" s="1257"/>
      <c r="AV54" s="1278"/>
      <c r="AW54" s="1278"/>
    </row>
    <row r="55" spans="1:49" s="1260" customFormat="1" ht="11.25">
      <c r="A55" s="1300" t="s">
        <v>857</v>
      </c>
      <c r="B55" s="3129" t="s">
        <v>858</v>
      </c>
      <c r="C55" s="3129"/>
      <c r="D55" s="3129"/>
      <c r="E55" s="3129"/>
      <c r="F55" s="3129"/>
      <c r="G55" s="3129"/>
      <c r="H55" s="3129"/>
      <c r="I55" s="3129"/>
      <c r="J55" s="3129"/>
      <c r="K55" s="3129"/>
      <c r="L55" s="3129"/>
      <c r="M55" s="3129"/>
      <c r="N55" s="3129"/>
      <c r="O55" s="3129"/>
      <c r="P55" s="3129"/>
      <c r="Q55" s="3184"/>
      <c r="R55" s="3184"/>
      <c r="S55" s="3184"/>
      <c r="T55" s="3131"/>
      <c r="U55" s="3131"/>
      <c r="V55" s="3131"/>
      <c r="W55" s="3132"/>
      <c r="X55" s="3132"/>
      <c r="Y55" s="3132"/>
      <c r="Z55" s="3132"/>
      <c r="AA55" s="3132"/>
      <c r="AB55" s="3132">
        <f>SUM(AB56:AG57)</f>
        <v>325458000</v>
      </c>
      <c r="AC55" s="3132"/>
      <c r="AD55" s="3132"/>
      <c r="AE55" s="3132"/>
      <c r="AF55" s="3132"/>
      <c r="AG55" s="3132"/>
      <c r="AH55" s="1256"/>
      <c r="AI55" s="1277"/>
      <c r="AJ55" s="1277"/>
      <c r="AK55" s="1277"/>
      <c r="AL55" s="1277"/>
      <c r="AM55" s="1257"/>
      <c r="AN55" s="1257"/>
      <c r="AO55" s="1257"/>
      <c r="AP55" s="1256"/>
      <c r="AQ55" s="1256"/>
      <c r="AR55" s="1257"/>
      <c r="AS55" s="1257"/>
      <c r="AT55" s="1257"/>
      <c r="AU55" s="1257"/>
      <c r="AV55" s="1278"/>
      <c r="AW55" s="1278"/>
    </row>
    <row r="56" spans="1:49" s="1260" customFormat="1" ht="11.25">
      <c r="A56" s="1283"/>
      <c r="B56" s="1284"/>
      <c r="C56" s="1291" t="s">
        <v>859</v>
      </c>
      <c r="D56" s="1308"/>
      <c r="E56" s="1291"/>
      <c r="F56" s="1291"/>
      <c r="G56" s="1291"/>
      <c r="L56" s="3200">
        <f>K53</f>
        <v>252</v>
      </c>
      <c r="M56" s="3200"/>
      <c r="N56" s="3200"/>
      <c r="O56" s="3201">
        <v>12</v>
      </c>
      <c r="P56" s="3202"/>
      <c r="Q56" s="3122">
        <f>L56*O56</f>
        <v>3024</v>
      </c>
      <c r="R56" s="3122"/>
      <c r="S56" s="3122"/>
      <c r="T56" s="3123" t="s">
        <v>62</v>
      </c>
      <c r="U56" s="3123"/>
      <c r="V56" s="3123"/>
      <c r="W56" s="3118">
        <v>105000</v>
      </c>
      <c r="X56" s="3118"/>
      <c r="Y56" s="3118"/>
      <c r="Z56" s="3118"/>
      <c r="AA56" s="3118"/>
      <c r="AB56" s="3124">
        <f>Q56*W56</f>
        <v>317520000</v>
      </c>
      <c r="AC56" s="3124"/>
      <c r="AD56" s="3124"/>
      <c r="AE56" s="3124"/>
      <c r="AF56" s="3124"/>
      <c r="AG56" s="3124"/>
      <c r="AH56" s="1283"/>
      <c r="AI56" s="3125">
        <v>26302413</v>
      </c>
      <c r="AJ56" s="3125"/>
      <c r="AK56" s="3125"/>
      <c r="AL56" s="3125"/>
      <c r="AM56" s="3125"/>
      <c r="AN56" s="3192">
        <f>AI56/L56</f>
        <v>104374.65476190476</v>
      </c>
      <c r="AO56" s="3192"/>
      <c r="AP56" s="3192"/>
      <c r="AQ56" s="3192"/>
      <c r="AR56" s="1257"/>
      <c r="AS56" s="1257"/>
      <c r="AT56" s="1257"/>
      <c r="AU56" s="1257"/>
      <c r="AV56" s="1278"/>
      <c r="AW56" s="1278"/>
    </row>
    <row r="57" spans="1:49" s="1260" customFormat="1" ht="11.25">
      <c r="A57" s="1293"/>
      <c r="B57" s="1294"/>
      <c r="C57" s="1295" t="s">
        <v>678</v>
      </c>
      <c r="D57" s="1309"/>
      <c r="E57" s="1295"/>
      <c r="F57" s="1295"/>
      <c r="G57" s="1295"/>
      <c r="H57" s="1295"/>
      <c r="I57" s="1295"/>
      <c r="J57" s="1295"/>
      <c r="K57" s="1295"/>
      <c r="L57" s="1295"/>
      <c r="M57" s="1295"/>
      <c r="N57" s="1297"/>
      <c r="O57" s="1297"/>
      <c r="P57" s="1298"/>
      <c r="Q57" s="3197">
        <v>1</v>
      </c>
      <c r="R57" s="3197"/>
      <c r="S57" s="3197"/>
      <c r="T57" s="3198" t="s">
        <v>63</v>
      </c>
      <c r="U57" s="3198"/>
      <c r="V57" s="3198"/>
      <c r="W57" s="3139">
        <f>ROUNDUP(2.5%*SUM(AB56),-3)</f>
        <v>7938000</v>
      </c>
      <c r="X57" s="3139"/>
      <c r="Y57" s="3139"/>
      <c r="Z57" s="3139"/>
      <c r="AA57" s="3139"/>
      <c r="AB57" s="3199">
        <f>Q57*W57</f>
        <v>7938000</v>
      </c>
      <c r="AC57" s="3199"/>
      <c r="AD57" s="3199"/>
      <c r="AE57" s="3199"/>
      <c r="AF57" s="3199"/>
      <c r="AG57" s="3199"/>
      <c r="AH57" s="1256"/>
      <c r="AI57" s="1257"/>
      <c r="AJ57" s="1257"/>
      <c r="AK57" s="1257"/>
      <c r="AL57" s="1257"/>
      <c r="AM57" s="1257"/>
      <c r="AN57" s="1257"/>
      <c r="AO57" s="1257"/>
      <c r="AP57" s="1256"/>
      <c r="AQ57" s="1256"/>
      <c r="AR57" s="1257"/>
      <c r="AS57" s="1257"/>
      <c r="AT57" s="1257"/>
      <c r="AU57" s="1257"/>
      <c r="AV57" s="1278"/>
      <c r="AW57" s="1278"/>
    </row>
    <row r="58" spans="1:49" s="1260" customFormat="1" ht="11.25">
      <c r="A58" s="1311" t="s">
        <v>695</v>
      </c>
      <c r="B58" s="3193" t="s">
        <v>696</v>
      </c>
      <c r="C58" s="3193"/>
      <c r="D58" s="3193"/>
      <c r="E58" s="3193"/>
      <c r="F58" s="3193"/>
      <c r="G58" s="3193"/>
      <c r="H58" s="3193"/>
      <c r="I58" s="3193"/>
      <c r="J58" s="3193"/>
      <c r="K58" s="3193"/>
      <c r="L58" s="3193"/>
      <c r="M58" s="3193"/>
      <c r="N58" s="3193"/>
      <c r="O58" s="3193"/>
      <c r="P58" s="3193"/>
      <c r="Q58" s="3194"/>
      <c r="R58" s="3194"/>
      <c r="S58" s="3194"/>
      <c r="T58" s="3195"/>
      <c r="U58" s="3195"/>
      <c r="V58" s="3195"/>
      <c r="W58" s="3196"/>
      <c r="X58" s="3196"/>
      <c r="Y58" s="3196"/>
      <c r="Z58" s="3196"/>
      <c r="AA58" s="3196"/>
      <c r="AB58" s="3108">
        <f>AB97+AB80+AB59</f>
        <v>10215300000</v>
      </c>
      <c r="AC58" s="3108"/>
      <c r="AD58" s="3108"/>
      <c r="AE58" s="3108"/>
      <c r="AF58" s="3108"/>
      <c r="AG58" s="3108"/>
      <c r="AH58" s="1256"/>
      <c r="AI58" s="1257">
        <v>10426380000</v>
      </c>
      <c r="AJ58" s="3125">
        <f>10426380000-AB58</f>
        <v>211080000</v>
      </c>
      <c r="AK58" s="3125"/>
      <c r="AL58" s="3125"/>
      <c r="AM58" s="3125"/>
      <c r="AN58" s="1257"/>
      <c r="AO58" s="1257"/>
      <c r="AP58" s="1256"/>
      <c r="AQ58" s="1256"/>
      <c r="AR58" s="1257"/>
      <c r="AS58" s="1257"/>
      <c r="AT58" s="1257"/>
      <c r="AU58" s="1257"/>
      <c r="AV58" s="1278"/>
      <c r="AW58" s="1278"/>
    </row>
    <row r="59" spans="1:49" s="1260" customFormat="1" ht="11.25">
      <c r="A59" s="1300" t="s">
        <v>697</v>
      </c>
      <c r="B59" s="1312" t="s">
        <v>698</v>
      </c>
      <c r="C59" s="1313"/>
      <c r="D59" s="1313"/>
      <c r="E59" s="1313"/>
      <c r="F59" s="1313"/>
      <c r="G59" s="1313"/>
      <c r="H59" s="1313"/>
      <c r="I59" s="1313"/>
      <c r="J59" s="1313"/>
      <c r="K59" s="1313"/>
      <c r="L59" s="1313"/>
      <c r="M59" s="1313"/>
      <c r="N59" s="1313"/>
      <c r="O59" s="1313"/>
      <c r="P59" s="1314"/>
      <c r="Q59" s="3184"/>
      <c r="R59" s="3184"/>
      <c r="S59" s="3184"/>
      <c r="T59" s="3185"/>
      <c r="U59" s="3186"/>
      <c r="V59" s="3187"/>
      <c r="W59" s="3188"/>
      <c r="X59" s="3189"/>
      <c r="Y59" s="3189"/>
      <c r="Z59" s="3189"/>
      <c r="AA59" s="3190"/>
      <c r="AB59" s="3191">
        <f>SUM(AB60:AG79)</f>
        <v>370500000</v>
      </c>
      <c r="AC59" s="3191"/>
      <c r="AD59" s="3191"/>
      <c r="AE59" s="3191"/>
      <c r="AF59" s="3191"/>
      <c r="AG59" s="3191"/>
      <c r="AH59" s="1315"/>
      <c r="AI59" s="1257">
        <v>393060000</v>
      </c>
      <c r="AJ59" s="1257"/>
      <c r="AK59" s="1257"/>
      <c r="AL59" s="3192">
        <f>AJ58/12</f>
        <v>17590000</v>
      </c>
      <c r="AM59" s="3192"/>
      <c r="AN59" s="1257"/>
      <c r="AO59" s="1257"/>
      <c r="AP59" s="1256"/>
      <c r="AQ59" s="1256"/>
      <c r="AR59" s="1257"/>
      <c r="AS59" s="1257"/>
      <c r="AT59" s="1257"/>
      <c r="AU59" s="1257"/>
      <c r="AV59" s="1278"/>
      <c r="AW59" s="1278"/>
    </row>
    <row r="60" spans="1:49" s="1260" customFormat="1" ht="11.25">
      <c r="A60" s="1316"/>
      <c r="B60" s="1317"/>
      <c r="C60" s="1318" t="s">
        <v>1084</v>
      </c>
      <c r="D60" s="1319"/>
      <c r="E60" s="1319"/>
      <c r="F60" s="1319"/>
      <c r="G60" s="1319"/>
      <c r="H60" s="1319"/>
      <c r="I60" s="1319"/>
      <c r="J60" s="1319"/>
      <c r="K60" s="1319"/>
      <c r="L60" s="1319"/>
      <c r="M60" s="1319"/>
      <c r="N60" s="1319"/>
      <c r="O60" s="1319"/>
      <c r="P60" s="1320"/>
      <c r="Q60" s="3122">
        <v>12</v>
      </c>
      <c r="R60" s="3122"/>
      <c r="S60" s="3122"/>
      <c r="T60" s="3123" t="s">
        <v>62</v>
      </c>
      <c r="U60" s="3123"/>
      <c r="V60" s="3123"/>
      <c r="W60" s="3118">
        <v>2000000</v>
      </c>
      <c r="X60" s="3118"/>
      <c r="Y60" s="3118"/>
      <c r="Z60" s="3118"/>
      <c r="AA60" s="3118"/>
      <c r="AB60" s="3124">
        <f>Q60*W60</f>
        <v>24000000</v>
      </c>
      <c r="AC60" s="3124"/>
      <c r="AD60" s="3124"/>
      <c r="AE60" s="3124"/>
      <c r="AF60" s="3124"/>
      <c r="AG60" s="3124"/>
      <c r="AH60" s="1256"/>
      <c r="AI60" s="1257"/>
      <c r="AJ60" s="1257"/>
      <c r="AK60" s="1257">
        <v>10817316000</v>
      </c>
      <c r="AL60" s="1257"/>
      <c r="AM60" s="1257"/>
      <c r="AN60" s="1257"/>
      <c r="AO60" s="1257"/>
      <c r="AP60" s="1256"/>
      <c r="AQ60" s="1256"/>
      <c r="AR60" s="1257"/>
      <c r="AS60" s="1257"/>
      <c r="AT60" s="1257"/>
      <c r="AU60" s="1257"/>
      <c r="AV60" s="1278"/>
      <c r="AW60" s="1278"/>
    </row>
    <row r="61" spans="1:49" s="1260" customFormat="1" ht="11.25">
      <c r="A61" s="1316"/>
      <c r="B61" s="1317"/>
      <c r="C61" s="1318" t="s">
        <v>1085</v>
      </c>
      <c r="D61" s="1319"/>
      <c r="E61" s="1319"/>
      <c r="F61" s="1319"/>
      <c r="G61" s="1319"/>
      <c r="H61" s="1319"/>
      <c r="I61" s="1319"/>
      <c r="J61" s="1319"/>
      <c r="K61" s="1319"/>
      <c r="L61" s="1319"/>
      <c r="M61" s="1319"/>
      <c r="N61" s="1319"/>
      <c r="O61" s="1319"/>
      <c r="P61" s="1320"/>
      <c r="Q61" s="3122">
        <v>12</v>
      </c>
      <c r="R61" s="3122"/>
      <c r="S61" s="3122"/>
      <c r="T61" s="3123" t="s">
        <v>62</v>
      </c>
      <c r="U61" s="3123"/>
      <c r="V61" s="3123"/>
      <c r="W61" s="3118">
        <v>1050000</v>
      </c>
      <c r="X61" s="3118"/>
      <c r="Y61" s="3118"/>
      <c r="Z61" s="3118"/>
      <c r="AA61" s="3118"/>
      <c r="AB61" s="3124">
        <f>Q61*W61</f>
        <v>12600000</v>
      </c>
      <c r="AC61" s="3124"/>
      <c r="AD61" s="3124"/>
      <c r="AE61" s="3124"/>
      <c r="AF61" s="3124"/>
      <c r="AG61" s="3124"/>
      <c r="AH61" s="1256"/>
      <c r="AI61" s="1257">
        <v>10215300000</v>
      </c>
      <c r="AJ61" s="1257"/>
      <c r="AK61" s="1257"/>
      <c r="AL61" s="1257"/>
      <c r="AM61" s="1257"/>
      <c r="AN61" s="1257"/>
      <c r="AO61" s="1257"/>
      <c r="AP61" s="1256"/>
      <c r="AQ61" s="1256"/>
      <c r="AR61" s="1257"/>
      <c r="AS61" s="1257"/>
      <c r="AT61" s="1257"/>
      <c r="AU61" s="1257"/>
      <c r="AV61" s="1278"/>
      <c r="AW61" s="1278"/>
    </row>
    <row r="62" spans="1:49" s="1260" customFormat="1" ht="11.25">
      <c r="A62" s="1316"/>
      <c r="B62" s="1317"/>
      <c r="C62" s="1318" t="s">
        <v>699</v>
      </c>
      <c r="D62" s="1319"/>
      <c r="E62" s="1319"/>
      <c r="F62" s="1319"/>
      <c r="G62" s="1319"/>
      <c r="H62" s="1319"/>
      <c r="I62" s="1319"/>
      <c r="J62" s="1319"/>
      <c r="K62" s="1319"/>
      <c r="L62" s="1319"/>
      <c r="M62" s="1319"/>
      <c r="N62" s="1319"/>
      <c r="O62" s="1319"/>
      <c r="P62" s="1320"/>
      <c r="Q62" s="3122"/>
      <c r="R62" s="3122"/>
      <c r="S62" s="3122"/>
      <c r="T62" s="3269"/>
      <c r="U62" s="3270"/>
      <c r="V62" s="3271"/>
      <c r="W62" s="3280"/>
      <c r="X62" s="3281"/>
      <c r="Y62" s="3281"/>
      <c r="Z62" s="3281"/>
      <c r="AA62" s="3282"/>
      <c r="AB62" s="3280"/>
      <c r="AC62" s="3281"/>
      <c r="AD62" s="3281"/>
      <c r="AE62" s="3281"/>
      <c r="AF62" s="3281"/>
      <c r="AG62" s="3282"/>
      <c r="AH62" s="1256"/>
      <c r="AI62" s="1257"/>
      <c r="AJ62" s="1257"/>
      <c r="AK62" s="1257"/>
      <c r="AL62" s="1257"/>
      <c r="AM62" s="1257"/>
      <c r="AN62" s="1257"/>
      <c r="AO62" s="1257"/>
      <c r="AP62" s="1256"/>
      <c r="AQ62" s="1256"/>
      <c r="AR62" s="1257"/>
      <c r="AS62" s="1257"/>
      <c r="AT62" s="1257"/>
      <c r="AU62" s="1257"/>
      <c r="AV62" s="1278"/>
      <c r="AW62" s="1278"/>
    </row>
    <row r="63" spans="1:49" s="1260" customFormat="1" ht="11.25">
      <c r="A63" s="1316"/>
      <c r="B63" s="1317"/>
      <c r="C63" s="1318" t="s">
        <v>700</v>
      </c>
      <c r="D63" s="1319"/>
      <c r="E63" s="1319"/>
      <c r="F63" s="1319"/>
      <c r="G63" s="1319"/>
      <c r="H63" s="1319"/>
      <c r="I63" s="1319"/>
      <c r="J63" s="1319"/>
      <c r="K63" s="1319"/>
      <c r="L63" s="1319"/>
      <c r="M63" s="1319"/>
      <c r="N63" s="1319"/>
      <c r="O63" s="1319"/>
      <c r="P63" s="1320"/>
      <c r="Q63" s="3122">
        <v>6</v>
      </c>
      <c r="R63" s="3122"/>
      <c r="S63" s="3122"/>
      <c r="T63" s="3269" t="s">
        <v>62</v>
      </c>
      <c r="U63" s="3270"/>
      <c r="V63" s="3271"/>
      <c r="W63" s="3118">
        <v>2200000</v>
      </c>
      <c r="X63" s="3118"/>
      <c r="Y63" s="3118"/>
      <c r="Z63" s="3118"/>
      <c r="AA63" s="3118"/>
      <c r="AB63" s="3124">
        <f t="shared" ref="AB63:AB79" si="0">Q63*W63</f>
        <v>13200000</v>
      </c>
      <c r="AC63" s="3124"/>
      <c r="AD63" s="3124"/>
      <c r="AE63" s="3124"/>
      <c r="AF63" s="3124"/>
      <c r="AG63" s="3124"/>
      <c r="AH63" s="1256"/>
      <c r="AI63" s="1257"/>
      <c r="AJ63" s="1257"/>
      <c r="AK63" s="1257"/>
      <c r="AL63" s="1257"/>
      <c r="AM63" s="1257"/>
      <c r="AN63" s="1257"/>
      <c r="AO63" s="1257"/>
      <c r="AP63" s="1256"/>
      <c r="AQ63" s="1256"/>
      <c r="AR63" s="1257"/>
      <c r="AS63" s="1257"/>
      <c r="AT63" s="1257"/>
      <c r="AU63" s="1257"/>
      <c r="AV63" s="1278"/>
      <c r="AW63" s="1278"/>
    </row>
    <row r="64" spans="1:49" s="1260" customFormat="1" ht="11.25">
      <c r="A64" s="1316"/>
      <c r="B64" s="1317"/>
      <c r="C64" s="1318" t="s">
        <v>701</v>
      </c>
      <c r="D64" s="1319"/>
      <c r="E64" s="1319"/>
      <c r="F64" s="1319"/>
      <c r="G64" s="1319"/>
      <c r="H64" s="1319"/>
      <c r="I64" s="1319"/>
      <c r="J64" s="1319"/>
      <c r="K64" s="1319"/>
      <c r="L64" s="1319"/>
      <c r="M64" s="1319"/>
      <c r="N64" s="1319"/>
      <c r="O64" s="1319"/>
      <c r="P64" s="1320"/>
      <c r="Q64" s="3122">
        <v>6</v>
      </c>
      <c r="R64" s="3122"/>
      <c r="S64" s="3122"/>
      <c r="T64" s="3269" t="s">
        <v>62</v>
      </c>
      <c r="U64" s="3270"/>
      <c r="V64" s="3271"/>
      <c r="W64" s="3118">
        <v>2000000</v>
      </c>
      <c r="X64" s="3118"/>
      <c r="Y64" s="3118"/>
      <c r="Z64" s="3118"/>
      <c r="AA64" s="3118"/>
      <c r="AB64" s="3124">
        <f t="shared" si="0"/>
        <v>12000000</v>
      </c>
      <c r="AC64" s="3124"/>
      <c r="AD64" s="3124"/>
      <c r="AE64" s="3124"/>
      <c r="AF64" s="3124"/>
      <c r="AG64" s="3124"/>
      <c r="AH64" s="1256"/>
      <c r="AI64" s="1257"/>
      <c r="AJ64" s="1257"/>
      <c r="AK64" s="1257"/>
      <c r="AL64" s="1257"/>
      <c r="AM64" s="1257"/>
      <c r="AN64" s="1257"/>
      <c r="AO64" s="1257"/>
      <c r="AP64" s="1256"/>
      <c r="AQ64" s="1256"/>
      <c r="AR64" s="1257"/>
      <c r="AS64" s="1257"/>
      <c r="AT64" s="1257"/>
      <c r="AU64" s="1257"/>
      <c r="AV64" s="1278"/>
      <c r="AW64" s="1278"/>
    </row>
    <row r="65" spans="1:49" s="1260" customFormat="1" ht="11.25">
      <c r="A65" s="1316"/>
      <c r="B65" s="1317"/>
      <c r="C65" s="1318" t="s">
        <v>702</v>
      </c>
      <c r="D65" s="1319"/>
      <c r="E65" s="1319"/>
      <c r="F65" s="1319"/>
      <c r="G65" s="1319"/>
      <c r="H65" s="1319"/>
      <c r="I65" s="1319"/>
      <c r="J65" s="1319"/>
      <c r="K65" s="1319"/>
      <c r="L65" s="1319"/>
      <c r="M65" s="1319"/>
      <c r="N65" s="1319"/>
      <c r="O65" s="1319"/>
      <c r="P65" s="1320"/>
      <c r="Q65" s="3122">
        <v>6</v>
      </c>
      <c r="R65" s="3122"/>
      <c r="S65" s="3122"/>
      <c r="T65" s="3269" t="s">
        <v>62</v>
      </c>
      <c r="U65" s="3270"/>
      <c r="V65" s="3271"/>
      <c r="W65" s="3118">
        <v>1900000</v>
      </c>
      <c r="X65" s="3118"/>
      <c r="Y65" s="3118"/>
      <c r="Z65" s="3118"/>
      <c r="AA65" s="3118"/>
      <c r="AB65" s="3124">
        <f t="shared" si="0"/>
        <v>11400000</v>
      </c>
      <c r="AC65" s="3124"/>
      <c r="AD65" s="3124"/>
      <c r="AE65" s="3124"/>
      <c r="AF65" s="3124"/>
      <c r="AG65" s="3124"/>
      <c r="AH65" s="1256"/>
      <c r="AI65" s="1257"/>
      <c r="AJ65" s="1257"/>
      <c r="AK65" s="1257"/>
      <c r="AL65" s="1257"/>
      <c r="AM65" s="1257"/>
      <c r="AN65" s="1257"/>
      <c r="AO65" s="1257"/>
      <c r="AP65" s="1256"/>
      <c r="AQ65" s="1256"/>
      <c r="AR65" s="1257"/>
      <c r="AS65" s="1257"/>
      <c r="AT65" s="1257"/>
      <c r="AU65" s="1257"/>
      <c r="AV65" s="1278"/>
      <c r="AW65" s="1278"/>
    </row>
    <row r="66" spans="1:49" s="1260" customFormat="1" ht="21.75" customHeight="1">
      <c r="A66" s="1316"/>
      <c r="B66" s="1317"/>
      <c r="C66" s="3272" t="s">
        <v>459</v>
      </c>
      <c r="D66" s="3272"/>
      <c r="E66" s="3272"/>
      <c r="F66" s="3272"/>
      <c r="G66" s="3272"/>
      <c r="H66" s="3272"/>
      <c r="I66" s="3272"/>
      <c r="J66" s="3272"/>
      <c r="K66" s="3272"/>
      <c r="L66" s="3272"/>
      <c r="M66" s="3272"/>
      <c r="N66" s="3272"/>
      <c r="O66" s="3272"/>
      <c r="P66" s="3273"/>
      <c r="Q66" s="3274">
        <v>12</v>
      </c>
      <c r="R66" s="3274"/>
      <c r="S66" s="3274"/>
      <c r="T66" s="3275" t="s">
        <v>62</v>
      </c>
      <c r="U66" s="3276"/>
      <c r="V66" s="3277"/>
      <c r="W66" s="3278">
        <v>2200000</v>
      </c>
      <c r="X66" s="3278"/>
      <c r="Y66" s="3278"/>
      <c r="Z66" s="3278"/>
      <c r="AA66" s="3278"/>
      <c r="AB66" s="3279">
        <f t="shared" si="0"/>
        <v>26400000</v>
      </c>
      <c r="AC66" s="3279"/>
      <c r="AD66" s="3279"/>
      <c r="AE66" s="3279"/>
      <c r="AF66" s="3279"/>
      <c r="AG66" s="3279"/>
      <c r="AH66" s="1256"/>
      <c r="AI66" s="1257"/>
      <c r="AJ66" s="1257"/>
      <c r="AK66" s="1257"/>
      <c r="AL66" s="1257"/>
      <c r="AM66" s="1257"/>
      <c r="AN66" s="1257"/>
      <c r="AO66" s="1257"/>
      <c r="AP66" s="1256"/>
      <c r="AQ66" s="1256"/>
      <c r="AR66" s="1257"/>
      <c r="AS66" s="1257"/>
      <c r="AT66" s="1257"/>
      <c r="AU66" s="1257"/>
      <c r="AV66" s="1278"/>
      <c r="AW66" s="1278"/>
    </row>
    <row r="67" spans="1:49" s="1260" customFormat="1" ht="11.25">
      <c r="A67" s="1316"/>
      <c r="B67" s="1317"/>
      <c r="C67" s="1318" t="s">
        <v>1093</v>
      </c>
      <c r="D67" s="1319"/>
      <c r="E67" s="1319"/>
      <c r="F67" s="1319"/>
      <c r="G67" s="1319"/>
      <c r="H67" s="1319"/>
      <c r="I67" s="1319"/>
      <c r="J67" s="1319"/>
      <c r="K67" s="1319"/>
      <c r="L67" s="1319"/>
      <c r="M67" s="1319"/>
      <c r="N67" s="1319"/>
      <c r="O67" s="1319"/>
      <c r="P67" s="1320"/>
      <c r="Q67" s="3122">
        <v>12</v>
      </c>
      <c r="R67" s="3122"/>
      <c r="S67" s="3122"/>
      <c r="T67" s="3269" t="s">
        <v>62</v>
      </c>
      <c r="U67" s="3270"/>
      <c r="V67" s="3271"/>
      <c r="W67" s="3118">
        <v>2200000</v>
      </c>
      <c r="X67" s="3118"/>
      <c r="Y67" s="3118"/>
      <c r="Z67" s="3118"/>
      <c r="AA67" s="3118"/>
      <c r="AB67" s="3124">
        <f t="shared" si="0"/>
        <v>26400000</v>
      </c>
      <c r="AC67" s="3124"/>
      <c r="AD67" s="3124"/>
      <c r="AE67" s="3124"/>
      <c r="AF67" s="3124"/>
      <c r="AG67" s="3124"/>
      <c r="AH67" s="1256"/>
      <c r="AI67" s="1257"/>
      <c r="AJ67" s="1257"/>
      <c r="AK67" s="1257"/>
      <c r="AL67" s="1257"/>
      <c r="AM67" s="1257"/>
      <c r="AN67" s="1257"/>
      <c r="AO67" s="1257"/>
      <c r="AP67" s="1256"/>
      <c r="AQ67" s="1256"/>
      <c r="AR67" s="1257"/>
      <c r="AS67" s="1257"/>
      <c r="AT67" s="1257"/>
      <c r="AU67" s="1257"/>
      <c r="AV67" s="1278"/>
      <c r="AW67" s="1278"/>
    </row>
    <row r="68" spans="1:49" s="1260" customFormat="1" ht="11.25">
      <c r="A68" s="1316"/>
      <c r="B68" s="1317"/>
      <c r="C68" s="1318" t="s">
        <v>703</v>
      </c>
      <c r="D68" s="1319"/>
      <c r="E68" s="1319"/>
      <c r="F68" s="1319"/>
      <c r="G68" s="1319"/>
      <c r="H68" s="1319"/>
      <c r="I68" s="1319"/>
      <c r="J68" s="1319"/>
      <c r="K68" s="1319"/>
      <c r="L68" s="1319"/>
      <c r="M68" s="1319"/>
      <c r="N68" s="1319"/>
      <c r="O68" s="1319"/>
      <c r="P68" s="1320"/>
      <c r="Q68" s="3122">
        <v>12</v>
      </c>
      <c r="R68" s="3122"/>
      <c r="S68" s="3122"/>
      <c r="T68" s="3269" t="s">
        <v>62</v>
      </c>
      <c r="U68" s="3270"/>
      <c r="V68" s="3271"/>
      <c r="W68" s="3118">
        <v>2250000</v>
      </c>
      <c r="X68" s="3118"/>
      <c r="Y68" s="3118"/>
      <c r="Z68" s="3118"/>
      <c r="AA68" s="3118"/>
      <c r="AB68" s="3124">
        <f t="shared" si="0"/>
        <v>27000000</v>
      </c>
      <c r="AC68" s="3124"/>
      <c r="AD68" s="3124"/>
      <c r="AE68" s="3124"/>
      <c r="AF68" s="3124"/>
      <c r="AG68" s="3124"/>
      <c r="AH68" s="1256"/>
      <c r="AI68" s="1257"/>
      <c r="AJ68" s="1257"/>
      <c r="AK68" s="1257"/>
      <c r="AL68" s="1257"/>
      <c r="AM68" s="1257"/>
      <c r="AN68" s="1257"/>
      <c r="AO68" s="1257"/>
      <c r="AP68" s="1256"/>
      <c r="AQ68" s="1256"/>
      <c r="AR68" s="1257"/>
      <c r="AS68" s="1257"/>
      <c r="AT68" s="1257"/>
      <c r="AU68" s="1257"/>
      <c r="AV68" s="1278"/>
      <c r="AW68" s="1278"/>
    </row>
    <row r="69" spans="1:49" s="1260" customFormat="1" ht="11.25">
      <c r="A69" s="1316"/>
      <c r="B69" s="1317"/>
      <c r="C69" s="1318" t="s">
        <v>704</v>
      </c>
      <c r="D69" s="1319"/>
      <c r="E69" s="1319"/>
      <c r="F69" s="1319"/>
      <c r="G69" s="1319"/>
      <c r="H69" s="1319"/>
      <c r="I69" s="1319"/>
      <c r="J69" s="1319"/>
      <c r="K69" s="1319"/>
      <c r="L69" s="1319"/>
      <c r="M69" s="1319"/>
      <c r="N69" s="1319"/>
      <c r="O69" s="1319"/>
      <c r="P69" s="1320"/>
      <c r="Q69" s="3122">
        <v>12</v>
      </c>
      <c r="R69" s="3122"/>
      <c r="S69" s="3122"/>
      <c r="T69" s="3269" t="s">
        <v>62</v>
      </c>
      <c r="U69" s="3270"/>
      <c r="V69" s="3271"/>
      <c r="W69" s="3118">
        <v>1300000</v>
      </c>
      <c r="X69" s="3118"/>
      <c r="Y69" s="3118"/>
      <c r="Z69" s="3118"/>
      <c r="AA69" s="3118"/>
      <c r="AB69" s="3124">
        <f t="shared" si="0"/>
        <v>15600000</v>
      </c>
      <c r="AC69" s="3124"/>
      <c r="AD69" s="3124"/>
      <c r="AE69" s="3124"/>
      <c r="AF69" s="3124"/>
      <c r="AG69" s="3124"/>
      <c r="AH69" s="1256"/>
      <c r="AI69" s="1257"/>
      <c r="AJ69" s="1257"/>
      <c r="AK69" s="1257"/>
      <c r="AL69" s="1257"/>
      <c r="AM69" s="1257"/>
      <c r="AN69" s="1257"/>
      <c r="AO69" s="1257"/>
      <c r="AP69" s="1256"/>
      <c r="AQ69" s="1256"/>
      <c r="AR69" s="1257"/>
      <c r="AS69" s="1257"/>
      <c r="AT69" s="1257"/>
      <c r="AU69" s="1257"/>
      <c r="AV69" s="1278"/>
      <c r="AW69" s="1278"/>
    </row>
    <row r="70" spans="1:49" s="1260" customFormat="1" ht="11.25">
      <c r="A70" s="1316"/>
      <c r="B70" s="1317"/>
      <c r="C70" s="1318" t="s">
        <v>705</v>
      </c>
      <c r="D70" s="1319"/>
      <c r="E70" s="1319"/>
      <c r="F70" s="1319"/>
      <c r="G70" s="1319"/>
      <c r="H70" s="1319"/>
      <c r="I70" s="1319"/>
      <c r="J70" s="1319"/>
      <c r="K70" s="1319"/>
      <c r="L70" s="1319"/>
      <c r="M70" s="1319"/>
      <c r="N70" s="1319"/>
      <c r="O70" s="1319"/>
      <c r="P70" s="1320"/>
      <c r="Q70" s="3122">
        <v>12</v>
      </c>
      <c r="R70" s="3122"/>
      <c r="S70" s="3122"/>
      <c r="T70" s="3269" t="s">
        <v>62</v>
      </c>
      <c r="U70" s="3270"/>
      <c r="V70" s="3271"/>
      <c r="W70" s="3118">
        <v>1300000</v>
      </c>
      <c r="X70" s="3118"/>
      <c r="Y70" s="3118"/>
      <c r="Z70" s="3118"/>
      <c r="AA70" s="3118"/>
      <c r="AB70" s="3124">
        <f t="shared" si="0"/>
        <v>15600000</v>
      </c>
      <c r="AC70" s="3124"/>
      <c r="AD70" s="3124"/>
      <c r="AE70" s="3124"/>
      <c r="AF70" s="3124"/>
      <c r="AG70" s="3124"/>
      <c r="AH70" s="1256"/>
      <c r="AI70" s="1257"/>
      <c r="AJ70" s="1257"/>
      <c r="AK70" s="1257"/>
      <c r="AL70" s="1257"/>
      <c r="AM70" s="1257"/>
      <c r="AN70" s="1257"/>
      <c r="AO70" s="1257"/>
      <c r="AP70" s="1256"/>
      <c r="AQ70" s="1256"/>
      <c r="AR70" s="1257"/>
      <c r="AS70" s="1257"/>
      <c r="AT70" s="1257"/>
      <c r="AU70" s="1257"/>
      <c r="AV70" s="1278"/>
      <c r="AW70" s="1278"/>
    </row>
    <row r="71" spans="1:49" s="1260" customFormat="1" ht="11.25">
      <c r="A71" s="1316"/>
      <c r="B71" s="1317"/>
      <c r="C71" s="1318" t="s">
        <v>706</v>
      </c>
      <c r="D71" s="1319"/>
      <c r="E71" s="1319"/>
      <c r="F71" s="1319"/>
      <c r="G71" s="1319"/>
      <c r="H71" s="1319"/>
      <c r="I71" s="1319"/>
      <c r="J71" s="1319"/>
      <c r="K71" s="1319"/>
      <c r="L71" s="1319"/>
      <c r="M71" s="1319"/>
      <c r="N71" s="1319"/>
      <c r="O71" s="1319"/>
      <c r="P71" s="1320"/>
      <c r="Q71" s="3122">
        <v>12</v>
      </c>
      <c r="R71" s="3122"/>
      <c r="S71" s="3122"/>
      <c r="T71" s="3269" t="s">
        <v>62</v>
      </c>
      <c r="U71" s="3270"/>
      <c r="V71" s="3271"/>
      <c r="W71" s="3118">
        <v>1300000</v>
      </c>
      <c r="X71" s="3118"/>
      <c r="Y71" s="3118"/>
      <c r="Z71" s="3118"/>
      <c r="AA71" s="3118"/>
      <c r="AB71" s="3124">
        <f t="shared" si="0"/>
        <v>15600000</v>
      </c>
      <c r="AC71" s="3124"/>
      <c r="AD71" s="3124"/>
      <c r="AE71" s="3124"/>
      <c r="AF71" s="3124"/>
      <c r="AG71" s="3124"/>
      <c r="AH71" s="1256"/>
      <c r="AI71" s="1257"/>
      <c r="AJ71" s="1257"/>
      <c r="AK71" s="1257"/>
      <c r="AL71" s="1257"/>
      <c r="AM71" s="1257"/>
      <c r="AN71" s="1257"/>
      <c r="AO71" s="1257"/>
      <c r="AP71" s="1256"/>
      <c r="AQ71" s="1256"/>
      <c r="AR71" s="1257"/>
      <c r="AS71" s="1257"/>
      <c r="AT71" s="1257"/>
      <c r="AU71" s="1257"/>
      <c r="AV71" s="1278"/>
      <c r="AW71" s="1278"/>
    </row>
    <row r="72" spans="1:49" s="1260" customFormat="1" ht="11.25">
      <c r="A72" s="1316"/>
      <c r="B72" s="1317"/>
      <c r="C72" s="1318" t="s">
        <v>707</v>
      </c>
      <c r="D72" s="1319"/>
      <c r="E72" s="1319"/>
      <c r="F72" s="1319"/>
      <c r="G72" s="1319"/>
      <c r="H72" s="1319"/>
      <c r="I72" s="1319"/>
      <c r="J72" s="1319"/>
      <c r="K72" s="1319"/>
      <c r="L72" s="1319"/>
      <c r="M72" s="1319"/>
      <c r="N72" s="1319"/>
      <c r="O72" s="1319"/>
      <c r="P72" s="1320"/>
      <c r="Q72" s="3122">
        <v>12</v>
      </c>
      <c r="R72" s="3122"/>
      <c r="S72" s="3122"/>
      <c r="T72" s="3269" t="s">
        <v>62</v>
      </c>
      <c r="U72" s="3270"/>
      <c r="V72" s="3271"/>
      <c r="W72" s="3118">
        <v>1125000</v>
      </c>
      <c r="X72" s="3118"/>
      <c r="Y72" s="3118"/>
      <c r="Z72" s="3118"/>
      <c r="AA72" s="3118"/>
      <c r="AB72" s="3124">
        <f t="shared" si="0"/>
        <v>13500000</v>
      </c>
      <c r="AC72" s="3124"/>
      <c r="AD72" s="3124"/>
      <c r="AE72" s="3124"/>
      <c r="AF72" s="3124"/>
      <c r="AG72" s="3124"/>
      <c r="AH72" s="1256"/>
      <c r="AI72" s="1257"/>
      <c r="AJ72" s="1257"/>
      <c r="AK72" s="1257"/>
      <c r="AL72" s="1257"/>
      <c r="AM72" s="1257"/>
      <c r="AN72" s="1257"/>
      <c r="AO72" s="1257"/>
      <c r="AP72" s="1256"/>
      <c r="AQ72" s="1256"/>
      <c r="AR72" s="1257"/>
      <c r="AS72" s="1257"/>
      <c r="AT72" s="1257"/>
      <c r="AU72" s="1257"/>
      <c r="AV72" s="1278"/>
      <c r="AW72" s="1278"/>
    </row>
    <row r="73" spans="1:49" s="1260" customFormat="1" ht="11.25">
      <c r="A73" s="1316"/>
      <c r="B73" s="1317"/>
      <c r="C73" s="1318" t="s">
        <v>708</v>
      </c>
      <c r="D73" s="1319"/>
      <c r="E73" s="1319"/>
      <c r="F73" s="1319"/>
      <c r="G73" s="1319"/>
      <c r="H73" s="1319"/>
      <c r="I73" s="1319"/>
      <c r="J73" s="1319"/>
      <c r="K73" s="1319"/>
      <c r="L73" s="1319"/>
      <c r="M73" s="1319"/>
      <c r="N73" s="1319"/>
      <c r="O73" s="1319"/>
      <c r="P73" s="1320"/>
      <c r="Q73" s="3122">
        <v>12</v>
      </c>
      <c r="R73" s="3122"/>
      <c r="S73" s="3122"/>
      <c r="T73" s="3269" t="s">
        <v>62</v>
      </c>
      <c r="U73" s="3270"/>
      <c r="V73" s="3271"/>
      <c r="W73" s="3118">
        <v>750000</v>
      </c>
      <c r="X73" s="3118"/>
      <c r="Y73" s="3118"/>
      <c r="Z73" s="3118"/>
      <c r="AA73" s="3118"/>
      <c r="AB73" s="3124">
        <f t="shared" si="0"/>
        <v>9000000</v>
      </c>
      <c r="AC73" s="3124"/>
      <c r="AD73" s="3124"/>
      <c r="AE73" s="3124"/>
      <c r="AF73" s="3124"/>
      <c r="AG73" s="3124"/>
      <c r="AH73" s="1256"/>
      <c r="AI73" s="1257"/>
      <c r="AJ73" s="1257"/>
      <c r="AK73" s="1257"/>
      <c r="AL73" s="1257"/>
      <c r="AM73" s="1257"/>
      <c r="AN73" s="1257"/>
      <c r="AO73" s="1257"/>
      <c r="AP73" s="1256"/>
      <c r="AQ73" s="1256"/>
      <c r="AR73" s="1257"/>
      <c r="AS73" s="1257"/>
      <c r="AT73" s="1257"/>
      <c r="AU73" s="1257"/>
      <c r="AV73" s="1278"/>
      <c r="AW73" s="1278"/>
    </row>
    <row r="74" spans="1:49" s="1260" customFormat="1" ht="11.25">
      <c r="A74" s="1316"/>
      <c r="B74" s="1317"/>
      <c r="C74" s="1318" t="s">
        <v>709</v>
      </c>
      <c r="D74" s="1319"/>
      <c r="E74" s="1319"/>
      <c r="F74" s="1319"/>
      <c r="G74" s="1319"/>
      <c r="H74" s="1319"/>
      <c r="I74" s="1319"/>
      <c r="J74" s="1319"/>
      <c r="K74" s="1319"/>
      <c r="L74" s="1319"/>
      <c r="M74" s="1319"/>
      <c r="N74" s="1319"/>
      <c r="O74" s="1319"/>
      <c r="P74" s="1320"/>
      <c r="Q74" s="3122">
        <v>12</v>
      </c>
      <c r="R74" s="3122"/>
      <c r="S74" s="3122"/>
      <c r="T74" s="3269" t="s">
        <v>62</v>
      </c>
      <c r="U74" s="3270"/>
      <c r="V74" s="3271"/>
      <c r="W74" s="3118">
        <v>750000</v>
      </c>
      <c r="X74" s="3118"/>
      <c r="Y74" s="3118"/>
      <c r="Z74" s="3118"/>
      <c r="AA74" s="3118"/>
      <c r="AB74" s="3124">
        <f t="shared" si="0"/>
        <v>9000000</v>
      </c>
      <c r="AC74" s="3124"/>
      <c r="AD74" s="3124"/>
      <c r="AE74" s="3124"/>
      <c r="AF74" s="3124"/>
      <c r="AG74" s="3124"/>
      <c r="AH74" s="1256"/>
      <c r="AI74" s="1257"/>
      <c r="AJ74" s="1257"/>
      <c r="AK74" s="1257"/>
      <c r="AL74" s="1257"/>
      <c r="AM74" s="1257"/>
      <c r="AN74" s="1257"/>
      <c r="AO74" s="1257"/>
      <c r="AP74" s="1256"/>
      <c r="AQ74" s="1256"/>
      <c r="AR74" s="1257"/>
      <c r="AS74" s="1257"/>
      <c r="AT74" s="1257"/>
      <c r="AU74" s="1257"/>
      <c r="AV74" s="1278"/>
      <c r="AW74" s="1278"/>
    </row>
    <row r="75" spans="1:49" s="1260" customFormat="1" ht="11.25">
      <c r="A75" s="1316"/>
      <c r="B75" s="1317"/>
      <c r="C75" s="1318" t="s">
        <v>460</v>
      </c>
      <c r="D75" s="1319"/>
      <c r="E75" s="1319"/>
      <c r="F75" s="1319"/>
      <c r="G75" s="1319"/>
      <c r="H75" s="1319"/>
      <c r="I75" s="1319"/>
      <c r="J75" s="1319"/>
      <c r="K75" s="1319"/>
      <c r="L75" s="1319"/>
      <c r="M75" s="1319"/>
      <c r="N75" s="1319"/>
      <c r="O75" s="1319"/>
      <c r="P75" s="1320"/>
      <c r="Q75" s="3122">
        <v>12</v>
      </c>
      <c r="R75" s="3122"/>
      <c r="S75" s="3122"/>
      <c r="T75" s="3269" t="s">
        <v>62</v>
      </c>
      <c r="U75" s="3270"/>
      <c r="V75" s="3271"/>
      <c r="W75" s="3118">
        <v>1700000</v>
      </c>
      <c r="X75" s="3118"/>
      <c r="Y75" s="3118"/>
      <c r="Z75" s="3118"/>
      <c r="AA75" s="3118"/>
      <c r="AB75" s="3124">
        <f t="shared" si="0"/>
        <v>20400000</v>
      </c>
      <c r="AC75" s="3124"/>
      <c r="AD75" s="3124"/>
      <c r="AE75" s="3124"/>
      <c r="AF75" s="3124"/>
      <c r="AG75" s="3124"/>
      <c r="AH75" s="1256"/>
      <c r="AI75" s="1257"/>
      <c r="AJ75" s="1257"/>
      <c r="AK75" s="1257"/>
      <c r="AL75" s="1257"/>
      <c r="AM75" s="1257"/>
      <c r="AN75" s="1257"/>
      <c r="AO75" s="1257"/>
      <c r="AP75" s="1256"/>
      <c r="AQ75" s="1256"/>
      <c r="AR75" s="1257"/>
      <c r="AS75" s="1257"/>
      <c r="AT75" s="1257"/>
      <c r="AU75" s="1257"/>
      <c r="AV75" s="1278"/>
      <c r="AW75" s="1278"/>
    </row>
    <row r="76" spans="1:49" s="1260" customFormat="1" ht="11.25">
      <c r="A76" s="1374"/>
      <c r="B76" s="1375"/>
      <c r="C76" s="1376" t="s">
        <v>1699</v>
      </c>
      <c r="D76" s="1377"/>
      <c r="E76" s="1377"/>
      <c r="F76" s="1377"/>
      <c r="G76" s="1377"/>
      <c r="H76" s="1377"/>
      <c r="I76" s="1377"/>
      <c r="J76" s="1377"/>
      <c r="K76" s="1377"/>
      <c r="L76" s="1377"/>
      <c r="M76" s="1377"/>
      <c r="N76" s="1377"/>
      <c r="O76" s="1377"/>
      <c r="P76" s="1378"/>
      <c r="Q76" s="3197">
        <f>3*12</f>
        <v>36</v>
      </c>
      <c r="R76" s="3197"/>
      <c r="S76" s="3197"/>
      <c r="T76" s="3266" t="s">
        <v>62</v>
      </c>
      <c r="U76" s="3267"/>
      <c r="V76" s="3268"/>
      <c r="W76" s="3139">
        <v>1300000</v>
      </c>
      <c r="X76" s="3139"/>
      <c r="Y76" s="3139"/>
      <c r="Z76" s="3139"/>
      <c r="AA76" s="3139"/>
      <c r="AB76" s="3199">
        <f t="shared" si="0"/>
        <v>46800000</v>
      </c>
      <c r="AC76" s="3199"/>
      <c r="AD76" s="3199"/>
      <c r="AE76" s="3199"/>
      <c r="AF76" s="3199"/>
      <c r="AG76" s="3199"/>
      <c r="AH76" s="1256"/>
      <c r="AI76" s="1257"/>
      <c r="AJ76" s="1257"/>
      <c r="AK76" s="1257"/>
      <c r="AL76" s="1257"/>
      <c r="AM76" s="1257"/>
      <c r="AN76" s="1257"/>
      <c r="AO76" s="1257"/>
      <c r="AP76" s="1256"/>
      <c r="AQ76" s="1256"/>
      <c r="AR76" s="1257"/>
      <c r="AS76" s="1257"/>
      <c r="AT76" s="1257"/>
      <c r="AU76" s="1257"/>
      <c r="AV76" s="1278"/>
      <c r="AW76" s="1278"/>
    </row>
    <row r="77" spans="1:49" s="1811" customFormat="1" ht="11.25">
      <c r="A77" s="2200"/>
      <c r="B77" s="2201"/>
      <c r="C77" s="2202" t="s">
        <v>1227</v>
      </c>
      <c r="D77" s="2203"/>
      <c r="E77" s="2203"/>
      <c r="F77" s="2203"/>
      <c r="G77" s="2203"/>
      <c r="H77" s="2203"/>
      <c r="I77" s="2203"/>
      <c r="J77" s="2203"/>
      <c r="K77" s="2203"/>
      <c r="L77" s="2203"/>
      <c r="M77" s="2203"/>
      <c r="N77" s="2203"/>
      <c r="O77" s="2203"/>
      <c r="P77" s="2204"/>
      <c r="Q77" s="3160">
        <v>12</v>
      </c>
      <c r="R77" s="3160"/>
      <c r="S77" s="3160"/>
      <c r="T77" s="3161" t="s">
        <v>62</v>
      </c>
      <c r="U77" s="3162"/>
      <c r="V77" s="3163"/>
      <c r="W77" s="3164">
        <v>1000000</v>
      </c>
      <c r="X77" s="3164"/>
      <c r="Y77" s="3164"/>
      <c r="Z77" s="3164"/>
      <c r="AA77" s="3164"/>
      <c r="AB77" s="3165">
        <f t="shared" si="0"/>
        <v>12000000</v>
      </c>
      <c r="AC77" s="3165"/>
      <c r="AD77" s="3165"/>
      <c r="AE77" s="3165"/>
      <c r="AF77" s="3165"/>
      <c r="AG77" s="3165"/>
      <c r="AH77" s="1808"/>
      <c r="AI77" s="1809"/>
      <c r="AJ77" s="1809"/>
      <c r="AK77" s="1809"/>
      <c r="AL77" s="1809"/>
      <c r="AM77" s="1809"/>
      <c r="AN77" s="1809"/>
      <c r="AO77" s="1809"/>
      <c r="AP77" s="1808"/>
      <c r="AQ77" s="1808"/>
      <c r="AR77" s="1809"/>
      <c r="AS77" s="1809"/>
      <c r="AT77" s="1809"/>
      <c r="AU77" s="1809"/>
      <c r="AV77" s="1810"/>
      <c r="AW77" s="1810"/>
    </row>
    <row r="78" spans="1:49" s="1811" customFormat="1" ht="11.25">
      <c r="A78" s="2200"/>
      <c r="B78" s="2201"/>
      <c r="C78" s="2202" t="s">
        <v>1228</v>
      </c>
      <c r="D78" s="2203"/>
      <c r="E78" s="2203"/>
      <c r="F78" s="2203"/>
      <c r="G78" s="2203"/>
      <c r="H78" s="2203"/>
      <c r="I78" s="2203"/>
      <c r="J78" s="2203"/>
      <c r="K78" s="2203"/>
      <c r="L78" s="2203"/>
      <c r="M78" s="2203"/>
      <c r="N78" s="2203"/>
      <c r="O78" s="2203"/>
      <c r="P78" s="2204"/>
      <c r="Q78" s="3160">
        <v>12</v>
      </c>
      <c r="R78" s="3160"/>
      <c r="S78" s="3160"/>
      <c r="T78" s="3161" t="s">
        <v>62</v>
      </c>
      <c r="U78" s="3162"/>
      <c r="V78" s="3163"/>
      <c r="W78" s="3164">
        <v>1400000</v>
      </c>
      <c r="X78" s="3164"/>
      <c r="Y78" s="3164"/>
      <c r="Z78" s="3164"/>
      <c r="AA78" s="3164"/>
      <c r="AB78" s="3165">
        <f>Q78*W78</f>
        <v>16800000</v>
      </c>
      <c r="AC78" s="3165"/>
      <c r="AD78" s="3165"/>
      <c r="AE78" s="3165"/>
      <c r="AF78" s="3165"/>
      <c r="AG78" s="3165"/>
      <c r="AH78" s="1808"/>
      <c r="AI78" s="1809"/>
      <c r="AJ78" s="1809"/>
      <c r="AK78" s="1809"/>
      <c r="AL78" s="1809"/>
      <c r="AM78" s="1809"/>
      <c r="AN78" s="1809"/>
      <c r="AO78" s="1809"/>
      <c r="AP78" s="1808"/>
      <c r="AQ78" s="1808"/>
      <c r="AR78" s="1809"/>
      <c r="AS78" s="1809"/>
      <c r="AT78" s="1809"/>
      <c r="AU78" s="1809"/>
      <c r="AV78" s="1810"/>
      <c r="AW78" s="1810"/>
    </row>
    <row r="79" spans="1:49" s="1811" customFormat="1" ht="11.25">
      <c r="A79" s="2200"/>
      <c r="B79" s="2201"/>
      <c r="C79" s="2202" t="s">
        <v>1994</v>
      </c>
      <c r="D79" s="2203"/>
      <c r="E79" s="2203"/>
      <c r="F79" s="2203"/>
      <c r="G79" s="2203"/>
      <c r="H79" s="2203"/>
      <c r="I79" s="2203"/>
      <c r="J79" s="2203"/>
      <c r="K79" s="2203"/>
      <c r="L79" s="2203"/>
      <c r="M79" s="2203"/>
      <c r="N79" s="2203"/>
      <c r="O79" s="2203"/>
      <c r="P79" s="2204"/>
      <c r="Q79" s="3160">
        <f>3*12</f>
        <v>36</v>
      </c>
      <c r="R79" s="3160"/>
      <c r="S79" s="3160"/>
      <c r="T79" s="3161" t="s">
        <v>62</v>
      </c>
      <c r="U79" s="3162"/>
      <c r="V79" s="3163"/>
      <c r="W79" s="3164">
        <v>1200000</v>
      </c>
      <c r="X79" s="3164"/>
      <c r="Y79" s="3164"/>
      <c r="Z79" s="3164"/>
      <c r="AA79" s="3164"/>
      <c r="AB79" s="3165">
        <f t="shared" si="0"/>
        <v>43200000</v>
      </c>
      <c r="AC79" s="3165"/>
      <c r="AD79" s="3165"/>
      <c r="AE79" s="3165"/>
      <c r="AF79" s="3165"/>
      <c r="AG79" s="3165"/>
      <c r="AH79" s="1808"/>
      <c r="AI79" s="1809"/>
      <c r="AJ79" s="1809"/>
      <c r="AK79" s="1809"/>
      <c r="AL79" s="1809"/>
      <c r="AM79" s="1809"/>
      <c r="AN79" s="1809"/>
      <c r="AO79" s="1809"/>
      <c r="AP79" s="1808"/>
      <c r="AQ79" s="1808"/>
      <c r="AR79" s="1809"/>
      <c r="AS79" s="1809"/>
      <c r="AT79" s="1809"/>
      <c r="AU79" s="1809"/>
      <c r="AV79" s="1810"/>
      <c r="AW79" s="1810"/>
    </row>
    <row r="80" spans="1:49" s="1326" customFormat="1" ht="11.25" customHeight="1">
      <c r="A80" s="1321" t="s">
        <v>710</v>
      </c>
      <c r="B80" s="3129" t="s">
        <v>711</v>
      </c>
      <c r="C80" s="3129"/>
      <c r="D80" s="3129"/>
      <c r="E80" s="3129"/>
      <c r="F80" s="3129"/>
      <c r="G80" s="3129"/>
      <c r="H80" s="3129"/>
      <c r="I80" s="3129"/>
      <c r="J80" s="3129"/>
      <c r="K80" s="3129"/>
      <c r="L80" s="3129"/>
      <c r="M80" s="3129"/>
      <c r="N80" s="3129"/>
      <c r="O80" s="3129"/>
      <c r="P80" s="3129"/>
      <c r="Q80" s="3131"/>
      <c r="R80" s="3131"/>
      <c r="S80" s="3131"/>
      <c r="T80" s="3131"/>
      <c r="U80" s="3131"/>
      <c r="V80" s="3131"/>
      <c r="W80" s="3132"/>
      <c r="X80" s="3132"/>
      <c r="Y80" s="3132"/>
      <c r="Z80" s="3132"/>
      <c r="AA80" s="3132"/>
      <c r="AB80" s="3133">
        <f>SUM(AB81:AG96)</f>
        <v>7605000000</v>
      </c>
      <c r="AC80" s="3133"/>
      <c r="AD80" s="3133"/>
      <c r="AE80" s="3133"/>
      <c r="AF80" s="3133"/>
      <c r="AG80" s="3133"/>
      <c r="AH80" s="1322"/>
      <c r="AI80" s="1323">
        <v>7485000000</v>
      </c>
      <c r="AJ80" s="1323">
        <f>AB80-AI80</f>
        <v>120000000</v>
      </c>
      <c r="AK80" s="1323"/>
      <c r="AL80" s="1323"/>
      <c r="AM80" s="1323"/>
      <c r="AN80" s="1323"/>
      <c r="AO80" s="1323"/>
      <c r="AP80" s="1324"/>
      <c r="AQ80" s="1324"/>
      <c r="AR80" s="1323"/>
      <c r="AS80" s="1323"/>
      <c r="AT80" s="1323"/>
      <c r="AU80" s="1323"/>
      <c r="AV80" s="1325"/>
      <c r="AW80" s="1325"/>
    </row>
    <row r="81" spans="1:49" s="1260" customFormat="1" ht="11.25">
      <c r="A81" s="1327"/>
      <c r="B81" s="1327"/>
      <c r="C81" s="1328" t="s">
        <v>461</v>
      </c>
      <c r="D81" s="1328"/>
      <c r="E81" s="1328"/>
      <c r="F81" s="1329"/>
      <c r="G81" s="1329"/>
      <c r="H81" s="1329"/>
      <c r="I81" s="1329"/>
      <c r="J81" s="1329"/>
      <c r="K81" s="3151"/>
      <c r="L81" s="3151"/>
      <c r="M81" s="3151"/>
      <c r="N81" s="1329"/>
      <c r="O81" s="3152">
        <f>O82+O86</f>
        <v>246</v>
      </c>
      <c r="P81" s="3153"/>
      <c r="Q81" s="3117"/>
      <c r="R81" s="3117"/>
      <c r="S81" s="3117"/>
      <c r="T81" s="3117"/>
      <c r="U81" s="3117"/>
      <c r="V81" s="3117"/>
      <c r="W81" s="3118"/>
      <c r="X81" s="3118"/>
      <c r="Y81" s="3118"/>
      <c r="Z81" s="3118"/>
      <c r="AA81" s="3118"/>
      <c r="AB81" s="3134"/>
      <c r="AC81" s="3134"/>
      <c r="AD81" s="3134"/>
      <c r="AE81" s="3134"/>
      <c r="AF81" s="3134"/>
      <c r="AG81" s="3134"/>
      <c r="AH81" s="1256"/>
      <c r="AI81" s="1277"/>
      <c r="AJ81" s="1277"/>
      <c r="AK81" s="1277"/>
      <c r="AL81" s="1277"/>
      <c r="AM81" s="1277"/>
      <c r="AN81" s="1257"/>
      <c r="AO81" s="1257"/>
      <c r="AP81" s="1256"/>
      <c r="AQ81" s="1256"/>
      <c r="AR81" s="1257"/>
      <c r="AS81" s="1257"/>
      <c r="AT81" s="1257"/>
      <c r="AU81" s="1257"/>
      <c r="AV81" s="1278"/>
      <c r="AW81" s="1278"/>
    </row>
    <row r="82" spans="1:49" s="1260" customFormat="1" ht="11.25">
      <c r="A82" s="1327"/>
      <c r="B82" s="1327"/>
      <c r="C82" s="1328" t="str">
        <f>C25</f>
        <v>Eselon II.b</v>
      </c>
      <c r="D82" s="1301"/>
      <c r="E82" s="1328"/>
      <c r="F82" s="1329"/>
      <c r="G82" s="1329"/>
      <c r="H82" s="3141">
        <v>1</v>
      </c>
      <c r="I82" s="3141"/>
      <c r="J82" s="3142">
        <v>12</v>
      </c>
      <c r="K82" s="3142"/>
      <c r="L82" s="3142"/>
      <c r="M82" s="1328"/>
      <c r="N82" s="1328"/>
      <c r="O82" s="3149">
        <f>SUM(H82:I85)</f>
        <v>21</v>
      </c>
      <c r="P82" s="3150"/>
      <c r="Q82" s="3116">
        <f>H82*J82</f>
        <v>12</v>
      </c>
      <c r="R82" s="3116"/>
      <c r="S82" s="3116"/>
      <c r="T82" s="3117" t="s">
        <v>62</v>
      </c>
      <c r="U82" s="3117"/>
      <c r="V82" s="3117"/>
      <c r="W82" s="3118">
        <v>10000000</v>
      </c>
      <c r="X82" s="3118"/>
      <c r="Y82" s="3118"/>
      <c r="Z82" s="3118"/>
      <c r="AA82" s="3118"/>
      <c r="AB82" s="3128">
        <f>W82*Q82</f>
        <v>120000000</v>
      </c>
      <c r="AC82" s="3128"/>
      <c r="AD82" s="3128"/>
      <c r="AE82" s="3128"/>
      <c r="AF82" s="3128"/>
      <c r="AG82" s="3128"/>
      <c r="AH82" s="1256"/>
      <c r="AI82" s="1257"/>
      <c r="AJ82" s="1277"/>
      <c r="AK82" s="1277"/>
      <c r="AL82" s="1277"/>
      <c r="AM82" s="1277"/>
      <c r="AN82" s="1257"/>
      <c r="AO82" s="1257"/>
      <c r="AP82" s="1315"/>
      <c r="AQ82" s="1256"/>
      <c r="AR82" s="1257"/>
      <c r="AS82" s="1257"/>
      <c r="AT82" s="1257"/>
      <c r="AU82" s="1257"/>
      <c r="AV82" s="1278"/>
      <c r="AW82" s="1278"/>
    </row>
    <row r="83" spans="1:49" s="1260" customFormat="1" ht="11.25">
      <c r="A83" s="1327"/>
      <c r="B83" s="1327"/>
      <c r="C83" s="1328" t="str">
        <f>C26</f>
        <v>Eselon III.a</v>
      </c>
      <c r="D83" s="1301"/>
      <c r="E83" s="1328"/>
      <c r="F83" s="1329"/>
      <c r="G83" s="1329"/>
      <c r="H83" s="3141">
        <v>2</v>
      </c>
      <c r="I83" s="3141"/>
      <c r="J83" s="3142">
        <v>12</v>
      </c>
      <c r="K83" s="3142"/>
      <c r="L83" s="3142"/>
      <c r="M83" s="1328"/>
      <c r="N83" s="1328"/>
      <c r="O83" s="1328"/>
      <c r="P83" s="1330"/>
      <c r="Q83" s="3116">
        <f>H83*J83</f>
        <v>24</v>
      </c>
      <c r="R83" s="3116"/>
      <c r="S83" s="3116"/>
      <c r="T83" s="3117" t="s">
        <v>62</v>
      </c>
      <c r="U83" s="3117"/>
      <c r="V83" s="3117"/>
      <c r="W83" s="3118">
        <v>7500000</v>
      </c>
      <c r="X83" s="3118"/>
      <c r="Y83" s="3118"/>
      <c r="Z83" s="3118"/>
      <c r="AA83" s="3118"/>
      <c r="AB83" s="3128">
        <f>W83*Q83</f>
        <v>180000000</v>
      </c>
      <c r="AC83" s="3128"/>
      <c r="AD83" s="3128"/>
      <c r="AE83" s="3128"/>
      <c r="AF83" s="3128"/>
      <c r="AG83" s="3128"/>
      <c r="AH83" s="1256"/>
      <c r="AI83" s="1257"/>
      <c r="AJ83" s="1257"/>
      <c r="AK83" s="1257"/>
      <c r="AL83" s="1257"/>
      <c r="AM83" s="1257"/>
      <c r="AN83" s="1257"/>
      <c r="AO83" s="1257"/>
      <c r="AP83" s="1256"/>
      <c r="AQ83" s="1256"/>
      <c r="AR83" s="1257"/>
      <c r="AS83" s="1257"/>
      <c r="AT83" s="1257"/>
      <c r="AU83" s="1257"/>
      <c r="AV83" s="1278"/>
      <c r="AW83" s="1278"/>
    </row>
    <row r="84" spans="1:49" s="1260" customFormat="1" ht="11.25">
      <c r="A84" s="1327"/>
      <c r="B84" s="1327"/>
      <c r="C84" s="1328" t="str">
        <f>C27</f>
        <v>Eselon III.b</v>
      </c>
      <c r="D84" s="1301"/>
      <c r="E84" s="1328"/>
      <c r="F84" s="1329"/>
      <c r="G84" s="1329"/>
      <c r="H84" s="3141">
        <v>6</v>
      </c>
      <c r="I84" s="3141"/>
      <c r="J84" s="3142">
        <v>12</v>
      </c>
      <c r="K84" s="3142"/>
      <c r="L84" s="3142"/>
      <c r="M84" s="1328"/>
      <c r="N84" s="1328"/>
      <c r="O84" s="1328"/>
      <c r="P84" s="1330"/>
      <c r="Q84" s="3116">
        <f>H84*J84</f>
        <v>72</v>
      </c>
      <c r="R84" s="3116"/>
      <c r="S84" s="3116"/>
      <c r="T84" s="3117" t="s">
        <v>62</v>
      </c>
      <c r="U84" s="3117"/>
      <c r="V84" s="3117"/>
      <c r="W84" s="3118">
        <v>5500000</v>
      </c>
      <c r="X84" s="3118"/>
      <c r="Y84" s="3118"/>
      <c r="Z84" s="3118"/>
      <c r="AA84" s="3118"/>
      <c r="AB84" s="3128">
        <f>W84*Q84</f>
        <v>396000000</v>
      </c>
      <c r="AC84" s="3128"/>
      <c r="AD84" s="3128"/>
      <c r="AE84" s="3128"/>
      <c r="AF84" s="3128"/>
      <c r="AG84" s="3128"/>
      <c r="AH84" s="1256"/>
      <c r="AI84" s="1257"/>
      <c r="AJ84" s="1257"/>
      <c r="AK84" s="1257"/>
      <c r="AL84" s="1257"/>
      <c r="AM84" s="1257"/>
      <c r="AN84" s="1257"/>
      <c r="AO84" s="1257"/>
      <c r="AP84" s="1256"/>
      <c r="AQ84" s="1256"/>
      <c r="AR84" s="1257"/>
      <c r="AS84" s="1257"/>
      <c r="AT84" s="1257"/>
      <c r="AU84" s="1257"/>
      <c r="AV84" s="1278"/>
      <c r="AW84" s="1278"/>
    </row>
    <row r="85" spans="1:49" s="1260" customFormat="1" ht="11.25">
      <c r="A85" s="1327"/>
      <c r="B85" s="1331"/>
      <c r="C85" s="1332" t="s">
        <v>684</v>
      </c>
      <c r="D85" s="1303"/>
      <c r="E85" s="1332"/>
      <c r="F85" s="1333"/>
      <c r="G85" s="1333"/>
      <c r="H85" s="3135">
        <v>12</v>
      </c>
      <c r="I85" s="3135"/>
      <c r="J85" s="3136">
        <v>12</v>
      </c>
      <c r="K85" s="3136"/>
      <c r="L85" s="3136"/>
      <c r="M85" s="3148"/>
      <c r="N85" s="3148"/>
      <c r="O85" s="3148"/>
      <c r="P85" s="1334"/>
      <c r="Q85" s="3137">
        <f>H85*J85</f>
        <v>144</v>
      </c>
      <c r="R85" s="3137"/>
      <c r="S85" s="3137"/>
      <c r="T85" s="3138" t="s">
        <v>62</v>
      </c>
      <c r="U85" s="3138"/>
      <c r="V85" s="3138"/>
      <c r="W85" s="3139">
        <v>4500000</v>
      </c>
      <c r="X85" s="3139"/>
      <c r="Y85" s="3139"/>
      <c r="Z85" s="3139"/>
      <c r="AA85" s="3139"/>
      <c r="AB85" s="3140">
        <f>W85*Q85</f>
        <v>648000000</v>
      </c>
      <c r="AC85" s="3140"/>
      <c r="AD85" s="3140"/>
      <c r="AE85" s="3140"/>
      <c r="AF85" s="3140"/>
      <c r="AG85" s="3140"/>
      <c r="AH85" s="1256"/>
      <c r="AI85" s="1257"/>
      <c r="AJ85" s="1257"/>
      <c r="AK85" s="1257"/>
      <c r="AL85" s="1257"/>
      <c r="AM85" s="1257"/>
      <c r="AN85" s="1257"/>
      <c r="AO85" s="1257"/>
      <c r="AP85" s="1256"/>
      <c r="AQ85" s="1256"/>
      <c r="AR85" s="1257"/>
      <c r="AS85" s="1257"/>
      <c r="AT85" s="1257"/>
      <c r="AU85" s="1257"/>
      <c r="AV85" s="1278"/>
      <c r="AW85" s="1278"/>
    </row>
    <row r="86" spans="1:49" s="1260" customFormat="1" ht="11.25">
      <c r="A86" s="1335"/>
      <c r="B86" s="1336"/>
      <c r="C86" s="1337" t="s">
        <v>462</v>
      </c>
      <c r="D86" s="1337"/>
      <c r="E86" s="1337"/>
      <c r="F86" s="1338"/>
      <c r="G86" s="1338"/>
      <c r="H86" s="1337"/>
      <c r="I86" s="1337"/>
      <c r="J86" s="1337"/>
      <c r="K86" s="1339"/>
      <c r="L86" s="1339"/>
      <c r="M86" s="1339"/>
      <c r="N86" s="1337"/>
      <c r="O86" s="3143">
        <f>SUM(K87:L96)</f>
        <v>225</v>
      </c>
      <c r="P86" s="3144"/>
      <c r="Q86" s="3145"/>
      <c r="R86" s="3145"/>
      <c r="S86" s="3145"/>
      <c r="T86" s="3146"/>
      <c r="U86" s="3146"/>
      <c r="V86" s="3146"/>
      <c r="W86" s="3132"/>
      <c r="X86" s="3132"/>
      <c r="Y86" s="3132"/>
      <c r="Z86" s="3132"/>
      <c r="AA86" s="3132"/>
      <c r="AB86" s="3147"/>
      <c r="AC86" s="3147"/>
      <c r="AD86" s="3147"/>
      <c r="AE86" s="3147"/>
      <c r="AF86" s="3147"/>
      <c r="AG86" s="3147"/>
      <c r="AH86" s="1256"/>
      <c r="AI86" s="1257"/>
      <c r="AJ86" s="1257"/>
      <c r="AK86" s="1257"/>
      <c r="AL86" s="1257"/>
      <c r="AM86" s="1257"/>
      <c r="AN86" s="1257"/>
      <c r="AO86" s="1257"/>
      <c r="AP86" s="1256"/>
      <c r="AQ86" s="1256"/>
      <c r="AR86" s="1257"/>
      <c r="AS86" s="1257"/>
      <c r="AT86" s="1257"/>
      <c r="AU86" s="1257"/>
      <c r="AV86" s="1278"/>
      <c r="AW86" s="1278"/>
    </row>
    <row r="87" spans="1:49" s="1260" customFormat="1" ht="11.25">
      <c r="A87" s="1327"/>
      <c r="B87" s="1327"/>
      <c r="C87" s="1328" t="s">
        <v>712</v>
      </c>
      <c r="D87" s="1301"/>
      <c r="E87" s="1328"/>
      <c r="F87" s="1329"/>
      <c r="G87" s="1329"/>
      <c r="H87" s="1328"/>
      <c r="I87" s="1328"/>
      <c r="J87" s="1291"/>
      <c r="K87" s="3141">
        <v>0</v>
      </c>
      <c r="L87" s="3141"/>
      <c r="M87" s="3142">
        <v>12</v>
      </c>
      <c r="N87" s="3142"/>
      <c r="O87" s="3142"/>
      <c r="P87" s="1330"/>
      <c r="Q87" s="3116">
        <f t="shared" ref="Q87:Q96" si="1">K87*M87</f>
        <v>0</v>
      </c>
      <c r="R87" s="3116"/>
      <c r="S87" s="3116"/>
      <c r="T87" s="3117" t="s">
        <v>62</v>
      </c>
      <c r="U87" s="3117"/>
      <c r="V87" s="3117"/>
      <c r="W87" s="3118">
        <v>4000000</v>
      </c>
      <c r="X87" s="3118"/>
      <c r="Y87" s="3118"/>
      <c r="Z87" s="3118"/>
      <c r="AA87" s="3118"/>
      <c r="AB87" s="3128">
        <f t="shared" ref="AB87:AB96" si="2">W87*Q87</f>
        <v>0</v>
      </c>
      <c r="AC87" s="3128"/>
      <c r="AD87" s="3128"/>
      <c r="AE87" s="3128"/>
      <c r="AF87" s="3128"/>
      <c r="AG87" s="3128"/>
      <c r="AH87" s="1256"/>
      <c r="AI87" s="1257"/>
      <c r="AJ87" s="1277"/>
      <c r="AK87" s="1277"/>
      <c r="AL87" s="1257"/>
      <c r="AM87" s="1257"/>
      <c r="AN87" s="1257"/>
      <c r="AO87" s="1257"/>
      <c r="AP87" s="1256"/>
      <c r="AQ87" s="1256"/>
      <c r="AR87" s="1257"/>
      <c r="AS87" s="1257"/>
      <c r="AT87" s="1257"/>
      <c r="AU87" s="1257"/>
      <c r="AV87" s="1278"/>
      <c r="AW87" s="1278"/>
    </row>
    <row r="88" spans="1:49" s="1260" customFormat="1" ht="11.25">
      <c r="A88" s="1327"/>
      <c r="B88" s="1327"/>
      <c r="C88" s="1328" t="s">
        <v>713</v>
      </c>
      <c r="D88" s="1301"/>
      <c r="E88" s="1328"/>
      <c r="F88" s="1329"/>
      <c r="G88" s="1329"/>
      <c r="H88" s="1328"/>
      <c r="I88" s="1328"/>
      <c r="J88" s="1291"/>
      <c r="K88" s="3141">
        <v>0</v>
      </c>
      <c r="L88" s="3141"/>
      <c r="M88" s="3142">
        <v>12</v>
      </c>
      <c r="N88" s="3142"/>
      <c r="O88" s="3142"/>
      <c r="P88" s="1330"/>
      <c r="Q88" s="3116">
        <f t="shared" si="1"/>
        <v>0</v>
      </c>
      <c r="R88" s="3116"/>
      <c r="S88" s="3116"/>
      <c r="T88" s="3117" t="s">
        <v>62</v>
      </c>
      <c r="U88" s="3117"/>
      <c r="V88" s="3117"/>
      <c r="W88" s="3118">
        <v>3750000</v>
      </c>
      <c r="X88" s="3118"/>
      <c r="Y88" s="3118"/>
      <c r="Z88" s="3118"/>
      <c r="AA88" s="3118"/>
      <c r="AB88" s="3128">
        <f t="shared" si="2"/>
        <v>0</v>
      </c>
      <c r="AC88" s="3128"/>
      <c r="AD88" s="3128"/>
      <c r="AE88" s="3128"/>
      <c r="AF88" s="3128"/>
      <c r="AG88" s="3128"/>
      <c r="AH88" s="1256"/>
      <c r="AI88" s="1257"/>
      <c r="AJ88" s="1257"/>
      <c r="AK88" s="1257"/>
      <c r="AL88" s="1257"/>
      <c r="AM88" s="1257"/>
      <c r="AN88" s="1257"/>
      <c r="AO88" s="1257"/>
      <c r="AP88" s="1256"/>
      <c r="AQ88" s="1256"/>
      <c r="AR88" s="1257"/>
      <c r="AS88" s="1257"/>
      <c r="AT88" s="1257"/>
      <c r="AU88" s="1257"/>
      <c r="AV88" s="1278"/>
      <c r="AW88" s="1278"/>
    </row>
    <row r="89" spans="1:49" s="1260" customFormat="1" ht="11.25">
      <c r="A89" s="1327"/>
      <c r="B89" s="1327"/>
      <c r="C89" s="1328" t="s">
        <v>714</v>
      </c>
      <c r="D89" s="1301"/>
      <c r="E89" s="1328"/>
      <c r="F89" s="1329"/>
      <c r="G89" s="1329"/>
      <c r="H89" s="1328"/>
      <c r="I89" s="1328"/>
      <c r="J89" s="1291"/>
      <c r="K89" s="3141">
        <v>0</v>
      </c>
      <c r="L89" s="3141"/>
      <c r="M89" s="3142">
        <v>12</v>
      </c>
      <c r="N89" s="3142"/>
      <c r="O89" s="3142"/>
      <c r="P89" s="1330"/>
      <c r="Q89" s="3116">
        <f t="shared" si="1"/>
        <v>0</v>
      </c>
      <c r="R89" s="3116"/>
      <c r="S89" s="3116"/>
      <c r="T89" s="3117" t="s">
        <v>62</v>
      </c>
      <c r="U89" s="3117"/>
      <c r="V89" s="3117"/>
      <c r="W89" s="3118">
        <v>3500000</v>
      </c>
      <c r="X89" s="3118"/>
      <c r="Y89" s="3118"/>
      <c r="Z89" s="3118"/>
      <c r="AA89" s="3118"/>
      <c r="AB89" s="3128">
        <f t="shared" si="2"/>
        <v>0</v>
      </c>
      <c r="AC89" s="3128"/>
      <c r="AD89" s="3128"/>
      <c r="AE89" s="3128"/>
      <c r="AF89" s="3128"/>
      <c r="AG89" s="3128"/>
      <c r="AH89" s="1256"/>
      <c r="AI89" s="1257"/>
      <c r="AJ89" s="1257"/>
      <c r="AK89" s="1257"/>
      <c r="AL89" s="1257"/>
      <c r="AM89" s="1257"/>
      <c r="AN89" s="1257"/>
      <c r="AO89" s="1257"/>
      <c r="AP89" s="1256"/>
      <c r="AQ89" s="1256"/>
      <c r="AR89" s="1257"/>
      <c r="AS89" s="1257"/>
      <c r="AT89" s="1257"/>
      <c r="AU89" s="1257"/>
      <c r="AV89" s="1278"/>
      <c r="AW89" s="1278"/>
    </row>
    <row r="90" spans="1:49" s="1260" customFormat="1" ht="11.25">
      <c r="A90" s="1327"/>
      <c r="B90" s="1327"/>
      <c r="C90" s="1328" t="s">
        <v>715</v>
      </c>
      <c r="D90" s="1301"/>
      <c r="E90" s="1328"/>
      <c r="F90" s="1329"/>
      <c r="G90" s="1329"/>
      <c r="H90" s="1328"/>
      <c r="I90" s="1328"/>
      <c r="J90" s="1291"/>
      <c r="K90" s="3141">
        <v>3</v>
      </c>
      <c r="L90" s="3141"/>
      <c r="M90" s="3142">
        <v>12</v>
      </c>
      <c r="N90" s="3142"/>
      <c r="O90" s="3142"/>
      <c r="P90" s="1330"/>
      <c r="Q90" s="3116">
        <f t="shared" si="1"/>
        <v>36</v>
      </c>
      <c r="R90" s="3116"/>
      <c r="S90" s="3116"/>
      <c r="T90" s="3117" t="s">
        <v>62</v>
      </c>
      <c r="U90" s="3117"/>
      <c r="V90" s="3117"/>
      <c r="W90" s="3118">
        <v>3250000</v>
      </c>
      <c r="X90" s="3118"/>
      <c r="Y90" s="3118"/>
      <c r="Z90" s="3118"/>
      <c r="AA90" s="3118"/>
      <c r="AB90" s="3128">
        <f t="shared" si="2"/>
        <v>117000000</v>
      </c>
      <c r="AC90" s="3128"/>
      <c r="AD90" s="3128"/>
      <c r="AE90" s="3128"/>
      <c r="AF90" s="3128"/>
      <c r="AG90" s="3128"/>
      <c r="AH90" s="1256"/>
      <c r="AI90" s="1257"/>
      <c r="AJ90" s="1257"/>
      <c r="AK90" s="1257"/>
      <c r="AL90" s="1257"/>
      <c r="AM90" s="1257"/>
      <c r="AN90" s="1257"/>
      <c r="AO90" s="1257"/>
      <c r="AP90" s="1256"/>
      <c r="AQ90" s="1256"/>
      <c r="AR90" s="1257"/>
      <c r="AS90" s="1257"/>
      <c r="AT90" s="1257"/>
      <c r="AU90" s="1257"/>
      <c r="AV90" s="1278"/>
      <c r="AW90" s="1278"/>
    </row>
    <row r="91" spans="1:49" s="1260" customFormat="1" ht="11.25">
      <c r="A91" s="1327"/>
      <c r="B91" s="1327"/>
      <c r="C91" s="1328" t="s">
        <v>716</v>
      </c>
      <c r="D91" s="1301"/>
      <c r="E91" s="1328"/>
      <c r="F91" s="1329"/>
      <c r="G91" s="1329"/>
      <c r="H91" s="1328"/>
      <c r="I91" s="1328"/>
      <c r="J91" s="1291"/>
      <c r="K91" s="3141">
        <v>15</v>
      </c>
      <c r="L91" s="3141"/>
      <c r="M91" s="3142">
        <v>12</v>
      </c>
      <c r="N91" s="3142"/>
      <c r="O91" s="3142"/>
      <c r="P91" s="1330"/>
      <c r="Q91" s="3116">
        <f t="shared" si="1"/>
        <v>180</v>
      </c>
      <c r="R91" s="3116"/>
      <c r="S91" s="3116"/>
      <c r="T91" s="3117" t="s">
        <v>62</v>
      </c>
      <c r="U91" s="3117"/>
      <c r="V91" s="3117"/>
      <c r="W91" s="3118">
        <v>3000000</v>
      </c>
      <c r="X91" s="3118"/>
      <c r="Y91" s="3118"/>
      <c r="Z91" s="3118"/>
      <c r="AA91" s="3118"/>
      <c r="AB91" s="3128">
        <f t="shared" si="2"/>
        <v>540000000</v>
      </c>
      <c r="AC91" s="3128"/>
      <c r="AD91" s="3128"/>
      <c r="AE91" s="3128"/>
      <c r="AF91" s="3128"/>
      <c r="AG91" s="3128"/>
      <c r="AH91" s="1256"/>
      <c r="AI91" s="1257"/>
      <c r="AJ91" s="1257"/>
      <c r="AK91" s="1257"/>
      <c r="AL91" s="1257"/>
      <c r="AM91" s="1257"/>
      <c r="AN91" s="1257"/>
      <c r="AO91" s="1257"/>
      <c r="AP91" s="1256"/>
      <c r="AQ91" s="1256"/>
      <c r="AR91" s="1257"/>
      <c r="AS91" s="1257"/>
      <c r="AT91" s="1257"/>
      <c r="AU91" s="1257"/>
      <c r="AV91" s="1278"/>
      <c r="AW91" s="1278"/>
    </row>
    <row r="92" spans="1:49" s="1260" customFormat="1" ht="11.25">
      <c r="A92" s="1327"/>
      <c r="B92" s="1327"/>
      <c r="C92" s="1328" t="s">
        <v>717</v>
      </c>
      <c r="D92" s="1301"/>
      <c r="E92" s="1328"/>
      <c r="F92" s="1329"/>
      <c r="G92" s="1329"/>
      <c r="H92" s="1328"/>
      <c r="I92" s="1328"/>
      <c r="J92" s="1291"/>
      <c r="K92" s="3141">
        <v>45</v>
      </c>
      <c r="L92" s="3141"/>
      <c r="M92" s="3142">
        <v>12</v>
      </c>
      <c r="N92" s="3142"/>
      <c r="O92" s="3142"/>
      <c r="P92" s="1330"/>
      <c r="Q92" s="3116">
        <f t="shared" si="1"/>
        <v>540</v>
      </c>
      <c r="R92" s="3116"/>
      <c r="S92" s="3116"/>
      <c r="T92" s="3117" t="s">
        <v>62</v>
      </c>
      <c r="U92" s="3117"/>
      <c r="V92" s="3117"/>
      <c r="W92" s="3118">
        <v>2750000</v>
      </c>
      <c r="X92" s="3118"/>
      <c r="Y92" s="3118"/>
      <c r="Z92" s="3118"/>
      <c r="AA92" s="3118"/>
      <c r="AB92" s="3128">
        <f t="shared" si="2"/>
        <v>1485000000</v>
      </c>
      <c r="AC92" s="3128"/>
      <c r="AD92" s="3128"/>
      <c r="AE92" s="3128"/>
      <c r="AF92" s="3128"/>
      <c r="AG92" s="3128"/>
      <c r="AH92" s="1256"/>
      <c r="AI92" s="1257"/>
      <c r="AJ92" s="1257"/>
      <c r="AK92" s="1257"/>
      <c r="AL92" s="1257"/>
      <c r="AM92" s="1257"/>
      <c r="AN92" s="1257"/>
      <c r="AO92" s="1257"/>
      <c r="AP92" s="1256"/>
      <c r="AQ92" s="1256"/>
      <c r="AR92" s="1257"/>
      <c r="AS92" s="1257"/>
      <c r="AT92" s="1257"/>
      <c r="AU92" s="1257"/>
      <c r="AV92" s="1278"/>
      <c r="AW92" s="1278"/>
    </row>
    <row r="93" spans="1:49" s="1260" customFormat="1" ht="11.25">
      <c r="A93" s="1327"/>
      <c r="B93" s="1327"/>
      <c r="C93" s="1328" t="s">
        <v>718</v>
      </c>
      <c r="D93" s="1301"/>
      <c r="E93" s="1328"/>
      <c r="F93" s="1329"/>
      <c r="G93" s="1329"/>
      <c r="H93" s="1328"/>
      <c r="I93" s="1328"/>
      <c r="J93" s="1291"/>
      <c r="K93" s="3141">
        <v>47</v>
      </c>
      <c r="L93" s="3141"/>
      <c r="M93" s="3142">
        <v>12</v>
      </c>
      <c r="N93" s="3142"/>
      <c r="O93" s="3142"/>
      <c r="P93" s="1330"/>
      <c r="Q93" s="3116">
        <f t="shared" si="1"/>
        <v>564</v>
      </c>
      <c r="R93" s="3116"/>
      <c r="S93" s="3116"/>
      <c r="T93" s="3117" t="s">
        <v>62</v>
      </c>
      <c r="U93" s="3117"/>
      <c r="V93" s="3117"/>
      <c r="W93" s="3118">
        <v>2500000</v>
      </c>
      <c r="X93" s="3118"/>
      <c r="Y93" s="3118"/>
      <c r="Z93" s="3118"/>
      <c r="AA93" s="3118"/>
      <c r="AB93" s="3128">
        <f t="shared" si="2"/>
        <v>1410000000</v>
      </c>
      <c r="AC93" s="3128"/>
      <c r="AD93" s="3128"/>
      <c r="AE93" s="3128"/>
      <c r="AF93" s="3128"/>
      <c r="AG93" s="3128"/>
      <c r="AH93" s="1256"/>
      <c r="AI93" s="1257"/>
      <c r="AJ93" s="1257"/>
      <c r="AK93" s="1257"/>
      <c r="AL93" s="1257"/>
      <c r="AM93" s="1257"/>
      <c r="AN93" s="1257"/>
      <c r="AO93" s="1257"/>
      <c r="AP93" s="1256"/>
      <c r="AQ93" s="1256"/>
      <c r="AR93" s="1257"/>
      <c r="AS93" s="1257"/>
      <c r="AT93" s="1257"/>
      <c r="AU93" s="1257"/>
      <c r="AV93" s="1278"/>
      <c r="AW93" s="1278"/>
    </row>
    <row r="94" spans="1:49" s="1260" customFormat="1" ht="11.25">
      <c r="A94" s="1327"/>
      <c r="B94" s="1327"/>
      <c r="C94" s="1328" t="s">
        <v>719</v>
      </c>
      <c r="D94" s="1301"/>
      <c r="E94" s="1328"/>
      <c r="F94" s="1329"/>
      <c r="G94" s="1329"/>
      <c r="H94" s="1328"/>
      <c r="I94" s="1328"/>
      <c r="J94" s="1291"/>
      <c r="K94" s="3141">
        <v>43</v>
      </c>
      <c r="L94" s="3141"/>
      <c r="M94" s="3142">
        <v>12</v>
      </c>
      <c r="N94" s="3142"/>
      <c r="O94" s="3142"/>
      <c r="P94" s="1330"/>
      <c r="Q94" s="3116">
        <f t="shared" si="1"/>
        <v>516</v>
      </c>
      <c r="R94" s="3116"/>
      <c r="S94" s="3116"/>
      <c r="T94" s="3117" t="s">
        <v>62</v>
      </c>
      <c r="U94" s="3117"/>
      <c r="V94" s="3117"/>
      <c r="W94" s="3118">
        <v>2250000</v>
      </c>
      <c r="X94" s="3118"/>
      <c r="Y94" s="3118"/>
      <c r="Z94" s="3118"/>
      <c r="AA94" s="3118"/>
      <c r="AB94" s="3128">
        <f t="shared" si="2"/>
        <v>1161000000</v>
      </c>
      <c r="AC94" s="3128"/>
      <c r="AD94" s="3128"/>
      <c r="AE94" s="3128"/>
      <c r="AF94" s="3128"/>
      <c r="AG94" s="3128"/>
      <c r="AH94" s="1256"/>
      <c r="AI94" s="1257"/>
      <c r="AJ94" s="1257"/>
      <c r="AK94" s="1257"/>
      <c r="AL94" s="1257"/>
      <c r="AM94" s="1257"/>
      <c r="AN94" s="1257"/>
      <c r="AO94" s="1257"/>
      <c r="AP94" s="1256"/>
      <c r="AQ94" s="1256"/>
      <c r="AR94" s="1257"/>
      <c r="AS94" s="1257"/>
      <c r="AT94" s="1257"/>
      <c r="AU94" s="1257"/>
      <c r="AV94" s="1278"/>
      <c r="AW94" s="1278"/>
    </row>
    <row r="95" spans="1:49" s="1260" customFormat="1" ht="11.25">
      <c r="A95" s="1327"/>
      <c r="B95" s="1327"/>
      <c r="C95" s="1328" t="s">
        <v>720</v>
      </c>
      <c r="D95" s="1301"/>
      <c r="E95" s="1328"/>
      <c r="F95" s="1329"/>
      <c r="G95" s="1329"/>
      <c r="H95" s="1328"/>
      <c r="I95" s="1328"/>
      <c r="J95" s="1291"/>
      <c r="K95" s="3141">
        <v>42</v>
      </c>
      <c r="L95" s="3141"/>
      <c r="M95" s="3142">
        <v>12</v>
      </c>
      <c r="N95" s="3142"/>
      <c r="O95" s="3142"/>
      <c r="P95" s="1330"/>
      <c r="Q95" s="3116">
        <f t="shared" si="1"/>
        <v>504</v>
      </c>
      <c r="R95" s="3116"/>
      <c r="S95" s="3116"/>
      <c r="T95" s="3117" t="s">
        <v>62</v>
      </c>
      <c r="U95" s="3117"/>
      <c r="V95" s="3117"/>
      <c r="W95" s="3118">
        <v>2000000</v>
      </c>
      <c r="X95" s="3118"/>
      <c r="Y95" s="3118"/>
      <c r="Z95" s="3118"/>
      <c r="AA95" s="3118"/>
      <c r="AB95" s="3128">
        <f t="shared" si="2"/>
        <v>1008000000</v>
      </c>
      <c r="AC95" s="3128"/>
      <c r="AD95" s="3128"/>
      <c r="AE95" s="3128"/>
      <c r="AF95" s="3128"/>
      <c r="AG95" s="3128"/>
      <c r="AH95" s="1256"/>
      <c r="AI95" s="1277"/>
      <c r="AJ95" s="1277"/>
      <c r="AK95" s="1277"/>
      <c r="AL95" s="1277"/>
      <c r="AM95" s="1277"/>
      <c r="AN95" s="1277"/>
      <c r="AO95" s="1257"/>
      <c r="AP95" s="1256"/>
      <c r="AQ95" s="1256"/>
      <c r="AR95" s="1257"/>
      <c r="AS95" s="1257"/>
      <c r="AT95" s="1257"/>
      <c r="AU95" s="1257"/>
      <c r="AV95" s="1278"/>
      <c r="AW95" s="1278"/>
    </row>
    <row r="96" spans="1:49" s="1260" customFormat="1" ht="11.25">
      <c r="A96" s="1331"/>
      <c r="B96" s="1331"/>
      <c r="C96" s="1332" t="s">
        <v>721</v>
      </c>
      <c r="D96" s="1303"/>
      <c r="E96" s="1332"/>
      <c r="F96" s="1333"/>
      <c r="G96" s="1333"/>
      <c r="H96" s="1332"/>
      <c r="I96" s="1332"/>
      <c r="J96" s="1332"/>
      <c r="K96" s="3135">
        <v>30</v>
      </c>
      <c r="L96" s="3135"/>
      <c r="M96" s="3136">
        <v>12</v>
      </c>
      <c r="N96" s="3136"/>
      <c r="O96" s="3136"/>
      <c r="P96" s="1334"/>
      <c r="Q96" s="3137">
        <f t="shared" si="1"/>
        <v>360</v>
      </c>
      <c r="R96" s="3137"/>
      <c r="S96" s="3137"/>
      <c r="T96" s="3138" t="s">
        <v>62</v>
      </c>
      <c r="U96" s="3138"/>
      <c r="V96" s="3138"/>
      <c r="W96" s="3139">
        <v>1500000</v>
      </c>
      <c r="X96" s="3139"/>
      <c r="Y96" s="3139"/>
      <c r="Z96" s="3139"/>
      <c r="AA96" s="3139"/>
      <c r="AB96" s="3140">
        <f t="shared" si="2"/>
        <v>540000000</v>
      </c>
      <c r="AC96" s="3140"/>
      <c r="AD96" s="3140"/>
      <c r="AE96" s="3140"/>
      <c r="AF96" s="3140"/>
      <c r="AG96" s="3140"/>
      <c r="AH96" s="1256"/>
      <c r="AI96" s="1257"/>
      <c r="AJ96" s="1277"/>
      <c r="AK96" s="1277"/>
      <c r="AL96" s="1277"/>
      <c r="AM96" s="1257"/>
      <c r="AN96" s="1257"/>
      <c r="AO96" s="1257"/>
      <c r="AP96" s="1256"/>
      <c r="AQ96" s="1256"/>
      <c r="AR96" s="1257"/>
      <c r="AS96" s="1257"/>
      <c r="AT96" s="1257"/>
      <c r="AU96" s="1257"/>
      <c r="AV96" s="1278"/>
      <c r="AW96" s="1278"/>
    </row>
    <row r="97" spans="1:52" s="1326" customFormat="1" ht="11.25" customHeight="1">
      <c r="A97" s="1321" t="s">
        <v>722</v>
      </c>
      <c r="B97" s="3129" t="s">
        <v>723</v>
      </c>
      <c r="C97" s="3129"/>
      <c r="D97" s="3129"/>
      <c r="E97" s="3129"/>
      <c r="F97" s="3129"/>
      <c r="G97" s="3129"/>
      <c r="H97" s="3129"/>
      <c r="I97" s="3129"/>
      <c r="J97" s="3129"/>
      <c r="K97" s="3129"/>
      <c r="L97" s="3129"/>
      <c r="M97" s="3129"/>
      <c r="N97" s="3129"/>
      <c r="O97" s="3129"/>
      <c r="P97" s="3129"/>
      <c r="Q97" s="3130"/>
      <c r="R97" s="3130"/>
      <c r="S97" s="3130"/>
      <c r="T97" s="3131"/>
      <c r="U97" s="3131"/>
      <c r="V97" s="3131"/>
      <c r="W97" s="3132"/>
      <c r="X97" s="3132"/>
      <c r="Y97" s="3132"/>
      <c r="Z97" s="3132"/>
      <c r="AA97" s="3132"/>
      <c r="AB97" s="3133">
        <f>SUM(AB98:AG105)</f>
        <v>2239800000</v>
      </c>
      <c r="AC97" s="3133"/>
      <c r="AD97" s="3133"/>
      <c r="AE97" s="3133"/>
      <c r="AF97" s="3133"/>
      <c r="AG97" s="3133"/>
      <c r="AH97" s="3264">
        <v>2548320000</v>
      </c>
      <c r="AI97" s="3265"/>
      <c r="AJ97" s="3265"/>
      <c r="AK97" s="3265"/>
      <c r="AL97" s="3265"/>
      <c r="AM97" s="3265"/>
      <c r="AN97" s="3265"/>
      <c r="AO97" s="1323">
        <f>AH97-AB97</f>
        <v>308520000</v>
      </c>
      <c r="AP97" s="1324"/>
      <c r="AQ97" s="1324"/>
      <c r="AR97" s="1323"/>
      <c r="AS97" s="1323"/>
      <c r="AT97" s="1323"/>
      <c r="AU97" s="1323"/>
      <c r="AV97" s="1325"/>
      <c r="AW97" s="1325"/>
    </row>
    <row r="98" spans="1:52" s="1260" customFormat="1" ht="11.25">
      <c r="A98" s="1283"/>
      <c r="B98" s="1284"/>
      <c r="C98" s="3114" t="s">
        <v>724</v>
      </c>
      <c r="D98" s="3114"/>
      <c r="E98" s="3114"/>
      <c r="F98" s="3114"/>
      <c r="G98" s="3114"/>
      <c r="H98" s="3114"/>
      <c r="I98" s="3114"/>
      <c r="J98" s="3114"/>
      <c r="K98" s="3114"/>
      <c r="L98" s="3114"/>
      <c r="M98" s="3114"/>
      <c r="N98" s="3114"/>
      <c r="O98" s="3114"/>
      <c r="P98" s="3115"/>
      <c r="Q98" s="3127"/>
      <c r="R98" s="3127"/>
      <c r="S98" s="3127"/>
      <c r="T98" s="3123"/>
      <c r="U98" s="3123"/>
      <c r="V98" s="3123"/>
      <c r="W98" s="3118"/>
      <c r="X98" s="3118"/>
      <c r="Y98" s="3118"/>
      <c r="Z98" s="3118"/>
      <c r="AA98" s="3118"/>
      <c r="AB98" s="3134"/>
      <c r="AC98" s="3134"/>
      <c r="AD98" s="3134"/>
      <c r="AE98" s="3134"/>
      <c r="AF98" s="3134"/>
      <c r="AG98" s="3134"/>
      <c r="AH98" s="1256"/>
      <c r="AI98" s="1257"/>
      <c r="AJ98" s="1257"/>
      <c r="AK98" s="1257"/>
      <c r="AL98" s="1257"/>
      <c r="AM98" s="1257"/>
      <c r="AN98" s="1257"/>
      <c r="AO98" s="1257"/>
      <c r="AP98" s="1256"/>
      <c r="AQ98" s="1256"/>
      <c r="AR98" s="1257"/>
      <c r="AS98" s="1257"/>
      <c r="AT98" s="1257"/>
      <c r="AU98" s="1257"/>
      <c r="AV98" s="1278"/>
      <c r="AW98" s="1278"/>
    </row>
    <row r="99" spans="1:52" s="1260" customFormat="1" ht="11.25">
      <c r="A99" s="1283"/>
      <c r="B99" s="1284"/>
      <c r="C99" s="1291" t="s">
        <v>841</v>
      </c>
      <c r="D99" s="1301"/>
      <c r="E99" s="1291"/>
      <c r="F99" s="1291"/>
      <c r="G99" s="1291"/>
      <c r="H99" s="1291"/>
      <c r="I99" s="1291"/>
      <c r="J99" s="3120">
        <f>G16</f>
        <v>32</v>
      </c>
      <c r="K99" s="3120"/>
      <c r="L99" s="3120"/>
      <c r="M99" s="3126">
        <v>3</v>
      </c>
      <c r="N99" s="3126"/>
      <c r="O99" s="3126"/>
      <c r="P99" s="1340"/>
      <c r="Q99" s="3127">
        <f>J99*M99</f>
        <v>96</v>
      </c>
      <c r="R99" s="3127"/>
      <c r="S99" s="3127"/>
      <c r="T99" s="3123" t="s">
        <v>28</v>
      </c>
      <c r="U99" s="3123"/>
      <c r="V99" s="3123"/>
      <c r="W99" s="3118">
        <v>660000</v>
      </c>
      <c r="X99" s="3118"/>
      <c r="Y99" s="3118"/>
      <c r="Z99" s="3118"/>
      <c r="AA99" s="3118"/>
      <c r="AB99" s="3128">
        <f>Q99*W99</f>
        <v>63360000</v>
      </c>
      <c r="AC99" s="3128"/>
      <c r="AD99" s="3128"/>
      <c r="AE99" s="3128"/>
      <c r="AF99" s="3128"/>
      <c r="AG99" s="3128"/>
      <c r="AH99" s="1256"/>
      <c r="AI99" s="1257"/>
      <c r="AJ99" s="1257"/>
      <c r="AK99" s="1257"/>
      <c r="AL99" s="1257"/>
      <c r="AM99" s="1257"/>
      <c r="AN99" s="1257"/>
      <c r="AO99" s="1257"/>
      <c r="AP99" s="1256"/>
      <c r="AQ99" s="1256"/>
      <c r="AR99" s="1257"/>
      <c r="AS99" s="1257"/>
      <c r="AT99" s="1257"/>
      <c r="AU99" s="1257"/>
      <c r="AV99" s="1278"/>
      <c r="AW99" s="1278"/>
    </row>
    <row r="100" spans="1:52" s="1260" customFormat="1" ht="11.25">
      <c r="A100" s="1283"/>
      <c r="B100" s="1284"/>
      <c r="C100" s="1291" t="s">
        <v>842</v>
      </c>
      <c r="D100" s="1301"/>
      <c r="E100" s="1291"/>
      <c r="F100" s="1291"/>
      <c r="G100" s="1291"/>
      <c r="H100" s="1291"/>
      <c r="I100" s="1291"/>
      <c r="J100" s="3120">
        <f>G17+G18</f>
        <v>220</v>
      </c>
      <c r="K100" s="3120"/>
      <c r="L100" s="3120"/>
      <c r="M100" s="3126">
        <v>3</v>
      </c>
      <c r="N100" s="3126"/>
      <c r="O100" s="3126"/>
      <c r="P100" s="1252">
        <f>J100+J99</f>
        <v>252</v>
      </c>
      <c r="Q100" s="3127">
        <f>J100*M100</f>
        <v>660</v>
      </c>
      <c r="R100" s="3127"/>
      <c r="S100" s="3127"/>
      <c r="T100" s="3123" t="s">
        <v>28</v>
      </c>
      <c r="U100" s="3123"/>
      <c r="V100" s="3123"/>
      <c r="W100" s="3118">
        <v>600000</v>
      </c>
      <c r="X100" s="3118"/>
      <c r="Y100" s="3118"/>
      <c r="Z100" s="3118"/>
      <c r="AA100" s="3118"/>
      <c r="AB100" s="3128">
        <f>Q100*W100</f>
        <v>396000000</v>
      </c>
      <c r="AC100" s="3128"/>
      <c r="AD100" s="3128"/>
      <c r="AE100" s="3128"/>
      <c r="AF100" s="3128"/>
      <c r="AG100" s="3128"/>
      <c r="AH100" s="1256"/>
      <c r="AI100" s="1257"/>
      <c r="AJ100" s="1257"/>
      <c r="AK100" s="1257"/>
      <c r="AL100" s="1257"/>
      <c r="AM100" s="1257"/>
      <c r="AN100" s="1257"/>
      <c r="AO100" s="1257"/>
      <c r="AP100" s="1256"/>
      <c r="AQ100" s="1256"/>
      <c r="AR100" s="1257"/>
      <c r="AS100" s="1257"/>
      <c r="AT100" s="1257"/>
      <c r="AU100" s="1257"/>
      <c r="AV100" s="1278"/>
      <c r="AW100" s="1278"/>
    </row>
    <row r="101" spans="1:52" s="1260" customFormat="1" ht="11.25">
      <c r="A101" s="1283"/>
      <c r="B101" s="1284"/>
      <c r="C101" s="1291" t="s">
        <v>725</v>
      </c>
      <c r="D101" s="1301"/>
      <c r="E101" s="1291"/>
      <c r="F101" s="1291"/>
      <c r="G101" s="1291"/>
      <c r="H101" s="1291"/>
      <c r="I101" s="1291"/>
      <c r="J101" s="3120">
        <v>167</v>
      </c>
      <c r="K101" s="3120"/>
      <c r="L101" s="3120"/>
      <c r="M101" s="3126">
        <v>3</v>
      </c>
      <c r="N101" s="3126"/>
      <c r="O101" s="3126"/>
      <c r="P101" s="1340"/>
      <c r="Q101" s="3127">
        <f>J101*M101</f>
        <v>501</v>
      </c>
      <c r="R101" s="3127"/>
      <c r="S101" s="3127"/>
      <c r="T101" s="3123" t="s">
        <v>28</v>
      </c>
      <c r="U101" s="3123"/>
      <c r="V101" s="3123"/>
      <c r="W101" s="3118">
        <v>400000</v>
      </c>
      <c r="X101" s="3118"/>
      <c r="Y101" s="3118"/>
      <c r="Z101" s="3118"/>
      <c r="AA101" s="3118"/>
      <c r="AB101" s="3128">
        <f>Q101*W101</f>
        <v>200400000</v>
      </c>
      <c r="AC101" s="3128"/>
      <c r="AD101" s="3128"/>
      <c r="AE101" s="3128"/>
      <c r="AF101" s="3128"/>
      <c r="AG101" s="3128"/>
      <c r="AH101" s="1256"/>
      <c r="AI101" s="1257"/>
      <c r="AJ101" s="1257"/>
      <c r="AK101" s="1257"/>
      <c r="AL101" s="1257"/>
      <c r="AM101" s="1257"/>
      <c r="AN101" s="1257"/>
      <c r="AO101" s="1257"/>
      <c r="AP101" s="1256"/>
      <c r="AQ101" s="1256"/>
      <c r="AR101" s="1257"/>
      <c r="AS101" s="1257"/>
      <c r="AT101" s="1257"/>
      <c r="AU101" s="1257"/>
      <c r="AV101" s="1278"/>
      <c r="AW101" s="1278"/>
    </row>
    <row r="102" spans="1:52" s="1260" customFormat="1" ht="11.25">
      <c r="A102" s="1283"/>
      <c r="B102" s="1284"/>
      <c r="C102" s="3114" t="s">
        <v>726</v>
      </c>
      <c r="D102" s="3114"/>
      <c r="E102" s="3114"/>
      <c r="F102" s="3114"/>
      <c r="G102" s="3114"/>
      <c r="H102" s="3114"/>
      <c r="I102" s="3114"/>
      <c r="J102" s="3114"/>
      <c r="K102" s="3114"/>
      <c r="L102" s="3114"/>
      <c r="M102" s="3114"/>
      <c r="N102" s="3114"/>
      <c r="O102" s="3114"/>
      <c r="P102" s="3115"/>
      <c r="Q102" s="3116"/>
      <c r="R102" s="3116"/>
      <c r="S102" s="3116"/>
      <c r="T102" s="3117"/>
      <c r="U102" s="3117"/>
      <c r="V102" s="3117"/>
      <c r="W102" s="3118"/>
      <c r="X102" s="3118"/>
      <c r="Y102" s="3118"/>
      <c r="Z102" s="3118"/>
      <c r="AA102" s="3118"/>
      <c r="AB102" s="3119"/>
      <c r="AC102" s="3119"/>
      <c r="AD102" s="3119"/>
      <c r="AE102" s="3119"/>
      <c r="AF102" s="3119"/>
      <c r="AG102" s="3119"/>
      <c r="AH102" s="1256"/>
      <c r="AI102" s="1257"/>
      <c r="AJ102" s="1257"/>
      <c r="AK102" s="1257"/>
      <c r="AL102" s="1257"/>
      <c r="AM102" s="1257"/>
      <c r="AN102" s="1257"/>
      <c r="AO102" s="1257"/>
      <c r="AP102" s="1256"/>
      <c r="AQ102" s="1256"/>
      <c r="AR102" s="1257"/>
      <c r="AS102" s="1257"/>
      <c r="AT102" s="1257"/>
      <c r="AU102" s="1257"/>
      <c r="AV102" s="1278"/>
      <c r="AW102" s="1278"/>
    </row>
    <row r="103" spans="1:52" s="1260" customFormat="1" ht="11.25">
      <c r="A103" s="1283"/>
      <c r="B103" s="1284"/>
      <c r="C103" s="1285" t="s">
        <v>669</v>
      </c>
      <c r="D103" s="1285"/>
      <c r="E103" s="1285"/>
      <c r="F103" s="1285"/>
      <c r="G103" s="3120">
        <v>34</v>
      </c>
      <c r="H103" s="3120"/>
      <c r="I103" s="3120"/>
      <c r="J103" s="3121">
        <v>19</v>
      </c>
      <c r="K103" s="3121"/>
      <c r="L103" s="3121"/>
      <c r="M103" s="3201">
        <v>11</v>
      </c>
      <c r="N103" s="3201"/>
      <c r="O103" s="3201"/>
      <c r="P103" s="1288"/>
      <c r="Q103" s="3122">
        <f>G103*J103*M103</f>
        <v>7106</v>
      </c>
      <c r="R103" s="3122"/>
      <c r="S103" s="3122"/>
      <c r="T103" s="3123" t="s">
        <v>27</v>
      </c>
      <c r="U103" s="3123"/>
      <c r="V103" s="3123"/>
      <c r="W103" s="3118">
        <v>30000</v>
      </c>
      <c r="X103" s="3118"/>
      <c r="Y103" s="3118"/>
      <c r="Z103" s="3118"/>
      <c r="AA103" s="3118"/>
      <c r="AB103" s="3124">
        <f>W103*Q103</f>
        <v>213180000</v>
      </c>
      <c r="AC103" s="3124"/>
      <c r="AD103" s="3124"/>
      <c r="AE103" s="3124"/>
      <c r="AF103" s="3124"/>
      <c r="AG103" s="3124"/>
      <c r="AH103" s="1289"/>
      <c r="AI103" s="3125">
        <v>101201100</v>
      </c>
      <c r="AJ103" s="3125"/>
      <c r="AK103" s="3125"/>
      <c r="AL103" s="3125"/>
      <c r="AM103" s="3125"/>
      <c r="AN103" s="3192">
        <v>26</v>
      </c>
      <c r="AO103" s="3192"/>
      <c r="AP103" s="3192"/>
      <c r="AQ103" s="3192"/>
      <c r="AR103" s="3192">
        <f>AI103/AN103</f>
        <v>3892350</v>
      </c>
      <c r="AS103" s="3192"/>
      <c r="AT103" s="3192"/>
      <c r="AU103" s="3192"/>
      <c r="AV103" s="1278"/>
      <c r="AW103" s="1278"/>
      <c r="AX103" s="1290"/>
      <c r="AY103" s="1290"/>
      <c r="AZ103" s="1290"/>
    </row>
    <row r="104" spans="1:52" s="1260" customFormat="1" ht="11.25">
      <c r="A104" s="1283"/>
      <c r="B104" s="1284"/>
      <c r="C104" s="1291" t="s">
        <v>363</v>
      </c>
      <c r="D104" s="1291"/>
      <c r="E104" s="1291"/>
      <c r="F104" s="1291"/>
      <c r="G104" s="3120">
        <v>196</v>
      </c>
      <c r="H104" s="3120"/>
      <c r="I104" s="3120"/>
      <c r="J104" s="3121">
        <v>19</v>
      </c>
      <c r="K104" s="3121"/>
      <c r="L104" s="3121"/>
      <c r="M104" s="3201">
        <v>11</v>
      </c>
      <c r="N104" s="3201"/>
      <c r="O104" s="3201"/>
      <c r="P104" s="1288"/>
      <c r="Q104" s="3122">
        <f t="shared" ref="Q104:Q105" si="3">G104*J104*M104</f>
        <v>40964</v>
      </c>
      <c r="R104" s="3122"/>
      <c r="S104" s="3122"/>
      <c r="T104" s="3123" t="s">
        <v>27</v>
      </c>
      <c r="U104" s="3123"/>
      <c r="V104" s="3123"/>
      <c r="W104" s="3118">
        <v>30000</v>
      </c>
      <c r="X104" s="3118"/>
      <c r="Y104" s="3118"/>
      <c r="Z104" s="3118"/>
      <c r="AA104" s="3118"/>
      <c r="AB104" s="3124">
        <f>W104*Q104</f>
        <v>1228920000</v>
      </c>
      <c r="AC104" s="3124"/>
      <c r="AD104" s="3124"/>
      <c r="AE104" s="3124"/>
      <c r="AF104" s="3124"/>
      <c r="AG104" s="3124"/>
      <c r="AH104" s="1256"/>
      <c r="AI104" s="3125">
        <v>637878100</v>
      </c>
      <c r="AJ104" s="3125"/>
      <c r="AK104" s="3125"/>
      <c r="AL104" s="3125"/>
      <c r="AM104" s="3125"/>
      <c r="AN104" s="3192">
        <v>202</v>
      </c>
      <c r="AO104" s="3192"/>
      <c r="AP104" s="3192"/>
      <c r="AQ104" s="3192"/>
      <c r="AR104" s="3192">
        <f>AI104/AN104</f>
        <v>3157812.3762376239</v>
      </c>
      <c r="AS104" s="3192"/>
      <c r="AT104" s="3192"/>
      <c r="AU104" s="3192"/>
      <c r="AV104" s="1278"/>
      <c r="AW104" s="1278"/>
      <c r="AX104" s="1290"/>
      <c r="AY104" s="1290"/>
      <c r="AZ104" s="1290"/>
    </row>
    <row r="105" spans="1:52" s="1260" customFormat="1" ht="11.25">
      <c r="A105" s="1283"/>
      <c r="B105" s="1284"/>
      <c r="C105" s="1291" t="s">
        <v>670</v>
      </c>
      <c r="D105" s="1291"/>
      <c r="E105" s="1291"/>
      <c r="F105" s="1291"/>
      <c r="G105" s="3120">
        <v>22</v>
      </c>
      <c r="H105" s="3120"/>
      <c r="I105" s="3120"/>
      <c r="J105" s="3121">
        <v>19</v>
      </c>
      <c r="K105" s="3121"/>
      <c r="L105" s="3121"/>
      <c r="M105" s="3201">
        <v>11</v>
      </c>
      <c r="N105" s="3201"/>
      <c r="O105" s="3201"/>
      <c r="P105" s="1288"/>
      <c r="Q105" s="3122">
        <f t="shared" si="3"/>
        <v>4598</v>
      </c>
      <c r="R105" s="3122"/>
      <c r="S105" s="3122"/>
      <c r="T105" s="3123" t="s">
        <v>27</v>
      </c>
      <c r="U105" s="3123"/>
      <c r="V105" s="3123"/>
      <c r="W105" s="3118">
        <v>30000</v>
      </c>
      <c r="X105" s="3118"/>
      <c r="Y105" s="3118"/>
      <c r="Z105" s="3118"/>
      <c r="AA105" s="3118"/>
      <c r="AB105" s="3124">
        <f>W105*Q105</f>
        <v>137940000</v>
      </c>
      <c r="AC105" s="3124"/>
      <c r="AD105" s="3124"/>
      <c r="AE105" s="3124"/>
      <c r="AF105" s="3124"/>
      <c r="AG105" s="3124"/>
      <c r="AH105" s="1256"/>
      <c r="AI105" s="3125">
        <v>70553600</v>
      </c>
      <c r="AJ105" s="3125"/>
      <c r="AK105" s="3125"/>
      <c r="AL105" s="3125"/>
      <c r="AM105" s="3125"/>
      <c r="AN105" s="3192">
        <v>27</v>
      </c>
      <c r="AO105" s="3192"/>
      <c r="AP105" s="3192"/>
      <c r="AQ105" s="3192"/>
      <c r="AR105" s="3192">
        <f>AI105/AN105</f>
        <v>2613096.2962962962</v>
      </c>
      <c r="AS105" s="3192"/>
      <c r="AT105" s="3192"/>
      <c r="AU105" s="3192"/>
      <c r="AV105" s="1278"/>
      <c r="AW105" s="1278"/>
      <c r="AX105" s="1290"/>
      <c r="AY105" s="1290"/>
      <c r="AZ105" s="1290"/>
    </row>
    <row r="106" spans="1:52" s="1260" customFormat="1" ht="11.25">
      <c r="A106" s="3107" t="s">
        <v>860</v>
      </c>
      <c r="B106" s="3107"/>
      <c r="C106" s="3107"/>
      <c r="D106" s="3107"/>
      <c r="E106" s="3107"/>
      <c r="F106" s="3107"/>
      <c r="G106" s="3107"/>
      <c r="H106" s="3107"/>
      <c r="I106" s="3107"/>
      <c r="J106" s="3107"/>
      <c r="K106" s="3107"/>
      <c r="L106" s="3107"/>
      <c r="M106" s="3107"/>
      <c r="N106" s="3107"/>
      <c r="O106" s="3107"/>
      <c r="P106" s="3107"/>
      <c r="Q106" s="3107"/>
      <c r="R106" s="3107"/>
      <c r="S106" s="3107"/>
      <c r="T106" s="3107"/>
      <c r="U106" s="3107"/>
      <c r="V106" s="3107"/>
      <c r="W106" s="3107"/>
      <c r="X106" s="3107"/>
      <c r="Y106" s="3107"/>
      <c r="Z106" s="3107"/>
      <c r="AA106" s="3107"/>
      <c r="AB106" s="3108">
        <f>AB12</f>
        <v>25371011880</v>
      </c>
      <c r="AC106" s="3108"/>
      <c r="AD106" s="3108"/>
      <c r="AE106" s="3108"/>
      <c r="AF106" s="3108"/>
      <c r="AG106" s="3108"/>
      <c r="AH106" s="3109">
        <v>25272652623</v>
      </c>
      <c r="AI106" s="3110"/>
      <c r="AJ106" s="3110"/>
      <c r="AK106" s="3110"/>
      <c r="AL106" s="3110"/>
      <c r="AM106" s="1277"/>
      <c r="AN106" s="1277"/>
      <c r="AO106" s="1277"/>
      <c r="AP106" s="1341"/>
      <c r="AQ106" s="1341"/>
      <c r="AR106" s="1257"/>
      <c r="AS106" s="1257"/>
      <c r="AT106" s="1257"/>
      <c r="AU106" s="1257"/>
      <c r="AV106" s="1278"/>
      <c r="AW106" s="1278"/>
    </row>
    <row r="107" spans="1:52" ht="5.25" customHeight="1">
      <c r="A107" s="1342"/>
      <c r="B107" s="1343"/>
      <c r="C107" s="1343"/>
      <c r="D107" s="1343"/>
      <c r="E107" s="1343"/>
      <c r="F107" s="1343"/>
      <c r="G107" s="1343"/>
      <c r="H107" s="1343"/>
      <c r="I107" s="1343"/>
      <c r="J107" s="1343"/>
      <c r="K107" s="1343"/>
      <c r="L107" s="1343"/>
      <c r="M107" s="1343"/>
      <c r="N107" s="1343"/>
      <c r="O107" s="1343"/>
      <c r="P107" s="1343"/>
      <c r="Q107" s="1344"/>
      <c r="R107" s="1344"/>
      <c r="S107" s="1344"/>
      <c r="T107" s="1344"/>
      <c r="U107" s="1344"/>
      <c r="V107" s="1344"/>
      <c r="W107" s="1344"/>
      <c r="X107" s="1344"/>
      <c r="Y107" s="1344"/>
      <c r="Z107" s="1344"/>
      <c r="AA107" s="1344"/>
      <c r="AB107" s="1344"/>
      <c r="AC107" s="1344"/>
      <c r="AD107" s="1344"/>
      <c r="AE107" s="1344"/>
      <c r="AF107" s="1344"/>
      <c r="AG107" s="1345"/>
    </row>
    <row r="108" spans="1:52">
      <c r="A108" s="1346" t="s">
        <v>727</v>
      </c>
      <c r="B108" s="1347"/>
      <c r="C108" s="1348"/>
      <c r="D108" s="1348"/>
      <c r="E108" s="1348"/>
      <c r="F108" s="1348"/>
      <c r="G108" s="1349" t="s">
        <v>523</v>
      </c>
      <c r="H108" s="1350" t="s">
        <v>728</v>
      </c>
      <c r="I108" s="1350"/>
      <c r="J108" s="1348" t="s">
        <v>729</v>
      </c>
      <c r="K108" s="1348"/>
      <c r="L108" s="1348" t="s">
        <v>523</v>
      </c>
      <c r="M108" s="1348" t="s">
        <v>730</v>
      </c>
      <c r="N108" s="1350"/>
      <c r="O108" s="1351"/>
      <c r="P108" s="1352"/>
      <c r="Q108" s="1353"/>
      <c r="R108" s="1353"/>
      <c r="S108" s="1353"/>
      <c r="T108" s="3111" t="s">
        <v>1185</v>
      </c>
      <c r="U108" s="3111"/>
      <c r="V108" s="3111"/>
      <c r="W108" s="3111"/>
      <c r="X108" s="3111"/>
      <c r="Y108" s="3111"/>
      <c r="Z108" s="3111"/>
      <c r="AA108" s="3111"/>
      <c r="AB108" s="3111"/>
      <c r="AC108" s="3111"/>
      <c r="AD108" s="3111"/>
      <c r="AE108" s="3111"/>
      <c r="AF108" s="3111"/>
      <c r="AG108" s="3112"/>
      <c r="AH108" s="3109">
        <f>AH106-AB106</f>
        <v>-98359257</v>
      </c>
      <c r="AI108" s="3113"/>
      <c r="AJ108" s="3113"/>
      <c r="AK108" s="3113"/>
      <c r="AL108" s="3113"/>
    </row>
    <row r="109" spans="1:52">
      <c r="A109" s="1354"/>
      <c r="B109" s="1350"/>
      <c r="C109" s="1350"/>
      <c r="D109" s="1350"/>
      <c r="E109" s="1350"/>
      <c r="F109" s="1350"/>
      <c r="G109" s="1350" t="s">
        <v>523</v>
      </c>
      <c r="H109" s="1350" t="s">
        <v>731</v>
      </c>
      <c r="I109" s="1348"/>
      <c r="J109" s="1348" t="s">
        <v>732</v>
      </c>
      <c r="K109" s="1348"/>
      <c r="L109" s="1348" t="s">
        <v>523</v>
      </c>
      <c r="M109" s="1348" t="s">
        <v>733</v>
      </c>
      <c r="N109" s="1348"/>
      <c r="O109" s="1351"/>
      <c r="P109" s="1352"/>
      <c r="Q109" s="1353"/>
      <c r="R109" s="1353"/>
      <c r="S109" s="1353"/>
      <c r="T109" s="3099" t="s">
        <v>272</v>
      </c>
      <c r="U109" s="3099"/>
      <c r="V109" s="3099"/>
      <c r="W109" s="3099"/>
      <c r="X109" s="3099"/>
      <c r="Y109" s="3099" t="s">
        <v>1230</v>
      </c>
      <c r="Z109" s="3099"/>
      <c r="AA109" s="3099"/>
      <c r="AB109" s="3099"/>
      <c r="AC109" s="3099"/>
      <c r="AD109" s="3099"/>
      <c r="AE109" s="3099"/>
      <c r="AF109" s="3099"/>
      <c r="AG109" s="3100"/>
    </row>
    <row r="110" spans="1:52">
      <c r="A110" s="1354"/>
      <c r="B110" s="1350"/>
      <c r="C110" s="1350"/>
      <c r="D110" s="1350"/>
      <c r="E110" s="1350"/>
      <c r="F110" s="1350"/>
      <c r="G110" s="1350" t="s">
        <v>523</v>
      </c>
      <c r="H110" s="1350" t="s">
        <v>734</v>
      </c>
      <c r="I110" s="1348"/>
      <c r="J110" s="1348" t="s">
        <v>735</v>
      </c>
      <c r="K110" s="1348"/>
      <c r="L110" s="1348" t="s">
        <v>523</v>
      </c>
      <c r="M110" s="1348" t="s">
        <v>736</v>
      </c>
      <c r="N110" s="1348"/>
      <c r="O110" s="1351"/>
      <c r="P110" s="1352"/>
      <c r="Q110" s="1353"/>
      <c r="R110" s="1353"/>
      <c r="S110" s="1353"/>
      <c r="T110" s="1353"/>
      <c r="U110" s="1353"/>
      <c r="V110" s="1353"/>
      <c r="W110" s="1353"/>
      <c r="X110" s="1353"/>
      <c r="Y110" s="3099"/>
      <c r="Z110" s="3099"/>
      <c r="AA110" s="3099"/>
      <c r="AB110" s="3099"/>
      <c r="AC110" s="3099"/>
      <c r="AD110" s="3099"/>
      <c r="AE110" s="3099"/>
      <c r="AF110" s="3099"/>
      <c r="AG110" s="3100"/>
      <c r="AI110" s="1257">
        <v>25371011880</v>
      </c>
    </row>
    <row r="111" spans="1:52">
      <c r="A111" s="1354"/>
      <c r="B111" s="1347"/>
      <c r="C111" s="1348"/>
      <c r="D111" s="1348"/>
      <c r="E111" s="1348"/>
      <c r="F111" s="1348"/>
      <c r="G111" s="1348" t="s">
        <v>523</v>
      </c>
      <c r="H111" s="1350" t="s">
        <v>737</v>
      </c>
      <c r="I111" s="1348"/>
      <c r="J111" s="1348"/>
      <c r="K111" s="1348"/>
      <c r="L111" s="1348"/>
      <c r="M111" s="1348"/>
      <c r="N111" s="1348"/>
      <c r="O111" s="1351"/>
      <c r="P111" s="1352"/>
      <c r="Q111" s="1353"/>
      <c r="R111" s="1353"/>
      <c r="S111" s="1353"/>
      <c r="T111" s="1353"/>
      <c r="U111" s="1353"/>
      <c r="V111" s="1353"/>
      <c r="W111" s="1353"/>
      <c r="X111" s="1353"/>
      <c r="Y111" s="1353"/>
      <c r="Z111" s="1353"/>
      <c r="AA111" s="1353"/>
      <c r="AB111" s="1353"/>
      <c r="AC111" s="1353"/>
      <c r="AD111" s="1353"/>
      <c r="AE111" s="1353"/>
      <c r="AF111" s="1353"/>
      <c r="AG111" s="1355"/>
    </row>
    <row r="112" spans="1:52">
      <c r="A112" s="1356"/>
      <c r="B112" s="1351"/>
      <c r="C112" s="1348"/>
      <c r="D112" s="1348"/>
      <c r="E112" s="1348"/>
      <c r="F112" s="1348"/>
      <c r="G112" s="1348" t="s">
        <v>523</v>
      </c>
      <c r="H112" s="1348" t="s">
        <v>738</v>
      </c>
      <c r="I112" s="1348"/>
      <c r="J112" s="1348"/>
      <c r="K112" s="1351"/>
      <c r="L112" s="1351"/>
      <c r="M112" s="1351"/>
      <c r="N112" s="1351"/>
      <c r="O112" s="1351"/>
      <c r="P112" s="1352"/>
      <c r="Q112" s="1353"/>
      <c r="R112" s="1353"/>
      <c r="S112" s="1353"/>
      <c r="T112" s="3101" t="s">
        <v>904</v>
      </c>
      <c r="U112" s="3101"/>
      <c r="V112" s="3101"/>
      <c r="W112" s="3101"/>
      <c r="X112" s="3101"/>
      <c r="Y112" s="3101"/>
      <c r="Z112" s="3101"/>
      <c r="AA112" s="3101"/>
      <c r="AB112" s="3101"/>
      <c r="AC112" s="3101"/>
      <c r="AD112" s="3101"/>
      <c r="AE112" s="3101"/>
      <c r="AF112" s="3101"/>
      <c r="AG112" s="3102"/>
    </row>
    <row r="113" spans="1:49" ht="10.9" customHeight="1">
      <c r="A113" s="1357"/>
      <c r="B113" s="1358"/>
      <c r="C113" s="1359"/>
      <c r="D113" s="1359"/>
      <c r="E113" s="1359"/>
      <c r="F113" s="1359"/>
      <c r="G113" s="1359"/>
      <c r="H113" s="1359"/>
      <c r="I113" s="1359"/>
      <c r="J113" s="1358"/>
      <c r="K113" s="1358"/>
      <c r="L113" s="1358"/>
      <c r="M113" s="1358"/>
      <c r="N113" s="1358"/>
      <c r="O113" s="1358"/>
      <c r="P113" s="1360"/>
      <c r="Q113" s="1361"/>
      <c r="R113" s="1361"/>
      <c r="S113" s="1361"/>
      <c r="T113" s="3103" t="s">
        <v>906</v>
      </c>
      <c r="U113" s="3103"/>
      <c r="V113" s="3103"/>
      <c r="W113" s="3103"/>
      <c r="X113" s="3103"/>
      <c r="Y113" s="3103"/>
      <c r="Z113" s="3103"/>
      <c r="AA113" s="3103"/>
      <c r="AB113" s="3103"/>
      <c r="AC113" s="3103"/>
      <c r="AD113" s="3103"/>
      <c r="AE113" s="3103"/>
      <c r="AF113" s="3103"/>
      <c r="AG113" s="3104"/>
    </row>
    <row r="114" spans="1:49" s="1363" customFormat="1" ht="12.75">
      <c r="A114" s="1362" t="s">
        <v>972</v>
      </c>
      <c r="B114" s="1362"/>
      <c r="C114" s="1362"/>
      <c r="D114" s="1362"/>
      <c r="E114" s="1362"/>
      <c r="F114" s="1362"/>
      <c r="H114" s="1362" t="s">
        <v>523</v>
      </c>
      <c r="Q114" s="1364"/>
      <c r="R114" s="1364"/>
      <c r="S114" s="1364"/>
      <c r="T114" s="1364"/>
      <c r="U114" s="1364"/>
      <c r="V114" s="1364"/>
      <c r="W114" s="1364"/>
      <c r="X114" s="1364"/>
      <c r="Y114" s="1364"/>
      <c r="Z114" s="1364"/>
      <c r="AA114" s="1364"/>
      <c r="AB114" s="1364"/>
      <c r="AC114" s="1364"/>
      <c r="AD114" s="1364"/>
      <c r="AE114" s="1364"/>
      <c r="AF114" s="1364"/>
      <c r="AG114" s="1364"/>
      <c r="AH114" s="1348"/>
      <c r="AI114" s="1365"/>
      <c r="AJ114" s="1365"/>
      <c r="AK114" s="1365"/>
      <c r="AL114" s="1365"/>
      <c r="AM114" s="1365"/>
      <c r="AN114" s="1365"/>
      <c r="AO114" s="1365"/>
      <c r="AP114" s="1348"/>
      <c r="AQ114" s="1348"/>
      <c r="AR114" s="1365"/>
      <c r="AS114" s="1365"/>
      <c r="AT114" s="1365"/>
      <c r="AU114" s="1365"/>
      <c r="AV114" s="1366"/>
      <c r="AW114" s="1366"/>
    </row>
    <row r="115" spans="1:49" s="1363" customFormat="1" ht="12.75">
      <c r="A115" s="1362" t="s">
        <v>973</v>
      </c>
      <c r="B115" s="1362"/>
      <c r="C115" s="1362"/>
      <c r="D115" s="1362"/>
      <c r="E115" s="1362"/>
      <c r="F115" s="1362"/>
      <c r="H115" s="1362" t="s">
        <v>523</v>
      </c>
      <c r="Q115" s="1364"/>
      <c r="R115" s="1364"/>
      <c r="S115" s="1364"/>
      <c r="T115" s="1364"/>
      <c r="U115" s="1364"/>
      <c r="V115" s="1364"/>
      <c r="W115" s="1364"/>
      <c r="X115" s="1364"/>
      <c r="Y115" s="1364"/>
      <c r="Z115" s="1364"/>
      <c r="AA115" s="1364"/>
      <c r="AB115" s="1364"/>
      <c r="AC115" s="1364"/>
      <c r="AD115" s="1364"/>
      <c r="AE115" s="1364"/>
      <c r="AF115" s="1364"/>
      <c r="AG115" s="1364"/>
      <c r="AH115" s="1348"/>
      <c r="AI115" s="1365"/>
      <c r="AJ115" s="1365"/>
      <c r="AK115" s="1365"/>
      <c r="AL115" s="1365"/>
      <c r="AM115" s="1365"/>
      <c r="AN115" s="1365"/>
      <c r="AO115" s="1365"/>
      <c r="AP115" s="1348"/>
      <c r="AQ115" s="1348"/>
      <c r="AR115" s="1365"/>
      <c r="AS115" s="1365"/>
      <c r="AT115" s="1365"/>
      <c r="AU115" s="1365"/>
      <c r="AV115" s="1366"/>
      <c r="AW115" s="1366"/>
    </row>
    <row r="116" spans="1:49" s="1363" customFormat="1" ht="12.75">
      <c r="A116" s="1362" t="s">
        <v>974</v>
      </c>
      <c r="B116" s="1362"/>
      <c r="C116" s="1362"/>
      <c r="D116" s="1362"/>
      <c r="E116" s="1362"/>
      <c r="F116" s="1362"/>
      <c r="H116" s="1362" t="s">
        <v>523</v>
      </c>
      <c r="Q116" s="1364"/>
      <c r="R116" s="1364"/>
      <c r="S116" s="1364"/>
      <c r="T116" s="1364"/>
      <c r="U116" s="1364"/>
      <c r="V116" s="1364"/>
      <c r="W116" s="1364"/>
      <c r="X116" s="1364"/>
      <c r="Y116" s="1364"/>
      <c r="Z116" s="1364"/>
      <c r="AA116" s="1364"/>
      <c r="AB116" s="1364"/>
      <c r="AC116" s="1364"/>
      <c r="AD116" s="1364"/>
      <c r="AE116" s="1364"/>
      <c r="AF116" s="1364"/>
      <c r="AG116" s="1364"/>
      <c r="AH116" s="1348"/>
      <c r="AI116" s="1365"/>
      <c r="AJ116" s="1365"/>
      <c r="AK116" s="1365"/>
      <c r="AL116" s="1365"/>
      <c r="AM116" s="1365"/>
      <c r="AN116" s="1365"/>
      <c r="AO116" s="1365"/>
      <c r="AP116" s="1348"/>
      <c r="AQ116" s="1348"/>
      <c r="AR116" s="1365"/>
      <c r="AS116" s="1365"/>
      <c r="AT116" s="1365"/>
      <c r="AU116" s="1365"/>
      <c r="AV116" s="1366"/>
      <c r="AW116" s="1366"/>
    </row>
    <row r="117" spans="1:49" s="1363" customFormat="1" ht="12.75">
      <c r="A117" s="3105" t="s">
        <v>975</v>
      </c>
      <c r="B117" s="3105"/>
      <c r="C117" s="3105"/>
      <c r="D117" s="3105"/>
      <c r="E117" s="3105"/>
      <c r="F117" s="3105"/>
      <c r="G117" s="3105"/>
      <c r="H117" s="3105"/>
      <c r="I117" s="3105"/>
      <c r="J117" s="3105"/>
      <c r="K117" s="3105"/>
      <c r="L117" s="3105"/>
      <c r="M117" s="3105"/>
      <c r="N117" s="3105"/>
      <c r="O117" s="3105"/>
      <c r="P117" s="3105"/>
      <c r="Q117" s="3105"/>
      <c r="R117" s="3105"/>
      <c r="S117" s="3105"/>
      <c r="T117" s="3105"/>
      <c r="U117" s="3105"/>
      <c r="V117" s="3105"/>
      <c r="W117" s="3105"/>
      <c r="X117" s="3105"/>
      <c r="Y117" s="3105"/>
      <c r="Z117" s="3105"/>
      <c r="AA117" s="3105"/>
      <c r="AB117" s="3105"/>
      <c r="AC117" s="3105"/>
      <c r="AD117" s="3105"/>
      <c r="AE117" s="3105"/>
      <c r="AF117" s="3105"/>
      <c r="AG117" s="3105"/>
      <c r="AH117" s="1348"/>
      <c r="AI117" s="1365"/>
      <c r="AJ117" s="1365"/>
      <c r="AK117" s="1365"/>
      <c r="AL117" s="1365"/>
      <c r="AM117" s="1365"/>
      <c r="AN117" s="1365"/>
      <c r="AO117" s="1365"/>
      <c r="AP117" s="1348"/>
      <c r="AQ117" s="1348"/>
      <c r="AR117" s="1365"/>
      <c r="AS117" s="1365"/>
      <c r="AT117" s="1365"/>
      <c r="AU117" s="1365"/>
      <c r="AV117" s="1366"/>
      <c r="AW117" s="1366"/>
    </row>
    <row r="118" spans="1:49" s="1362" customFormat="1" ht="11.25">
      <c r="A118" s="1367" t="s">
        <v>861</v>
      </c>
      <c r="B118" s="3106"/>
      <c r="C118" s="3106"/>
      <c r="D118" s="3106"/>
      <c r="E118" s="3106"/>
      <c r="F118" s="3106"/>
      <c r="G118" s="3106"/>
      <c r="H118" s="3106"/>
      <c r="I118" s="3106"/>
      <c r="J118" s="3106"/>
      <c r="K118" s="3106"/>
      <c r="L118" s="3106" t="s">
        <v>976</v>
      </c>
      <c r="M118" s="3106"/>
      <c r="N118" s="3106"/>
      <c r="O118" s="3106"/>
      <c r="P118" s="3106"/>
      <c r="Q118" s="3106"/>
      <c r="R118" s="3106" t="s">
        <v>977</v>
      </c>
      <c r="S118" s="3106"/>
      <c r="T118" s="3106"/>
      <c r="U118" s="3106"/>
      <c r="V118" s="3106"/>
      <c r="W118" s="3106"/>
      <c r="X118" s="3106"/>
      <c r="Y118" s="3106"/>
      <c r="Z118" s="3106"/>
      <c r="AA118" s="3106"/>
      <c r="AB118" s="3106"/>
      <c r="AC118" s="3106"/>
      <c r="AD118" s="3106" t="s">
        <v>1231</v>
      </c>
      <c r="AE118" s="3106"/>
      <c r="AF118" s="3106"/>
      <c r="AG118" s="3106"/>
      <c r="AH118" s="1368"/>
      <c r="AI118" s="1369"/>
      <c r="AJ118" s="1369"/>
      <c r="AK118" s="1369"/>
      <c r="AL118" s="1369"/>
      <c r="AM118" s="1369"/>
      <c r="AN118" s="1369"/>
      <c r="AO118" s="1369"/>
      <c r="AP118" s="1368"/>
      <c r="AQ118" s="1368"/>
      <c r="AR118" s="1369"/>
      <c r="AS118" s="1369"/>
      <c r="AT118" s="1369"/>
      <c r="AU118" s="1369"/>
      <c r="AV118" s="1370"/>
      <c r="AW118" s="1370"/>
    </row>
    <row r="119" spans="1:49" s="1373" customFormat="1" ht="11.25">
      <c r="A119" s="1371">
        <v>1</v>
      </c>
      <c r="B119" s="3096"/>
      <c r="C119" s="3096"/>
      <c r="D119" s="3096"/>
      <c r="E119" s="3096"/>
      <c r="F119" s="3096"/>
      <c r="G119" s="3096"/>
      <c r="H119" s="3096"/>
      <c r="I119" s="3096"/>
      <c r="J119" s="3096"/>
      <c r="K119" s="3096"/>
      <c r="L119" s="3098" t="s">
        <v>978</v>
      </c>
      <c r="M119" s="3097"/>
      <c r="N119" s="3097"/>
      <c r="O119" s="3097"/>
      <c r="P119" s="3097"/>
      <c r="Q119" s="3097"/>
      <c r="R119" s="3096" t="s">
        <v>979</v>
      </c>
      <c r="S119" s="3096"/>
      <c r="T119" s="3096"/>
      <c r="U119" s="3096"/>
      <c r="V119" s="3096"/>
      <c r="W119" s="3096"/>
      <c r="X119" s="3096"/>
      <c r="Y119" s="3096"/>
      <c r="Z119" s="3096"/>
      <c r="AA119" s="3096"/>
      <c r="AB119" s="3096"/>
      <c r="AC119" s="3096"/>
      <c r="AD119" s="3097"/>
      <c r="AE119" s="3097"/>
      <c r="AF119" s="3097"/>
      <c r="AG119" s="3097"/>
      <c r="AH119" s="1348"/>
      <c r="AI119" s="1365"/>
      <c r="AJ119" s="1365"/>
      <c r="AK119" s="1365"/>
      <c r="AL119" s="1365"/>
      <c r="AM119" s="1365"/>
      <c r="AN119" s="1365"/>
      <c r="AO119" s="1365"/>
      <c r="AP119" s="1348"/>
      <c r="AQ119" s="1348"/>
      <c r="AR119" s="1365"/>
      <c r="AS119" s="1365"/>
      <c r="AT119" s="1365"/>
      <c r="AU119" s="1365"/>
      <c r="AV119" s="1372"/>
      <c r="AW119" s="1372"/>
    </row>
    <row r="120" spans="1:49" s="1373" customFormat="1" ht="11.25">
      <c r="A120" s="1371">
        <v>2</v>
      </c>
      <c r="B120" s="3096"/>
      <c r="C120" s="3096"/>
      <c r="D120" s="3096"/>
      <c r="E120" s="3096"/>
      <c r="F120" s="3096"/>
      <c r="G120" s="3096"/>
      <c r="H120" s="3096"/>
      <c r="I120" s="3096"/>
      <c r="J120" s="3096"/>
      <c r="K120" s="3096"/>
      <c r="L120" s="3097" t="s">
        <v>980</v>
      </c>
      <c r="M120" s="3097"/>
      <c r="N120" s="3097"/>
      <c r="O120" s="3097"/>
      <c r="P120" s="3097"/>
      <c r="Q120" s="3097"/>
      <c r="R120" s="3096" t="s">
        <v>981</v>
      </c>
      <c r="S120" s="3096"/>
      <c r="T120" s="3096"/>
      <c r="U120" s="3096"/>
      <c r="V120" s="3096"/>
      <c r="W120" s="3096"/>
      <c r="X120" s="3096"/>
      <c r="Y120" s="3096"/>
      <c r="Z120" s="3096"/>
      <c r="AA120" s="3096"/>
      <c r="AB120" s="3096"/>
      <c r="AC120" s="3096"/>
      <c r="AD120" s="3097"/>
      <c r="AE120" s="3097"/>
      <c r="AF120" s="3097"/>
      <c r="AG120" s="3097"/>
      <c r="AH120" s="1348"/>
      <c r="AI120" s="1365"/>
      <c r="AJ120" s="1365"/>
      <c r="AK120" s="1365"/>
      <c r="AL120" s="1365"/>
      <c r="AM120" s="1365"/>
      <c r="AN120" s="1365"/>
      <c r="AO120" s="1365"/>
      <c r="AP120" s="1348"/>
      <c r="AQ120" s="1348"/>
      <c r="AR120" s="1365"/>
      <c r="AS120" s="1365"/>
      <c r="AT120" s="1365"/>
      <c r="AU120" s="1365"/>
      <c r="AV120" s="1372"/>
      <c r="AW120" s="1372"/>
    </row>
    <row r="121" spans="1:49" s="1373" customFormat="1" ht="11.25">
      <c r="A121" s="1371">
        <v>3</v>
      </c>
      <c r="B121" s="3096"/>
      <c r="C121" s="3096"/>
      <c r="D121" s="3096"/>
      <c r="E121" s="3096"/>
      <c r="F121" s="3096"/>
      <c r="G121" s="3096"/>
      <c r="H121" s="3096"/>
      <c r="I121" s="3096"/>
      <c r="J121" s="3096"/>
      <c r="K121" s="3096"/>
      <c r="L121" s="3097" t="s">
        <v>982</v>
      </c>
      <c r="M121" s="3097"/>
      <c r="N121" s="3097"/>
      <c r="O121" s="3097"/>
      <c r="P121" s="3097"/>
      <c r="Q121" s="3097"/>
      <c r="R121" s="3096" t="s">
        <v>983</v>
      </c>
      <c r="S121" s="3096"/>
      <c r="T121" s="3096"/>
      <c r="U121" s="3096"/>
      <c r="V121" s="3096"/>
      <c r="W121" s="3096"/>
      <c r="X121" s="3096"/>
      <c r="Y121" s="3096"/>
      <c r="Z121" s="3096"/>
      <c r="AA121" s="3096"/>
      <c r="AB121" s="3096"/>
      <c r="AC121" s="3096"/>
      <c r="AD121" s="3097"/>
      <c r="AE121" s="3097"/>
      <c r="AF121" s="3097"/>
      <c r="AG121" s="3097"/>
      <c r="AH121" s="1348"/>
      <c r="AI121" s="1365"/>
      <c r="AJ121" s="1365"/>
      <c r="AK121" s="1365"/>
      <c r="AL121" s="1365"/>
      <c r="AM121" s="1365"/>
      <c r="AN121" s="1365"/>
      <c r="AO121" s="1365"/>
      <c r="AP121" s="1348"/>
      <c r="AQ121" s="1348"/>
      <c r="AR121" s="1365"/>
      <c r="AS121" s="1365"/>
      <c r="AT121" s="1365"/>
      <c r="AU121" s="1365"/>
      <c r="AV121" s="1372"/>
      <c r="AW121" s="1372"/>
    </row>
    <row r="122" spans="1:49" s="1373" customFormat="1" ht="11.25">
      <c r="A122" s="1371">
        <v>4</v>
      </c>
      <c r="B122" s="3096"/>
      <c r="C122" s="3096"/>
      <c r="D122" s="3096"/>
      <c r="E122" s="3096"/>
      <c r="F122" s="3096"/>
      <c r="G122" s="3096"/>
      <c r="H122" s="3096"/>
      <c r="I122" s="3096"/>
      <c r="J122" s="3096"/>
      <c r="K122" s="3096"/>
      <c r="L122" s="3097" t="s">
        <v>984</v>
      </c>
      <c r="M122" s="3097"/>
      <c r="N122" s="3097"/>
      <c r="O122" s="3097"/>
      <c r="P122" s="3097"/>
      <c r="Q122" s="3097"/>
      <c r="R122" s="3096" t="s">
        <v>985</v>
      </c>
      <c r="S122" s="3096"/>
      <c r="T122" s="3096"/>
      <c r="U122" s="3096"/>
      <c r="V122" s="3096"/>
      <c r="W122" s="3096"/>
      <c r="X122" s="3096"/>
      <c r="Y122" s="3096"/>
      <c r="Z122" s="3096"/>
      <c r="AA122" s="3096"/>
      <c r="AB122" s="3096"/>
      <c r="AC122" s="3096"/>
      <c r="AD122" s="3097"/>
      <c r="AE122" s="3097"/>
      <c r="AF122" s="3097"/>
      <c r="AG122" s="3097"/>
      <c r="AH122" s="1348"/>
      <c r="AI122" s="1365"/>
      <c r="AJ122" s="1365"/>
      <c r="AK122" s="1365"/>
      <c r="AL122" s="1365"/>
      <c r="AM122" s="1365"/>
      <c r="AN122" s="1365"/>
      <c r="AO122" s="1365"/>
      <c r="AP122" s="1348"/>
      <c r="AQ122" s="1348"/>
      <c r="AR122" s="1365"/>
      <c r="AS122" s="1365"/>
      <c r="AT122" s="1365"/>
      <c r="AU122" s="1365"/>
      <c r="AV122" s="1372"/>
      <c r="AW122" s="1372"/>
    </row>
    <row r="123" spans="1:49">
      <c r="Q123" s="1274"/>
      <c r="R123" s="1274"/>
      <c r="S123" s="1274"/>
      <c r="T123" s="1274"/>
      <c r="U123" s="1274"/>
      <c r="V123" s="1274"/>
      <c r="W123" s="1274"/>
      <c r="X123" s="1274"/>
      <c r="Y123" s="1274"/>
      <c r="Z123" s="1274"/>
      <c r="AA123" s="1274"/>
      <c r="AB123" s="1274"/>
      <c r="AC123" s="1274"/>
      <c r="AD123" s="1274"/>
      <c r="AE123" s="1274"/>
      <c r="AF123" s="1274"/>
      <c r="AG123" s="1274"/>
    </row>
    <row r="124" spans="1:49" s="1260" customFormat="1" ht="11.25">
      <c r="AH124" s="1256"/>
      <c r="AI124" s="1257"/>
      <c r="AJ124" s="1257"/>
      <c r="AK124" s="1257"/>
      <c r="AL124" s="1257"/>
      <c r="AM124" s="1257"/>
      <c r="AN124" s="1257"/>
      <c r="AO124" s="1257"/>
      <c r="AP124" s="1256"/>
      <c r="AQ124" s="1256"/>
      <c r="AR124" s="1257"/>
      <c r="AS124" s="1257"/>
      <c r="AT124" s="1257"/>
      <c r="AU124" s="1257"/>
      <c r="AV124" s="1278"/>
      <c r="AW124" s="1278"/>
    </row>
    <row r="125" spans="1:49" s="1260" customFormat="1" ht="11.25">
      <c r="AH125" s="1256"/>
      <c r="AI125" s="1257"/>
      <c r="AJ125" s="1257"/>
      <c r="AK125" s="1257"/>
      <c r="AL125" s="1257"/>
      <c r="AM125" s="1257"/>
      <c r="AN125" s="1257"/>
      <c r="AO125" s="1257"/>
      <c r="AP125" s="1256"/>
      <c r="AQ125" s="1256"/>
      <c r="AR125" s="1257"/>
      <c r="AS125" s="1257"/>
      <c r="AT125" s="1257"/>
      <c r="AU125" s="1257"/>
      <c r="AV125" s="1278"/>
      <c r="AW125" s="1278"/>
    </row>
    <row r="126" spans="1:49" s="1260" customFormat="1" ht="11.25">
      <c r="AH126" s="1256"/>
      <c r="AI126" s="1257"/>
      <c r="AJ126" s="1257"/>
      <c r="AK126" s="1257"/>
      <c r="AL126" s="1257"/>
      <c r="AM126" s="1257"/>
      <c r="AN126" s="1257"/>
      <c r="AO126" s="1257"/>
      <c r="AP126" s="1256"/>
      <c r="AQ126" s="1256"/>
      <c r="AR126" s="1257"/>
      <c r="AS126" s="1257"/>
      <c r="AT126" s="1257"/>
      <c r="AU126" s="1257"/>
      <c r="AV126" s="1278"/>
      <c r="AW126" s="1278"/>
    </row>
    <row r="127" spans="1:49">
      <c r="Q127" s="1274"/>
      <c r="R127" s="1274"/>
      <c r="S127" s="1274"/>
      <c r="T127" s="1274"/>
      <c r="U127" s="1274"/>
      <c r="V127" s="1274"/>
      <c r="W127" s="1274"/>
      <c r="X127" s="1274"/>
      <c r="Y127" s="1274"/>
      <c r="Z127" s="1274"/>
      <c r="AA127" s="1274"/>
      <c r="AB127" s="1274"/>
      <c r="AC127" s="1274"/>
      <c r="AD127" s="1274"/>
      <c r="AE127" s="1274"/>
      <c r="AF127" s="1274"/>
      <c r="AG127" s="1274"/>
    </row>
    <row r="128" spans="1:49">
      <c r="Q128" s="1274"/>
      <c r="R128" s="1274"/>
      <c r="S128" s="1274"/>
      <c r="T128" s="1274"/>
      <c r="U128" s="1274"/>
      <c r="V128" s="1274"/>
      <c r="W128" s="1274"/>
      <c r="X128" s="1274"/>
      <c r="Y128" s="1274"/>
      <c r="Z128" s="1274"/>
      <c r="AA128" s="1274"/>
      <c r="AB128" s="1274"/>
      <c r="AC128" s="1274"/>
      <c r="AD128" s="1274"/>
      <c r="AE128" s="1274"/>
      <c r="AF128" s="1274"/>
      <c r="AG128" s="1274"/>
    </row>
    <row r="129" spans="1:52" s="1256" customFormat="1">
      <c r="A129" s="1259"/>
      <c r="B129" s="1259"/>
      <c r="C129" s="1259"/>
      <c r="D129" s="1259"/>
      <c r="E129" s="1259"/>
      <c r="F129" s="1259"/>
      <c r="G129" s="1259"/>
      <c r="H129" s="1259"/>
      <c r="I129" s="1259"/>
      <c r="J129" s="1259"/>
      <c r="K129" s="1259"/>
      <c r="L129" s="1259"/>
      <c r="M129" s="1259"/>
      <c r="N129" s="1259"/>
      <c r="O129" s="1259"/>
      <c r="P129" s="1259"/>
      <c r="Q129" s="1274"/>
      <c r="R129" s="1274"/>
      <c r="S129" s="1274"/>
      <c r="T129" s="1274"/>
      <c r="U129" s="1274"/>
      <c r="V129" s="1274"/>
      <c r="W129" s="1274"/>
      <c r="X129" s="1274"/>
      <c r="Y129" s="1274"/>
      <c r="Z129" s="1274"/>
      <c r="AA129" s="1274"/>
      <c r="AB129" s="1274"/>
      <c r="AC129" s="1274"/>
      <c r="AD129" s="1274"/>
      <c r="AE129" s="1274"/>
      <c r="AF129" s="1274"/>
      <c r="AG129" s="1274"/>
      <c r="AI129" s="1257"/>
      <c r="AJ129" s="1257"/>
      <c r="AK129" s="1257"/>
      <c r="AL129" s="1257"/>
      <c r="AM129" s="1257"/>
      <c r="AN129" s="1257"/>
      <c r="AO129" s="1257"/>
      <c r="AR129" s="1257"/>
      <c r="AS129" s="1257"/>
      <c r="AT129" s="1257"/>
      <c r="AU129" s="1257"/>
      <c r="AV129" s="1258"/>
      <c r="AW129" s="1258"/>
      <c r="AX129" s="1259"/>
      <c r="AY129" s="1259"/>
      <c r="AZ129" s="1259"/>
    </row>
    <row r="130" spans="1:52" s="1256" customFormat="1">
      <c r="A130" s="1259"/>
      <c r="B130" s="1259"/>
      <c r="C130" s="1259"/>
      <c r="D130" s="1259"/>
      <c r="E130" s="1259"/>
      <c r="F130" s="1259"/>
      <c r="G130" s="1259"/>
      <c r="H130" s="1259"/>
      <c r="I130" s="1259"/>
      <c r="J130" s="1259"/>
      <c r="K130" s="1259"/>
      <c r="L130" s="1259"/>
      <c r="M130" s="1259"/>
      <c r="N130" s="1259"/>
      <c r="O130" s="1259"/>
      <c r="P130" s="1259"/>
      <c r="Q130" s="1274"/>
      <c r="R130" s="1274"/>
      <c r="S130" s="1274"/>
      <c r="T130" s="1274"/>
      <c r="U130" s="1274"/>
      <c r="V130" s="1274"/>
      <c r="W130" s="1274"/>
      <c r="X130" s="1274"/>
      <c r="Y130" s="1274"/>
      <c r="Z130" s="1274"/>
      <c r="AA130" s="1274"/>
      <c r="AB130" s="1274"/>
      <c r="AC130" s="1274"/>
      <c r="AD130" s="1274"/>
      <c r="AE130" s="1274"/>
      <c r="AF130" s="1274"/>
      <c r="AG130" s="1274"/>
      <c r="AI130" s="1257"/>
      <c r="AJ130" s="1257"/>
      <c r="AK130" s="1257"/>
      <c r="AL130" s="1257"/>
      <c r="AM130" s="1257"/>
      <c r="AN130" s="1257"/>
      <c r="AO130" s="1257"/>
      <c r="AR130" s="1257"/>
      <c r="AS130" s="1257"/>
      <c r="AT130" s="1257"/>
      <c r="AU130" s="1257"/>
      <c r="AV130" s="1258"/>
      <c r="AW130" s="1258"/>
      <c r="AX130" s="1259"/>
      <c r="AY130" s="1259"/>
      <c r="AZ130" s="1259"/>
    </row>
    <row r="131" spans="1:52" s="1256" customFormat="1">
      <c r="A131" s="1259"/>
      <c r="B131" s="1259"/>
      <c r="C131" s="1259"/>
      <c r="D131" s="1259"/>
      <c r="E131" s="1259"/>
      <c r="F131" s="1259"/>
      <c r="G131" s="1259"/>
      <c r="H131" s="1259"/>
      <c r="I131" s="1259"/>
      <c r="J131" s="1259"/>
      <c r="K131" s="1259"/>
      <c r="L131" s="1259"/>
      <c r="M131" s="1259"/>
      <c r="N131" s="1259"/>
      <c r="O131" s="1259"/>
      <c r="P131" s="1259"/>
      <c r="Q131" s="1274"/>
      <c r="R131" s="1274"/>
      <c r="S131" s="1274"/>
      <c r="T131" s="1274"/>
      <c r="U131" s="1274"/>
      <c r="V131" s="1274"/>
      <c r="W131" s="1274"/>
      <c r="X131" s="1274"/>
      <c r="Y131" s="1274"/>
      <c r="Z131" s="1274"/>
      <c r="AA131" s="1274"/>
      <c r="AB131" s="1274"/>
      <c r="AC131" s="1274"/>
      <c r="AD131" s="1274"/>
      <c r="AE131" s="1274"/>
      <c r="AF131" s="1274"/>
      <c r="AG131" s="1274"/>
      <c r="AI131" s="1257"/>
      <c r="AJ131" s="1257"/>
      <c r="AK131" s="1257"/>
      <c r="AL131" s="1257"/>
      <c r="AM131" s="1257"/>
      <c r="AN131" s="1257"/>
      <c r="AO131" s="1257"/>
      <c r="AR131" s="1257"/>
      <c r="AS131" s="1257"/>
      <c r="AT131" s="1257"/>
      <c r="AU131" s="1257"/>
      <c r="AV131" s="1258"/>
      <c r="AW131" s="1258"/>
      <c r="AX131" s="1259"/>
      <c r="AY131" s="1259"/>
      <c r="AZ131" s="1259"/>
    </row>
    <row r="132" spans="1:52" s="1256" customFormat="1">
      <c r="A132" s="1259"/>
      <c r="B132" s="1259"/>
      <c r="C132" s="1259"/>
      <c r="D132" s="1259"/>
      <c r="E132" s="1259"/>
      <c r="F132" s="1259"/>
      <c r="G132" s="1259"/>
      <c r="H132" s="1259"/>
      <c r="I132" s="1259"/>
      <c r="J132" s="1259"/>
      <c r="K132" s="1259"/>
      <c r="L132" s="1259"/>
      <c r="M132" s="1259"/>
      <c r="N132" s="1259"/>
      <c r="O132" s="1259"/>
      <c r="P132" s="1259"/>
      <c r="Q132" s="1274"/>
      <c r="R132" s="1274"/>
      <c r="S132" s="1274"/>
      <c r="T132" s="1274"/>
      <c r="U132" s="1274"/>
      <c r="V132" s="1274"/>
      <c r="W132" s="1274"/>
      <c r="X132" s="1274"/>
      <c r="Y132" s="1274"/>
      <c r="Z132" s="1274"/>
      <c r="AA132" s="1274"/>
      <c r="AB132" s="1274"/>
      <c r="AC132" s="1274"/>
      <c r="AD132" s="1274"/>
      <c r="AE132" s="1274"/>
      <c r="AF132" s="1274"/>
      <c r="AG132" s="1274"/>
      <c r="AI132" s="1257"/>
      <c r="AJ132" s="1257"/>
      <c r="AK132" s="1257"/>
      <c r="AL132" s="1257"/>
      <c r="AM132" s="1257"/>
      <c r="AN132" s="1257"/>
      <c r="AO132" s="1257"/>
      <c r="AR132" s="1257"/>
      <c r="AS132" s="1257"/>
      <c r="AT132" s="1257"/>
      <c r="AU132" s="1257"/>
      <c r="AV132" s="1258"/>
      <c r="AW132" s="1258"/>
      <c r="AX132" s="1259"/>
      <c r="AY132" s="1259"/>
      <c r="AZ132" s="1259"/>
    </row>
    <row r="133" spans="1:52" s="1256" customFormat="1">
      <c r="A133" s="1259"/>
      <c r="B133" s="1259"/>
      <c r="C133" s="1259"/>
      <c r="D133" s="1259"/>
      <c r="E133" s="1259"/>
      <c r="F133" s="1259"/>
      <c r="G133" s="1259"/>
      <c r="H133" s="1259"/>
      <c r="I133" s="1259"/>
      <c r="J133" s="1259"/>
      <c r="K133" s="1259"/>
      <c r="L133" s="1259"/>
      <c r="M133" s="1259"/>
      <c r="N133" s="1259"/>
      <c r="O133" s="1259"/>
      <c r="P133" s="1259"/>
      <c r="Q133" s="1274"/>
      <c r="R133" s="1274"/>
      <c r="S133" s="1274"/>
      <c r="T133" s="1274"/>
      <c r="U133" s="1274"/>
      <c r="V133" s="1274"/>
      <c r="W133" s="1274"/>
      <c r="X133" s="1274"/>
      <c r="Y133" s="1274"/>
      <c r="Z133" s="1274"/>
      <c r="AA133" s="1274"/>
      <c r="AB133" s="1274"/>
      <c r="AC133" s="1274"/>
      <c r="AD133" s="1274"/>
      <c r="AE133" s="1274"/>
      <c r="AF133" s="1274"/>
      <c r="AG133" s="1274"/>
      <c r="AI133" s="1257"/>
      <c r="AJ133" s="1257"/>
      <c r="AK133" s="1257"/>
      <c r="AL133" s="1257"/>
      <c r="AM133" s="1257"/>
      <c r="AN133" s="1257"/>
      <c r="AO133" s="1257"/>
      <c r="AR133" s="1257"/>
      <c r="AS133" s="1257"/>
      <c r="AT133" s="1257"/>
      <c r="AU133" s="1257"/>
      <c r="AV133" s="1258"/>
      <c r="AW133" s="1258"/>
      <c r="AX133" s="1259"/>
      <c r="AY133" s="1259"/>
      <c r="AZ133" s="1259"/>
    </row>
    <row r="134" spans="1:52" s="1256" customFormat="1">
      <c r="A134" s="1259"/>
      <c r="B134" s="1259"/>
      <c r="C134" s="1259"/>
      <c r="D134" s="1259"/>
      <c r="E134" s="1259"/>
      <c r="F134" s="1259"/>
      <c r="G134" s="1259"/>
      <c r="H134" s="1259"/>
      <c r="I134" s="1259"/>
      <c r="J134" s="1259"/>
      <c r="K134" s="1259"/>
      <c r="L134" s="1259"/>
      <c r="M134" s="1259"/>
      <c r="N134" s="1259"/>
      <c r="O134" s="1259"/>
      <c r="P134" s="1259"/>
      <c r="Q134" s="1274"/>
      <c r="R134" s="1274"/>
      <c r="S134" s="1274"/>
      <c r="T134" s="1274"/>
      <c r="U134" s="1274"/>
      <c r="V134" s="1274"/>
      <c r="W134" s="1274"/>
      <c r="X134" s="1274"/>
      <c r="Y134" s="1274"/>
      <c r="Z134" s="1274"/>
      <c r="AA134" s="1274"/>
      <c r="AB134" s="1274"/>
      <c r="AC134" s="1274"/>
      <c r="AD134" s="1274"/>
      <c r="AE134" s="1274"/>
      <c r="AF134" s="1274"/>
      <c r="AG134" s="1274"/>
      <c r="AI134" s="1257"/>
      <c r="AJ134" s="1257"/>
      <c r="AK134" s="1257"/>
      <c r="AL134" s="1257"/>
      <c r="AM134" s="1257"/>
      <c r="AN134" s="1257"/>
      <c r="AO134" s="1257"/>
      <c r="AR134" s="1257"/>
      <c r="AS134" s="1257"/>
      <c r="AT134" s="1257"/>
      <c r="AU134" s="1257"/>
      <c r="AV134" s="1258"/>
      <c r="AW134" s="1258"/>
      <c r="AX134" s="1259"/>
      <c r="AY134" s="1259"/>
      <c r="AZ134" s="1259"/>
    </row>
    <row r="135" spans="1:52" s="1256" customFormat="1">
      <c r="A135" s="1259"/>
      <c r="B135" s="1259"/>
      <c r="C135" s="1259"/>
      <c r="D135" s="1259"/>
      <c r="E135" s="1259"/>
      <c r="F135" s="1259"/>
      <c r="G135" s="1259"/>
      <c r="H135" s="1259"/>
      <c r="I135" s="1259"/>
      <c r="J135" s="1259"/>
      <c r="K135" s="1259"/>
      <c r="L135" s="1259"/>
      <c r="M135" s="1259"/>
      <c r="N135" s="1259"/>
      <c r="O135" s="1259"/>
      <c r="P135" s="1259"/>
      <c r="Q135" s="1274"/>
      <c r="R135" s="1274"/>
      <c r="S135" s="1274"/>
      <c r="T135" s="1274"/>
      <c r="U135" s="1274"/>
      <c r="V135" s="1274"/>
      <c r="W135" s="1274"/>
      <c r="X135" s="1274"/>
      <c r="Y135" s="1274"/>
      <c r="Z135" s="1274"/>
      <c r="AA135" s="1274"/>
      <c r="AB135" s="1274"/>
      <c r="AC135" s="1274"/>
      <c r="AD135" s="1274"/>
      <c r="AE135" s="1274"/>
      <c r="AF135" s="1274"/>
      <c r="AG135" s="1274"/>
      <c r="AI135" s="1257"/>
      <c r="AJ135" s="1257"/>
      <c r="AK135" s="1257"/>
      <c r="AL135" s="1257"/>
      <c r="AM135" s="1257"/>
      <c r="AN135" s="1257"/>
      <c r="AO135" s="1257"/>
      <c r="AR135" s="1257"/>
      <c r="AS135" s="1257"/>
      <c r="AT135" s="1257"/>
      <c r="AU135" s="1257"/>
      <c r="AV135" s="1258"/>
      <c r="AW135" s="1258"/>
      <c r="AX135" s="1259"/>
      <c r="AY135" s="1259"/>
      <c r="AZ135" s="1259"/>
    </row>
    <row r="136" spans="1:52" s="1256" customFormat="1">
      <c r="A136" s="1259"/>
      <c r="B136" s="1259"/>
      <c r="C136" s="1259"/>
      <c r="D136" s="1259"/>
      <c r="E136" s="1259"/>
      <c r="F136" s="1259"/>
      <c r="G136" s="1259"/>
      <c r="H136" s="1259"/>
      <c r="I136" s="1259"/>
      <c r="J136" s="1259"/>
      <c r="K136" s="1259"/>
      <c r="L136" s="1259"/>
      <c r="M136" s="1259"/>
      <c r="N136" s="1259"/>
      <c r="O136" s="1259"/>
      <c r="P136" s="1259"/>
      <c r="Q136" s="1274"/>
      <c r="R136" s="1274"/>
      <c r="S136" s="1274"/>
      <c r="T136" s="1274"/>
      <c r="U136" s="1274"/>
      <c r="V136" s="1274"/>
      <c r="W136" s="1274"/>
      <c r="X136" s="1274"/>
      <c r="Y136" s="1274"/>
      <c r="Z136" s="1274"/>
      <c r="AA136" s="1274"/>
      <c r="AB136" s="1274"/>
      <c r="AC136" s="1274"/>
      <c r="AD136" s="1274"/>
      <c r="AE136" s="1274"/>
      <c r="AF136" s="1274"/>
      <c r="AG136" s="1274"/>
      <c r="AI136" s="1257"/>
      <c r="AJ136" s="1257"/>
      <c r="AK136" s="1257"/>
      <c r="AL136" s="1257"/>
      <c r="AM136" s="1257"/>
      <c r="AN136" s="1257"/>
      <c r="AO136" s="1257"/>
      <c r="AR136" s="1257"/>
      <c r="AS136" s="1257"/>
      <c r="AT136" s="1257"/>
      <c r="AU136" s="1257"/>
      <c r="AV136" s="1258"/>
      <c r="AW136" s="1258"/>
      <c r="AX136" s="1259"/>
      <c r="AY136" s="1259"/>
      <c r="AZ136" s="1259"/>
    </row>
    <row r="137" spans="1:52" s="1256" customFormat="1">
      <c r="A137" s="1259"/>
      <c r="B137" s="1259"/>
      <c r="C137" s="1259"/>
      <c r="D137" s="1259"/>
      <c r="E137" s="1259"/>
      <c r="F137" s="1259"/>
      <c r="G137" s="1259"/>
      <c r="H137" s="1259"/>
      <c r="I137" s="1259"/>
      <c r="J137" s="1259"/>
      <c r="K137" s="1259"/>
      <c r="L137" s="1259"/>
      <c r="M137" s="1259"/>
      <c r="N137" s="1259"/>
      <c r="O137" s="1259"/>
      <c r="P137" s="1259"/>
      <c r="Q137" s="1274"/>
      <c r="R137" s="1274"/>
      <c r="S137" s="1274"/>
      <c r="T137" s="1274"/>
      <c r="U137" s="1274"/>
      <c r="V137" s="1274"/>
      <c r="W137" s="1274"/>
      <c r="X137" s="1274"/>
      <c r="Y137" s="1274"/>
      <c r="Z137" s="1274"/>
      <c r="AA137" s="1274"/>
      <c r="AB137" s="1274"/>
      <c r="AC137" s="1274"/>
      <c r="AD137" s="1274"/>
      <c r="AE137" s="1274"/>
      <c r="AF137" s="1274"/>
      <c r="AG137" s="1274"/>
      <c r="AI137" s="1257"/>
      <c r="AJ137" s="1257"/>
      <c r="AK137" s="1257"/>
      <c r="AL137" s="1257"/>
      <c r="AM137" s="1257"/>
      <c r="AN137" s="1257"/>
      <c r="AO137" s="1257"/>
      <c r="AR137" s="1257"/>
      <c r="AS137" s="1257"/>
      <c r="AT137" s="1257"/>
      <c r="AU137" s="1257"/>
      <c r="AV137" s="1258"/>
      <c r="AW137" s="1258"/>
      <c r="AX137" s="1259"/>
      <c r="AY137" s="1259"/>
      <c r="AZ137" s="1259"/>
    </row>
    <row r="138" spans="1:52" s="1256" customFormat="1">
      <c r="A138" s="1259"/>
      <c r="B138" s="1259"/>
      <c r="C138" s="1259"/>
      <c r="D138" s="1259"/>
      <c r="E138" s="1259"/>
      <c r="F138" s="1259"/>
      <c r="G138" s="1259"/>
      <c r="H138" s="1259"/>
      <c r="I138" s="1259"/>
      <c r="J138" s="1259"/>
      <c r="K138" s="1259"/>
      <c r="L138" s="1259"/>
      <c r="M138" s="1259"/>
      <c r="N138" s="1259"/>
      <c r="O138" s="1259"/>
      <c r="P138" s="1259"/>
      <c r="Q138" s="1274"/>
      <c r="R138" s="1274"/>
      <c r="S138" s="1274"/>
      <c r="T138" s="1274"/>
      <c r="U138" s="1274"/>
      <c r="V138" s="1274"/>
      <c r="W138" s="1274"/>
      <c r="X138" s="1274"/>
      <c r="Y138" s="1274"/>
      <c r="Z138" s="1274"/>
      <c r="AA138" s="1274"/>
      <c r="AB138" s="1274"/>
      <c r="AC138" s="1274"/>
      <c r="AD138" s="1274"/>
      <c r="AE138" s="1274"/>
      <c r="AF138" s="1274"/>
      <c r="AG138" s="1274"/>
      <c r="AI138" s="1257"/>
      <c r="AJ138" s="1257"/>
      <c r="AK138" s="1257"/>
      <c r="AL138" s="1257"/>
      <c r="AM138" s="1257"/>
      <c r="AN138" s="1257"/>
      <c r="AO138" s="1257"/>
      <c r="AR138" s="1257"/>
      <c r="AS138" s="1257"/>
      <c r="AT138" s="1257"/>
      <c r="AU138" s="1257"/>
      <c r="AV138" s="1258"/>
      <c r="AW138" s="1258"/>
      <c r="AX138" s="1259"/>
      <c r="AY138" s="1259"/>
      <c r="AZ138" s="1259"/>
    </row>
    <row r="139" spans="1:52" s="1256" customFormat="1">
      <c r="A139" s="1259"/>
      <c r="B139" s="1259"/>
      <c r="C139" s="1259"/>
      <c r="D139" s="1259"/>
      <c r="E139" s="1259"/>
      <c r="F139" s="1259"/>
      <c r="G139" s="1259"/>
      <c r="H139" s="1259"/>
      <c r="I139" s="1259"/>
      <c r="J139" s="1259"/>
      <c r="K139" s="1259"/>
      <c r="L139" s="1259"/>
      <c r="M139" s="1259"/>
      <c r="N139" s="1259"/>
      <c r="O139" s="1259"/>
      <c r="P139" s="1259"/>
      <c r="Q139" s="1274"/>
      <c r="R139" s="1274"/>
      <c r="S139" s="1274"/>
      <c r="T139" s="1274"/>
      <c r="U139" s="1274"/>
      <c r="V139" s="1274"/>
      <c r="W139" s="1274"/>
      <c r="X139" s="1274"/>
      <c r="Y139" s="1274"/>
      <c r="Z139" s="1274"/>
      <c r="AA139" s="1274"/>
      <c r="AB139" s="1274"/>
      <c r="AC139" s="1274"/>
      <c r="AD139" s="1274"/>
      <c r="AE139" s="1274"/>
      <c r="AF139" s="1274"/>
      <c r="AG139" s="1274"/>
      <c r="AI139" s="1257"/>
      <c r="AJ139" s="1257"/>
      <c r="AK139" s="1257"/>
      <c r="AL139" s="1257"/>
      <c r="AM139" s="1257"/>
      <c r="AN139" s="1257"/>
      <c r="AO139" s="1257"/>
      <c r="AR139" s="1257"/>
      <c r="AS139" s="1257"/>
      <c r="AT139" s="1257"/>
      <c r="AU139" s="1257"/>
      <c r="AV139" s="1258"/>
      <c r="AW139" s="1258"/>
      <c r="AX139" s="1259"/>
      <c r="AY139" s="1259"/>
      <c r="AZ139" s="1259"/>
    </row>
    <row r="140" spans="1:52" s="1256" customFormat="1">
      <c r="A140" s="1259"/>
      <c r="B140" s="1259"/>
      <c r="C140" s="1259"/>
      <c r="D140" s="1259"/>
      <c r="E140" s="1259"/>
      <c r="F140" s="1259"/>
      <c r="G140" s="1259"/>
      <c r="H140" s="1259"/>
      <c r="I140" s="1259"/>
      <c r="J140" s="1259"/>
      <c r="K140" s="1259"/>
      <c r="L140" s="1259"/>
      <c r="M140" s="1259"/>
      <c r="N140" s="1259"/>
      <c r="O140" s="1259"/>
      <c r="P140" s="1259"/>
      <c r="Q140" s="1274"/>
      <c r="R140" s="1274"/>
      <c r="S140" s="1274"/>
      <c r="T140" s="1274"/>
      <c r="U140" s="1274"/>
      <c r="V140" s="1274"/>
      <c r="W140" s="1274"/>
      <c r="X140" s="1274"/>
      <c r="Y140" s="1274"/>
      <c r="Z140" s="1274"/>
      <c r="AA140" s="1274"/>
      <c r="AB140" s="1274"/>
      <c r="AC140" s="1274"/>
      <c r="AD140" s="1274"/>
      <c r="AE140" s="1274"/>
      <c r="AF140" s="1274"/>
      <c r="AG140" s="1274"/>
      <c r="AI140" s="1257"/>
      <c r="AJ140" s="1257"/>
      <c r="AK140" s="1257"/>
      <c r="AL140" s="1257"/>
      <c r="AM140" s="1257"/>
      <c r="AN140" s="1257"/>
      <c r="AO140" s="1257"/>
      <c r="AR140" s="1257"/>
      <c r="AS140" s="1257"/>
      <c r="AT140" s="1257"/>
      <c r="AU140" s="1257"/>
      <c r="AV140" s="1258"/>
      <c r="AW140" s="1258"/>
      <c r="AX140" s="1259"/>
      <c r="AY140" s="1259"/>
      <c r="AZ140" s="1259"/>
    </row>
    <row r="141" spans="1:52" s="1256" customFormat="1">
      <c r="A141" s="1259"/>
      <c r="B141" s="1259"/>
      <c r="C141" s="1259"/>
      <c r="D141" s="1259"/>
      <c r="E141" s="1259"/>
      <c r="F141" s="1259"/>
      <c r="G141" s="1259"/>
      <c r="H141" s="1259"/>
      <c r="I141" s="1259"/>
      <c r="J141" s="1259"/>
      <c r="K141" s="1259"/>
      <c r="L141" s="1259"/>
      <c r="M141" s="1259"/>
      <c r="N141" s="1259"/>
      <c r="O141" s="1259"/>
      <c r="P141" s="1259"/>
      <c r="Q141" s="1274"/>
      <c r="R141" s="1274"/>
      <c r="S141" s="1274"/>
      <c r="T141" s="1274"/>
      <c r="U141" s="1274"/>
      <c r="V141" s="1274"/>
      <c r="W141" s="1274"/>
      <c r="X141" s="1274"/>
      <c r="Y141" s="1274"/>
      <c r="Z141" s="1274"/>
      <c r="AA141" s="1274"/>
      <c r="AB141" s="1274"/>
      <c r="AC141" s="1274"/>
      <c r="AD141" s="1274"/>
      <c r="AE141" s="1274"/>
      <c r="AF141" s="1274"/>
      <c r="AG141" s="1274"/>
      <c r="AI141" s="1257"/>
      <c r="AJ141" s="1257"/>
      <c r="AK141" s="1257"/>
      <c r="AL141" s="1257"/>
      <c r="AM141" s="1257"/>
      <c r="AN141" s="1257"/>
      <c r="AO141" s="1257"/>
      <c r="AR141" s="1257"/>
      <c r="AS141" s="1257"/>
      <c r="AT141" s="1257"/>
      <c r="AU141" s="1257"/>
      <c r="AV141" s="1258"/>
      <c r="AW141" s="1258"/>
      <c r="AX141" s="1259"/>
      <c r="AY141" s="1259"/>
      <c r="AZ141" s="1259"/>
    </row>
    <row r="142" spans="1:52" s="1256" customFormat="1">
      <c r="A142" s="1259"/>
      <c r="B142" s="1259"/>
      <c r="C142" s="1259"/>
      <c r="D142" s="1259"/>
      <c r="E142" s="1259"/>
      <c r="F142" s="1259"/>
      <c r="G142" s="1259"/>
      <c r="H142" s="1259"/>
      <c r="I142" s="1259"/>
      <c r="J142" s="1259"/>
      <c r="K142" s="1259"/>
      <c r="L142" s="1259"/>
      <c r="M142" s="1259"/>
      <c r="N142" s="1259"/>
      <c r="O142" s="1259"/>
      <c r="P142" s="1259"/>
      <c r="Q142" s="1274"/>
      <c r="R142" s="1274"/>
      <c r="S142" s="1274"/>
      <c r="T142" s="1274"/>
      <c r="U142" s="1274"/>
      <c r="V142" s="1274"/>
      <c r="W142" s="1274"/>
      <c r="X142" s="1274"/>
      <c r="Y142" s="1274"/>
      <c r="Z142" s="1274"/>
      <c r="AA142" s="1274"/>
      <c r="AB142" s="1274"/>
      <c r="AC142" s="1274"/>
      <c r="AD142" s="1274"/>
      <c r="AE142" s="1274"/>
      <c r="AF142" s="1274"/>
      <c r="AG142" s="1274"/>
      <c r="AI142" s="1257"/>
      <c r="AJ142" s="1257"/>
      <c r="AK142" s="1257"/>
      <c r="AL142" s="1257"/>
      <c r="AM142" s="1257"/>
      <c r="AN142" s="1257"/>
      <c r="AO142" s="1257"/>
      <c r="AR142" s="1257"/>
      <c r="AS142" s="1257"/>
      <c r="AT142" s="1257"/>
      <c r="AU142" s="1257"/>
      <c r="AV142" s="1258"/>
      <c r="AW142" s="1258"/>
      <c r="AX142" s="1259"/>
      <c r="AY142" s="1259"/>
      <c r="AZ142" s="1259"/>
    </row>
    <row r="143" spans="1:52" s="1256" customFormat="1">
      <c r="A143" s="1259"/>
      <c r="B143" s="1259"/>
      <c r="C143" s="1259"/>
      <c r="D143" s="1259"/>
      <c r="E143" s="1259"/>
      <c r="F143" s="1259"/>
      <c r="G143" s="1259"/>
      <c r="H143" s="1259"/>
      <c r="I143" s="1259"/>
      <c r="J143" s="1259"/>
      <c r="K143" s="1259"/>
      <c r="L143" s="1259"/>
      <c r="M143" s="1259"/>
      <c r="N143" s="1259"/>
      <c r="O143" s="1259"/>
      <c r="P143" s="1259"/>
      <c r="Q143" s="1274"/>
      <c r="R143" s="1274"/>
      <c r="S143" s="1274"/>
      <c r="T143" s="1274"/>
      <c r="U143" s="1274"/>
      <c r="V143" s="1274"/>
      <c r="W143" s="1274"/>
      <c r="X143" s="1274"/>
      <c r="Y143" s="1274"/>
      <c r="Z143" s="1274"/>
      <c r="AA143" s="1274"/>
      <c r="AB143" s="1274"/>
      <c r="AC143" s="1274"/>
      <c r="AD143" s="1274"/>
      <c r="AE143" s="1274"/>
      <c r="AF143" s="1274"/>
      <c r="AG143" s="1274"/>
      <c r="AI143" s="1257"/>
      <c r="AJ143" s="1257"/>
      <c r="AK143" s="1257"/>
      <c r="AL143" s="1257"/>
      <c r="AM143" s="1257"/>
      <c r="AN143" s="1257"/>
      <c r="AO143" s="1257"/>
      <c r="AR143" s="1257"/>
      <c r="AS143" s="1257"/>
      <c r="AT143" s="1257"/>
      <c r="AU143" s="1257"/>
      <c r="AV143" s="1258"/>
      <c r="AW143" s="1258"/>
      <c r="AX143" s="1259"/>
      <c r="AY143" s="1259"/>
      <c r="AZ143" s="1259"/>
    </row>
  </sheetData>
  <mergeCells count="612">
    <mergeCell ref="D1:Y1"/>
    <mergeCell ref="Z1:AG2"/>
    <mergeCell ref="AN1:AQ1"/>
    <mergeCell ref="D2:Y2"/>
    <mergeCell ref="AN2:AQ2"/>
    <mergeCell ref="D3:AG3"/>
    <mergeCell ref="AN3:AQ3"/>
    <mergeCell ref="AI9:AM9"/>
    <mergeCell ref="AN9:AQ9"/>
    <mergeCell ref="AR9:AU9"/>
    <mergeCell ref="B10:P10"/>
    <mergeCell ref="Q10:S10"/>
    <mergeCell ref="T10:V10"/>
    <mergeCell ref="W10:AA10"/>
    <mergeCell ref="AB10:AG10"/>
    <mergeCell ref="D4:AG4"/>
    <mergeCell ref="A7:AG7"/>
    <mergeCell ref="A8:A9"/>
    <mergeCell ref="B8:P9"/>
    <mergeCell ref="Q8:AA8"/>
    <mergeCell ref="AB8:AG9"/>
    <mergeCell ref="Q9:S9"/>
    <mergeCell ref="T9:V9"/>
    <mergeCell ref="W9:AA9"/>
    <mergeCell ref="B12:P12"/>
    <mergeCell ref="Q12:S12"/>
    <mergeCell ref="T12:V12"/>
    <mergeCell ref="W12:AA12"/>
    <mergeCell ref="AB12:AG12"/>
    <mergeCell ref="AJ12:AM12"/>
    <mergeCell ref="B11:P11"/>
    <mergeCell ref="Q11:S11"/>
    <mergeCell ref="T11:V11"/>
    <mergeCell ref="W11:AA11"/>
    <mergeCell ref="AB11:AG11"/>
    <mergeCell ref="AJ11:AM11"/>
    <mergeCell ref="AJ14:AM14"/>
    <mergeCell ref="B15:P15"/>
    <mergeCell ref="Q15:S15"/>
    <mergeCell ref="T15:V15"/>
    <mergeCell ref="W15:AA15"/>
    <mergeCell ref="AB15:AG15"/>
    <mergeCell ref="B13:P13"/>
    <mergeCell ref="Q13:S13"/>
    <mergeCell ref="T13:V13"/>
    <mergeCell ref="W13:AA13"/>
    <mergeCell ref="AB13:AG13"/>
    <mergeCell ref="B14:P14"/>
    <mergeCell ref="Q14:S14"/>
    <mergeCell ref="T14:V14"/>
    <mergeCell ref="W14:AA14"/>
    <mergeCell ref="AB14:AG14"/>
    <mergeCell ref="AI16:AM16"/>
    <mergeCell ref="AN16:AQ16"/>
    <mergeCell ref="AR16:AU16"/>
    <mergeCell ref="G17:I17"/>
    <mergeCell ref="J17:L17"/>
    <mergeCell ref="Q17:S17"/>
    <mergeCell ref="T17:V17"/>
    <mergeCell ref="W17:AA17"/>
    <mergeCell ref="AB17:AG17"/>
    <mergeCell ref="AI17:AM17"/>
    <mergeCell ref="G16:I16"/>
    <mergeCell ref="J16:L16"/>
    <mergeCell ref="Q16:S16"/>
    <mergeCell ref="T16:V16"/>
    <mergeCell ref="W16:AA16"/>
    <mergeCell ref="AB16:AG16"/>
    <mergeCell ref="AR18:AU18"/>
    <mergeCell ref="G19:J19"/>
    <mergeCell ref="Q19:S19"/>
    <mergeCell ref="T19:V19"/>
    <mergeCell ref="W19:AA19"/>
    <mergeCell ref="AB19:AG19"/>
    <mergeCell ref="AN17:AQ17"/>
    <mergeCell ref="AR17:AU17"/>
    <mergeCell ref="G18:I18"/>
    <mergeCell ref="J18:L18"/>
    <mergeCell ref="Q18:S18"/>
    <mergeCell ref="T18:V18"/>
    <mergeCell ref="W18:AA18"/>
    <mergeCell ref="AB18:AG18"/>
    <mergeCell ref="AI18:AM18"/>
    <mergeCell ref="AN18:AQ18"/>
    <mergeCell ref="B20:P20"/>
    <mergeCell ref="Q20:S20"/>
    <mergeCell ref="T20:V20"/>
    <mergeCell ref="W20:AA20"/>
    <mergeCell ref="AB20:AG20"/>
    <mergeCell ref="G21:I21"/>
    <mergeCell ref="J21:L21"/>
    <mergeCell ref="Q21:S21"/>
    <mergeCell ref="T21:V21"/>
    <mergeCell ref="W21:AA21"/>
    <mergeCell ref="AI22:AM22"/>
    <mergeCell ref="AN22:AQ22"/>
    <mergeCell ref="AR22:AU22"/>
    <mergeCell ref="G23:I23"/>
    <mergeCell ref="Q23:S23"/>
    <mergeCell ref="T23:V23"/>
    <mergeCell ref="W23:AA23"/>
    <mergeCell ref="AB23:AG23"/>
    <mergeCell ref="AB21:AG21"/>
    <mergeCell ref="AI21:AM21"/>
    <mergeCell ref="AN21:AQ21"/>
    <mergeCell ref="AR21:AU21"/>
    <mergeCell ref="G22:I22"/>
    <mergeCell ref="J22:L22"/>
    <mergeCell ref="Q22:S22"/>
    <mergeCell ref="T22:V22"/>
    <mergeCell ref="W22:AA22"/>
    <mergeCell ref="AB22:AG22"/>
    <mergeCell ref="B24:P24"/>
    <mergeCell ref="Q24:S24"/>
    <mergeCell ref="T24:V24"/>
    <mergeCell ref="W24:AA24"/>
    <mergeCell ref="AB24:AG24"/>
    <mergeCell ref="G25:I25"/>
    <mergeCell ref="J25:L25"/>
    <mergeCell ref="Q25:S25"/>
    <mergeCell ref="T25:V25"/>
    <mergeCell ref="W25:AA25"/>
    <mergeCell ref="AB25:AG25"/>
    <mergeCell ref="AI25:AM25"/>
    <mergeCell ref="G26:I26"/>
    <mergeCell ref="J26:L26"/>
    <mergeCell ref="Q26:S26"/>
    <mergeCell ref="T26:V26"/>
    <mergeCell ref="W26:AA26"/>
    <mergeCell ref="AB26:AG26"/>
    <mergeCell ref="AI26:AM26"/>
    <mergeCell ref="AI27:AM27"/>
    <mergeCell ref="G28:I28"/>
    <mergeCell ref="J28:L28"/>
    <mergeCell ref="Q28:S28"/>
    <mergeCell ref="T28:V28"/>
    <mergeCell ref="W28:AA28"/>
    <mergeCell ref="AB28:AG28"/>
    <mergeCell ref="AI28:AM28"/>
    <mergeCell ref="G27:I27"/>
    <mergeCell ref="J27:L27"/>
    <mergeCell ref="Q27:S27"/>
    <mergeCell ref="T27:V27"/>
    <mergeCell ref="W27:AA27"/>
    <mergeCell ref="AB27:AG27"/>
    <mergeCell ref="G29:I29"/>
    <mergeCell ref="Q29:S29"/>
    <mergeCell ref="T29:V29"/>
    <mergeCell ref="W29:AA29"/>
    <mergeCell ref="AB29:AG29"/>
    <mergeCell ref="B30:P30"/>
    <mergeCell ref="Q30:S30"/>
    <mergeCell ref="T30:V30"/>
    <mergeCell ref="W30:AA30"/>
    <mergeCell ref="AB30:AG30"/>
    <mergeCell ref="AI31:AM31"/>
    <mergeCell ref="AN31:AQ31"/>
    <mergeCell ref="AR31:AU31"/>
    <mergeCell ref="G32:I32"/>
    <mergeCell ref="J32:L32"/>
    <mergeCell ref="Q32:S32"/>
    <mergeCell ref="T32:V32"/>
    <mergeCell ref="W32:AA32"/>
    <mergeCell ref="AB32:AG32"/>
    <mergeCell ref="AI32:AM32"/>
    <mergeCell ref="G31:I31"/>
    <mergeCell ref="J31:L31"/>
    <mergeCell ref="Q31:S31"/>
    <mergeCell ref="T31:V31"/>
    <mergeCell ref="W31:AA31"/>
    <mergeCell ref="AB31:AG31"/>
    <mergeCell ref="AR33:AU33"/>
    <mergeCell ref="G34:J34"/>
    <mergeCell ref="Q34:S34"/>
    <mergeCell ref="T34:V34"/>
    <mergeCell ref="W34:AA34"/>
    <mergeCell ref="AB34:AG34"/>
    <mergeCell ref="AN32:AQ32"/>
    <mergeCell ref="AR32:AU32"/>
    <mergeCell ref="G33:I33"/>
    <mergeCell ref="J33:L33"/>
    <mergeCell ref="Q33:S33"/>
    <mergeCell ref="T33:V33"/>
    <mergeCell ref="W33:AA33"/>
    <mergeCell ref="AB33:AG33"/>
    <mergeCell ref="AI33:AM33"/>
    <mergeCell ref="AN33:AQ33"/>
    <mergeCell ref="B35:P35"/>
    <mergeCell ref="Q35:S35"/>
    <mergeCell ref="T35:V35"/>
    <mergeCell ref="W35:AA35"/>
    <mergeCell ref="AB35:AG35"/>
    <mergeCell ref="G36:I36"/>
    <mergeCell ref="J36:L36"/>
    <mergeCell ref="Q36:S36"/>
    <mergeCell ref="T36:V36"/>
    <mergeCell ref="W36:AA36"/>
    <mergeCell ref="AB36:AG36"/>
    <mergeCell ref="AI36:AM36"/>
    <mergeCell ref="AN36:AQ36"/>
    <mergeCell ref="AR36:AU36"/>
    <mergeCell ref="G37:I37"/>
    <mergeCell ref="J37:L37"/>
    <mergeCell ref="Q37:S37"/>
    <mergeCell ref="T37:V37"/>
    <mergeCell ref="W37:AA37"/>
    <mergeCell ref="AB37:AG37"/>
    <mergeCell ref="AN38:AQ38"/>
    <mergeCell ref="AR38:AU38"/>
    <mergeCell ref="H39:I39"/>
    <mergeCell ref="K39:L39"/>
    <mergeCell ref="Q39:S39"/>
    <mergeCell ref="T39:V39"/>
    <mergeCell ref="W39:AA39"/>
    <mergeCell ref="AB39:AG39"/>
    <mergeCell ref="AI37:AM37"/>
    <mergeCell ref="AN37:AQ37"/>
    <mergeCell ref="AR37:AU37"/>
    <mergeCell ref="G38:I38"/>
    <mergeCell ref="J38:L38"/>
    <mergeCell ref="Q38:S38"/>
    <mergeCell ref="T38:V38"/>
    <mergeCell ref="W38:AA38"/>
    <mergeCell ref="AB38:AG38"/>
    <mergeCell ref="AI38:AM38"/>
    <mergeCell ref="B40:P40"/>
    <mergeCell ref="Q40:S40"/>
    <mergeCell ref="T40:V40"/>
    <mergeCell ref="W40:AA40"/>
    <mergeCell ref="AB40:AG40"/>
    <mergeCell ref="H41:J41"/>
    <mergeCell ref="K41:M41"/>
    <mergeCell ref="Q41:S41"/>
    <mergeCell ref="T41:V41"/>
    <mergeCell ref="W41:AA41"/>
    <mergeCell ref="AB41:AG41"/>
    <mergeCell ref="Q42:S42"/>
    <mergeCell ref="T42:V42"/>
    <mergeCell ref="W42:AA42"/>
    <mergeCell ref="AB42:AG42"/>
    <mergeCell ref="B43:P43"/>
    <mergeCell ref="Q43:S43"/>
    <mergeCell ref="T43:V43"/>
    <mergeCell ref="W43:AA43"/>
    <mergeCell ref="AB43:AG43"/>
    <mergeCell ref="AI44:AM44"/>
    <mergeCell ref="AN44:AQ44"/>
    <mergeCell ref="AR44:AU44"/>
    <mergeCell ref="Q45:S45"/>
    <mergeCell ref="T45:V45"/>
    <mergeCell ref="W45:AA45"/>
    <mergeCell ref="AB45:AG45"/>
    <mergeCell ref="H44:J44"/>
    <mergeCell ref="K44:M44"/>
    <mergeCell ref="Q44:S44"/>
    <mergeCell ref="T44:V44"/>
    <mergeCell ref="W44:AA44"/>
    <mergeCell ref="AB44:AG44"/>
    <mergeCell ref="B46:P46"/>
    <mergeCell ref="Q46:S46"/>
    <mergeCell ref="T46:V46"/>
    <mergeCell ref="W46:AA46"/>
    <mergeCell ref="AB46:AG46"/>
    <mergeCell ref="H47:J47"/>
    <mergeCell ref="K47:M47"/>
    <mergeCell ref="Q47:S47"/>
    <mergeCell ref="T47:V47"/>
    <mergeCell ref="W47:AA47"/>
    <mergeCell ref="AB47:AG47"/>
    <mergeCell ref="Q48:S48"/>
    <mergeCell ref="T48:V48"/>
    <mergeCell ref="W48:AA48"/>
    <mergeCell ref="AB48:AG48"/>
    <mergeCell ref="B49:P49"/>
    <mergeCell ref="Q49:S49"/>
    <mergeCell ref="T49:V49"/>
    <mergeCell ref="W49:AA49"/>
    <mergeCell ref="AB49:AG49"/>
    <mergeCell ref="AI50:AM50"/>
    <mergeCell ref="AN50:AQ50"/>
    <mergeCell ref="Q51:S51"/>
    <mergeCell ref="T51:V51"/>
    <mergeCell ref="W51:AA51"/>
    <mergeCell ref="AB51:AG51"/>
    <mergeCell ref="K50:M50"/>
    <mergeCell ref="N50:P50"/>
    <mergeCell ref="Q50:S50"/>
    <mergeCell ref="T50:V50"/>
    <mergeCell ref="W50:AA50"/>
    <mergeCell ref="AB50:AG50"/>
    <mergeCell ref="AB53:AG53"/>
    <mergeCell ref="AI53:AM53"/>
    <mergeCell ref="AN53:AQ53"/>
    <mergeCell ref="Q54:S54"/>
    <mergeCell ref="T54:V54"/>
    <mergeCell ref="W54:AA54"/>
    <mergeCell ref="AB54:AG54"/>
    <mergeCell ref="B52:P52"/>
    <mergeCell ref="Q52:S52"/>
    <mergeCell ref="T52:V52"/>
    <mergeCell ref="W52:AA52"/>
    <mergeCell ref="AB52:AG52"/>
    <mergeCell ref="K53:M53"/>
    <mergeCell ref="N53:P53"/>
    <mergeCell ref="Q53:S53"/>
    <mergeCell ref="T53:V53"/>
    <mergeCell ref="W53:AA53"/>
    <mergeCell ref="B55:P55"/>
    <mergeCell ref="Q55:S55"/>
    <mergeCell ref="T55:V55"/>
    <mergeCell ref="W55:AA55"/>
    <mergeCell ref="AB55:AG55"/>
    <mergeCell ref="L56:N56"/>
    <mergeCell ref="O56:P56"/>
    <mergeCell ref="Q56:S56"/>
    <mergeCell ref="T56:V56"/>
    <mergeCell ref="W56:AA56"/>
    <mergeCell ref="B58:P58"/>
    <mergeCell ref="Q58:S58"/>
    <mergeCell ref="T58:V58"/>
    <mergeCell ref="W58:AA58"/>
    <mergeCell ref="AB58:AG58"/>
    <mergeCell ref="AJ58:AM58"/>
    <mergeCell ref="AB56:AG56"/>
    <mergeCell ref="AI56:AM56"/>
    <mergeCell ref="AN56:AQ56"/>
    <mergeCell ref="Q57:S57"/>
    <mergeCell ref="T57:V57"/>
    <mergeCell ref="W57:AA57"/>
    <mergeCell ref="AB57:AG57"/>
    <mergeCell ref="Q59:S59"/>
    <mergeCell ref="T59:V59"/>
    <mergeCell ref="W59:AA59"/>
    <mergeCell ref="AB59:AG59"/>
    <mergeCell ref="AL59:AM59"/>
    <mergeCell ref="Q60:S60"/>
    <mergeCell ref="T60:V60"/>
    <mergeCell ref="W60:AA60"/>
    <mergeCell ref="AB60:AG60"/>
    <mergeCell ref="Q63:S63"/>
    <mergeCell ref="T63:V63"/>
    <mergeCell ref="W63:AA63"/>
    <mergeCell ref="AB63:AG63"/>
    <mergeCell ref="Q64:S64"/>
    <mergeCell ref="T64:V64"/>
    <mergeCell ref="W64:AA64"/>
    <mergeCell ref="AB64:AG64"/>
    <mergeCell ref="Q61:S61"/>
    <mergeCell ref="T61:V61"/>
    <mergeCell ref="W61:AA61"/>
    <mergeCell ref="AB61:AG61"/>
    <mergeCell ref="Q62:S62"/>
    <mergeCell ref="T62:V62"/>
    <mergeCell ref="W62:AA62"/>
    <mergeCell ref="AB62:AG62"/>
    <mergeCell ref="Q67:S67"/>
    <mergeCell ref="T67:V67"/>
    <mergeCell ref="W67:AA67"/>
    <mergeCell ref="AB67:AG67"/>
    <mergeCell ref="Q65:S65"/>
    <mergeCell ref="T65:V65"/>
    <mergeCell ref="W65:AA65"/>
    <mergeCell ref="AB65:AG65"/>
    <mergeCell ref="C66:P66"/>
    <mergeCell ref="Q66:S66"/>
    <mergeCell ref="T66:V66"/>
    <mergeCell ref="W66:AA66"/>
    <mergeCell ref="AB66:AG66"/>
    <mergeCell ref="Q70:S70"/>
    <mergeCell ref="T70:V70"/>
    <mergeCell ref="W70:AA70"/>
    <mergeCell ref="AB70:AG70"/>
    <mergeCell ref="Q71:S71"/>
    <mergeCell ref="T71:V71"/>
    <mergeCell ref="W71:AA71"/>
    <mergeCell ref="AB71:AG71"/>
    <mergeCell ref="Q68:S68"/>
    <mergeCell ref="T68:V68"/>
    <mergeCell ref="W68:AA68"/>
    <mergeCell ref="AB68:AG68"/>
    <mergeCell ref="Q69:S69"/>
    <mergeCell ref="T69:V69"/>
    <mergeCell ref="W69:AA69"/>
    <mergeCell ref="AB69:AG69"/>
    <mergeCell ref="Q74:S74"/>
    <mergeCell ref="T74:V74"/>
    <mergeCell ref="W74:AA74"/>
    <mergeCell ref="AB74:AG74"/>
    <mergeCell ref="Q75:S75"/>
    <mergeCell ref="T75:V75"/>
    <mergeCell ref="W75:AA75"/>
    <mergeCell ref="AB75:AG75"/>
    <mergeCell ref="Q72:S72"/>
    <mergeCell ref="T72:V72"/>
    <mergeCell ref="W72:AA72"/>
    <mergeCell ref="AB72:AG72"/>
    <mergeCell ref="Q73:S73"/>
    <mergeCell ref="T73:V73"/>
    <mergeCell ref="W73:AA73"/>
    <mergeCell ref="AB73:AG73"/>
    <mergeCell ref="Q78:S78"/>
    <mergeCell ref="T78:V78"/>
    <mergeCell ref="W78:AA78"/>
    <mergeCell ref="AB78:AG78"/>
    <mergeCell ref="Q79:S79"/>
    <mergeCell ref="T79:V79"/>
    <mergeCell ref="W79:AA79"/>
    <mergeCell ref="AB79:AG79"/>
    <mergeCell ref="Q76:S76"/>
    <mergeCell ref="T76:V76"/>
    <mergeCell ref="W76:AA76"/>
    <mergeCell ref="AB76:AG76"/>
    <mergeCell ref="Q77:S77"/>
    <mergeCell ref="T77:V77"/>
    <mergeCell ref="W77:AA77"/>
    <mergeCell ref="AB77:AG77"/>
    <mergeCell ref="AB81:AG81"/>
    <mergeCell ref="H82:I82"/>
    <mergeCell ref="J82:L82"/>
    <mergeCell ref="O82:P82"/>
    <mergeCell ref="Q82:S82"/>
    <mergeCell ref="T82:V82"/>
    <mergeCell ref="W82:AA82"/>
    <mergeCell ref="AB82:AG82"/>
    <mergeCell ref="B80:P80"/>
    <mergeCell ref="Q80:S80"/>
    <mergeCell ref="T80:V80"/>
    <mergeCell ref="W80:AA80"/>
    <mergeCell ref="AB80:AG80"/>
    <mergeCell ref="K81:M81"/>
    <mergeCell ref="O81:P81"/>
    <mergeCell ref="Q81:S81"/>
    <mergeCell ref="T81:V81"/>
    <mergeCell ref="W81:AA81"/>
    <mergeCell ref="H84:I84"/>
    <mergeCell ref="J84:L84"/>
    <mergeCell ref="Q84:S84"/>
    <mergeCell ref="T84:V84"/>
    <mergeCell ref="W84:AA84"/>
    <mergeCell ref="AB84:AG84"/>
    <mergeCell ref="H83:I83"/>
    <mergeCell ref="J83:L83"/>
    <mergeCell ref="Q83:S83"/>
    <mergeCell ref="T83:V83"/>
    <mergeCell ref="W83:AA83"/>
    <mergeCell ref="AB83:AG83"/>
    <mergeCell ref="AB85:AG85"/>
    <mergeCell ref="O86:P86"/>
    <mergeCell ref="Q86:S86"/>
    <mergeCell ref="T86:V86"/>
    <mergeCell ref="W86:AA86"/>
    <mergeCell ref="AB86:AG86"/>
    <mergeCell ref="H85:I85"/>
    <mergeCell ref="J85:L85"/>
    <mergeCell ref="M85:O85"/>
    <mergeCell ref="Q85:S85"/>
    <mergeCell ref="T85:V85"/>
    <mergeCell ref="W85:AA85"/>
    <mergeCell ref="K88:L88"/>
    <mergeCell ref="M88:O88"/>
    <mergeCell ref="Q88:S88"/>
    <mergeCell ref="T88:V88"/>
    <mergeCell ref="W88:AA88"/>
    <mergeCell ref="AB88:AG88"/>
    <mergeCell ref="K87:L87"/>
    <mergeCell ref="M87:O87"/>
    <mergeCell ref="Q87:S87"/>
    <mergeCell ref="T87:V87"/>
    <mergeCell ref="W87:AA87"/>
    <mergeCell ref="AB87:AG87"/>
    <mergeCell ref="K90:L90"/>
    <mergeCell ref="M90:O90"/>
    <mergeCell ref="Q90:S90"/>
    <mergeCell ref="T90:V90"/>
    <mergeCell ref="W90:AA90"/>
    <mergeCell ref="AB90:AG90"/>
    <mergeCell ref="K89:L89"/>
    <mergeCell ref="M89:O89"/>
    <mergeCell ref="Q89:S89"/>
    <mergeCell ref="T89:V89"/>
    <mergeCell ref="W89:AA89"/>
    <mergeCell ref="AB89:AG89"/>
    <mergeCell ref="K92:L92"/>
    <mergeCell ref="M92:O92"/>
    <mergeCell ref="Q92:S92"/>
    <mergeCell ref="T92:V92"/>
    <mergeCell ref="W92:AA92"/>
    <mergeCell ref="AB92:AG92"/>
    <mergeCell ref="K91:L91"/>
    <mergeCell ref="M91:O91"/>
    <mergeCell ref="Q91:S91"/>
    <mergeCell ref="T91:V91"/>
    <mergeCell ref="W91:AA91"/>
    <mergeCell ref="AB91:AG91"/>
    <mergeCell ref="K94:L94"/>
    <mergeCell ref="M94:O94"/>
    <mergeCell ref="Q94:S94"/>
    <mergeCell ref="T94:V94"/>
    <mergeCell ref="W94:AA94"/>
    <mergeCell ref="AB94:AG94"/>
    <mergeCell ref="K93:L93"/>
    <mergeCell ref="M93:O93"/>
    <mergeCell ref="Q93:S93"/>
    <mergeCell ref="T93:V93"/>
    <mergeCell ref="W93:AA93"/>
    <mergeCell ref="AB93:AG93"/>
    <mergeCell ref="K96:L96"/>
    <mergeCell ref="M96:O96"/>
    <mergeCell ref="Q96:S96"/>
    <mergeCell ref="T96:V96"/>
    <mergeCell ref="W96:AA96"/>
    <mergeCell ref="AB96:AG96"/>
    <mergeCell ref="K95:L95"/>
    <mergeCell ref="M95:O95"/>
    <mergeCell ref="Q95:S95"/>
    <mergeCell ref="T95:V95"/>
    <mergeCell ref="W95:AA95"/>
    <mergeCell ref="AB95:AG95"/>
    <mergeCell ref="J99:L99"/>
    <mergeCell ref="M99:O99"/>
    <mergeCell ref="Q99:S99"/>
    <mergeCell ref="T99:V99"/>
    <mergeCell ref="W99:AA99"/>
    <mergeCell ref="AB99:AG99"/>
    <mergeCell ref="B97:P97"/>
    <mergeCell ref="Q97:S97"/>
    <mergeCell ref="T97:V97"/>
    <mergeCell ref="W97:AA97"/>
    <mergeCell ref="AB97:AG97"/>
    <mergeCell ref="C98:P98"/>
    <mergeCell ref="Q98:S98"/>
    <mergeCell ref="T98:V98"/>
    <mergeCell ref="W98:AA98"/>
    <mergeCell ref="AB98:AG98"/>
    <mergeCell ref="M101:O101"/>
    <mergeCell ref="Q101:S101"/>
    <mergeCell ref="T101:V101"/>
    <mergeCell ref="W101:AA101"/>
    <mergeCell ref="AB101:AG101"/>
    <mergeCell ref="J100:L100"/>
    <mergeCell ref="M100:O100"/>
    <mergeCell ref="Q100:S100"/>
    <mergeCell ref="T100:V100"/>
    <mergeCell ref="W100:AA100"/>
    <mergeCell ref="AB100:AG100"/>
    <mergeCell ref="A106:AA106"/>
    <mergeCell ref="AB106:AG106"/>
    <mergeCell ref="AH106:AL106"/>
    <mergeCell ref="T108:AG108"/>
    <mergeCell ref="AH108:AL108"/>
    <mergeCell ref="C102:P102"/>
    <mergeCell ref="Q102:S102"/>
    <mergeCell ref="T102:V102"/>
    <mergeCell ref="W102:AA102"/>
    <mergeCell ref="AB102:AG102"/>
    <mergeCell ref="G103:I103"/>
    <mergeCell ref="J103:L103"/>
    <mergeCell ref="M103:O103"/>
    <mergeCell ref="Q103:S103"/>
    <mergeCell ref="T103:V103"/>
    <mergeCell ref="W103:AA103"/>
    <mergeCell ref="AB103:AG103"/>
    <mergeCell ref="AI103:AM103"/>
    <mergeCell ref="T109:AG109"/>
    <mergeCell ref="Y110:AG110"/>
    <mergeCell ref="T112:AG112"/>
    <mergeCell ref="T113:AG113"/>
    <mergeCell ref="A117:AG117"/>
    <mergeCell ref="B118:K118"/>
    <mergeCell ref="L118:Q118"/>
    <mergeCell ref="R118:AC118"/>
    <mergeCell ref="AD118:AG118"/>
    <mergeCell ref="B121:K121"/>
    <mergeCell ref="L121:Q121"/>
    <mergeCell ref="R121:AC121"/>
    <mergeCell ref="AD121:AG121"/>
    <mergeCell ref="B122:K122"/>
    <mergeCell ref="L122:Q122"/>
    <mergeCell ref="R122:AC122"/>
    <mergeCell ref="AD122:AG122"/>
    <mergeCell ref="B119:K119"/>
    <mergeCell ref="L119:Q119"/>
    <mergeCell ref="R119:AC119"/>
    <mergeCell ref="AD119:AG119"/>
    <mergeCell ref="B120:K120"/>
    <mergeCell ref="L120:Q120"/>
    <mergeCell ref="R120:AC120"/>
    <mergeCell ref="AD120:AG120"/>
    <mergeCell ref="AH97:AN97"/>
    <mergeCell ref="AR105:AU105"/>
    <mergeCell ref="G105:I105"/>
    <mergeCell ref="J105:L105"/>
    <mergeCell ref="M105:O105"/>
    <mergeCell ref="Q105:S105"/>
    <mergeCell ref="T105:V105"/>
    <mergeCell ref="W105:AA105"/>
    <mergeCell ref="AB105:AG105"/>
    <mergeCell ref="AI105:AM105"/>
    <mergeCell ref="AN105:AQ105"/>
    <mergeCell ref="AN103:AQ103"/>
    <mergeCell ref="AR103:AU103"/>
    <mergeCell ref="G104:I104"/>
    <mergeCell ref="J104:L104"/>
    <mergeCell ref="M104:O104"/>
    <mergeCell ref="Q104:S104"/>
    <mergeCell ref="T104:V104"/>
    <mergeCell ref="W104:AA104"/>
    <mergeCell ref="AB104:AG104"/>
    <mergeCell ref="AI104:AM104"/>
    <mergeCell ref="AN104:AQ104"/>
    <mergeCell ref="AR104:AU104"/>
    <mergeCell ref="J101:L101"/>
  </mergeCells>
  <printOptions horizontalCentered="1"/>
  <pageMargins left="0.43307086614173229" right="0.35433070866141736" top="0.47244094488188981" bottom="1.4" header="0.15748031496062992" footer="0.31496062992125984"/>
  <pageSetup paperSize="5" orientation="portrait" horizontalDpi="4294967293" verticalDpi="180" r:id="rId1"/>
  <headerFooter alignWithMargins="0"/>
  <rowBreaks count="2" manualBreakCount="2">
    <brk id="76" max="32" man="1"/>
    <brk id="113" max="4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B1:S50"/>
  <sheetViews>
    <sheetView view="pageBreakPreview" topLeftCell="E1" zoomScale="110" zoomScaleNormal="115" zoomScaleSheetLayoutView="110" workbookViewId="0">
      <selection activeCell="L22" sqref="L22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6" width="3.5703125" style="9" customWidth="1"/>
    <col min="7" max="7" width="40.5703125" style="9" bestFit="1" customWidth="1"/>
    <col min="8" max="9" width="8" style="9" customWidth="1"/>
    <col min="10" max="10" width="15.5703125" style="9" bestFit="1" customWidth="1"/>
    <col min="11" max="11" width="17.5703125" style="9" customWidth="1"/>
    <col min="12" max="13" width="9.140625" style="9"/>
    <col min="14" max="14" width="18.5703125" style="9" bestFit="1" customWidth="1"/>
    <col min="15" max="16" width="16.85546875" style="9" bestFit="1" customWidth="1"/>
    <col min="17" max="17" width="18" style="9" bestFit="1" customWidth="1"/>
    <col min="18" max="18" width="16.85546875" style="9" bestFit="1" customWidth="1"/>
    <col min="19" max="19" width="16.85546875" style="9" customWidth="1"/>
    <col min="20" max="16384" width="9.140625" style="9"/>
  </cols>
  <sheetData>
    <row r="1" spans="2:14" ht="14.2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</row>
    <row r="2" spans="2:14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4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4" ht="16.5" customHeight="1">
      <c r="B4" s="3308" t="s">
        <v>1151</v>
      </c>
      <c r="C4" s="3306"/>
      <c r="D4" s="3306"/>
      <c r="E4" s="3306"/>
      <c r="F4" s="3306"/>
      <c r="G4" s="3306"/>
      <c r="H4" s="3306"/>
      <c r="I4" s="3306"/>
      <c r="J4" s="3306"/>
      <c r="K4" s="3309"/>
    </row>
    <row r="5" spans="2:14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4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4" ht="15" customHeight="1">
      <c r="B7" s="3292" t="s">
        <v>498</v>
      </c>
      <c r="C7" s="3293"/>
      <c r="D7" s="3293"/>
      <c r="E7" s="3293"/>
      <c r="F7" s="3293"/>
      <c r="G7" s="3293"/>
      <c r="H7" s="3293"/>
      <c r="I7" s="3293"/>
      <c r="J7" s="3293"/>
      <c r="K7" s="3294"/>
    </row>
    <row r="8" spans="2:14">
      <c r="B8" s="3295"/>
      <c r="C8" s="3296"/>
      <c r="D8" s="3296"/>
      <c r="E8" s="3296"/>
      <c r="F8" s="3296"/>
      <c r="G8" s="3296"/>
      <c r="H8" s="3296"/>
      <c r="I8" s="3296"/>
      <c r="J8" s="3296"/>
      <c r="K8" s="3297"/>
    </row>
    <row r="9" spans="2:14" ht="16.5" customHeight="1">
      <c r="B9" s="3292" t="s">
        <v>14</v>
      </c>
      <c r="C9" s="3293"/>
      <c r="D9" s="3293"/>
      <c r="E9" s="3293"/>
      <c r="F9" s="3298"/>
      <c r="G9" s="3300" t="s">
        <v>15</v>
      </c>
      <c r="H9" s="3302" t="s">
        <v>16</v>
      </c>
      <c r="I9" s="3303"/>
      <c r="J9" s="3304"/>
      <c r="K9" s="14" t="s">
        <v>17</v>
      </c>
    </row>
    <row r="10" spans="2:14">
      <c r="B10" s="3295"/>
      <c r="C10" s="3296"/>
      <c r="D10" s="3296"/>
      <c r="E10" s="3296"/>
      <c r="F10" s="3299"/>
      <c r="G10" s="3301"/>
      <c r="H10" s="15" t="s">
        <v>18</v>
      </c>
      <c r="I10" s="15" t="s">
        <v>19</v>
      </c>
      <c r="J10" s="15" t="s">
        <v>20</v>
      </c>
      <c r="K10" s="12" t="s">
        <v>21</v>
      </c>
    </row>
    <row r="11" spans="2:14">
      <c r="B11" s="3305">
        <v>1</v>
      </c>
      <c r="C11" s="3306"/>
      <c r="D11" s="3306"/>
      <c r="E11" s="3306"/>
      <c r="F11" s="3307"/>
      <c r="G11" s="16">
        <v>2</v>
      </c>
      <c r="H11" s="17">
        <v>3</v>
      </c>
      <c r="I11" s="17">
        <v>4</v>
      </c>
      <c r="J11" s="17">
        <v>5</v>
      </c>
      <c r="K11" s="18" t="s">
        <v>22</v>
      </c>
      <c r="N11" s="42"/>
    </row>
    <row r="12" spans="2:14" ht="15.75" customHeight="1">
      <c r="B12" s="43">
        <v>4</v>
      </c>
      <c r="C12" s="17"/>
      <c r="D12" s="17"/>
      <c r="E12" s="17"/>
      <c r="F12" s="17"/>
      <c r="G12" s="44" t="s">
        <v>499</v>
      </c>
      <c r="H12" s="45"/>
      <c r="I12" s="17"/>
      <c r="J12" s="46"/>
      <c r="K12" s="47">
        <f>K13</f>
        <v>27455000000</v>
      </c>
    </row>
    <row r="13" spans="2:14" ht="14.25" customHeight="1">
      <c r="B13" s="43">
        <v>4</v>
      </c>
      <c r="C13" s="17">
        <v>1</v>
      </c>
      <c r="D13" s="17"/>
      <c r="E13" s="17"/>
      <c r="F13" s="17"/>
      <c r="G13" s="44" t="s">
        <v>500</v>
      </c>
      <c r="H13" s="45"/>
      <c r="I13" s="17"/>
      <c r="J13" s="46"/>
      <c r="K13" s="47">
        <f>K14</f>
        <v>27455000000</v>
      </c>
    </row>
    <row r="14" spans="2:14" ht="15" customHeight="1">
      <c r="B14" s="43">
        <v>4</v>
      </c>
      <c r="C14" s="17">
        <v>1</v>
      </c>
      <c r="D14" s="17">
        <v>4</v>
      </c>
      <c r="E14" s="65"/>
      <c r="F14" s="17"/>
      <c r="G14" s="44" t="s">
        <v>501</v>
      </c>
      <c r="H14" s="45"/>
      <c r="I14" s="17"/>
      <c r="J14" s="46"/>
      <c r="K14" s="47">
        <f>K15</f>
        <v>27455000000</v>
      </c>
    </row>
    <row r="15" spans="2:14">
      <c r="B15" s="36">
        <v>4</v>
      </c>
      <c r="C15" s="37">
        <v>1</v>
      </c>
      <c r="D15" s="37">
        <v>4</v>
      </c>
      <c r="E15" s="38">
        <v>18</v>
      </c>
      <c r="F15" s="38"/>
      <c r="G15" s="44" t="s">
        <v>502</v>
      </c>
      <c r="H15" s="118"/>
      <c r="I15" s="37"/>
      <c r="J15" s="119"/>
      <c r="K15" s="120">
        <f>K16</f>
        <v>27455000000</v>
      </c>
    </row>
    <row r="16" spans="2:14">
      <c r="B16" s="36">
        <v>4</v>
      </c>
      <c r="C16" s="37">
        <v>1</v>
      </c>
      <c r="D16" s="37">
        <v>4</v>
      </c>
      <c r="E16" s="38">
        <v>18</v>
      </c>
      <c r="F16" s="53" t="s">
        <v>24</v>
      </c>
      <c r="G16" s="20" t="s">
        <v>503</v>
      </c>
      <c r="H16" s="35"/>
      <c r="I16" s="4"/>
      <c r="J16" s="5"/>
      <c r="K16" s="56">
        <f>SUM(K17:K18)</f>
        <v>27455000000</v>
      </c>
    </row>
    <row r="17" spans="2:19">
      <c r="B17" s="22"/>
      <c r="C17" s="23"/>
      <c r="D17" s="23"/>
      <c r="E17" s="24"/>
      <c r="F17" s="24"/>
      <c r="G17" s="39" t="s">
        <v>1166</v>
      </c>
      <c r="H17" s="243">
        <v>1</v>
      </c>
      <c r="I17" s="40" t="s">
        <v>504</v>
      </c>
      <c r="J17" s="384">
        <v>27455000000</v>
      </c>
      <c r="K17" s="111">
        <f>H17*J17</f>
        <v>27455000000</v>
      </c>
    </row>
    <row r="18" spans="2:19">
      <c r="B18" s="436"/>
      <c r="C18" s="397"/>
      <c r="D18" s="397"/>
      <c r="E18" s="437"/>
      <c r="F18" s="437"/>
      <c r="G18" s="391"/>
      <c r="H18" s="955"/>
      <c r="I18" s="383"/>
      <c r="J18" s="244"/>
      <c r="K18" s="583"/>
    </row>
    <row r="19" spans="2:19" ht="15" customHeight="1" thickBot="1">
      <c r="B19" s="3289" t="s">
        <v>30</v>
      </c>
      <c r="C19" s="3290"/>
      <c r="D19" s="3290"/>
      <c r="E19" s="3290"/>
      <c r="F19" s="3290"/>
      <c r="G19" s="3290"/>
      <c r="H19" s="3290"/>
      <c r="I19" s="3290"/>
      <c r="J19" s="3291"/>
      <c r="K19" s="63">
        <f>K13</f>
        <v>27455000000</v>
      </c>
    </row>
    <row r="20" spans="2:19" ht="13.5" thickTop="1"/>
    <row r="22" spans="2:19" ht="15" customHeight="1">
      <c r="H22" s="3336" t="s">
        <v>1534</v>
      </c>
      <c r="I22" s="3336"/>
      <c r="J22" s="3336"/>
      <c r="K22" s="7"/>
    </row>
    <row r="23" spans="2:19" ht="15" customHeight="1">
      <c r="H23" s="3337" t="s">
        <v>272</v>
      </c>
      <c r="I23" s="3337"/>
      <c r="J23" s="3337"/>
      <c r="K23" s="72"/>
    </row>
    <row r="24" spans="2:19" ht="15">
      <c r="H24" s="273"/>
      <c r="I24" s="127"/>
      <c r="J24" s="127"/>
      <c r="K24" s="127"/>
    </row>
    <row r="25" spans="2:19" ht="15">
      <c r="H25" s="273"/>
      <c r="I25" s="127"/>
      <c r="J25" s="127"/>
      <c r="K25" s="127"/>
    </row>
    <row r="26" spans="2:19" ht="15" customHeight="1">
      <c r="H26" s="3338" t="s">
        <v>904</v>
      </c>
      <c r="I26" s="3338"/>
      <c r="J26" s="3338"/>
      <c r="K26" s="909"/>
    </row>
    <row r="27" spans="2:19" ht="15" customHeight="1">
      <c r="H27" s="3338" t="s">
        <v>906</v>
      </c>
      <c r="I27" s="3338"/>
      <c r="J27" s="3338"/>
      <c r="K27" s="909"/>
    </row>
    <row r="28" spans="2:19" ht="15.75">
      <c r="H28" s="273"/>
      <c r="I28" s="273"/>
      <c r="J28" s="812"/>
      <c r="N28" s="3335" t="s">
        <v>1248</v>
      </c>
      <c r="O28" s="3335"/>
      <c r="P28" s="3335"/>
      <c r="Q28" s="3335"/>
      <c r="R28" s="3335"/>
      <c r="S28" s="3335"/>
    </row>
    <row r="29" spans="2:19" ht="15">
      <c r="H29" s="273"/>
      <c r="I29" s="273"/>
      <c r="J29" s="812"/>
      <c r="O29" s="158">
        <f>O32+O34</f>
        <v>2305205000</v>
      </c>
      <c r="P29" s="158">
        <f t="shared" ref="P29:S29" si="0">P32+P34</f>
        <v>2202357100</v>
      </c>
      <c r="Q29" s="158">
        <f t="shared" si="0"/>
        <v>2100800400</v>
      </c>
      <c r="R29" s="158">
        <f t="shared" si="0"/>
        <v>0</v>
      </c>
      <c r="S29" s="158">
        <f t="shared" si="0"/>
        <v>0</v>
      </c>
    </row>
    <row r="30" spans="2:19">
      <c r="N30" s="620" t="s">
        <v>1245</v>
      </c>
      <c r="O30" s="424" t="s">
        <v>1236</v>
      </c>
      <c r="P30" s="424" t="s">
        <v>1237</v>
      </c>
      <c r="Q30" s="424" t="s">
        <v>1238</v>
      </c>
      <c r="R30" s="424" t="s">
        <v>1246</v>
      </c>
      <c r="S30" s="424" t="s">
        <v>1247</v>
      </c>
    </row>
    <row r="31" spans="2:19">
      <c r="N31" s="620" t="s">
        <v>1244</v>
      </c>
      <c r="O31" s="1380">
        <f>SUM(O32:O36)</f>
        <v>2309946405</v>
      </c>
      <c r="P31" s="1380">
        <f t="shared" ref="P31:S31" si="1">SUM(P32:P36)</f>
        <v>2212432120</v>
      </c>
      <c r="Q31" s="1380">
        <f t="shared" si="1"/>
        <v>2110569253</v>
      </c>
      <c r="R31" s="1380">
        <f t="shared" si="1"/>
        <v>12157487</v>
      </c>
      <c r="S31" s="1380">
        <f t="shared" si="1"/>
        <v>16729847</v>
      </c>
    </row>
    <row r="32" spans="2:19">
      <c r="N32" s="474" t="s">
        <v>1234</v>
      </c>
      <c r="O32" s="471">
        <v>1904543500</v>
      </c>
      <c r="P32" s="471">
        <v>1870513200</v>
      </c>
      <c r="Q32" s="471">
        <v>1741758200</v>
      </c>
      <c r="R32" s="471"/>
      <c r="S32" s="471"/>
    </row>
    <row r="33" spans="14:19">
      <c r="N33" s="474" t="s">
        <v>1239</v>
      </c>
      <c r="O33" s="471">
        <v>1371300</v>
      </c>
      <c r="P33" s="471">
        <v>1861400</v>
      </c>
      <c r="Q33" s="471">
        <v>782200</v>
      </c>
      <c r="R33" s="471">
        <v>980200</v>
      </c>
      <c r="S33" s="471">
        <v>2480200</v>
      </c>
    </row>
    <row r="34" spans="14:19">
      <c r="N34" s="472" t="s">
        <v>1235</v>
      </c>
      <c r="O34" s="471">
        <v>400661500</v>
      </c>
      <c r="P34" s="471">
        <v>331843900</v>
      </c>
      <c r="Q34" s="471">
        <v>359042200</v>
      </c>
      <c r="R34" s="471"/>
      <c r="S34" s="471"/>
    </row>
    <row r="35" spans="14:19">
      <c r="N35" s="474" t="s">
        <v>1239</v>
      </c>
      <c r="O35" s="471">
        <v>2445600</v>
      </c>
      <c r="P35" s="471">
        <v>1793550</v>
      </c>
      <c r="Q35" s="471">
        <v>2591650</v>
      </c>
      <c r="R35" s="471">
        <v>2445600</v>
      </c>
      <c r="S35" s="471">
        <v>5287200</v>
      </c>
    </row>
    <row r="36" spans="14:19">
      <c r="N36" s="472" t="s">
        <v>1240</v>
      </c>
      <c r="O36" s="471">
        <v>924505</v>
      </c>
      <c r="P36" s="471">
        <v>6420070</v>
      </c>
      <c r="Q36" s="471">
        <v>6395003</v>
      </c>
      <c r="R36" s="471">
        <v>8731687</v>
      </c>
      <c r="S36" s="471">
        <v>8962447</v>
      </c>
    </row>
    <row r="37" spans="14:19">
      <c r="N37" s="621" t="s">
        <v>1243</v>
      </c>
      <c r="O37" s="1380">
        <f>SUM(O38:O39)</f>
        <v>125610830</v>
      </c>
      <c r="P37" s="1380">
        <f t="shared" ref="P37:S37" si="2">SUM(P38:P39)</f>
        <v>140546386</v>
      </c>
      <c r="Q37" s="1380">
        <f t="shared" si="2"/>
        <v>66698800</v>
      </c>
      <c r="R37" s="1380">
        <f t="shared" si="2"/>
        <v>72389155</v>
      </c>
      <c r="S37" s="1380">
        <f t="shared" si="2"/>
        <v>52376450</v>
      </c>
    </row>
    <row r="38" spans="14:19">
      <c r="N38" s="474" t="s">
        <v>1242</v>
      </c>
      <c r="O38" s="471">
        <v>111003900</v>
      </c>
      <c r="P38" s="471">
        <v>50227850</v>
      </c>
      <c r="Q38" s="471">
        <v>63956800</v>
      </c>
      <c r="R38" s="471">
        <v>70326550</v>
      </c>
      <c r="S38" s="471">
        <v>47960200</v>
      </c>
    </row>
    <row r="39" spans="14:19">
      <c r="N39" s="474" t="s">
        <v>1241</v>
      </c>
      <c r="O39" s="471">
        <f>2829000+10000000+1777930</f>
        <v>14606930</v>
      </c>
      <c r="P39" s="471">
        <f>18195000+37608685+8346600+26168251</f>
        <v>90318536</v>
      </c>
      <c r="Q39" s="471">
        <f>2742000</f>
        <v>2742000</v>
      </c>
      <c r="R39" s="471">
        <f>869000+488000+705605</f>
        <v>2062605</v>
      </c>
      <c r="S39" s="471">
        <f>2034000+1000000+1382250</f>
        <v>4416250</v>
      </c>
    </row>
    <row r="40" spans="14:19">
      <c r="N40" s="620" t="s">
        <v>265</v>
      </c>
      <c r="O40" s="1381">
        <f>O31+O37</f>
        <v>2435557235</v>
      </c>
      <c r="P40" s="1381">
        <f t="shared" ref="P40:Q40" si="3">P31+P37</f>
        <v>2352978506</v>
      </c>
      <c r="Q40" s="1381">
        <f t="shared" si="3"/>
        <v>2177268053</v>
      </c>
      <c r="R40" s="1381">
        <f t="shared" ref="R40:S40" si="4">R31+R37</f>
        <v>84546642</v>
      </c>
      <c r="S40" s="1381">
        <f t="shared" si="4"/>
        <v>69106297</v>
      </c>
    </row>
    <row r="42" spans="14:19">
      <c r="Q42" s="158">
        <f>SUM(O40:Q40)</f>
        <v>6965803794</v>
      </c>
    </row>
    <row r="43" spans="14:19">
      <c r="Q43" s="158">
        <f>Q42/3</f>
        <v>2321934598</v>
      </c>
    </row>
    <row r="44" spans="14:19">
      <c r="Q44" s="158">
        <f>Q43*12</f>
        <v>27863215176</v>
      </c>
      <c r="R44" s="9" t="s">
        <v>1249</v>
      </c>
    </row>
    <row r="45" spans="14:19">
      <c r="Q45" s="41">
        <f>Q43*3</f>
        <v>6965803794</v>
      </c>
      <c r="R45" s="9" t="s">
        <v>1250</v>
      </c>
    </row>
    <row r="46" spans="14:19">
      <c r="Q46" s="158">
        <f>Q43*2</f>
        <v>4643869196</v>
      </c>
      <c r="R46" s="9" t="s">
        <v>1251</v>
      </c>
    </row>
    <row r="47" spans="14:19">
      <c r="Q47" s="158">
        <f>(Q44+Q45)-Q46</f>
        <v>30185149774</v>
      </c>
    </row>
    <row r="48" spans="14:19">
      <c r="Q48" s="41">
        <v>1900000000</v>
      </c>
      <c r="R48" s="9" t="s">
        <v>1252</v>
      </c>
    </row>
    <row r="49" spans="17:18">
      <c r="Q49" s="41">
        <v>2000000000</v>
      </c>
      <c r="R49" s="9" t="s">
        <v>1253</v>
      </c>
    </row>
    <row r="50" spans="17:18">
      <c r="Q50" s="158">
        <f>(Q47+Q49)-Q48</f>
        <v>30285149774</v>
      </c>
    </row>
  </sheetData>
  <mergeCells count="22">
    <mergeCell ref="N28:S28"/>
    <mergeCell ref="H22:J22"/>
    <mergeCell ref="H23:J23"/>
    <mergeCell ref="H26:J26"/>
    <mergeCell ref="H27:J27"/>
    <mergeCell ref="B1:K1"/>
    <mergeCell ref="B2:D3"/>
    <mergeCell ref="E2:H2"/>
    <mergeCell ref="I2:J2"/>
    <mergeCell ref="E3:H3"/>
    <mergeCell ref="I3:J3"/>
    <mergeCell ref="B4:K4"/>
    <mergeCell ref="B5:F5"/>
    <mergeCell ref="G5:K5"/>
    <mergeCell ref="B6:F6"/>
    <mergeCell ref="G6:K6"/>
    <mergeCell ref="B19:J19"/>
    <mergeCell ref="B7:K8"/>
    <mergeCell ref="B9:F10"/>
    <mergeCell ref="G9:G10"/>
    <mergeCell ref="H9:J9"/>
    <mergeCell ref="B11:F11"/>
  </mergeCells>
  <pageMargins left="0.12" right="0.22" top="0.54" bottom="0.3" header="0.3" footer="0.13"/>
  <pageSetup paperSize="5" scale="95" orientation="portrait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7030A0"/>
  </sheetPr>
  <dimension ref="B1:T44"/>
  <sheetViews>
    <sheetView view="pageBreakPreview" topLeftCell="F19" zoomScaleNormal="115" zoomScaleSheetLayoutView="100" workbookViewId="0">
      <selection activeCell="H38" sqref="H38:J38"/>
    </sheetView>
  </sheetViews>
  <sheetFormatPr defaultRowHeight="15"/>
  <cols>
    <col min="1" max="1" width="1.5703125" style="9" customWidth="1"/>
    <col min="2" max="2" width="3.140625" style="9" customWidth="1"/>
    <col min="3" max="3" width="3.28515625" style="9" customWidth="1"/>
    <col min="4" max="6" width="3.5703125" style="9" customWidth="1"/>
    <col min="7" max="7" width="41.140625" style="9" customWidth="1"/>
    <col min="8" max="9" width="8" style="9" customWidth="1"/>
    <col min="10" max="10" width="13.42578125" style="9" customWidth="1"/>
    <col min="11" max="11" width="13.85546875" style="9" customWidth="1"/>
    <col min="12" max="12" width="12.42578125" style="301" bestFit="1" customWidth="1"/>
    <col min="13" max="17" width="6.42578125" style="301" bestFit="1" customWidth="1"/>
    <col min="18" max="18" width="13.85546875" style="301" customWidth="1"/>
    <col min="19" max="19" width="9.140625" style="9"/>
    <col min="20" max="20" width="21" style="9" customWidth="1"/>
    <col min="21" max="16384" width="9.140625" style="9"/>
  </cols>
  <sheetData>
    <row r="1" spans="2:20" ht="18.75" thickTop="1" thickBot="1">
      <c r="B1" s="3317"/>
      <c r="C1" s="3318"/>
      <c r="D1" s="3318"/>
      <c r="E1" s="3319"/>
      <c r="F1" s="3319"/>
      <c r="G1" s="3319"/>
      <c r="H1" s="3319"/>
      <c r="I1" s="3319"/>
      <c r="J1" s="3319"/>
      <c r="K1" s="3320"/>
      <c r="L1" s="299"/>
      <c r="M1" s="299"/>
      <c r="N1" s="299"/>
      <c r="O1" s="299"/>
      <c r="P1" s="299"/>
      <c r="Q1" s="299"/>
      <c r="R1" s="299"/>
    </row>
    <row r="2" spans="2:20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  <c r="L2" s="300"/>
      <c r="M2" s="300"/>
      <c r="N2" s="300"/>
      <c r="O2" s="300"/>
      <c r="P2" s="300"/>
      <c r="Q2" s="300"/>
      <c r="R2" s="300"/>
    </row>
    <row r="3" spans="2:20" ht="16.5" customHeight="1">
      <c r="B3" s="3323"/>
      <c r="C3" s="3324"/>
      <c r="D3" s="3324"/>
      <c r="E3" s="3330" t="s">
        <v>2</v>
      </c>
      <c r="F3" s="3331"/>
      <c r="G3" s="3331"/>
      <c r="H3" s="3332"/>
      <c r="I3" s="3355"/>
      <c r="J3" s="3356"/>
      <c r="K3" s="12" t="s">
        <v>3</v>
      </c>
      <c r="L3" s="300"/>
      <c r="M3" s="300"/>
      <c r="N3" s="300"/>
      <c r="O3" s="300"/>
      <c r="P3" s="300"/>
      <c r="Q3" s="300"/>
      <c r="R3" s="300"/>
    </row>
    <row r="4" spans="2:20" ht="16.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  <c r="L4" s="322"/>
      <c r="M4" s="322"/>
      <c r="N4" s="322"/>
      <c r="O4" s="322"/>
      <c r="P4" s="322"/>
      <c r="Q4" s="322"/>
      <c r="R4" s="322"/>
    </row>
    <row r="5" spans="2:20">
      <c r="B5" s="3360" t="s">
        <v>31</v>
      </c>
      <c r="C5" s="3361"/>
      <c r="D5" s="3361"/>
      <c r="E5" s="3361"/>
      <c r="F5" s="3361"/>
      <c r="G5" s="3362" t="s">
        <v>38</v>
      </c>
      <c r="H5" s="3362"/>
      <c r="I5" s="3362"/>
      <c r="J5" s="3362"/>
      <c r="K5" s="3363"/>
      <c r="L5" s="321"/>
      <c r="M5" s="321"/>
      <c r="N5" s="321"/>
      <c r="O5" s="321"/>
      <c r="P5" s="321"/>
      <c r="Q5" s="321"/>
      <c r="R5" s="321"/>
    </row>
    <row r="6" spans="2:20" ht="12.75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  <c r="L6" s="323"/>
      <c r="M6" s="323"/>
      <c r="N6" s="323"/>
      <c r="O6" s="323"/>
      <c r="P6" s="323"/>
      <c r="Q6" s="323"/>
      <c r="R6" s="324"/>
    </row>
    <row r="7" spans="2:20">
      <c r="B7" s="3341" t="s">
        <v>33</v>
      </c>
      <c r="C7" s="3339"/>
      <c r="D7" s="3339"/>
      <c r="E7" s="3339"/>
      <c r="F7" s="3339"/>
      <c r="G7" s="3342" t="s">
        <v>70</v>
      </c>
      <c r="H7" s="3342"/>
      <c r="I7" s="3342"/>
      <c r="J7" s="3342"/>
      <c r="K7" s="3343"/>
      <c r="L7" s="321"/>
      <c r="M7" s="321"/>
      <c r="N7" s="321"/>
      <c r="O7" s="321"/>
      <c r="P7" s="321"/>
      <c r="Q7" s="321"/>
      <c r="R7" s="3376"/>
    </row>
    <row r="8" spans="2:20">
      <c r="B8" s="3341" t="s">
        <v>34</v>
      </c>
      <c r="C8" s="3339"/>
      <c r="D8" s="3339"/>
      <c r="E8" s="3339"/>
      <c r="F8" s="3339"/>
      <c r="G8" s="3339" t="s">
        <v>267</v>
      </c>
      <c r="H8" s="3339"/>
      <c r="I8" s="3339"/>
      <c r="J8" s="3339"/>
      <c r="K8" s="3340"/>
      <c r="L8" s="321"/>
      <c r="M8" s="321"/>
      <c r="N8" s="321"/>
      <c r="O8" s="321"/>
      <c r="P8" s="321"/>
      <c r="Q8" s="321"/>
      <c r="R8" s="3376"/>
      <c r="T8" s="9">
        <v>55</v>
      </c>
    </row>
    <row r="9" spans="2:20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L9" s="321"/>
      <c r="M9" s="321"/>
      <c r="N9" s="321"/>
      <c r="O9" s="321"/>
      <c r="P9" s="321"/>
      <c r="Q9" s="321"/>
      <c r="R9" s="3377"/>
      <c r="T9" s="41">
        <v>10000</v>
      </c>
    </row>
    <row r="10" spans="2:20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L10" s="321"/>
      <c r="M10" s="321"/>
      <c r="N10" s="321"/>
      <c r="O10" s="321"/>
      <c r="P10" s="321"/>
      <c r="Q10" s="321"/>
      <c r="R10" s="325"/>
      <c r="T10" s="41">
        <f>T8*T9</f>
        <v>550000</v>
      </c>
    </row>
    <row r="11" spans="2:20" ht="12.75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  <c r="L11" s="326"/>
      <c r="M11" s="326"/>
      <c r="N11" s="326"/>
      <c r="O11" s="326"/>
      <c r="P11" s="326"/>
      <c r="Q11" s="326"/>
      <c r="R11" s="326"/>
    </row>
    <row r="12" spans="2:20" ht="12.75">
      <c r="B12" s="3364" t="s">
        <v>4</v>
      </c>
      <c r="C12" s="3358"/>
      <c r="D12" s="3358"/>
      <c r="E12" s="3358"/>
      <c r="F12" s="3358"/>
      <c r="G12" s="3358"/>
      <c r="H12" s="3358"/>
      <c r="I12" s="3358"/>
      <c r="J12" s="3358"/>
      <c r="K12" s="3359"/>
      <c r="L12" s="327"/>
      <c r="M12" s="326"/>
      <c r="N12" s="326"/>
      <c r="O12" s="326"/>
      <c r="P12" s="326"/>
      <c r="Q12" s="326"/>
      <c r="R12" s="326"/>
    </row>
    <row r="13" spans="2:20" ht="12.75">
      <c r="B13" s="3380" t="s">
        <v>5</v>
      </c>
      <c r="C13" s="3381"/>
      <c r="D13" s="3381"/>
      <c r="E13" s="3381"/>
      <c r="F13" s="3382"/>
      <c r="G13" s="3383" t="s">
        <v>6</v>
      </c>
      <c r="H13" s="3384"/>
      <c r="I13" s="3383" t="s">
        <v>7</v>
      </c>
      <c r="J13" s="3385"/>
      <c r="K13" s="3386"/>
      <c r="L13" s="327"/>
      <c r="M13" s="326"/>
      <c r="N13" s="326"/>
      <c r="O13" s="326"/>
      <c r="P13" s="326"/>
      <c r="Q13" s="326"/>
      <c r="R13" s="326"/>
    </row>
    <row r="14" spans="2:20" ht="16.5" customHeight="1">
      <c r="B14" s="3387" t="s">
        <v>8</v>
      </c>
      <c r="C14" s="3388"/>
      <c r="D14" s="3388"/>
      <c r="E14" s="3388"/>
      <c r="F14" s="3389"/>
      <c r="G14" s="3350" t="s">
        <v>160</v>
      </c>
      <c r="H14" s="3351"/>
      <c r="I14" s="3390">
        <v>1</v>
      </c>
      <c r="J14" s="3348"/>
      <c r="K14" s="3391"/>
      <c r="L14" s="328"/>
      <c r="M14" s="326"/>
      <c r="N14" s="326"/>
      <c r="O14" s="326"/>
      <c r="P14" s="326"/>
      <c r="Q14" s="326"/>
      <c r="R14" s="326"/>
    </row>
    <row r="15" spans="2:20" ht="12.75">
      <c r="B15" s="3397" t="s">
        <v>9</v>
      </c>
      <c r="C15" s="3348"/>
      <c r="D15" s="3348"/>
      <c r="E15" s="3348"/>
      <c r="F15" s="3349"/>
      <c r="G15" s="3398" t="s">
        <v>47</v>
      </c>
      <c r="H15" s="3353"/>
      <c r="I15" s="3344">
        <f>K24</f>
        <v>8000000</v>
      </c>
      <c r="J15" s="3345"/>
      <c r="K15" s="3346"/>
      <c r="L15" s="320"/>
      <c r="M15" s="320"/>
      <c r="N15" s="320"/>
      <c r="O15" s="320"/>
      <c r="P15" s="320"/>
      <c r="Q15" s="326"/>
      <c r="R15" s="326"/>
    </row>
    <row r="16" spans="2:20" ht="16.5" customHeight="1">
      <c r="B16" s="3347" t="s">
        <v>10</v>
      </c>
      <c r="C16" s="3348"/>
      <c r="D16" s="3348"/>
      <c r="E16" s="3348"/>
      <c r="F16" s="3349"/>
      <c r="G16" s="3350" t="s">
        <v>268</v>
      </c>
      <c r="H16" s="3351"/>
      <c r="I16" s="3352">
        <v>1</v>
      </c>
      <c r="J16" s="3353"/>
      <c r="K16" s="3354"/>
      <c r="L16" s="320"/>
      <c r="M16" s="320"/>
      <c r="N16" s="320"/>
      <c r="O16" s="320"/>
      <c r="P16" s="320"/>
      <c r="Q16" s="326"/>
      <c r="R16" s="326"/>
    </row>
    <row r="17" spans="2:20" ht="12.75">
      <c r="B17" s="3347" t="s">
        <v>11</v>
      </c>
      <c r="C17" s="3348"/>
      <c r="D17" s="3348"/>
      <c r="E17" s="3348"/>
      <c r="F17" s="3349"/>
      <c r="G17" s="3350" t="s">
        <v>385</v>
      </c>
      <c r="H17" s="3369"/>
      <c r="I17" s="3352">
        <v>1</v>
      </c>
      <c r="J17" s="3353"/>
      <c r="K17" s="3354"/>
      <c r="L17" s="320"/>
      <c r="M17" s="320"/>
      <c r="N17" s="320"/>
      <c r="O17" s="320"/>
      <c r="P17" s="320"/>
      <c r="Q17" s="326"/>
      <c r="R17" s="326"/>
    </row>
    <row r="18" spans="2:20" ht="16.5" customHeight="1">
      <c r="B18" s="3370" t="s">
        <v>99</v>
      </c>
      <c r="C18" s="3371"/>
      <c r="D18" s="3371"/>
      <c r="E18" s="3371"/>
      <c r="F18" s="3371"/>
      <c r="G18" s="3371"/>
      <c r="H18" s="3371"/>
      <c r="I18" s="3371"/>
      <c r="J18" s="3371"/>
      <c r="K18" s="3372"/>
      <c r="L18" s="320"/>
      <c r="M18" s="320"/>
      <c r="N18" s="320"/>
      <c r="O18" s="320"/>
      <c r="P18" s="320"/>
      <c r="Q18" s="326"/>
      <c r="R18" s="326"/>
    </row>
    <row r="19" spans="2:20" ht="15" customHeight="1">
      <c r="B19" s="3373" t="s">
        <v>72</v>
      </c>
      <c r="C19" s="3374"/>
      <c r="D19" s="3374"/>
      <c r="E19" s="3374"/>
      <c r="F19" s="3374"/>
      <c r="G19" s="3374"/>
      <c r="H19" s="3374"/>
      <c r="I19" s="3374"/>
      <c r="J19" s="3374"/>
      <c r="K19" s="3375"/>
      <c r="L19" s="564"/>
      <c r="M19" s="305"/>
      <c r="N19" s="305"/>
      <c r="O19" s="305"/>
      <c r="P19" s="305"/>
      <c r="Q19" s="303"/>
      <c r="R19" s="303"/>
    </row>
    <row r="20" spans="2:20" ht="12.75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399" t="s">
        <v>158</v>
      </c>
      <c r="M20" s="3378"/>
      <c r="N20" s="3378"/>
      <c r="O20" s="3378"/>
      <c r="P20" s="3378"/>
      <c r="Q20" s="3378"/>
      <c r="R20" s="3378" t="s">
        <v>17</v>
      </c>
    </row>
    <row r="21" spans="2:20" ht="16.5" customHeight="1">
      <c r="B21" s="3373" t="s">
        <v>14</v>
      </c>
      <c r="C21" s="3374"/>
      <c r="D21" s="3374"/>
      <c r="E21" s="3374"/>
      <c r="F21" s="3392"/>
      <c r="G21" s="3393" t="s">
        <v>15</v>
      </c>
      <c r="H21" s="3394" t="s">
        <v>16</v>
      </c>
      <c r="I21" s="3395"/>
      <c r="J21" s="3396"/>
      <c r="K21" s="608" t="s">
        <v>17</v>
      </c>
      <c r="L21" s="605"/>
      <c r="M21" s="302"/>
      <c r="N21" s="302"/>
      <c r="O21" s="302"/>
      <c r="P21" s="302"/>
      <c r="Q21" s="302"/>
      <c r="R21" s="3378"/>
    </row>
    <row r="22" spans="2:20" ht="12.75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606" t="s">
        <v>177</v>
      </c>
      <c r="M22" s="317" t="s">
        <v>594</v>
      </c>
      <c r="N22" s="317" t="s">
        <v>651</v>
      </c>
      <c r="O22" s="317" t="s">
        <v>595</v>
      </c>
      <c r="P22" s="317" t="s">
        <v>652</v>
      </c>
      <c r="Q22" s="317" t="s">
        <v>593</v>
      </c>
      <c r="R22" s="3379"/>
    </row>
    <row r="23" spans="2:20" ht="12.75">
      <c r="B23" s="3364">
        <v>1</v>
      </c>
      <c r="C23" s="3358"/>
      <c r="D23" s="3358"/>
      <c r="E23" s="3358"/>
      <c r="F23" s="3365"/>
      <c r="G23" s="425">
        <v>2</v>
      </c>
      <c r="H23" s="368">
        <v>3</v>
      </c>
      <c r="I23" s="368">
        <v>4</v>
      </c>
      <c r="J23" s="368">
        <v>5</v>
      </c>
      <c r="K23" s="426" t="s">
        <v>22</v>
      </c>
      <c r="L23" s="605">
        <v>6</v>
      </c>
      <c r="M23" s="302">
        <v>7</v>
      </c>
      <c r="N23" s="302">
        <v>8</v>
      </c>
      <c r="O23" s="302">
        <v>9</v>
      </c>
      <c r="P23" s="302">
        <v>10</v>
      </c>
      <c r="Q23" s="302">
        <v>11</v>
      </c>
      <c r="R23" s="302">
        <v>12</v>
      </c>
      <c r="T23" s="42"/>
    </row>
    <row r="24" spans="2:20" ht="15.75" customHeight="1">
      <c r="B24" s="427">
        <v>5</v>
      </c>
      <c r="C24" s="368">
        <v>2</v>
      </c>
      <c r="D24" s="368"/>
      <c r="E24" s="368"/>
      <c r="F24" s="368"/>
      <c r="G24" s="366" t="s">
        <v>23</v>
      </c>
      <c r="H24" s="367"/>
      <c r="I24" s="368"/>
      <c r="J24" s="369"/>
      <c r="K24" s="370">
        <f>K25</f>
        <v>8000000</v>
      </c>
      <c r="L24" s="564"/>
      <c r="M24" s="305"/>
      <c r="N24" s="305"/>
      <c r="O24" s="305"/>
      <c r="P24" s="305"/>
      <c r="Q24" s="303"/>
      <c r="R24" s="303"/>
    </row>
    <row r="25" spans="2:20" ht="14.25" customHeight="1">
      <c r="B25" s="427">
        <v>5</v>
      </c>
      <c r="C25" s="368">
        <v>2</v>
      </c>
      <c r="D25" s="368">
        <v>2</v>
      </c>
      <c r="E25" s="368"/>
      <c r="F25" s="368"/>
      <c r="G25" s="366" t="s">
        <v>43</v>
      </c>
      <c r="H25" s="367"/>
      <c r="I25" s="368"/>
      <c r="J25" s="369"/>
      <c r="K25" s="370">
        <f>K26+K31</f>
        <v>8000000</v>
      </c>
      <c r="L25" s="564"/>
      <c r="M25" s="305"/>
      <c r="N25" s="305"/>
      <c r="O25" s="305"/>
      <c r="P25" s="305"/>
      <c r="Q25" s="303"/>
      <c r="R25" s="303"/>
    </row>
    <row r="26" spans="2:20" ht="15" customHeight="1">
      <c r="B26" s="427">
        <v>5</v>
      </c>
      <c r="C26" s="368">
        <v>2</v>
      </c>
      <c r="D26" s="368">
        <v>2</v>
      </c>
      <c r="E26" s="428" t="s">
        <v>24</v>
      </c>
      <c r="F26" s="368"/>
      <c r="G26" s="366" t="s">
        <v>69</v>
      </c>
      <c r="H26" s="367"/>
      <c r="I26" s="368"/>
      <c r="J26" s="369"/>
      <c r="K26" s="370">
        <f>K27</f>
        <v>2100000</v>
      </c>
      <c r="L26" s="607"/>
      <c r="M26" s="303"/>
      <c r="N26" s="303"/>
      <c r="O26" s="303"/>
      <c r="P26" s="303"/>
      <c r="Q26" s="303"/>
      <c r="R26" s="303"/>
    </row>
    <row r="27" spans="2:20" ht="25.5">
      <c r="B27" s="346">
        <v>5</v>
      </c>
      <c r="C27" s="371">
        <v>2</v>
      </c>
      <c r="D27" s="371">
        <v>2</v>
      </c>
      <c r="E27" s="372" t="s">
        <v>24</v>
      </c>
      <c r="F27" s="372" t="s">
        <v>65</v>
      </c>
      <c r="G27" s="381" t="s">
        <v>187</v>
      </c>
      <c r="H27" s="617"/>
      <c r="I27" s="371"/>
      <c r="J27" s="618"/>
      <c r="K27" s="550">
        <f>SUM(K28:K29)</f>
        <v>2100000</v>
      </c>
      <c r="L27" s="564"/>
      <c r="M27" s="305"/>
      <c r="N27" s="305"/>
      <c r="O27" s="305"/>
      <c r="P27" s="305"/>
      <c r="Q27" s="303"/>
      <c r="R27" s="303"/>
    </row>
    <row r="28" spans="2:20" ht="12.75">
      <c r="B28" s="436"/>
      <c r="C28" s="397"/>
      <c r="D28" s="397"/>
      <c r="E28" s="437"/>
      <c r="F28" s="437"/>
      <c r="G28" s="391" t="s">
        <v>188</v>
      </c>
      <c r="H28" s="392">
        <v>300</v>
      </c>
      <c r="I28" s="380" t="s">
        <v>95</v>
      </c>
      <c r="J28" s="438">
        <v>6000</v>
      </c>
      <c r="K28" s="416">
        <f>H28*J28</f>
        <v>1800000</v>
      </c>
      <c r="L28" s="564">
        <f>K28</f>
        <v>1800000</v>
      </c>
      <c r="M28" s="305"/>
      <c r="N28" s="305"/>
      <c r="O28" s="305"/>
      <c r="P28" s="305"/>
      <c r="Q28" s="303"/>
      <c r="R28" s="303"/>
    </row>
    <row r="29" spans="2:20" ht="12.75">
      <c r="B29" s="441"/>
      <c r="C29" s="396"/>
      <c r="D29" s="396"/>
      <c r="E29" s="442"/>
      <c r="F29" s="442"/>
      <c r="G29" s="391" t="s">
        <v>189</v>
      </c>
      <c r="H29" s="392">
        <v>100</v>
      </c>
      <c r="I29" s="380" t="s">
        <v>95</v>
      </c>
      <c r="J29" s="438">
        <v>3000</v>
      </c>
      <c r="K29" s="416">
        <f>H29*J29</f>
        <v>300000</v>
      </c>
      <c r="L29" s="564">
        <f>K29</f>
        <v>300000</v>
      </c>
      <c r="M29" s="303"/>
      <c r="N29" s="305"/>
      <c r="O29" s="303"/>
      <c r="P29" s="303"/>
      <c r="Q29" s="303"/>
      <c r="R29" s="303"/>
    </row>
    <row r="30" spans="2:20" ht="12.75">
      <c r="B30" s="441"/>
      <c r="C30" s="396"/>
      <c r="D30" s="396"/>
      <c r="E30" s="442"/>
      <c r="F30" s="442"/>
      <c r="G30" s="391"/>
      <c r="H30" s="392"/>
      <c r="I30" s="380"/>
      <c r="J30" s="438"/>
      <c r="K30" s="416"/>
      <c r="L30" s="564"/>
      <c r="M30" s="305"/>
      <c r="N30" s="305"/>
      <c r="O30" s="305"/>
      <c r="P30" s="305"/>
      <c r="Q30" s="303"/>
      <c r="R30" s="303"/>
    </row>
    <row r="31" spans="2:20">
      <c r="B31" s="427">
        <v>5</v>
      </c>
      <c r="C31" s="368">
        <v>2</v>
      </c>
      <c r="D31" s="368">
        <v>2</v>
      </c>
      <c r="E31" s="428" t="s">
        <v>44</v>
      </c>
      <c r="F31" s="368"/>
      <c r="G31" s="366" t="s">
        <v>45</v>
      </c>
      <c r="H31" s="392"/>
      <c r="I31" s="380"/>
      <c r="J31" s="438"/>
      <c r="K31" s="453">
        <f>K32</f>
        <v>5900000</v>
      </c>
      <c r="L31" s="564"/>
      <c r="M31" s="305"/>
      <c r="N31" s="305"/>
      <c r="O31" s="305"/>
      <c r="P31" s="305"/>
      <c r="Q31" s="306"/>
      <c r="R31" s="306"/>
    </row>
    <row r="32" spans="2:20">
      <c r="B32" s="346">
        <v>5</v>
      </c>
      <c r="C32" s="371">
        <v>2</v>
      </c>
      <c r="D32" s="371">
        <v>2</v>
      </c>
      <c r="E32" s="372" t="s">
        <v>44</v>
      </c>
      <c r="F32" s="372" t="s">
        <v>77</v>
      </c>
      <c r="G32" s="381" t="s">
        <v>505</v>
      </c>
      <c r="H32" s="392"/>
      <c r="I32" s="380"/>
      <c r="J32" s="438"/>
      <c r="K32" s="453">
        <f>K33</f>
        <v>5900000</v>
      </c>
      <c r="L32" s="564"/>
      <c r="M32" s="307"/>
      <c r="N32" s="307"/>
      <c r="O32" s="307"/>
      <c r="P32" s="307"/>
      <c r="Q32" s="306"/>
      <c r="R32" s="306"/>
    </row>
    <row r="33" spans="2:20">
      <c r="B33" s="429"/>
      <c r="C33" s="424"/>
      <c r="D33" s="424"/>
      <c r="E33" s="430"/>
      <c r="F33" s="430"/>
      <c r="G33" s="558" t="s">
        <v>275</v>
      </c>
      <c r="H33" s="451">
        <v>1</v>
      </c>
      <c r="I33" s="375" t="s">
        <v>49</v>
      </c>
      <c r="J33" s="619">
        <v>5900000</v>
      </c>
      <c r="K33" s="416">
        <f>H33*J33</f>
        <v>5900000</v>
      </c>
      <c r="L33" s="564">
        <f>K33</f>
        <v>5900000</v>
      </c>
      <c r="M33" s="309"/>
      <c r="N33" s="309"/>
      <c r="O33" s="309"/>
      <c r="P33" s="309"/>
      <c r="Q33" s="306"/>
      <c r="R33" s="306"/>
    </row>
    <row r="34" spans="2:20">
      <c r="B34" s="458"/>
      <c r="C34" s="474"/>
      <c r="D34" s="474"/>
      <c r="E34" s="574"/>
      <c r="F34" s="574"/>
      <c r="G34" s="572"/>
      <c r="H34" s="467"/>
      <c r="I34" s="380"/>
      <c r="J34" s="382"/>
      <c r="K34" s="465"/>
      <c r="L34" s="564"/>
      <c r="M34" s="306"/>
      <c r="N34" s="306"/>
      <c r="O34" s="306"/>
      <c r="P34" s="306"/>
      <c r="Q34" s="309"/>
      <c r="R34" s="306"/>
    </row>
    <row r="35" spans="2:20" ht="15" customHeight="1" thickBot="1">
      <c r="B35" s="3366" t="s">
        <v>30</v>
      </c>
      <c r="C35" s="3367"/>
      <c r="D35" s="3367"/>
      <c r="E35" s="3367"/>
      <c r="F35" s="3367"/>
      <c r="G35" s="3367"/>
      <c r="H35" s="3367"/>
      <c r="I35" s="3367"/>
      <c r="J35" s="3368"/>
      <c r="K35" s="446">
        <f>K25</f>
        <v>8000000</v>
      </c>
      <c r="L35" s="564">
        <f t="shared" ref="L35:Q35" si="0">SUM(L28:L34)</f>
        <v>8000000</v>
      </c>
      <c r="M35" s="305">
        <f t="shared" si="0"/>
        <v>0</v>
      </c>
      <c r="N35" s="305">
        <f t="shared" si="0"/>
        <v>0</v>
      </c>
      <c r="O35" s="305">
        <f t="shared" si="0"/>
        <v>0</v>
      </c>
      <c r="P35" s="305">
        <f t="shared" si="0"/>
        <v>0</v>
      </c>
      <c r="Q35" s="305">
        <f t="shared" si="0"/>
        <v>0</v>
      </c>
      <c r="R35" s="450">
        <f>SUM(L35:Q35)</f>
        <v>8000000</v>
      </c>
      <c r="T35" s="64"/>
    </row>
    <row r="36" spans="2:20" ht="15.75" thickTop="1">
      <c r="K36" s="1186"/>
      <c r="L36" s="564"/>
      <c r="M36" s="309"/>
      <c r="N36" s="309"/>
      <c r="O36" s="309"/>
      <c r="P36" s="309"/>
      <c r="Q36" s="306"/>
      <c r="R36" s="306"/>
    </row>
    <row r="37" spans="2:20">
      <c r="K37" s="8"/>
      <c r="L37" s="564"/>
      <c r="M37" s="466"/>
      <c r="N37" s="466"/>
      <c r="O37" s="466"/>
      <c r="P37" s="466"/>
      <c r="Q37" s="378"/>
      <c r="R37" s="378"/>
    </row>
    <row r="38" spans="2:20">
      <c r="H38" s="3336" t="s">
        <v>1534</v>
      </c>
      <c r="I38" s="3336"/>
      <c r="J38" s="3336"/>
      <c r="K38" s="7"/>
      <c r="L38" s="564"/>
      <c r="M38" s="312"/>
      <c r="N38" s="312"/>
      <c r="O38" s="312"/>
      <c r="P38" s="312"/>
      <c r="Q38" s="306"/>
      <c r="R38" s="306"/>
    </row>
    <row r="39" spans="2:20">
      <c r="H39" s="3337" t="s">
        <v>272</v>
      </c>
      <c r="I39" s="3337"/>
      <c r="J39" s="3337"/>
      <c r="K39" s="72"/>
      <c r="L39" s="564"/>
      <c r="M39" s="314"/>
      <c r="N39" s="314"/>
      <c r="O39" s="314"/>
      <c r="P39" s="314"/>
      <c r="Q39" s="306"/>
      <c r="R39" s="306"/>
    </row>
    <row r="40" spans="2:20">
      <c r="H40" s="812"/>
      <c r="I40" s="127"/>
      <c r="J40" s="127"/>
      <c r="K40" s="935"/>
      <c r="L40" s="564"/>
      <c r="M40" s="306"/>
      <c r="N40" s="306"/>
      <c r="O40" s="306"/>
      <c r="P40" s="306"/>
      <c r="Q40" s="306"/>
      <c r="R40" s="306"/>
    </row>
    <row r="41" spans="2:20">
      <c r="H41" s="812"/>
      <c r="I41" s="127"/>
      <c r="J41" s="127"/>
      <c r="K41" s="935"/>
      <c r="L41" s="564"/>
      <c r="M41" s="306"/>
      <c r="N41" s="306"/>
      <c r="O41" s="306"/>
      <c r="P41" s="306"/>
      <c r="Q41" s="306"/>
      <c r="R41" s="306"/>
    </row>
    <row r="42" spans="2:20">
      <c r="H42" s="3338" t="s">
        <v>904</v>
      </c>
      <c r="I42" s="3338"/>
      <c r="J42" s="3338"/>
      <c r="K42" s="909"/>
      <c r="L42" s="564"/>
      <c r="M42" s="306"/>
      <c r="N42" s="306"/>
      <c r="O42" s="306"/>
      <c r="P42" s="306"/>
      <c r="Q42" s="306"/>
      <c r="R42" s="306"/>
    </row>
    <row r="43" spans="2:20">
      <c r="H43" s="3338" t="s">
        <v>906</v>
      </c>
      <c r="I43" s="3338"/>
      <c r="J43" s="3338"/>
      <c r="K43" s="909"/>
    </row>
    <row r="44" spans="2:20">
      <c r="H44" s="812"/>
      <c r="I44" s="812"/>
      <c r="J44" s="812"/>
      <c r="K44" s="8"/>
    </row>
  </sheetData>
  <mergeCells count="50">
    <mergeCell ref="L20:Q20"/>
    <mergeCell ref="H38:J38"/>
    <mergeCell ref="H39:J39"/>
    <mergeCell ref="H42:J42"/>
    <mergeCell ref="H43:J43"/>
    <mergeCell ref="R7:R9"/>
    <mergeCell ref="R20:R22"/>
    <mergeCell ref="B12:K12"/>
    <mergeCell ref="B13:F13"/>
    <mergeCell ref="G13:H13"/>
    <mergeCell ref="I13:K13"/>
    <mergeCell ref="B14:F14"/>
    <mergeCell ref="G14:H14"/>
    <mergeCell ref="I14:K14"/>
    <mergeCell ref="B11:F11"/>
    <mergeCell ref="G11:K11"/>
    <mergeCell ref="B21:F22"/>
    <mergeCell ref="G21:G22"/>
    <mergeCell ref="H21:J21"/>
    <mergeCell ref="B15:F15"/>
    <mergeCell ref="G15:H15"/>
    <mergeCell ref="B23:F23"/>
    <mergeCell ref="B35:J35"/>
    <mergeCell ref="B17:F17"/>
    <mergeCell ref="G17:H17"/>
    <mergeCell ref="I17:K17"/>
    <mergeCell ref="B18:K18"/>
    <mergeCell ref="B19:K20"/>
    <mergeCell ref="I15:K15"/>
    <mergeCell ref="B16:F16"/>
    <mergeCell ref="G16:H16"/>
    <mergeCell ref="I16:K16"/>
    <mergeCell ref="B1:K1"/>
    <mergeCell ref="B2:D3"/>
    <mergeCell ref="E2:H2"/>
    <mergeCell ref="I2:J2"/>
    <mergeCell ref="E3:H3"/>
    <mergeCell ref="I3:J3"/>
    <mergeCell ref="B4:K4"/>
    <mergeCell ref="B5:F5"/>
    <mergeCell ref="G5:K5"/>
    <mergeCell ref="B6:F6"/>
    <mergeCell ref="G6:K6"/>
    <mergeCell ref="B10:F10"/>
    <mergeCell ref="G10:K10"/>
    <mergeCell ref="B7:F7"/>
    <mergeCell ref="G7:K7"/>
    <mergeCell ref="B8:F8"/>
    <mergeCell ref="G8:K8"/>
    <mergeCell ref="G9:K9"/>
  </mergeCells>
  <pageMargins left="0.11811023622047245" right="0.23622047244094491" top="0.55118110236220474" bottom="0.31496062992125984" header="0.31496062992125984" footer="0.11811023622047245"/>
  <pageSetup paperSize="5"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B1:Z61"/>
  <sheetViews>
    <sheetView view="pageBreakPreview" topLeftCell="A19" zoomScaleNormal="115" zoomScaleSheetLayoutView="100" workbookViewId="0">
      <selection activeCell="B26" sqref="B26:K42"/>
    </sheetView>
  </sheetViews>
  <sheetFormatPr defaultRowHeight="12.75"/>
  <cols>
    <col min="1" max="1" width="1.5703125" style="9" customWidth="1"/>
    <col min="2" max="2" width="3.140625" style="9" customWidth="1"/>
    <col min="3" max="3" width="3.28515625" style="9" customWidth="1"/>
    <col min="4" max="6" width="3.5703125" style="9" customWidth="1"/>
    <col min="7" max="7" width="41.7109375" style="9" customWidth="1"/>
    <col min="8" max="9" width="8" style="9" customWidth="1"/>
    <col min="10" max="10" width="13.42578125" style="9" customWidth="1"/>
    <col min="11" max="11" width="16.5703125" style="9" customWidth="1"/>
    <col min="12" max="12" width="15.7109375" style="9" bestFit="1" customWidth="1"/>
    <col min="13" max="17" width="6.42578125" style="9" bestFit="1" customWidth="1"/>
    <col min="18" max="18" width="13.5703125" style="9" bestFit="1" customWidth="1"/>
    <col min="19" max="19" width="16.85546875" style="41" bestFit="1" customWidth="1"/>
    <col min="20" max="20" width="13.85546875" style="9" bestFit="1" customWidth="1"/>
    <col min="21" max="22" width="9.140625" style="9"/>
    <col min="23" max="23" width="15.28515625" style="9" bestFit="1" customWidth="1"/>
    <col min="24" max="24" width="14.28515625" style="9" bestFit="1" customWidth="1"/>
    <col min="25" max="25" width="15.28515625" style="9" bestFit="1" customWidth="1"/>
    <col min="26" max="26" width="14.28515625" style="9" bestFit="1" customWidth="1"/>
    <col min="27" max="16384" width="9.140625" style="9"/>
  </cols>
  <sheetData>
    <row r="1" spans="2:13" ht="14.25" thickTop="1" thickBot="1">
      <c r="B1" s="3400"/>
      <c r="C1" s="3319"/>
      <c r="D1" s="3319"/>
      <c r="E1" s="3319"/>
      <c r="F1" s="3319"/>
      <c r="G1" s="3319"/>
      <c r="H1" s="3319"/>
      <c r="I1" s="3319"/>
      <c r="J1" s="3319"/>
      <c r="K1" s="3320"/>
    </row>
    <row r="2" spans="2:13" ht="17.25" customHeight="1" thickTop="1">
      <c r="B2" s="3321"/>
      <c r="C2" s="3322"/>
      <c r="D2" s="3322"/>
      <c r="E2" s="3325" t="s">
        <v>274</v>
      </c>
      <c r="F2" s="3326"/>
      <c r="G2" s="3326"/>
      <c r="H2" s="3327"/>
      <c r="I2" s="3328" t="s">
        <v>0</v>
      </c>
      <c r="J2" s="3329"/>
      <c r="K2" s="11" t="s">
        <v>1</v>
      </c>
    </row>
    <row r="3" spans="2:13" ht="16.5" customHeight="1">
      <c r="B3" s="3323"/>
      <c r="C3" s="3324"/>
      <c r="D3" s="3324"/>
      <c r="E3" s="3330" t="s">
        <v>2</v>
      </c>
      <c r="F3" s="3331"/>
      <c r="G3" s="3331"/>
      <c r="H3" s="3332"/>
      <c r="I3" s="3333"/>
      <c r="J3" s="3334"/>
      <c r="K3" s="12" t="s">
        <v>3</v>
      </c>
    </row>
    <row r="4" spans="2:13" ht="16.5" customHeight="1">
      <c r="B4" s="3357" t="s">
        <v>1151</v>
      </c>
      <c r="C4" s="3358"/>
      <c r="D4" s="3358"/>
      <c r="E4" s="3358"/>
      <c r="F4" s="3358"/>
      <c r="G4" s="3358"/>
      <c r="H4" s="3358"/>
      <c r="I4" s="3358"/>
      <c r="J4" s="3358"/>
      <c r="K4" s="3359"/>
    </row>
    <row r="5" spans="2:13">
      <c r="B5" s="3310" t="s">
        <v>31</v>
      </c>
      <c r="C5" s="3311"/>
      <c r="D5" s="3311"/>
      <c r="E5" s="3311"/>
      <c r="F5" s="3311"/>
      <c r="G5" s="3312" t="s">
        <v>38</v>
      </c>
      <c r="H5" s="3312"/>
      <c r="I5" s="3312"/>
      <c r="J5" s="3312"/>
      <c r="K5" s="3313"/>
    </row>
    <row r="6" spans="2:13">
      <c r="B6" s="3314" t="s">
        <v>32</v>
      </c>
      <c r="C6" s="3315"/>
      <c r="D6" s="3315"/>
      <c r="E6" s="3315"/>
      <c r="F6" s="3315"/>
      <c r="G6" s="3315" t="s">
        <v>39</v>
      </c>
      <c r="H6" s="3315"/>
      <c r="I6" s="3315"/>
      <c r="J6" s="3315"/>
      <c r="K6" s="3316"/>
    </row>
    <row r="7" spans="2:13">
      <c r="B7" s="3341" t="s">
        <v>33</v>
      </c>
      <c r="C7" s="3339"/>
      <c r="D7" s="3339"/>
      <c r="E7" s="3339"/>
      <c r="F7" s="3339"/>
      <c r="G7" s="3342" t="s">
        <v>70</v>
      </c>
      <c r="H7" s="3342"/>
      <c r="I7" s="3342"/>
      <c r="J7" s="3342"/>
      <c r="K7" s="3343"/>
    </row>
    <row r="8" spans="2:13">
      <c r="B8" s="3341" t="s">
        <v>34</v>
      </c>
      <c r="C8" s="3339"/>
      <c r="D8" s="3339"/>
      <c r="E8" s="3339"/>
      <c r="F8" s="3339"/>
      <c r="G8" s="3339" t="s">
        <v>190</v>
      </c>
      <c r="H8" s="3339"/>
      <c r="I8" s="3339"/>
      <c r="J8" s="3339"/>
      <c r="K8" s="3340"/>
    </row>
    <row r="9" spans="2:13">
      <c r="B9" s="6" t="s">
        <v>35</v>
      </c>
      <c r="C9" s="7"/>
      <c r="D9" s="7"/>
      <c r="E9" s="7"/>
      <c r="F9" s="7"/>
      <c r="G9" s="3339" t="s">
        <v>1152</v>
      </c>
      <c r="H9" s="3339"/>
      <c r="I9" s="3339"/>
      <c r="J9" s="3339"/>
      <c r="K9" s="3340"/>
      <c r="M9" s="41"/>
    </row>
    <row r="10" spans="2:13">
      <c r="B10" s="3341" t="s">
        <v>36</v>
      </c>
      <c r="C10" s="3339"/>
      <c r="D10" s="3339"/>
      <c r="E10" s="3339"/>
      <c r="F10" s="3339"/>
      <c r="G10" s="3339" t="s">
        <v>41</v>
      </c>
      <c r="H10" s="3339"/>
      <c r="I10" s="3339"/>
      <c r="J10" s="3339"/>
      <c r="K10" s="3340"/>
      <c r="M10" s="41"/>
    </row>
    <row r="11" spans="2:13">
      <c r="B11" s="3314" t="s">
        <v>37</v>
      </c>
      <c r="C11" s="3315"/>
      <c r="D11" s="3315"/>
      <c r="E11" s="3315"/>
      <c r="F11" s="3315"/>
      <c r="G11" s="3315" t="s">
        <v>179</v>
      </c>
      <c r="H11" s="3315"/>
      <c r="I11" s="3315"/>
      <c r="J11" s="3315"/>
      <c r="K11" s="3316"/>
    </row>
    <row r="12" spans="2:13">
      <c r="B12" s="3305" t="s">
        <v>4</v>
      </c>
      <c r="C12" s="3306"/>
      <c r="D12" s="3306"/>
      <c r="E12" s="3306"/>
      <c r="F12" s="3306"/>
      <c r="G12" s="3306"/>
      <c r="H12" s="3306"/>
      <c r="I12" s="3306"/>
      <c r="J12" s="3306"/>
      <c r="K12" s="3309"/>
    </row>
    <row r="13" spans="2:13">
      <c r="B13" s="3401" t="s">
        <v>5</v>
      </c>
      <c r="C13" s="3402"/>
      <c r="D13" s="3402"/>
      <c r="E13" s="3402"/>
      <c r="F13" s="3403"/>
      <c r="G13" s="3404" t="s">
        <v>6</v>
      </c>
      <c r="H13" s="3405"/>
      <c r="I13" s="3404" t="s">
        <v>7</v>
      </c>
      <c r="J13" s="3406"/>
      <c r="K13" s="3407"/>
    </row>
    <row r="14" spans="2:13">
      <c r="B14" s="3387" t="s">
        <v>8</v>
      </c>
      <c r="C14" s="3408"/>
      <c r="D14" s="3408"/>
      <c r="E14" s="3408"/>
      <c r="F14" s="3409"/>
      <c r="G14" s="3398" t="s">
        <v>161</v>
      </c>
      <c r="H14" s="3410"/>
      <c r="I14" s="3411">
        <v>1</v>
      </c>
      <c r="J14" s="3412"/>
      <c r="K14" s="3413"/>
    </row>
    <row r="15" spans="2:13">
      <c r="B15" s="3397" t="s">
        <v>9</v>
      </c>
      <c r="C15" s="3414"/>
      <c r="D15" s="3414"/>
      <c r="E15" s="3414"/>
      <c r="F15" s="3415"/>
      <c r="G15" s="3416" t="s">
        <v>47</v>
      </c>
      <c r="H15" s="3417"/>
      <c r="I15" s="3418">
        <f>K24</f>
        <v>1786721246</v>
      </c>
      <c r="J15" s="3419"/>
      <c r="K15" s="3420"/>
    </row>
    <row r="16" spans="2:13" ht="16.5" customHeight="1">
      <c r="B16" s="3347" t="s">
        <v>10</v>
      </c>
      <c r="C16" s="3414"/>
      <c r="D16" s="3414"/>
      <c r="E16" s="3414"/>
      <c r="F16" s="3415"/>
      <c r="G16" s="3421" t="s">
        <v>1268</v>
      </c>
      <c r="H16" s="3412"/>
      <c r="I16" s="3422">
        <v>1</v>
      </c>
      <c r="J16" s="3417"/>
      <c r="K16" s="3423"/>
    </row>
    <row r="17" spans="2:26" ht="31.5" customHeight="1">
      <c r="B17" s="3347" t="s">
        <v>11</v>
      </c>
      <c r="C17" s="3414"/>
      <c r="D17" s="3414"/>
      <c r="E17" s="3414"/>
      <c r="F17" s="3415"/>
      <c r="G17" s="3421" t="s">
        <v>1269</v>
      </c>
      <c r="H17" s="3424"/>
      <c r="I17" s="3422">
        <v>1</v>
      </c>
      <c r="J17" s="3417"/>
      <c r="K17" s="3423"/>
    </row>
    <row r="18" spans="2:26" ht="16.5" customHeight="1">
      <c r="B18" s="3370" t="s">
        <v>1270</v>
      </c>
      <c r="C18" s="3427"/>
      <c r="D18" s="3427"/>
      <c r="E18" s="3427"/>
      <c r="F18" s="3427"/>
      <c r="G18" s="3427"/>
      <c r="H18" s="3427"/>
      <c r="I18" s="3427"/>
      <c r="J18" s="3427"/>
      <c r="K18" s="3428"/>
      <c r="M18" s="580"/>
    </row>
    <row r="19" spans="2:26" ht="15" customHeight="1">
      <c r="B19" s="3429" t="s">
        <v>72</v>
      </c>
      <c r="C19" s="3374"/>
      <c r="D19" s="3374"/>
      <c r="E19" s="3374"/>
      <c r="F19" s="3374"/>
      <c r="G19" s="3374"/>
      <c r="H19" s="3374"/>
      <c r="I19" s="3374"/>
      <c r="J19" s="3374"/>
      <c r="K19" s="3375"/>
      <c r="L19" s="421"/>
      <c r="M19" s="736"/>
      <c r="N19" s="305"/>
      <c r="O19" s="305"/>
      <c r="P19" s="305"/>
      <c r="Q19" s="303"/>
      <c r="R19" s="303"/>
    </row>
    <row r="20" spans="2:26">
      <c r="B20" s="3295"/>
      <c r="C20" s="3296"/>
      <c r="D20" s="3296"/>
      <c r="E20" s="3296"/>
      <c r="F20" s="3296"/>
      <c r="G20" s="3296"/>
      <c r="H20" s="3296"/>
      <c r="I20" s="3296"/>
      <c r="J20" s="3296"/>
      <c r="K20" s="3297"/>
      <c r="L20" s="3435" t="s">
        <v>158</v>
      </c>
      <c r="M20" s="3378"/>
      <c r="N20" s="3378"/>
      <c r="O20" s="3378"/>
      <c r="P20" s="3378"/>
      <c r="Q20" s="3378"/>
      <c r="R20" s="3378" t="s">
        <v>17</v>
      </c>
    </row>
    <row r="21" spans="2:26" ht="16.5" customHeight="1">
      <c r="B21" s="3429" t="s">
        <v>14</v>
      </c>
      <c r="C21" s="3374"/>
      <c r="D21" s="3374"/>
      <c r="E21" s="3374"/>
      <c r="F21" s="3392"/>
      <c r="G21" s="3430" t="s">
        <v>15</v>
      </c>
      <c r="H21" s="3431" t="s">
        <v>16</v>
      </c>
      <c r="I21" s="3432"/>
      <c r="J21" s="3433"/>
      <c r="K21" s="292" t="s">
        <v>17</v>
      </c>
      <c r="L21" s="422"/>
      <c r="M21" s="1150"/>
      <c r="N21" s="1150"/>
      <c r="O21" s="1150"/>
      <c r="P21" s="1150"/>
      <c r="Q21" s="1150"/>
      <c r="R21" s="3378"/>
    </row>
    <row r="22" spans="2:26">
      <c r="B22" s="3295"/>
      <c r="C22" s="3296"/>
      <c r="D22" s="3296"/>
      <c r="E22" s="3296"/>
      <c r="F22" s="3299"/>
      <c r="G22" s="3301"/>
      <c r="H22" s="424" t="s">
        <v>18</v>
      </c>
      <c r="I22" s="424" t="s">
        <v>19</v>
      </c>
      <c r="J22" s="424" t="s">
        <v>20</v>
      </c>
      <c r="K22" s="12" t="s">
        <v>21</v>
      </c>
      <c r="L22" s="1152" t="s">
        <v>177</v>
      </c>
      <c r="M22" s="1149" t="s">
        <v>594</v>
      </c>
      <c r="N22" s="1149" t="s">
        <v>651</v>
      </c>
      <c r="O22" s="1149" t="s">
        <v>595</v>
      </c>
      <c r="P22" s="1149" t="s">
        <v>652</v>
      </c>
      <c r="Q22" s="1149" t="s">
        <v>593</v>
      </c>
      <c r="R22" s="3379"/>
    </row>
    <row r="23" spans="2:26">
      <c r="B23" s="3364">
        <v>1</v>
      </c>
      <c r="C23" s="3425"/>
      <c r="D23" s="3425"/>
      <c r="E23" s="3425"/>
      <c r="F23" s="3426"/>
      <c r="G23" s="425">
        <v>2</v>
      </c>
      <c r="H23" s="368">
        <v>3</v>
      </c>
      <c r="I23" s="368">
        <v>4</v>
      </c>
      <c r="J23" s="368">
        <v>5</v>
      </c>
      <c r="K23" s="426" t="s">
        <v>22</v>
      </c>
      <c r="L23" s="422">
        <v>6</v>
      </c>
      <c r="M23" s="1150">
        <v>7</v>
      </c>
      <c r="N23" s="1150">
        <v>8</v>
      </c>
      <c r="O23" s="1150">
        <v>9</v>
      </c>
      <c r="P23" s="1150">
        <v>10</v>
      </c>
      <c r="Q23" s="1150">
        <v>11</v>
      </c>
      <c r="R23" s="1150">
        <v>12</v>
      </c>
    </row>
    <row r="24" spans="2:26" ht="15.75" customHeight="1">
      <c r="B24" s="427">
        <v>5</v>
      </c>
      <c r="C24" s="368">
        <v>2</v>
      </c>
      <c r="D24" s="368"/>
      <c r="E24" s="368"/>
      <c r="F24" s="368"/>
      <c r="G24" s="366" t="s">
        <v>23</v>
      </c>
      <c r="H24" s="367"/>
      <c r="I24" s="368"/>
      <c r="J24" s="369"/>
      <c r="K24" s="370">
        <f>K25</f>
        <v>1786721246</v>
      </c>
      <c r="L24" s="421"/>
      <c r="M24" s="305"/>
      <c r="N24" s="305"/>
      <c r="O24" s="305"/>
      <c r="P24" s="305"/>
      <c r="Q24" s="303"/>
      <c r="R24" s="303"/>
    </row>
    <row r="25" spans="2:26" ht="14.25" customHeight="1">
      <c r="B25" s="427">
        <v>5</v>
      </c>
      <c r="C25" s="368">
        <v>2</v>
      </c>
      <c r="D25" s="368">
        <v>2</v>
      </c>
      <c r="E25" s="368"/>
      <c r="F25" s="368"/>
      <c r="G25" s="366" t="s">
        <v>43</v>
      </c>
      <c r="H25" s="367"/>
      <c r="I25" s="368"/>
      <c r="J25" s="369"/>
      <c r="K25" s="370">
        <f>K26</f>
        <v>1786721246</v>
      </c>
      <c r="L25" s="421"/>
      <c r="M25" s="305"/>
      <c r="N25" s="305"/>
      <c r="O25" s="305"/>
      <c r="P25" s="305"/>
      <c r="Q25" s="303"/>
      <c r="R25" s="303"/>
    </row>
    <row r="26" spans="2:26" ht="15" customHeight="1">
      <c r="B26" s="427">
        <v>5</v>
      </c>
      <c r="C26" s="368">
        <v>2</v>
      </c>
      <c r="D26" s="368">
        <v>2</v>
      </c>
      <c r="E26" s="428" t="s">
        <v>44</v>
      </c>
      <c r="F26" s="368"/>
      <c r="G26" s="366" t="s">
        <v>45</v>
      </c>
      <c r="H26" s="367"/>
      <c r="I26" s="368"/>
      <c r="J26" s="369"/>
      <c r="K26" s="370">
        <f>K27+K31+K35+K39</f>
        <v>1786721246</v>
      </c>
      <c r="L26" s="423"/>
      <c r="M26" s="303"/>
      <c r="N26" s="303"/>
      <c r="O26" s="303"/>
      <c r="P26" s="303"/>
      <c r="Q26" s="303"/>
      <c r="R26" s="303"/>
    </row>
    <row r="27" spans="2:26">
      <c r="B27" s="429">
        <v>5</v>
      </c>
      <c r="C27" s="424">
        <v>2</v>
      </c>
      <c r="D27" s="424">
        <v>2</v>
      </c>
      <c r="E27" s="430" t="s">
        <v>44</v>
      </c>
      <c r="F27" s="430" t="s">
        <v>24</v>
      </c>
      <c r="G27" s="366" t="s">
        <v>192</v>
      </c>
      <c r="H27" s="367"/>
      <c r="I27" s="368"/>
      <c r="J27" s="369"/>
      <c r="K27" s="431">
        <f>SUM(K28:K30)</f>
        <v>102313280</v>
      </c>
      <c r="L27" s="421"/>
      <c r="M27" s="305"/>
      <c r="N27" s="305"/>
      <c r="O27" s="305"/>
      <c r="P27" s="305"/>
      <c r="Q27" s="303"/>
      <c r="R27" s="303"/>
      <c r="S27" s="157">
        <v>2017</v>
      </c>
      <c r="W27" s="9">
        <v>2016</v>
      </c>
      <c r="Y27" s="9">
        <v>2015</v>
      </c>
    </row>
    <row r="28" spans="2:26" ht="25.5">
      <c r="B28" s="432"/>
      <c r="C28" s="433"/>
      <c r="D28" s="433"/>
      <c r="E28" s="434"/>
      <c r="F28" s="434"/>
      <c r="G28" s="391" t="s">
        <v>1271</v>
      </c>
      <c r="H28" s="379">
        <v>12</v>
      </c>
      <c r="I28" s="380" t="s">
        <v>64</v>
      </c>
      <c r="J28" s="435">
        <v>8500000</v>
      </c>
      <c r="K28" s="416">
        <f>H28*J28</f>
        <v>102000000</v>
      </c>
      <c r="L28" s="421">
        <f>K28</f>
        <v>102000000</v>
      </c>
      <c r="M28" s="414"/>
      <c r="N28" s="414"/>
      <c r="O28" s="303"/>
      <c r="P28" s="303"/>
      <c r="Q28" s="303"/>
      <c r="R28" s="303"/>
      <c r="S28" s="41">
        <f>3078077/7</f>
        <v>439725.28571428574</v>
      </c>
      <c r="W28" s="41">
        <v>8051858</v>
      </c>
      <c r="X28" s="158">
        <f>W28/12</f>
        <v>670988.16666666663</v>
      </c>
      <c r="Y28" s="41">
        <v>66711768</v>
      </c>
      <c r="Z28" s="158">
        <f>Y28/12</f>
        <v>5559314</v>
      </c>
    </row>
    <row r="29" spans="2:26">
      <c r="B29" s="2113"/>
      <c r="C29" s="2114"/>
      <c r="D29" s="2114"/>
      <c r="E29" s="2115"/>
      <c r="F29" s="2115"/>
      <c r="G29" s="2120" t="s">
        <v>1787</v>
      </c>
      <c r="H29" s="2121">
        <v>1</v>
      </c>
      <c r="I29" s="2122" t="s">
        <v>64</v>
      </c>
      <c r="J29" s="2123">
        <f>66660+179960+66660</f>
        <v>313280</v>
      </c>
      <c r="K29" s="2124">
        <f>H29*J29</f>
        <v>313280</v>
      </c>
      <c r="L29" s="421">
        <f>K29</f>
        <v>313280</v>
      </c>
      <c r="M29" s="2109"/>
      <c r="N29" s="2109"/>
      <c r="O29" s="1657"/>
      <c r="P29" s="1657"/>
      <c r="Q29" s="1657"/>
      <c r="R29" s="1657"/>
      <c r="W29" s="41"/>
      <c r="X29" s="158"/>
      <c r="Y29" s="41"/>
      <c r="Z29" s="158"/>
    </row>
    <row r="30" spans="2:26">
      <c r="B30" s="436"/>
      <c r="C30" s="1094"/>
      <c r="D30" s="1094"/>
      <c r="E30" s="437"/>
      <c r="F30" s="437"/>
      <c r="G30" s="391"/>
      <c r="H30" s="392"/>
      <c r="I30" s="380"/>
      <c r="J30" s="438"/>
      <c r="K30" s="416"/>
      <c r="L30" s="421"/>
      <c r="M30" s="305"/>
      <c r="N30" s="305"/>
      <c r="O30" s="305"/>
      <c r="P30" s="305"/>
      <c r="Q30" s="303"/>
      <c r="R30" s="303"/>
    </row>
    <row r="31" spans="2:26">
      <c r="B31" s="429">
        <v>5</v>
      </c>
      <c r="C31" s="424">
        <v>2</v>
      </c>
      <c r="D31" s="424">
        <v>2</v>
      </c>
      <c r="E31" s="430" t="s">
        <v>44</v>
      </c>
      <c r="F31" s="430" t="s">
        <v>25</v>
      </c>
      <c r="G31" s="366" t="s">
        <v>125</v>
      </c>
      <c r="H31" s="439"/>
      <c r="I31" s="368"/>
      <c r="J31" s="440"/>
      <c r="K31" s="431">
        <f>SUM(K32:K34)</f>
        <v>273500000</v>
      </c>
      <c r="L31" s="421"/>
      <c r="M31" s="303"/>
      <c r="N31" s="303"/>
      <c r="O31" s="303"/>
      <c r="P31" s="303"/>
      <c r="Q31" s="303"/>
      <c r="R31" s="303"/>
    </row>
    <row r="32" spans="2:26" ht="15">
      <c r="B32" s="441"/>
      <c r="C32" s="396"/>
      <c r="D32" s="396"/>
      <c r="E32" s="442"/>
      <c r="F32" s="442"/>
      <c r="G32" s="391" t="s">
        <v>125</v>
      </c>
      <c r="H32" s="392">
        <v>12</v>
      </c>
      <c r="I32" s="380" t="s">
        <v>64</v>
      </c>
      <c r="J32" s="443">
        <v>21000000</v>
      </c>
      <c r="K32" s="416">
        <f>H32*J32</f>
        <v>252000000</v>
      </c>
      <c r="L32" s="421">
        <f>K32</f>
        <v>252000000</v>
      </c>
      <c r="M32" s="414"/>
      <c r="N32" s="414"/>
      <c r="O32" s="305"/>
      <c r="P32" s="305"/>
      <c r="Q32" s="303"/>
      <c r="R32" s="303"/>
      <c r="S32" s="41">
        <f>62632250/7</f>
        <v>8947464.2857142854</v>
      </c>
      <c r="W32" s="41">
        <v>130965925</v>
      </c>
      <c r="X32" s="158">
        <f>W32/12</f>
        <v>10913827.083333334</v>
      </c>
      <c r="Y32" s="41">
        <v>105204996</v>
      </c>
      <c r="Z32" s="158">
        <f>Y32/12</f>
        <v>8767083</v>
      </c>
    </row>
    <row r="33" spans="2:26" ht="15">
      <c r="B33" s="2106"/>
      <c r="C33" s="2065"/>
      <c r="D33" s="2065"/>
      <c r="E33" s="2107"/>
      <c r="F33" s="2107"/>
      <c r="G33" s="2120" t="s">
        <v>1788</v>
      </c>
      <c r="H33" s="2126">
        <v>1</v>
      </c>
      <c r="I33" s="2122" t="s">
        <v>64</v>
      </c>
      <c r="J33" s="2128">
        <v>21500000</v>
      </c>
      <c r="K33" s="2124">
        <f>H33*J33</f>
        <v>21500000</v>
      </c>
      <c r="L33" s="421">
        <f>K33</f>
        <v>21500000</v>
      </c>
      <c r="M33" s="2109"/>
      <c r="N33" s="2109"/>
      <c r="O33" s="1656"/>
      <c r="P33" s="1656"/>
      <c r="Q33" s="1657"/>
      <c r="R33" s="1657"/>
      <c r="W33" s="41"/>
      <c r="X33" s="158"/>
      <c r="Y33" s="41"/>
      <c r="Z33" s="158"/>
    </row>
    <row r="34" spans="2:26" ht="15">
      <c r="B34" s="441"/>
      <c r="C34" s="396"/>
      <c r="D34" s="396"/>
      <c r="E34" s="442"/>
      <c r="F34" s="442"/>
      <c r="G34" s="391"/>
      <c r="H34" s="392"/>
      <c r="I34" s="380"/>
      <c r="J34" s="438"/>
      <c r="K34" s="416"/>
      <c r="L34" s="421"/>
      <c r="M34" s="305"/>
      <c r="N34" s="305"/>
      <c r="O34" s="305"/>
      <c r="P34" s="305"/>
      <c r="Q34" s="306"/>
      <c r="R34" s="306"/>
    </row>
    <row r="35" spans="2:26" ht="15">
      <c r="B35" s="429">
        <v>5</v>
      </c>
      <c r="C35" s="424">
        <v>2</v>
      </c>
      <c r="D35" s="424">
        <v>2</v>
      </c>
      <c r="E35" s="430" t="s">
        <v>44</v>
      </c>
      <c r="F35" s="430" t="s">
        <v>44</v>
      </c>
      <c r="G35" s="366" t="s">
        <v>193</v>
      </c>
      <c r="H35" s="439"/>
      <c r="I35" s="368"/>
      <c r="J35" s="440"/>
      <c r="K35" s="431">
        <f>SUM(K36:K38)</f>
        <v>1348844700</v>
      </c>
      <c r="L35" s="421"/>
      <c r="M35" s="307"/>
      <c r="N35" s="307"/>
      <c r="O35" s="307"/>
      <c r="P35" s="307"/>
      <c r="Q35" s="306"/>
      <c r="R35" s="306"/>
    </row>
    <row r="36" spans="2:26" ht="15">
      <c r="B36" s="441"/>
      <c r="C36" s="396"/>
      <c r="D36" s="396"/>
      <c r="E36" s="442"/>
      <c r="F36" s="442"/>
      <c r="G36" s="391" t="s">
        <v>194</v>
      </c>
      <c r="H36" s="392">
        <v>12</v>
      </c>
      <c r="I36" s="380" t="s">
        <v>64</v>
      </c>
      <c r="J36" s="438">
        <v>105000000</v>
      </c>
      <c r="K36" s="416">
        <f>H36*J36</f>
        <v>1260000000</v>
      </c>
      <c r="L36" s="421">
        <f>K36</f>
        <v>1260000000</v>
      </c>
      <c r="M36" s="414"/>
      <c r="N36" s="414"/>
      <c r="O36" s="309"/>
      <c r="P36" s="309"/>
      <c r="Q36" s="306"/>
      <c r="R36" s="306"/>
      <c r="S36" s="41">
        <f>580947500/7</f>
        <v>82992500</v>
      </c>
      <c r="W36" s="41">
        <v>969768600</v>
      </c>
      <c r="X36" s="158">
        <f>W36/12</f>
        <v>80814050</v>
      </c>
      <c r="Y36" s="41">
        <v>974088400</v>
      </c>
      <c r="Z36" s="158">
        <f>Y36/12</f>
        <v>81174033.333333328</v>
      </c>
    </row>
    <row r="37" spans="2:26" ht="15">
      <c r="B37" s="2106"/>
      <c r="C37" s="2065"/>
      <c r="D37" s="2065"/>
      <c r="E37" s="2107"/>
      <c r="F37" s="2107"/>
      <c r="G37" s="2120" t="s">
        <v>1785</v>
      </c>
      <c r="H37" s="2126">
        <v>1</v>
      </c>
      <c r="I37" s="2122" t="s">
        <v>64</v>
      </c>
      <c r="J37" s="2127">
        <v>88844700</v>
      </c>
      <c r="K37" s="2124">
        <f>H37*J37</f>
        <v>88844700</v>
      </c>
      <c r="L37" s="421">
        <f>K37</f>
        <v>88844700</v>
      </c>
      <c r="M37" s="2108"/>
      <c r="N37" s="2109"/>
      <c r="O37" s="1822"/>
      <c r="P37" s="1822"/>
      <c r="Q37" s="1668"/>
      <c r="R37" s="1668"/>
      <c r="W37" s="41"/>
      <c r="X37" s="158"/>
      <c r="Y37" s="41"/>
      <c r="Z37" s="158"/>
    </row>
    <row r="38" spans="2:26" ht="15">
      <c r="B38" s="441"/>
      <c r="C38" s="396"/>
      <c r="D38" s="396"/>
      <c r="E38" s="442"/>
      <c r="F38" s="442"/>
      <c r="G38" s="391"/>
      <c r="H38" s="392"/>
      <c r="I38" s="380"/>
      <c r="J38" s="438"/>
      <c r="K38" s="416"/>
      <c r="L38" s="421"/>
      <c r="M38" s="310"/>
      <c r="N38" s="306"/>
      <c r="O38" s="306"/>
      <c r="P38" s="306"/>
      <c r="Q38" s="309"/>
      <c r="R38" s="306"/>
    </row>
    <row r="39" spans="2:26" ht="15">
      <c r="B39" s="429">
        <v>5</v>
      </c>
      <c r="C39" s="424">
        <v>2</v>
      </c>
      <c r="D39" s="424">
        <v>2</v>
      </c>
      <c r="E39" s="430" t="s">
        <v>44</v>
      </c>
      <c r="F39" s="430" t="s">
        <v>66</v>
      </c>
      <c r="G39" s="366" t="s">
        <v>195</v>
      </c>
      <c r="H39" s="439"/>
      <c r="I39" s="368"/>
      <c r="J39" s="440"/>
      <c r="K39" s="431">
        <f>SUM(K40:K43)</f>
        <v>62063266</v>
      </c>
      <c r="L39" s="421"/>
      <c r="M39" s="305"/>
      <c r="N39" s="305"/>
      <c r="O39" s="305"/>
      <c r="P39" s="305"/>
      <c r="Q39" s="306"/>
      <c r="R39" s="316"/>
    </row>
    <row r="40" spans="2:26" ht="15">
      <c r="B40" s="441"/>
      <c r="C40" s="396"/>
      <c r="D40" s="396"/>
      <c r="E40" s="442"/>
      <c r="F40" s="442"/>
      <c r="G40" s="364" t="s">
        <v>1272</v>
      </c>
      <c r="H40" s="392">
        <v>12</v>
      </c>
      <c r="I40" s="380" t="s">
        <v>64</v>
      </c>
      <c r="J40" s="438">
        <v>3000000</v>
      </c>
      <c r="K40" s="416">
        <f>H40*J40</f>
        <v>36000000</v>
      </c>
      <c r="L40" s="421">
        <f>K40</f>
        <v>36000000</v>
      </c>
      <c r="M40" s="414"/>
      <c r="N40" s="414"/>
      <c r="O40" s="309"/>
      <c r="P40" s="309"/>
      <c r="Q40" s="306"/>
      <c r="R40" s="306"/>
      <c r="S40" s="41">
        <f>17753760/7</f>
        <v>2536251.4285714286</v>
      </c>
      <c r="W40" s="41">
        <v>46046806</v>
      </c>
      <c r="X40" s="158">
        <f>W40/12</f>
        <v>3837233.8333333335</v>
      </c>
      <c r="Y40" s="41">
        <v>37253508</v>
      </c>
      <c r="Z40" s="158">
        <f>Y40/12</f>
        <v>3104459</v>
      </c>
    </row>
    <row r="41" spans="2:26" ht="15">
      <c r="B41" s="441"/>
      <c r="C41" s="396"/>
      <c r="D41" s="396"/>
      <c r="E41" s="442"/>
      <c r="F41" s="442"/>
      <c r="G41" s="364" t="s">
        <v>1233</v>
      </c>
      <c r="H41" s="392">
        <v>12</v>
      </c>
      <c r="I41" s="380" t="s">
        <v>64</v>
      </c>
      <c r="J41" s="438">
        <v>2000000</v>
      </c>
      <c r="K41" s="416">
        <f>H41*J41</f>
        <v>24000000</v>
      </c>
      <c r="L41" s="421">
        <f>K41</f>
        <v>24000000</v>
      </c>
      <c r="M41" s="311"/>
      <c r="N41" s="312"/>
      <c r="O41" s="312"/>
      <c r="P41" s="312"/>
      <c r="Q41" s="306"/>
      <c r="R41" s="306"/>
      <c r="S41" s="41">
        <v>2500000</v>
      </c>
    </row>
    <row r="42" spans="2:26" ht="15">
      <c r="B42" s="1379"/>
      <c r="C42" s="2065"/>
      <c r="D42" s="2065"/>
      <c r="E42" s="2107"/>
      <c r="F42" s="2107"/>
      <c r="G42" s="2125" t="s">
        <v>1786</v>
      </c>
      <c r="H42" s="2126">
        <v>1</v>
      </c>
      <c r="I42" s="2122" t="s">
        <v>64</v>
      </c>
      <c r="J42" s="2127">
        <v>2063266</v>
      </c>
      <c r="K42" s="2124">
        <f>H42*J42</f>
        <v>2063266</v>
      </c>
      <c r="L42" s="421">
        <f>K42</f>
        <v>2063266</v>
      </c>
      <c r="M42" s="808"/>
      <c r="N42" s="2110"/>
      <c r="O42" s="2110"/>
      <c r="P42" s="2110"/>
      <c r="Q42" s="1668"/>
      <c r="R42" s="1668"/>
    </row>
    <row r="43" spans="2:26" ht="15">
      <c r="B43" s="1379"/>
      <c r="C43" s="2065"/>
      <c r="D43" s="2065"/>
      <c r="E43" s="2107"/>
      <c r="F43" s="2107"/>
      <c r="G43" s="1685"/>
      <c r="H43" s="2111"/>
      <c r="I43" s="1660"/>
      <c r="J43" s="2112"/>
      <c r="K43" s="859"/>
      <c r="L43" s="564"/>
      <c r="M43" s="808"/>
      <c r="N43" s="813"/>
      <c r="O43" s="813"/>
      <c r="P43" s="813"/>
      <c r="Q43" s="378"/>
      <c r="R43" s="378"/>
    </row>
    <row r="44" spans="2:26" ht="15" customHeight="1" thickBot="1">
      <c r="B44" s="3366" t="s">
        <v>30</v>
      </c>
      <c r="C44" s="3367"/>
      <c r="D44" s="3367"/>
      <c r="E44" s="3367"/>
      <c r="F44" s="3367"/>
      <c r="G44" s="3367"/>
      <c r="H44" s="3367"/>
      <c r="I44" s="3367"/>
      <c r="J44" s="3368"/>
      <c r="K44" s="446">
        <f>K25</f>
        <v>1786721246</v>
      </c>
      <c r="L44" s="421">
        <f>SUM(L28:L43)</f>
        <v>1786721246</v>
      </c>
      <c r="M44" s="305">
        <f t="shared" ref="M44:Q44" si="0">SUM(M28:M41)</f>
        <v>0</v>
      </c>
      <c r="N44" s="305">
        <f t="shared" si="0"/>
        <v>0</v>
      </c>
      <c r="O44" s="305">
        <f t="shared" si="0"/>
        <v>0</v>
      </c>
      <c r="P44" s="305">
        <f t="shared" si="0"/>
        <v>0</v>
      </c>
      <c r="Q44" s="305">
        <f t="shared" si="0"/>
        <v>0</v>
      </c>
      <c r="R44" s="407">
        <f>SUM(L44:Q44)</f>
        <v>1786721246</v>
      </c>
      <c r="T44" s="57"/>
    </row>
    <row r="45" spans="2:26" ht="15.75" thickTop="1">
      <c r="B45" s="69"/>
      <c r="C45" s="70"/>
      <c r="D45" s="70"/>
      <c r="E45" s="70"/>
      <c r="F45" s="70"/>
      <c r="G45" s="70"/>
      <c r="H45" s="70"/>
      <c r="I45" s="70"/>
      <c r="J45" s="70"/>
      <c r="K45" s="1207"/>
      <c r="L45" s="564"/>
      <c r="M45" s="310"/>
      <c r="N45" s="306"/>
      <c r="O45" s="306"/>
      <c r="P45" s="306"/>
      <c r="Q45" s="306"/>
      <c r="R45" s="306"/>
      <c r="T45" s="41"/>
    </row>
    <row r="46" spans="2:26" ht="15">
      <c r="B46" s="70"/>
      <c r="C46" s="70"/>
      <c r="D46" s="70"/>
      <c r="E46" s="70"/>
      <c r="F46" s="70"/>
      <c r="G46" s="70"/>
      <c r="H46" s="70"/>
      <c r="I46" s="70"/>
      <c r="J46" s="70"/>
      <c r="K46" s="1160"/>
      <c r="L46" s="564"/>
      <c r="M46" s="569"/>
      <c r="N46" s="378"/>
      <c r="O46" s="378"/>
      <c r="P46" s="378"/>
      <c r="Q46" s="378"/>
      <c r="R46" s="378"/>
    </row>
    <row r="47" spans="2:26" ht="15">
      <c r="H47" s="3336" t="s">
        <v>1534</v>
      </c>
      <c r="I47" s="3336"/>
      <c r="J47" s="3336"/>
      <c r="K47" s="1208"/>
      <c r="L47" s="564"/>
      <c r="M47" s="310"/>
      <c r="N47" s="306"/>
      <c r="O47" s="306"/>
      <c r="P47" s="306"/>
      <c r="Q47" s="306"/>
      <c r="R47" s="306"/>
    </row>
    <row r="48" spans="2:26" ht="15">
      <c r="H48" s="3337" t="s">
        <v>272</v>
      </c>
      <c r="I48" s="3337"/>
      <c r="J48" s="3337"/>
      <c r="K48" s="72"/>
      <c r="L48" s="564"/>
      <c r="M48" s="310"/>
      <c r="N48" s="306"/>
      <c r="O48" s="306"/>
      <c r="P48" s="306"/>
      <c r="Q48" s="306"/>
      <c r="R48" s="306"/>
    </row>
    <row r="49" spans="7:18" ht="15">
      <c r="H49" s="1155"/>
      <c r="I49" s="127"/>
      <c r="J49" s="127"/>
      <c r="K49" s="935"/>
      <c r="L49" s="564"/>
      <c r="M49" s="310"/>
      <c r="N49" s="306"/>
      <c r="O49" s="306"/>
      <c r="P49" s="306"/>
      <c r="Q49" s="306"/>
      <c r="R49" s="306"/>
    </row>
    <row r="50" spans="7:18" ht="15">
      <c r="H50" s="1155"/>
      <c r="I50" s="127"/>
      <c r="J50" s="127"/>
      <c r="K50" s="935"/>
      <c r="L50" s="564"/>
      <c r="M50" s="310"/>
      <c r="N50" s="306"/>
      <c r="O50" s="306"/>
      <c r="P50" s="306"/>
      <c r="Q50" s="306"/>
      <c r="R50" s="306"/>
    </row>
    <row r="51" spans="7:18" ht="15">
      <c r="H51" s="3434" t="s">
        <v>904</v>
      </c>
      <c r="I51" s="3434"/>
      <c r="J51" s="3434"/>
      <c r="K51" s="908"/>
      <c r="L51" s="564"/>
      <c r="M51" s="310"/>
      <c r="N51" s="306"/>
      <c r="O51" s="306"/>
      <c r="P51" s="306"/>
      <c r="Q51" s="306"/>
      <c r="R51" s="306"/>
    </row>
    <row r="52" spans="7:18" ht="15">
      <c r="H52" s="3434" t="s">
        <v>906</v>
      </c>
      <c r="I52" s="3434"/>
      <c r="J52" s="3434"/>
      <c r="K52" s="908"/>
      <c r="L52" s="564"/>
      <c r="M52" s="308"/>
      <c r="N52" s="306"/>
      <c r="O52" s="306"/>
      <c r="P52" s="306"/>
      <c r="Q52" s="306"/>
      <c r="R52" s="306"/>
    </row>
    <row r="53" spans="7:18">
      <c r="H53" s="1155"/>
      <c r="I53" s="1155"/>
      <c r="J53" s="1155"/>
      <c r="K53" s="8"/>
      <c r="M53" s="10"/>
    </row>
    <row r="54" spans="7:18">
      <c r="J54" s="157"/>
      <c r="M54" s="42"/>
    </row>
    <row r="55" spans="7:18">
      <c r="G55" s="9" t="s">
        <v>745</v>
      </c>
      <c r="J55" s="157" t="s">
        <v>1790</v>
      </c>
      <c r="K55" s="41">
        <f>K29+K33+K37+K42</f>
        <v>112721246</v>
      </c>
      <c r="L55" s="158"/>
      <c r="M55" s="42"/>
    </row>
    <row r="56" spans="7:18">
      <c r="G56" s="9" t="s">
        <v>746</v>
      </c>
      <c r="J56" s="157"/>
      <c r="K56" s="41"/>
      <c r="L56" s="158"/>
      <c r="M56" s="42"/>
    </row>
    <row r="57" spans="7:18">
      <c r="G57" s="9" t="s">
        <v>747</v>
      </c>
      <c r="J57" s="157"/>
      <c r="K57" s="41"/>
      <c r="L57" s="158"/>
      <c r="M57" s="42"/>
    </row>
    <row r="58" spans="7:18">
      <c r="G58" s="9" t="s">
        <v>748</v>
      </c>
      <c r="J58" s="157"/>
      <c r="K58" s="41"/>
      <c r="L58" s="158"/>
    </row>
    <row r="59" spans="7:18">
      <c r="J59" s="157"/>
      <c r="L59" s="158"/>
    </row>
    <row r="60" spans="7:18">
      <c r="L60" s="158">
        <f>L59*30%</f>
        <v>0</v>
      </c>
    </row>
    <row r="61" spans="7:18">
      <c r="L61" s="158">
        <f>L59+L60</f>
        <v>0</v>
      </c>
    </row>
  </sheetData>
  <mergeCells count="49">
    <mergeCell ref="H47:J47"/>
    <mergeCell ref="H48:J48"/>
    <mergeCell ref="H51:J51"/>
    <mergeCell ref="H52:J52"/>
    <mergeCell ref="R20:R22"/>
    <mergeCell ref="L20:Q20"/>
    <mergeCell ref="B23:F23"/>
    <mergeCell ref="B44:J44"/>
    <mergeCell ref="B18:K18"/>
    <mergeCell ref="B19:K20"/>
    <mergeCell ref="B21:F22"/>
    <mergeCell ref="G21:G22"/>
    <mergeCell ref="H21:J21"/>
    <mergeCell ref="B16:F16"/>
    <mergeCell ref="G16:H16"/>
    <mergeCell ref="I16:K16"/>
    <mergeCell ref="B17:F17"/>
    <mergeCell ref="G17:H17"/>
    <mergeCell ref="I17:K17"/>
    <mergeCell ref="B14:F14"/>
    <mergeCell ref="G14:H14"/>
    <mergeCell ref="I14:K14"/>
    <mergeCell ref="B15:F15"/>
    <mergeCell ref="G15:H15"/>
    <mergeCell ref="I15:K15"/>
    <mergeCell ref="B10:F10"/>
    <mergeCell ref="G10:K10"/>
    <mergeCell ref="B12:K12"/>
    <mergeCell ref="B13:F13"/>
    <mergeCell ref="G13:H13"/>
    <mergeCell ref="I13:K13"/>
    <mergeCell ref="B11:F11"/>
    <mergeCell ref="G11:K11"/>
    <mergeCell ref="B7:F7"/>
    <mergeCell ref="G7:K7"/>
    <mergeCell ref="B8:F8"/>
    <mergeCell ref="G8:K8"/>
    <mergeCell ref="G9:K9"/>
    <mergeCell ref="B4:K4"/>
    <mergeCell ref="B5:F5"/>
    <mergeCell ref="G5:K5"/>
    <mergeCell ref="B6:F6"/>
    <mergeCell ref="B1:K1"/>
    <mergeCell ref="B2:D3"/>
    <mergeCell ref="E2:H2"/>
    <mergeCell ref="I2:J2"/>
    <mergeCell ref="E3:H3"/>
    <mergeCell ref="I3:J3"/>
    <mergeCell ref="G6:K6"/>
  </mergeCells>
  <pageMargins left="0.12" right="0.22" top="0.54" bottom="0.3" header="0.3" footer="0.13"/>
  <pageSetup paperSize="5" scale="95" orientation="portrait" horizontalDpi="4294967293" vertic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64</vt:i4>
      </vt:variant>
    </vt:vector>
  </HeadingPairs>
  <TitlesOfParts>
    <vt:vector size="121" baseType="lpstr">
      <vt:lpstr>PPAS Banding</vt:lpstr>
      <vt:lpstr>PPAS Rutin</vt:lpstr>
      <vt:lpstr>PPAS</vt:lpstr>
      <vt:lpstr>Rekap</vt:lpstr>
      <vt:lpstr>BTL17 (3)</vt:lpstr>
      <vt:lpstr>BTL17 (4)</vt:lpstr>
      <vt:lpstr>Pendapatan</vt:lpstr>
      <vt:lpstr>Surat</vt:lpstr>
      <vt:lpstr>Komunikasi</vt:lpstr>
      <vt:lpstr>Kebersihan</vt:lpstr>
      <vt:lpstr>ATK</vt:lpstr>
      <vt:lpstr>Listrik</vt:lpstr>
      <vt:lpstr>Kantor</vt:lpstr>
      <vt:lpstr>RT</vt:lpstr>
      <vt:lpstr>Bacaan</vt:lpstr>
      <vt:lpstr>Makan</vt:lpstr>
      <vt:lpstr>Rapat</vt:lpstr>
      <vt:lpstr>ADM kantor</vt:lpstr>
      <vt:lpstr>mbl jabatan</vt:lpstr>
      <vt:lpstr>Perleng Rmh dinas</vt:lpstr>
      <vt:lpstr>P. Kendaraaan </vt:lpstr>
      <vt:lpstr>Pakaian</vt:lpstr>
      <vt:lpstr>Agama</vt:lpstr>
      <vt:lpstr>Pembangunan RS</vt:lpstr>
      <vt:lpstr>R.Rawat Inap</vt:lpstr>
      <vt:lpstr>Rehabilitasi</vt:lpstr>
      <vt:lpstr>Alkes</vt:lpstr>
      <vt:lpstr>Ambulance</vt:lpstr>
      <vt:lpstr>Mebeleur</vt:lpstr>
      <vt:lpstr>Cetak&amp;Penggandaan</vt:lpstr>
      <vt:lpstr>Pel.rs</vt:lpstr>
      <vt:lpstr>Pem.limbah</vt:lpstr>
      <vt:lpstr>Pem.alkes</vt:lpstr>
      <vt:lpstr>Pem.per.RS</vt:lpstr>
      <vt:lpstr>IGD</vt:lpstr>
      <vt:lpstr>COT</vt:lpstr>
      <vt:lpstr>I.Anak</vt:lpstr>
      <vt:lpstr>I.Dewasa</vt:lpstr>
      <vt:lpstr>R.Jalan</vt:lpstr>
      <vt:lpstr>R.Inap</vt:lpstr>
      <vt:lpstr>Radiologi</vt:lpstr>
      <vt:lpstr>Gizi</vt:lpstr>
      <vt:lpstr>Laundry</vt:lpstr>
      <vt:lpstr>pelatihan</vt:lpstr>
      <vt:lpstr>Pelatihan (2)</vt:lpstr>
      <vt:lpstr>J.Layanan</vt:lpstr>
      <vt:lpstr>Sheet3</vt:lpstr>
      <vt:lpstr>Penda 2017</vt:lpstr>
      <vt:lpstr>Penda 2017 (2)</vt:lpstr>
      <vt:lpstr>Real listrik</vt:lpstr>
      <vt:lpstr>Sheet1</vt:lpstr>
      <vt:lpstr>Sheet2</vt:lpstr>
      <vt:lpstr>Sheet4</vt:lpstr>
      <vt:lpstr>Sheet5</vt:lpstr>
      <vt:lpstr>Sheet6</vt:lpstr>
      <vt:lpstr>Sheet7</vt:lpstr>
      <vt:lpstr>Sheet8</vt:lpstr>
      <vt:lpstr>'ADM kantor'!Print_Area</vt:lpstr>
      <vt:lpstr>Agama!Print_Area</vt:lpstr>
      <vt:lpstr>Alkes!Print_Area</vt:lpstr>
      <vt:lpstr>Ambulance!Print_Area</vt:lpstr>
      <vt:lpstr>ATK!Print_Area</vt:lpstr>
      <vt:lpstr>Bacaan!Print_Area</vt:lpstr>
      <vt:lpstr>'BTL17 (3)'!Print_Area</vt:lpstr>
      <vt:lpstr>'BTL17 (4)'!Print_Area</vt:lpstr>
      <vt:lpstr>'Cetak&amp;Penggandaan'!Print_Area</vt:lpstr>
      <vt:lpstr>COT!Print_Area</vt:lpstr>
      <vt:lpstr>Gizi!Print_Area</vt:lpstr>
      <vt:lpstr>I.Anak!Print_Area</vt:lpstr>
      <vt:lpstr>I.Dewasa!Print_Area</vt:lpstr>
      <vt:lpstr>IGD!Print_Area</vt:lpstr>
      <vt:lpstr>J.Layanan!Print_Area</vt:lpstr>
      <vt:lpstr>Kantor!Print_Area</vt:lpstr>
      <vt:lpstr>Kebersihan!Print_Area</vt:lpstr>
      <vt:lpstr>Komunikasi!Print_Area</vt:lpstr>
      <vt:lpstr>Laundry!Print_Area</vt:lpstr>
      <vt:lpstr>Listrik!Print_Area</vt:lpstr>
      <vt:lpstr>Makan!Print_Area</vt:lpstr>
      <vt:lpstr>'mbl jabatan'!Print_Area</vt:lpstr>
      <vt:lpstr>Mebeleur!Print_Area</vt:lpstr>
      <vt:lpstr>'P. Kendaraaan '!Print_Area</vt:lpstr>
      <vt:lpstr>Pakaian!Print_Area</vt:lpstr>
      <vt:lpstr>Pel.rs!Print_Area</vt:lpstr>
      <vt:lpstr>pelatihan!Print_Area</vt:lpstr>
      <vt:lpstr>'Pelatihan (2)'!Print_Area</vt:lpstr>
      <vt:lpstr>Pem.alkes!Print_Area</vt:lpstr>
      <vt:lpstr>Pem.limbah!Print_Area</vt:lpstr>
      <vt:lpstr>Pem.per.RS!Print_Area</vt:lpstr>
      <vt:lpstr>Pendapatan!Print_Area</vt:lpstr>
      <vt:lpstr>'Perleng Rmh dinas'!Print_Area</vt:lpstr>
      <vt:lpstr>PPAS!Print_Area</vt:lpstr>
      <vt:lpstr>'PPAS Banding'!Print_Area</vt:lpstr>
      <vt:lpstr>'PPAS Rutin'!Print_Area</vt:lpstr>
      <vt:lpstr>R.Inap!Print_Area</vt:lpstr>
      <vt:lpstr>R.Jalan!Print_Area</vt:lpstr>
      <vt:lpstr>'R.Rawat Inap'!Print_Area</vt:lpstr>
      <vt:lpstr>Radiologi!Print_Area</vt:lpstr>
      <vt:lpstr>Rapat!Print_Area</vt:lpstr>
      <vt:lpstr>Rehabilitasi!Print_Area</vt:lpstr>
      <vt:lpstr>Rekap!Print_Area</vt:lpstr>
      <vt:lpstr>RT!Print_Area</vt:lpstr>
      <vt:lpstr>Surat!Print_Area</vt:lpstr>
      <vt:lpstr>'ADM kantor'!Print_Titles</vt:lpstr>
      <vt:lpstr>Alkes!Print_Titles</vt:lpstr>
      <vt:lpstr>ATK!Print_Titles</vt:lpstr>
      <vt:lpstr>'Cetak&amp;Penggandaan'!Print_Titles</vt:lpstr>
      <vt:lpstr>J.Layanan!Print_Titles</vt:lpstr>
      <vt:lpstr>Kantor!Print_Titles</vt:lpstr>
      <vt:lpstr>Listrik!Print_Titles</vt:lpstr>
      <vt:lpstr>pelatihan!Print_Titles</vt:lpstr>
      <vt:lpstr>'Pelatihan (2)'!Print_Titles</vt:lpstr>
      <vt:lpstr>Pem.limbah!Print_Titles</vt:lpstr>
      <vt:lpstr>Pem.per.RS!Print_Titles</vt:lpstr>
      <vt:lpstr>PPAS!Print_Titles</vt:lpstr>
      <vt:lpstr>'PPAS Banding'!Print_Titles</vt:lpstr>
      <vt:lpstr>'PPAS Rutin'!Print_Titles</vt:lpstr>
      <vt:lpstr>R.Inap!Print_Titles</vt:lpstr>
      <vt:lpstr>R.Jalan!Print_Titles</vt:lpstr>
      <vt:lpstr>Rehabilitasi!Print_Titles</vt:lpstr>
      <vt:lpstr>Rekap!Print_Titles</vt:lpstr>
      <vt:lpstr>Sheet7!Print_Titles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756</cp:lastModifiedBy>
  <cp:lastPrinted>2018-07-18T02:59:21Z</cp:lastPrinted>
  <dcterms:created xsi:type="dcterms:W3CDTF">2012-03-12T02:51:40Z</dcterms:created>
  <dcterms:modified xsi:type="dcterms:W3CDTF">2018-07-18T03:00:54Z</dcterms:modified>
</cp:coreProperties>
</file>